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pivotTables/pivotTable3.xml" ContentType="application/vnd.openxmlformats-officedocument.spreadsheetml.pivotTable+xml"/>
  <Override PartName="/xl/drawings/drawing8.xml" ContentType="application/vnd.openxmlformats-officedocument.drawing+xml"/>
  <Override PartName="/xl/pivotTables/pivotTable4.xml" ContentType="application/vnd.openxmlformats-officedocument.spreadsheetml.pivotTable+xml"/>
  <Override PartName="/xl/drawings/drawing9.xml" ContentType="application/vnd.openxmlformats-officedocument.drawing+xml"/>
  <Override PartName="/xl/pivotTables/pivotTable5.xml" ContentType="application/vnd.openxmlformats-officedocument.spreadsheetml.pivotTable+xml"/>
  <Override PartName="/xl/drawings/drawing10.xml" ContentType="application/vnd.openxmlformats-officedocument.drawing+xml"/>
  <Override PartName="/xl/pivotTables/pivotTable6.xml" ContentType="application/vnd.openxmlformats-officedocument.spreadsheetml.pivotTable+xml"/>
  <Override PartName="/xl/drawings/drawing11.xml" ContentType="application/vnd.openxmlformats-officedocument.drawing+xml"/>
  <Override PartName="/xl/pivotTables/pivotTable7.xml" ContentType="application/vnd.openxmlformats-officedocument.spreadsheetml.pivotTable+xml"/>
  <Override PartName="/xl/drawings/drawing12.xml" ContentType="application/vnd.openxmlformats-officedocument.drawing+xml"/>
  <Override PartName="/xl/pivotTables/pivotTable8.xml" ContentType="application/vnd.openxmlformats-officedocument.spreadsheetml.pivotTable+xml"/>
  <Override PartName="/xl/drawings/drawing13.xml" ContentType="application/vnd.openxmlformats-officedocument.drawing+xml"/>
  <Override PartName="/xl/pivotTables/pivotTable9.xml" ContentType="application/vnd.openxmlformats-officedocument.spreadsheetml.pivotTable+xml"/>
  <Override PartName="/xl/drawings/drawing14.xml" ContentType="application/vnd.openxmlformats-officedocument.drawing+xml"/>
  <Override PartName="/xl/pivotTables/pivotTable10.xml" ContentType="application/vnd.openxmlformats-officedocument.spreadsheetml.pivotTable+xml"/>
  <Override PartName="/xl/drawings/drawing15.xml" ContentType="application/vnd.openxmlformats-officedocument.drawing+xml"/>
  <Override PartName="/xl/pivotTables/pivotTable11.xml" ContentType="application/vnd.openxmlformats-officedocument.spreadsheetml.pivotTable+xml"/>
  <Override PartName="/xl/drawings/drawing16.xml" ContentType="application/vnd.openxmlformats-officedocument.drawing+xml"/>
  <Override PartName="/xl/pivotTables/pivotTable12.xml" ContentType="application/vnd.openxmlformats-officedocument.spreadsheetml.pivotTable+xml"/>
  <Override PartName="/xl/drawings/drawing17.xml" ContentType="application/vnd.openxmlformats-officedocument.drawing+xml"/>
  <Override PartName="/xl/pivotTables/pivotTable13.xml" ContentType="application/vnd.openxmlformats-officedocument.spreadsheetml.pivotTable+xml"/>
  <Override PartName="/xl/drawings/drawing18.xml" ContentType="application/vnd.openxmlformats-officedocument.drawing+xml"/>
  <Override PartName="/xl/pivotTables/pivotTable14.xml" ContentType="application/vnd.openxmlformats-officedocument.spreadsheetml.pivotTable+xml"/>
  <Override PartName="/xl/drawings/drawing19.xml" ContentType="application/vnd.openxmlformats-officedocument.drawing+xml"/>
  <Override PartName="/xl/pivotTables/pivotTable15.xml" ContentType="application/vnd.openxmlformats-officedocument.spreadsheetml.pivotTable+xml"/>
  <Override PartName="/xl/drawings/drawing20.xml" ContentType="application/vnd.openxmlformats-officedocument.drawing+xml"/>
  <Override PartName="/xl/pivotTables/pivotTable16.xml" ContentType="application/vnd.openxmlformats-officedocument.spreadsheetml.pivotTable+xml"/>
  <Override PartName="/xl/drawings/drawing21.xml" ContentType="application/vnd.openxmlformats-officedocument.drawing+xml"/>
  <Override PartName="/xl/pivotTables/pivotTable17.xml" ContentType="application/vnd.openxmlformats-officedocument.spreadsheetml.pivotTable+xml"/>
  <Override PartName="/xl/drawings/drawing22.xml" ContentType="application/vnd.openxmlformats-officedocument.drawing+xml"/>
  <Override PartName="/xl/pivotTables/pivotTable18.xml" ContentType="application/vnd.openxmlformats-officedocument.spreadsheetml.pivotTable+xml"/>
  <Override PartName="/xl/drawings/drawing23.xml" ContentType="application/vnd.openxmlformats-officedocument.drawing+xml"/>
  <Override PartName="/xl/pivotTables/pivotTable19.xml" ContentType="application/vnd.openxmlformats-officedocument.spreadsheetml.pivotTable+xml"/>
  <Override PartName="/xl/drawings/drawing24.xml" ContentType="application/vnd.openxmlformats-officedocument.drawing+xml"/>
  <Override PartName="/xl/pivotTables/pivotTable20.xml" ContentType="application/vnd.openxmlformats-officedocument.spreadsheetml.pivotTable+xml"/>
  <Override PartName="/xl/drawings/drawing2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4" codeName="{E5D1E7B1-6628-F0F0-D09B-76B25B5F3CD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2a329bc239b7b7a/Desktop/FAST BWA/3BWA_1/BWA33002 - Industrial Computing Tools (Sir Lee Siaw Chong)/Assignment/Group 5/"/>
    </mc:Choice>
  </mc:AlternateContent>
  <xr:revisionPtr revIDLastSave="9" documentId="8_{41CFC005-0893-0549-AA83-7513AD9968A6}" xr6:coauthVersionLast="47" xr6:coauthVersionMax="47" xr10:uidLastSave="{744DEED5-B0D3-0B4A-86CA-537293A2069F}"/>
  <bookViews>
    <workbookView xWindow="0" yWindow="600" windowWidth="28800" windowHeight="17400" activeTab="5" xr2:uid="{1618B21B-B968-4930-92AC-E5DEE9EA95DA}"/>
  </bookViews>
  <sheets>
    <sheet name="TABLE OF CONTENT" sheetId="26" r:id="rId1"/>
    <sheet name="England 1" sheetId="2" r:id="rId2"/>
    <sheet name="Team Position by Round" sheetId="25" r:id="rId3"/>
    <sheet name="League Table Unsort" sheetId="23" r:id="rId4"/>
    <sheet name="League Table Sorted" sheetId="24" r:id="rId5"/>
    <sheet name="Liverpool FC" sheetId="1" r:id="rId6"/>
    <sheet name="West Ham United FC" sheetId="3" r:id="rId7"/>
    <sheet name="Burnley FC" sheetId="4" r:id="rId8"/>
    <sheet name="AFC Bournemouth" sheetId="5" r:id="rId9"/>
    <sheet name="Crystal Palace FC" sheetId="6" r:id="rId10"/>
    <sheet name="Watford FC" sheetId="7" r:id="rId11"/>
    <sheet name="Tottenham Hotspur FC" sheetId="8" r:id="rId12"/>
    <sheet name="Leicester City FC" sheetId="10" r:id="rId13"/>
    <sheet name="Newcastle United FC" sheetId="11" r:id="rId14"/>
    <sheet name="Manchester United FC" sheetId="12" r:id="rId15"/>
    <sheet name="Arsenal FC" sheetId="13" r:id="rId16"/>
    <sheet name="Everton FC" sheetId="14" r:id="rId17"/>
    <sheet name="Brighton &amp; Hove Albion FC" sheetId="15" r:id="rId18"/>
    <sheet name="Aston Villa FC" sheetId="16" r:id="rId19"/>
    <sheet name="Norwich City FC" sheetId="17" r:id="rId20"/>
    <sheet name="Southampton FC" sheetId="18" r:id="rId21"/>
    <sheet name="Manchester City FC" sheetId="19" r:id="rId22"/>
    <sheet name="Sheffield United FC" sheetId="20" r:id="rId23"/>
    <sheet name="Chelsea FC" sheetId="21" r:id="rId24"/>
    <sheet name="Wolverhampton Wanderers FC" sheetId="22" r:id="rId25"/>
  </sheets>
  <definedNames>
    <definedName name="ExternalData_1" localSheetId="1" hidden="1">'England 1'!$A$1:$F$381</definedName>
  </definedNames>
  <calcPr calcId="191028"/>
  <pivotCaches>
    <pivotCache cacheId="20" r:id="rId26"/>
    <pivotCache cacheId="21" r:id="rId27"/>
    <pivotCache cacheId="22" r:id="rId28"/>
    <pivotCache cacheId="23" r:id="rId29"/>
    <pivotCache cacheId="24" r:id="rId30"/>
    <pivotCache cacheId="25" r:id="rId31"/>
    <pivotCache cacheId="26" r:id="rId32"/>
    <pivotCache cacheId="27" r:id="rId33"/>
    <pivotCache cacheId="28" r:id="rId34"/>
    <pivotCache cacheId="29" r:id="rId35"/>
    <pivotCache cacheId="30" r:id="rId36"/>
    <pivotCache cacheId="31" r:id="rId37"/>
    <pivotCache cacheId="32" r:id="rId38"/>
    <pivotCache cacheId="33" r:id="rId39"/>
    <pivotCache cacheId="34" r:id="rId40"/>
    <pivotCache cacheId="35" r:id="rId41"/>
    <pivotCache cacheId="36" r:id="rId42"/>
    <pivotCache cacheId="37" r:id="rId43"/>
    <pivotCache cacheId="38" r:id="rId44"/>
    <pivotCache cacheId="39" r:id="rId4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 a="1"/>
  <c r="AS3" i="25" s="1"/>
  <c r="A2" i="5" a="1"/>
  <c r="B3" i="25" a="1"/>
  <c r="C3" i="23" a="1"/>
  <c r="C3" i="23" s="1"/>
  <c r="A2" i="12" a="1"/>
  <c r="AS12" i="25" s="1"/>
  <c r="A2" i="13" a="1"/>
  <c r="AS13" i="25" s="1"/>
  <c r="A2" i="11" a="1"/>
  <c r="AS11" i="25" s="1"/>
  <c r="A2" i="17" a="1"/>
  <c r="AS17" i="25" s="1"/>
  <c r="A2" i="8" a="1"/>
  <c r="AS9" i="25" s="1"/>
  <c r="A2" i="16" a="1"/>
  <c r="AS16" i="25" s="1"/>
  <c r="A2" i="7" a="1"/>
  <c r="AS8" i="25" s="1"/>
  <c r="A2" i="10" a="1"/>
  <c r="AS10" i="25" s="1"/>
  <c r="A2" i="15" a="1"/>
  <c r="AS15" i="25" s="1"/>
  <c r="A2" i="6" a="1"/>
  <c r="AS7" i="25" s="1"/>
  <c r="A2" i="19" a="1"/>
  <c r="AS19" i="25" s="1"/>
  <c r="A2" i="20" a="1"/>
  <c r="AS20" i="25" s="1"/>
  <c r="A2" i="14" a="1"/>
  <c r="AS14" i="25" s="1"/>
  <c r="A2" i="3" a="1"/>
  <c r="A2" i="4" a="1"/>
  <c r="AS5" i="25" s="1"/>
  <c r="A2" i="21" a="1"/>
  <c r="AS21" i="25" s="1"/>
  <c r="A2" i="22" a="1"/>
  <c r="AS22" i="25" s="1"/>
  <c r="A2" i="18" a="1"/>
  <c r="AS18" i="25" s="1"/>
  <c r="A2" i="1" l="1"/>
  <c r="A2" i="5"/>
  <c r="O19" i="5" s="1"/>
  <c r="N18" i="5"/>
  <c r="P19" i="5" s="1" a="1"/>
  <c r="P19" i="5" s="1"/>
  <c r="O20" i="5"/>
  <c r="O21" i="5"/>
  <c r="AS6" i="25"/>
  <c r="A2" i="3"/>
  <c r="O19" i="3" s="1"/>
  <c r="AM22" i="25" a="1"/>
  <c r="AM22" i="25" s="1"/>
  <c r="AL4" i="25" a="1"/>
  <c r="AL4" i="25" s="1"/>
  <c r="AL5" i="25" a="1"/>
  <c r="AL5" i="25" s="1"/>
  <c r="AL6" i="25" a="1"/>
  <c r="AL6" i="25" s="1"/>
  <c r="AL7" i="25" a="1"/>
  <c r="AL7" i="25" s="1"/>
  <c r="AL8" i="25" a="1"/>
  <c r="AL8" i="25" s="1"/>
  <c r="AL9" i="25" a="1"/>
  <c r="AL9" i="25" s="1"/>
  <c r="AL10" i="25" a="1"/>
  <c r="AL10" i="25" s="1"/>
  <c r="AL11" i="25" a="1"/>
  <c r="AL11" i="25" s="1"/>
  <c r="AL12" i="25" a="1"/>
  <c r="AL12" i="25" s="1"/>
  <c r="AL13" i="25" a="1"/>
  <c r="AL13" i="25" s="1"/>
  <c r="AL14" i="25" a="1"/>
  <c r="AL14" i="25" s="1"/>
  <c r="AL15" i="25" a="1"/>
  <c r="AL15" i="25" s="1"/>
  <c r="AL16" i="25" a="1"/>
  <c r="AL16" i="25" s="1"/>
  <c r="AL17" i="25" a="1"/>
  <c r="AL17" i="25" s="1"/>
  <c r="AL18" i="25" a="1"/>
  <c r="AL18" i="25" s="1"/>
  <c r="AL19" i="25" a="1"/>
  <c r="AL19" i="25" s="1"/>
  <c r="AL20" i="25" a="1"/>
  <c r="AL20" i="25" s="1"/>
  <c r="AL21" i="25" a="1"/>
  <c r="AL21" i="25" s="1"/>
  <c r="AL22" i="25" a="1"/>
  <c r="AL22" i="25" s="1"/>
  <c r="V5" i="25" a="1"/>
  <c r="V5" i="25" s="1"/>
  <c r="V7" i="25" a="1"/>
  <c r="V7" i="25" s="1"/>
  <c r="V9" i="25" a="1"/>
  <c r="V9" i="25" s="1"/>
  <c r="V11" i="25" a="1"/>
  <c r="V11" i="25" s="1"/>
  <c r="V13" i="25" a="1"/>
  <c r="V13" i="25" s="1"/>
  <c r="V15" i="25" a="1"/>
  <c r="V15" i="25" s="1"/>
  <c r="V17" i="25" a="1"/>
  <c r="V17" i="25" s="1"/>
  <c r="V19" i="25" a="1"/>
  <c r="V19" i="25" s="1"/>
  <c r="V21" i="25" a="1"/>
  <c r="V21" i="25" s="1"/>
  <c r="AM5" i="25" a="1"/>
  <c r="AM5" i="25" s="1"/>
  <c r="AM7" i="25" a="1"/>
  <c r="AM7" i="25" s="1"/>
  <c r="AM9" i="25" a="1"/>
  <c r="AM9" i="25" s="1"/>
  <c r="AM11" i="25" a="1"/>
  <c r="AM11" i="25" s="1"/>
  <c r="AM13" i="25" a="1"/>
  <c r="AM13" i="25" s="1"/>
  <c r="AM15" i="25" a="1"/>
  <c r="AM15" i="25" s="1"/>
  <c r="AM17" i="25" a="1"/>
  <c r="AM17" i="25" s="1"/>
  <c r="AM19" i="25" a="1"/>
  <c r="AM19" i="25" s="1"/>
  <c r="AM21" i="25" a="1"/>
  <c r="AM21" i="25" s="1"/>
  <c r="V4" i="25" a="1"/>
  <c r="V4" i="25" s="1"/>
  <c r="V6" i="25" a="1"/>
  <c r="V6" i="25" s="1"/>
  <c r="V8" i="25" a="1"/>
  <c r="V8" i="25" s="1"/>
  <c r="V10" i="25" a="1"/>
  <c r="V10" i="25" s="1"/>
  <c r="V12" i="25" a="1"/>
  <c r="V12" i="25" s="1"/>
  <c r="V14" i="25" a="1"/>
  <c r="V14" i="25" s="1"/>
  <c r="V16" i="25" a="1"/>
  <c r="V16" i="25" s="1"/>
  <c r="V18" i="25" a="1"/>
  <c r="V18" i="25" s="1"/>
  <c r="V20" i="25" a="1"/>
  <c r="V20" i="25" s="1"/>
  <c r="V22" i="25" a="1"/>
  <c r="V22" i="25" s="1"/>
  <c r="AM4" i="25" a="1"/>
  <c r="AM4" i="25" s="1"/>
  <c r="AM6" i="25" a="1"/>
  <c r="AM6" i="25" s="1"/>
  <c r="AM8" i="25" a="1"/>
  <c r="AM8" i="25" s="1"/>
  <c r="AM10" i="25" a="1"/>
  <c r="AM10" i="25" s="1"/>
  <c r="AM12" i="25" a="1"/>
  <c r="AM12" i="25" s="1"/>
  <c r="AM14" i="25" a="1"/>
  <c r="AM14" i="25" s="1"/>
  <c r="AM16" i="25" a="1"/>
  <c r="AM16" i="25" s="1"/>
  <c r="AM18" i="25" a="1"/>
  <c r="AM18" i="25" s="1"/>
  <c r="AM20" i="25" a="1"/>
  <c r="AM20" i="25" s="1"/>
  <c r="J22" i="25" a="1"/>
  <c r="J22" i="25" s="1"/>
  <c r="J21" i="25" a="1"/>
  <c r="J21" i="25" s="1"/>
  <c r="J20" i="25" a="1"/>
  <c r="J20" i="25" s="1"/>
  <c r="J19" i="25" a="1"/>
  <c r="J19" i="25" s="1"/>
  <c r="J18" i="25" a="1"/>
  <c r="J18" i="25" s="1"/>
  <c r="J17" i="25" a="1"/>
  <c r="J17" i="25" s="1"/>
  <c r="J16" i="25" a="1"/>
  <c r="J16" i="25" s="1"/>
  <c r="J15" i="25" a="1"/>
  <c r="J15" i="25" s="1"/>
  <c r="J14" i="25" a="1"/>
  <c r="J14" i="25" s="1"/>
  <c r="J13" i="25" a="1"/>
  <c r="J13" i="25" s="1"/>
  <c r="J12" i="25" a="1"/>
  <c r="J12" i="25" s="1"/>
  <c r="J11" i="25" a="1"/>
  <c r="J11" i="25" s="1"/>
  <c r="J10" i="25" a="1"/>
  <c r="J10" i="25" s="1"/>
  <c r="J9" i="25" a="1"/>
  <c r="J9" i="25" s="1"/>
  <c r="J8" i="25" a="1"/>
  <c r="J8" i="25" s="1"/>
  <c r="J7" i="25" a="1"/>
  <c r="J7" i="25" s="1"/>
  <c r="J6" i="25" a="1"/>
  <c r="J6" i="25" s="1"/>
  <c r="J5" i="25" a="1"/>
  <c r="J5" i="25" s="1"/>
  <c r="J4" i="25" a="1"/>
  <c r="J4" i="25" s="1"/>
  <c r="I22" i="25" a="1"/>
  <c r="I22" i="25" s="1"/>
  <c r="I21" i="25" a="1"/>
  <c r="I21" i="25" s="1"/>
  <c r="I20" i="25" a="1"/>
  <c r="I20" i="25" s="1"/>
  <c r="I19" i="25" a="1"/>
  <c r="I19" i="25" s="1"/>
  <c r="I18" i="25" a="1"/>
  <c r="I18" i="25" s="1"/>
  <c r="I17" i="25" a="1"/>
  <c r="I17" i="25" s="1"/>
  <c r="I16" i="25" a="1"/>
  <c r="I16" i="25" s="1"/>
  <c r="I15" i="25" a="1"/>
  <c r="I15" i="25" s="1"/>
  <c r="I14" i="25" a="1"/>
  <c r="I14" i="25" s="1"/>
  <c r="I13" i="25" a="1"/>
  <c r="I13" i="25" s="1"/>
  <c r="I12" i="25" a="1"/>
  <c r="I12" i="25" s="1"/>
  <c r="I11" i="25" a="1"/>
  <c r="I11" i="25" s="1"/>
  <c r="I10" i="25" a="1"/>
  <c r="I10" i="25" s="1"/>
  <c r="I9" i="25" a="1"/>
  <c r="I9" i="25" s="1"/>
  <c r="I8" i="25" a="1"/>
  <c r="I8" i="25" s="1"/>
  <c r="I7" i="25" a="1"/>
  <c r="I7" i="25" s="1"/>
  <c r="I6" i="25" a="1"/>
  <c r="I6" i="25" s="1"/>
  <c r="I5" i="25" a="1"/>
  <c r="I5" i="25" s="1"/>
  <c r="I4" i="25" a="1"/>
  <c r="I4" i="25" s="1"/>
  <c r="H22" i="25" a="1"/>
  <c r="H22" i="25" s="1"/>
  <c r="H21" i="25" a="1"/>
  <c r="H21" i="25" s="1"/>
  <c r="H20" i="25" a="1"/>
  <c r="H20" i="25" s="1"/>
  <c r="H19" i="25" a="1"/>
  <c r="H19" i="25" s="1"/>
  <c r="H18" i="25" a="1"/>
  <c r="H18" i="25" s="1"/>
  <c r="H17" i="25" a="1"/>
  <c r="H17" i="25" s="1"/>
  <c r="H16" i="25" a="1"/>
  <c r="H16" i="25" s="1"/>
  <c r="H15" i="25" a="1"/>
  <c r="H15" i="25" s="1"/>
  <c r="H14" i="25" a="1"/>
  <c r="H14" i="25" s="1"/>
  <c r="H13" i="25" a="1"/>
  <c r="H13" i="25" s="1"/>
  <c r="H12" i="25" a="1"/>
  <c r="H12" i="25" s="1"/>
  <c r="H11" i="25" a="1"/>
  <c r="H11" i="25" s="1"/>
  <c r="H10" i="25" a="1"/>
  <c r="H10" i="25" s="1"/>
  <c r="H9" i="25" a="1"/>
  <c r="H9" i="25" s="1"/>
  <c r="H8" i="25" a="1"/>
  <c r="H8" i="25" s="1"/>
  <c r="H7" i="25" a="1"/>
  <c r="H7" i="25" s="1"/>
  <c r="H6" i="25" a="1"/>
  <c r="H6" i="25" s="1"/>
  <c r="H5" i="25" a="1"/>
  <c r="H5" i="25" s="1"/>
  <c r="H4" i="25" a="1"/>
  <c r="H4" i="25" s="1"/>
  <c r="G22" i="25" a="1"/>
  <c r="G22" i="25" s="1"/>
  <c r="G21" i="25" a="1"/>
  <c r="G21" i="25" s="1"/>
  <c r="G20" i="25" a="1"/>
  <c r="G20" i="25" s="1"/>
  <c r="G19" i="25" a="1"/>
  <c r="G19" i="25" s="1"/>
  <c r="G18" i="25" a="1"/>
  <c r="G18" i="25" s="1"/>
  <c r="G17" i="25" a="1"/>
  <c r="G17" i="25" s="1"/>
  <c r="G16" i="25" a="1"/>
  <c r="G16" i="25" s="1"/>
  <c r="G15" i="25" a="1"/>
  <c r="G15" i="25" s="1"/>
  <c r="G14" i="25" a="1"/>
  <c r="G14" i="25" s="1"/>
  <c r="G13" i="25" a="1"/>
  <c r="G13" i="25" s="1"/>
  <c r="G12" i="25" a="1"/>
  <c r="G12" i="25" s="1"/>
  <c r="G11" i="25" a="1"/>
  <c r="G11" i="25" s="1"/>
  <c r="G10" i="25" a="1"/>
  <c r="G10" i="25" s="1"/>
  <c r="G9" i="25" a="1"/>
  <c r="G9" i="25" s="1"/>
  <c r="G8" i="25" a="1"/>
  <c r="G8" i="25" s="1"/>
  <c r="G7" i="25" a="1"/>
  <c r="G7" i="25" s="1"/>
  <c r="G6" i="25" a="1"/>
  <c r="G6" i="25" s="1"/>
  <c r="G5" i="25" a="1"/>
  <c r="G5" i="25" s="1"/>
  <c r="G4" i="25" a="1"/>
  <c r="G4" i="25" s="1"/>
  <c r="F22" i="25" a="1"/>
  <c r="F22" i="25" s="1"/>
  <c r="F21" i="25" a="1"/>
  <c r="F21" i="25" s="1"/>
  <c r="F20" i="25" a="1"/>
  <c r="F20" i="25" s="1"/>
  <c r="F19" i="25" a="1"/>
  <c r="F19" i="25" s="1"/>
  <c r="F18" i="25" a="1"/>
  <c r="F18" i="25" s="1"/>
  <c r="F17" i="25" a="1"/>
  <c r="F17" i="25" s="1"/>
  <c r="F16" i="25" a="1"/>
  <c r="F16" i="25" s="1"/>
  <c r="F15" i="25" a="1"/>
  <c r="F15" i="25" s="1"/>
  <c r="F14" i="25" a="1"/>
  <c r="F14" i="25" s="1"/>
  <c r="F13" i="25" a="1"/>
  <c r="F13" i="25" s="1"/>
  <c r="F12" i="25" a="1"/>
  <c r="F12" i="25" s="1"/>
  <c r="F11" i="25" a="1"/>
  <c r="F11" i="25" s="1"/>
  <c r="F10" i="25" a="1"/>
  <c r="F10" i="25" s="1"/>
  <c r="F9" i="25" a="1"/>
  <c r="F9" i="25" s="1"/>
  <c r="F8" i="25" a="1"/>
  <c r="F8" i="25" s="1"/>
  <c r="F7" i="25" a="1"/>
  <c r="F7" i="25" s="1"/>
  <c r="F6" i="25" a="1"/>
  <c r="F6" i="25" s="1"/>
  <c r="F5" i="25" a="1"/>
  <c r="F5" i="25" s="1"/>
  <c r="F4" i="25" a="1"/>
  <c r="F4" i="25" s="1"/>
  <c r="E22" i="25" a="1"/>
  <c r="E22" i="25" s="1"/>
  <c r="E21" i="25" a="1"/>
  <c r="E21" i="25" s="1"/>
  <c r="E20" i="25" a="1"/>
  <c r="E20" i="25" s="1"/>
  <c r="E19" i="25" a="1"/>
  <c r="E19" i="25" s="1"/>
  <c r="E18" i="25" a="1"/>
  <c r="E18" i="25" s="1"/>
  <c r="E17" i="25" a="1"/>
  <c r="E17" i="25" s="1"/>
  <c r="E16" i="25" a="1"/>
  <c r="E16" i="25" s="1"/>
  <c r="E15" i="25" a="1"/>
  <c r="E15" i="25" s="1"/>
  <c r="E14" i="25" a="1"/>
  <c r="E14" i="25" s="1"/>
  <c r="E13" i="25" a="1"/>
  <c r="E13" i="25" s="1"/>
  <c r="E12" i="25" a="1"/>
  <c r="E12" i="25" s="1"/>
  <c r="E11" i="25" a="1"/>
  <c r="E11" i="25" s="1"/>
  <c r="E10" i="25" a="1"/>
  <c r="E10" i="25" s="1"/>
  <c r="E9" i="25" a="1"/>
  <c r="E9" i="25" s="1"/>
  <c r="E8" i="25" a="1"/>
  <c r="E8" i="25" s="1"/>
  <c r="E7" i="25" a="1"/>
  <c r="E7" i="25" s="1"/>
  <c r="E6" i="25" a="1"/>
  <c r="E6" i="25" s="1"/>
  <c r="E5" i="25" a="1"/>
  <c r="E5" i="25" s="1"/>
  <c r="E4" i="25" a="1"/>
  <c r="E4" i="25" s="1"/>
  <c r="D22" i="25" a="1"/>
  <c r="D22" i="25" s="1"/>
  <c r="D21" i="25" a="1"/>
  <c r="D21" i="25" s="1"/>
  <c r="D20" i="25" a="1"/>
  <c r="D20" i="25" s="1"/>
  <c r="D19" i="25" a="1"/>
  <c r="D19" i="25" s="1"/>
  <c r="D18" i="25" a="1"/>
  <c r="D18" i="25" s="1"/>
  <c r="D17" i="25" a="1"/>
  <c r="D17" i="25" s="1"/>
  <c r="D16" i="25" a="1"/>
  <c r="D16" i="25" s="1"/>
  <c r="D15" i="25" a="1"/>
  <c r="D15" i="25" s="1"/>
  <c r="D14" i="25" a="1"/>
  <c r="D14" i="25" s="1"/>
  <c r="D13" i="25" a="1"/>
  <c r="D13" i="25" s="1"/>
  <c r="D12" i="25" a="1"/>
  <c r="D12" i="25" s="1"/>
  <c r="D11" i="25" a="1"/>
  <c r="D11" i="25" s="1"/>
  <c r="D10" i="25" a="1"/>
  <c r="D10" i="25" s="1"/>
  <c r="D9" i="25" a="1"/>
  <c r="D9" i="25" s="1"/>
  <c r="D8" i="25" a="1"/>
  <c r="D8" i="25" s="1"/>
  <c r="D7" i="25" a="1"/>
  <c r="D7" i="25" s="1"/>
  <c r="D6" i="25" a="1"/>
  <c r="D6" i="25" s="1"/>
  <c r="D5" i="25" a="1"/>
  <c r="D5" i="25" s="1"/>
  <c r="D4" i="25" a="1"/>
  <c r="D4" i="25" s="1"/>
  <c r="U19" i="25" a="1"/>
  <c r="U19" i="25" s="1"/>
  <c r="A2" i="22"/>
  <c r="O19" i="22" s="1"/>
  <c r="A2" i="16"/>
  <c r="O19" i="16" s="1"/>
  <c r="A2" i="15"/>
  <c r="O19" i="15" s="1"/>
  <c r="A2" i="12"/>
  <c r="O19" i="12" s="1"/>
  <c r="A2" i="21"/>
  <c r="O19" i="21" s="1"/>
  <c r="A2" i="20"/>
  <c r="O19" i="20" s="1"/>
  <c r="A2" i="10"/>
  <c r="O19" i="10" s="1"/>
  <c r="A2" i="17"/>
  <c r="O19" i="17" s="1"/>
  <c r="A2" i="18"/>
  <c r="O19" i="18" s="1"/>
  <c r="A2" i="19"/>
  <c r="O19" i="19" s="1"/>
  <c r="A2" i="4"/>
  <c r="O19" i="4" s="1"/>
  <c r="N18" i="19"/>
  <c r="B3" i="25"/>
  <c r="AN4" i="25" a="1"/>
  <c r="AN4" i="25" s="1"/>
  <c r="AN5" i="25" a="1"/>
  <c r="AN5" i="25" s="1"/>
  <c r="AN6" i="25" a="1"/>
  <c r="AN6" i="25" s="1"/>
  <c r="AN7" i="25" a="1"/>
  <c r="AN7" i="25" s="1"/>
  <c r="AN8" i="25" a="1"/>
  <c r="AN8" i="25" s="1"/>
  <c r="AN9" i="25" a="1"/>
  <c r="AN9" i="25" s="1"/>
  <c r="AN10" i="25" a="1"/>
  <c r="AN10" i="25" s="1"/>
  <c r="AN11" i="25" a="1"/>
  <c r="AN11" i="25" s="1"/>
  <c r="AN12" i="25" a="1"/>
  <c r="AN12" i="25" s="1"/>
  <c r="AN13" i="25" a="1"/>
  <c r="AN13" i="25" s="1"/>
  <c r="AN14" i="25" a="1"/>
  <c r="AN14" i="25" s="1"/>
  <c r="AN15" i="25" a="1"/>
  <c r="AN15" i="25" s="1"/>
  <c r="AN16" i="25" a="1"/>
  <c r="AN16" i="25" s="1"/>
  <c r="AN17" i="25" a="1"/>
  <c r="AN17" i="25" s="1"/>
  <c r="AN18" i="25" a="1"/>
  <c r="AN18" i="25" s="1"/>
  <c r="AN19" i="25" a="1"/>
  <c r="AN19" i="25" s="1"/>
  <c r="AN20" i="25" a="1"/>
  <c r="AN20" i="25" s="1"/>
  <c r="AN21" i="25" a="1"/>
  <c r="AN21" i="25" s="1"/>
  <c r="AN22" i="25" a="1"/>
  <c r="AN22" i="25" s="1"/>
  <c r="AK4" i="25" a="1"/>
  <c r="AK4" i="25" s="1"/>
  <c r="AK5" i="25" a="1"/>
  <c r="AK5" i="25" s="1"/>
  <c r="AK6" i="25" a="1"/>
  <c r="AK6" i="25" s="1"/>
  <c r="AK7" i="25" a="1"/>
  <c r="AK7" i="25" s="1"/>
  <c r="AK8" i="25" a="1"/>
  <c r="AK8" i="25" s="1"/>
  <c r="AK9" i="25" a="1"/>
  <c r="AK9" i="25" s="1"/>
  <c r="AK10" i="25" a="1"/>
  <c r="AK10" i="25" s="1"/>
  <c r="AK11" i="25" a="1"/>
  <c r="AK11" i="25" s="1"/>
  <c r="AK12" i="25" a="1"/>
  <c r="AK12" i="25" s="1"/>
  <c r="AK13" i="25" a="1"/>
  <c r="AK13" i="25" s="1"/>
  <c r="AK14" i="25" a="1"/>
  <c r="AK14" i="25" s="1"/>
  <c r="AK15" i="25" a="1"/>
  <c r="AK15" i="25" s="1"/>
  <c r="AK16" i="25" a="1"/>
  <c r="AK16" i="25" s="1"/>
  <c r="AK17" i="25" a="1"/>
  <c r="AK17" i="25" s="1"/>
  <c r="AK18" i="25" a="1"/>
  <c r="AK18" i="25" s="1"/>
  <c r="AK19" i="25" a="1"/>
  <c r="AK19" i="25" s="1"/>
  <c r="AK20" i="25" a="1"/>
  <c r="AK20" i="25" s="1"/>
  <c r="AK21" i="25" a="1"/>
  <c r="AK21" i="25" s="1"/>
  <c r="AK22" i="25" a="1"/>
  <c r="AK22" i="25" s="1"/>
  <c r="AJ4" i="25" a="1"/>
  <c r="AJ4" i="25" s="1"/>
  <c r="AJ5" i="25" a="1"/>
  <c r="AJ5" i="25" s="1"/>
  <c r="AJ6" i="25" a="1"/>
  <c r="AJ6" i="25" s="1"/>
  <c r="AJ7" i="25" a="1"/>
  <c r="AJ7" i="25" s="1"/>
  <c r="AJ8" i="25" a="1"/>
  <c r="AJ8" i="25" s="1"/>
  <c r="AJ9" i="25" a="1"/>
  <c r="AJ9" i="25" s="1"/>
  <c r="AJ10" i="25" a="1"/>
  <c r="AJ10" i="25" s="1"/>
  <c r="AJ11" i="25" a="1"/>
  <c r="AJ11" i="25" s="1"/>
  <c r="AJ12" i="25" a="1"/>
  <c r="AJ12" i="25" s="1"/>
  <c r="AJ13" i="25" a="1"/>
  <c r="AJ13" i="25" s="1"/>
  <c r="AJ14" i="25" a="1"/>
  <c r="AJ14" i="25" s="1"/>
  <c r="AJ15" i="25" a="1"/>
  <c r="AJ15" i="25" s="1"/>
  <c r="AJ16" i="25" a="1"/>
  <c r="AJ16" i="25" s="1"/>
  <c r="AJ17" i="25" a="1"/>
  <c r="AJ17" i="25" s="1"/>
  <c r="AJ18" i="25" a="1"/>
  <c r="AJ18" i="25" s="1"/>
  <c r="AJ19" i="25" a="1"/>
  <c r="AJ19" i="25" s="1"/>
  <c r="AJ20" i="25" a="1"/>
  <c r="AJ20" i="25" s="1"/>
  <c r="AJ21" i="25" a="1"/>
  <c r="AJ21" i="25" s="1"/>
  <c r="AJ22" i="25" a="1"/>
  <c r="AJ22" i="25" s="1"/>
  <c r="AI4" i="25" a="1"/>
  <c r="AI4" i="25" s="1"/>
  <c r="AI5" i="25" a="1"/>
  <c r="AI5" i="25" s="1"/>
  <c r="AI6" i="25" a="1"/>
  <c r="AI6" i="25" s="1"/>
  <c r="AI7" i="25" a="1"/>
  <c r="AI7" i="25" s="1"/>
  <c r="AI8" i="25" a="1"/>
  <c r="AI8" i="25" s="1"/>
  <c r="AI9" i="25" a="1"/>
  <c r="AI9" i="25" s="1"/>
  <c r="AI10" i="25" a="1"/>
  <c r="AI10" i="25" s="1"/>
  <c r="AI11" i="25" a="1"/>
  <c r="AI11" i="25" s="1"/>
  <c r="AI12" i="25" a="1"/>
  <c r="AI12" i="25" s="1"/>
  <c r="AI13" i="25" a="1"/>
  <c r="AI13" i="25" s="1"/>
  <c r="AI14" i="25" a="1"/>
  <c r="AI14" i="25" s="1"/>
  <c r="AI15" i="25" a="1"/>
  <c r="AI15" i="25" s="1"/>
  <c r="AI16" i="25" a="1"/>
  <c r="AI16" i="25" s="1"/>
  <c r="AI17" i="25" a="1"/>
  <c r="AI17" i="25" s="1"/>
  <c r="AI18" i="25" a="1"/>
  <c r="AI18" i="25" s="1"/>
  <c r="AI19" i="25" a="1"/>
  <c r="AI19" i="25" s="1"/>
  <c r="AI20" i="25" a="1"/>
  <c r="AI20" i="25" s="1"/>
  <c r="AI21" i="25" a="1"/>
  <c r="AI21" i="25" s="1"/>
  <c r="AI22" i="25" a="1"/>
  <c r="AI22" i="25" s="1"/>
  <c r="AH4" i="25" a="1"/>
  <c r="AH4" i="25" s="1"/>
  <c r="AH5" i="25" a="1"/>
  <c r="AH5" i="25" s="1"/>
  <c r="AH6" i="25" a="1"/>
  <c r="AH6" i="25" s="1"/>
  <c r="AH7" i="25" a="1"/>
  <c r="AH7" i="25" s="1"/>
  <c r="AH8" i="25" a="1"/>
  <c r="AH8" i="25" s="1"/>
  <c r="AH9" i="25" a="1"/>
  <c r="AH9" i="25" s="1"/>
  <c r="AH10" i="25" a="1"/>
  <c r="AH10" i="25" s="1"/>
  <c r="AH11" i="25" a="1"/>
  <c r="AH11" i="25" s="1"/>
  <c r="AH12" i="25" a="1"/>
  <c r="AH12" i="25" s="1"/>
  <c r="AH13" i="25" a="1"/>
  <c r="AH13" i="25" s="1"/>
  <c r="AH14" i="25" a="1"/>
  <c r="AH14" i="25" s="1"/>
  <c r="AH15" i="25" a="1"/>
  <c r="AH15" i="25" s="1"/>
  <c r="AH16" i="25" a="1"/>
  <c r="AH16" i="25" s="1"/>
  <c r="AH17" i="25" a="1"/>
  <c r="AH17" i="25" s="1"/>
  <c r="AH18" i="25" a="1"/>
  <c r="AH18" i="25" s="1"/>
  <c r="AH19" i="25" a="1"/>
  <c r="AH19" i="25" s="1"/>
  <c r="AH20" i="25" a="1"/>
  <c r="AH20" i="25" s="1"/>
  <c r="AH21" i="25" a="1"/>
  <c r="AH21" i="25" s="1"/>
  <c r="AH22" i="25" a="1"/>
  <c r="AH22" i="25" s="1"/>
  <c r="AG4" i="25" a="1"/>
  <c r="AG4" i="25" s="1"/>
  <c r="AG5" i="25" a="1"/>
  <c r="AG5" i="25" s="1"/>
  <c r="AG6" i="25" a="1"/>
  <c r="AG6" i="25" s="1"/>
  <c r="AG7" i="25" a="1"/>
  <c r="AG7" i="25" s="1"/>
  <c r="AG8" i="25" a="1"/>
  <c r="AG8" i="25" s="1"/>
  <c r="AG9" i="25" a="1"/>
  <c r="AG9" i="25" s="1"/>
  <c r="AG10" i="25" a="1"/>
  <c r="AG10" i="25" s="1"/>
  <c r="AG11" i="25" a="1"/>
  <c r="AG11" i="25" s="1"/>
  <c r="AG12" i="25" a="1"/>
  <c r="AG12" i="25" s="1"/>
  <c r="AG13" i="25" a="1"/>
  <c r="AG13" i="25" s="1"/>
  <c r="AG14" i="25" a="1"/>
  <c r="AG14" i="25" s="1"/>
  <c r="AG15" i="25" a="1"/>
  <c r="AG15" i="25" s="1"/>
  <c r="AG16" i="25" a="1"/>
  <c r="AG16" i="25" s="1"/>
  <c r="AG17" i="25" a="1"/>
  <c r="AG17" i="25" s="1"/>
  <c r="AG18" i="25" a="1"/>
  <c r="AG18" i="25" s="1"/>
  <c r="AG19" i="25" a="1"/>
  <c r="AG19" i="25" s="1"/>
  <c r="AG20" i="25" a="1"/>
  <c r="AG20" i="25" s="1"/>
  <c r="AG21" i="25" a="1"/>
  <c r="AG21" i="25" s="1"/>
  <c r="AG22" i="25" a="1"/>
  <c r="AG22" i="25" s="1"/>
  <c r="AF4" i="25" a="1"/>
  <c r="AF4" i="25" s="1"/>
  <c r="AF5" i="25" a="1"/>
  <c r="AF5" i="25" s="1"/>
  <c r="AF6" i="25" a="1"/>
  <c r="AF6" i="25" s="1"/>
  <c r="AF7" i="25" a="1"/>
  <c r="AF7" i="25" s="1"/>
  <c r="AF8" i="25" a="1"/>
  <c r="AF8" i="25" s="1"/>
  <c r="AF9" i="25" a="1"/>
  <c r="AF9" i="25" s="1"/>
  <c r="AF10" i="25" a="1"/>
  <c r="AF10" i="25" s="1"/>
  <c r="AF11" i="25" a="1"/>
  <c r="AF11" i="25" s="1"/>
  <c r="AF12" i="25" a="1"/>
  <c r="AF12" i="25" s="1"/>
  <c r="AF13" i="25" a="1"/>
  <c r="AF13" i="25" s="1"/>
  <c r="AF14" i="25" a="1"/>
  <c r="AF14" i="25" s="1"/>
  <c r="AF15" i="25" a="1"/>
  <c r="AF15" i="25" s="1"/>
  <c r="AF16" i="25" a="1"/>
  <c r="AF16" i="25" s="1"/>
  <c r="AF17" i="25" a="1"/>
  <c r="AF17" i="25" s="1"/>
  <c r="AF18" i="25" a="1"/>
  <c r="AF18" i="25" s="1"/>
  <c r="AF19" i="25" a="1"/>
  <c r="AF19" i="25" s="1"/>
  <c r="AF20" i="25" a="1"/>
  <c r="AF20" i="25" s="1"/>
  <c r="AF21" i="25" a="1"/>
  <c r="AF21" i="25" s="1"/>
  <c r="AF22" i="25" a="1"/>
  <c r="AF22" i="25" s="1"/>
  <c r="AE4" i="25" a="1"/>
  <c r="AE4" i="25" s="1"/>
  <c r="AE5" i="25" a="1"/>
  <c r="AE5" i="25" s="1"/>
  <c r="AE6" i="25" a="1"/>
  <c r="AE6" i="25" s="1"/>
  <c r="AE7" i="25" a="1"/>
  <c r="AE7" i="25" s="1"/>
  <c r="AE8" i="25" a="1"/>
  <c r="AE8" i="25" s="1"/>
  <c r="AE9" i="25" a="1"/>
  <c r="AE9" i="25" s="1"/>
  <c r="AE10" i="25" a="1"/>
  <c r="AE10" i="25" s="1"/>
  <c r="AE11" i="25" a="1"/>
  <c r="AE11" i="25" s="1"/>
  <c r="AE12" i="25" a="1"/>
  <c r="AE12" i="25" s="1"/>
  <c r="AE13" i="25" a="1"/>
  <c r="AE13" i="25" s="1"/>
  <c r="AE14" i="25" a="1"/>
  <c r="AE14" i="25" s="1"/>
  <c r="AE15" i="25" a="1"/>
  <c r="AE15" i="25" s="1"/>
  <c r="AE16" i="25" a="1"/>
  <c r="AE16" i="25" s="1"/>
  <c r="AE17" i="25" a="1"/>
  <c r="AE17" i="25" s="1"/>
  <c r="AE18" i="25" a="1"/>
  <c r="AE18" i="25" s="1"/>
  <c r="AE19" i="25" a="1"/>
  <c r="AE19" i="25" s="1"/>
  <c r="AE20" i="25" a="1"/>
  <c r="AE20" i="25" s="1"/>
  <c r="AE21" i="25" a="1"/>
  <c r="AE21" i="25" s="1"/>
  <c r="AE22" i="25" a="1"/>
  <c r="AE22" i="25" s="1"/>
  <c r="AD4" i="25" a="1"/>
  <c r="AD4" i="25" s="1"/>
  <c r="AD5" i="25" a="1"/>
  <c r="AD5" i="25" s="1"/>
  <c r="AD6" i="25" a="1"/>
  <c r="AD6" i="25" s="1"/>
  <c r="AD7" i="25" a="1"/>
  <c r="AD7" i="25" s="1"/>
  <c r="AD8" i="25" a="1"/>
  <c r="AD8" i="25" s="1"/>
  <c r="AD9" i="25" a="1"/>
  <c r="AD9" i="25" s="1"/>
  <c r="AD10" i="25" a="1"/>
  <c r="AD10" i="25" s="1"/>
  <c r="AD11" i="25" a="1"/>
  <c r="AD11" i="25" s="1"/>
  <c r="AD12" i="25" a="1"/>
  <c r="AD12" i="25" s="1"/>
  <c r="AD13" i="25" a="1"/>
  <c r="AD13" i="25" s="1"/>
  <c r="AD14" i="25" a="1"/>
  <c r="AD14" i="25" s="1"/>
  <c r="AD15" i="25" a="1"/>
  <c r="AD15" i="25" s="1"/>
  <c r="AD16" i="25" a="1"/>
  <c r="AD16" i="25" s="1"/>
  <c r="AD17" i="25" a="1"/>
  <c r="AD17" i="25" s="1"/>
  <c r="AD18" i="25" a="1"/>
  <c r="AD18" i="25" s="1"/>
  <c r="AD19" i="25" a="1"/>
  <c r="AD19" i="25" s="1"/>
  <c r="AD20" i="25" a="1"/>
  <c r="AD20" i="25" s="1"/>
  <c r="AD21" i="25" a="1"/>
  <c r="AD21" i="25" s="1"/>
  <c r="AD22" i="25" a="1"/>
  <c r="AD22" i="25" s="1"/>
  <c r="AC22" i="25" a="1"/>
  <c r="AC22" i="25" s="1"/>
  <c r="AC21" i="25" a="1"/>
  <c r="AC21" i="25" s="1"/>
  <c r="AC20" i="25" a="1"/>
  <c r="AC20" i="25" s="1"/>
  <c r="AC19" i="25" a="1"/>
  <c r="AC19" i="25" s="1"/>
  <c r="AC18" i="25" a="1"/>
  <c r="AC18" i="25" s="1"/>
  <c r="AC17" i="25" a="1"/>
  <c r="AC17" i="25" s="1"/>
  <c r="AC16" i="25" a="1"/>
  <c r="AC16" i="25" s="1"/>
  <c r="AC15" i="25" a="1"/>
  <c r="AC15" i="25" s="1"/>
  <c r="AC14" i="25" a="1"/>
  <c r="AC14" i="25" s="1"/>
  <c r="AC13" i="25" a="1"/>
  <c r="AC13" i="25" s="1"/>
  <c r="AC12" i="25" a="1"/>
  <c r="AC12" i="25" s="1"/>
  <c r="AC11" i="25" a="1"/>
  <c r="AC11" i="25" s="1"/>
  <c r="AC10" i="25" a="1"/>
  <c r="AC10" i="25" s="1"/>
  <c r="AC9" i="25" a="1"/>
  <c r="AC9" i="25" s="1"/>
  <c r="AC8" i="25" a="1"/>
  <c r="AC8" i="25" s="1"/>
  <c r="AC7" i="25" a="1"/>
  <c r="AC7" i="25" s="1"/>
  <c r="AC6" i="25" a="1"/>
  <c r="AC6" i="25" s="1"/>
  <c r="AC5" i="25" a="1"/>
  <c r="AC5" i="25" s="1"/>
  <c r="AC4" i="25" a="1"/>
  <c r="AC4" i="25" s="1"/>
  <c r="AB22" i="25" a="1"/>
  <c r="AB22" i="25" s="1"/>
  <c r="AB21" i="25" a="1"/>
  <c r="AB21" i="25" s="1"/>
  <c r="AB20" i="25" a="1"/>
  <c r="AB20" i="25" s="1"/>
  <c r="AB19" i="25" a="1"/>
  <c r="AB19" i="25" s="1"/>
  <c r="AB18" i="25" a="1"/>
  <c r="AB18" i="25" s="1"/>
  <c r="AB17" i="25" a="1"/>
  <c r="AB17" i="25" s="1"/>
  <c r="AB16" i="25" a="1"/>
  <c r="AB16" i="25" s="1"/>
  <c r="AB15" i="25" a="1"/>
  <c r="AB15" i="25" s="1"/>
  <c r="AB14" i="25" a="1"/>
  <c r="AB14" i="25" s="1"/>
  <c r="AB13" i="25" a="1"/>
  <c r="AB13" i="25" s="1"/>
  <c r="AB12" i="25" a="1"/>
  <c r="AB12" i="25" s="1"/>
  <c r="AB11" i="25" a="1"/>
  <c r="AB11" i="25" s="1"/>
  <c r="AB10" i="25" a="1"/>
  <c r="AB10" i="25" s="1"/>
  <c r="AB9" i="25" a="1"/>
  <c r="AB9" i="25" s="1"/>
  <c r="AB8" i="25" a="1"/>
  <c r="AB8" i="25" s="1"/>
  <c r="AB7" i="25" a="1"/>
  <c r="AB7" i="25" s="1"/>
  <c r="AB6" i="25" a="1"/>
  <c r="AB6" i="25" s="1"/>
  <c r="AB5" i="25" a="1"/>
  <c r="AB5" i="25" s="1"/>
  <c r="AB4" i="25" a="1"/>
  <c r="AB4" i="25" s="1"/>
  <c r="AA4" i="25" a="1"/>
  <c r="AA4" i="25" s="1"/>
  <c r="AA5" i="25" a="1"/>
  <c r="AA5" i="25" s="1"/>
  <c r="AA6" i="25" a="1"/>
  <c r="AA6" i="25" s="1"/>
  <c r="AA7" i="25" a="1"/>
  <c r="AA7" i="25" s="1"/>
  <c r="AA8" i="25" a="1"/>
  <c r="AA8" i="25" s="1"/>
  <c r="AA9" i="25" a="1"/>
  <c r="AA9" i="25" s="1"/>
  <c r="AA10" i="25" a="1"/>
  <c r="AA10" i="25" s="1"/>
  <c r="AA11" i="25" a="1"/>
  <c r="AA11" i="25" s="1"/>
  <c r="AA12" i="25" a="1"/>
  <c r="AA12" i="25" s="1"/>
  <c r="AA13" i="25" a="1"/>
  <c r="AA13" i="25" s="1"/>
  <c r="AA14" i="25" a="1"/>
  <c r="AA14" i="25" s="1"/>
  <c r="AA15" i="25" a="1"/>
  <c r="AA15" i="25" s="1"/>
  <c r="AA16" i="25" a="1"/>
  <c r="AA16" i="25" s="1"/>
  <c r="AA17" i="25" a="1"/>
  <c r="AA17" i="25" s="1"/>
  <c r="AA18" i="25" a="1"/>
  <c r="AA18" i="25" s="1"/>
  <c r="AA19" i="25" a="1"/>
  <c r="AA19" i="25" s="1"/>
  <c r="AA20" i="25" a="1"/>
  <c r="AA20" i="25" s="1"/>
  <c r="AA21" i="25" a="1"/>
  <c r="AA21" i="25" s="1"/>
  <c r="AA22" i="25" a="1"/>
  <c r="AA22" i="25" s="1"/>
  <c r="Z4" i="25" a="1"/>
  <c r="Z4" i="25" s="1"/>
  <c r="Z5" i="25" a="1"/>
  <c r="Z5" i="25" s="1"/>
  <c r="Z6" i="25" a="1"/>
  <c r="Z6" i="25" s="1"/>
  <c r="Z7" i="25" a="1"/>
  <c r="Z7" i="25" s="1"/>
  <c r="Z8" i="25" a="1"/>
  <c r="Z8" i="25" s="1"/>
  <c r="Z9" i="25" a="1"/>
  <c r="Z9" i="25" s="1"/>
  <c r="Z10" i="25" a="1"/>
  <c r="Z10" i="25" s="1"/>
  <c r="Z11" i="25" a="1"/>
  <c r="Z11" i="25" s="1"/>
  <c r="Z12" i="25" a="1"/>
  <c r="Z12" i="25" s="1"/>
  <c r="Z13" i="25" a="1"/>
  <c r="Z13" i="25" s="1"/>
  <c r="Z14" i="25" a="1"/>
  <c r="Z14" i="25" s="1"/>
  <c r="Z15" i="25" a="1"/>
  <c r="Z15" i="25" s="1"/>
  <c r="Z16" i="25" a="1"/>
  <c r="Z16" i="25" s="1"/>
  <c r="Z17" i="25" a="1"/>
  <c r="Z17" i="25" s="1"/>
  <c r="Z18" i="25" a="1"/>
  <c r="Z18" i="25" s="1"/>
  <c r="Z19" i="25" a="1"/>
  <c r="Z19" i="25" s="1"/>
  <c r="Z20" i="25" a="1"/>
  <c r="Z20" i="25" s="1"/>
  <c r="Z21" i="25" a="1"/>
  <c r="Z21" i="25" s="1"/>
  <c r="Z22" i="25" a="1"/>
  <c r="Z22" i="25" s="1"/>
  <c r="Y4" i="25" a="1"/>
  <c r="Y4" i="25" s="1"/>
  <c r="Y5" i="25" a="1"/>
  <c r="Y5" i="25" s="1"/>
  <c r="Y6" i="25" a="1"/>
  <c r="Y6" i="25" s="1"/>
  <c r="Y7" i="25" a="1"/>
  <c r="Y7" i="25" s="1"/>
  <c r="Y8" i="25" a="1"/>
  <c r="Y8" i="25" s="1"/>
  <c r="Y9" i="25" a="1"/>
  <c r="Y9" i="25" s="1"/>
  <c r="Y10" i="25" a="1"/>
  <c r="Y10" i="25" s="1"/>
  <c r="Y11" i="25" a="1"/>
  <c r="Y11" i="25" s="1"/>
  <c r="Y12" i="25" a="1"/>
  <c r="Y12" i="25" s="1"/>
  <c r="Y13" i="25" a="1"/>
  <c r="Y13" i="25" s="1"/>
  <c r="Y14" i="25" a="1"/>
  <c r="Y14" i="25" s="1"/>
  <c r="Y15" i="25" a="1"/>
  <c r="Y15" i="25" s="1"/>
  <c r="Y16" i="25" a="1"/>
  <c r="Y16" i="25" s="1"/>
  <c r="Y17" i="25" a="1"/>
  <c r="Y17" i="25" s="1"/>
  <c r="Y18" i="25" a="1"/>
  <c r="Y18" i="25" s="1"/>
  <c r="Y19" i="25" a="1"/>
  <c r="Y19" i="25" s="1"/>
  <c r="Y20" i="25" a="1"/>
  <c r="Y20" i="25" s="1"/>
  <c r="Y21" i="25" a="1"/>
  <c r="Y21" i="25" s="1"/>
  <c r="Y22" i="25" a="1"/>
  <c r="Y22" i="25" s="1"/>
  <c r="X4" i="25" a="1"/>
  <c r="X4" i="25" s="1"/>
  <c r="X5" i="25" a="1"/>
  <c r="X5" i="25" s="1"/>
  <c r="X6" i="25" a="1"/>
  <c r="X6" i="25" s="1"/>
  <c r="X7" i="25" a="1"/>
  <c r="X7" i="25" s="1"/>
  <c r="X8" i="25" a="1"/>
  <c r="X8" i="25" s="1"/>
  <c r="X9" i="25" a="1"/>
  <c r="X9" i="25" s="1"/>
  <c r="X10" i="25" a="1"/>
  <c r="X10" i="25" s="1"/>
  <c r="X11" i="25" a="1"/>
  <c r="X11" i="25" s="1"/>
  <c r="X12" i="25" a="1"/>
  <c r="X12" i="25" s="1"/>
  <c r="X13" i="25" a="1"/>
  <c r="X13" i="25" s="1"/>
  <c r="X14" i="25" a="1"/>
  <c r="X14" i="25" s="1"/>
  <c r="X15" i="25" a="1"/>
  <c r="X15" i="25" s="1"/>
  <c r="X16" i="25" a="1"/>
  <c r="X16" i="25" s="1"/>
  <c r="X17" i="25" a="1"/>
  <c r="X17" i="25" s="1"/>
  <c r="X18" i="25" a="1"/>
  <c r="X18" i="25" s="1"/>
  <c r="X19" i="25" a="1"/>
  <c r="X19" i="25" s="1"/>
  <c r="X20" i="25" a="1"/>
  <c r="X20" i="25" s="1"/>
  <c r="X21" i="25" a="1"/>
  <c r="X21" i="25" s="1"/>
  <c r="X22" i="25" a="1"/>
  <c r="X22" i="25" s="1"/>
  <c r="W4" i="25" a="1"/>
  <c r="W4" i="25" s="1"/>
  <c r="W5" i="25" a="1"/>
  <c r="W5" i="25" s="1"/>
  <c r="W6" i="25" a="1"/>
  <c r="W6" i="25" s="1"/>
  <c r="W7" i="25" a="1"/>
  <c r="W7" i="25" s="1"/>
  <c r="W8" i="25" a="1"/>
  <c r="W8" i="25" s="1"/>
  <c r="W9" i="25" a="1"/>
  <c r="W9" i="25" s="1"/>
  <c r="W10" i="25" a="1"/>
  <c r="W10" i="25" s="1"/>
  <c r="W11" i="25" a="1"/>
  <c r="W11" i="25" s="1"/>
  <c r="W12" i="25" a="1"/>
  <c r="W12" i="25" s="1"/>
  <c r="W13" i="25" a="1"/>
  <c r="W13" i="25" s="1"/>
  <c r="W14" i="25" a="1"/>
  <c r="W14" i="25" s="1"/>
  <c r="W15" i="25" a="1"/>
  <c r="W15" i="25" s="1"/>
  <c r="W16" i="25" a="1"/>
  <c r="W16" i="25" s="1"/>
  <c r="W17" i="25" a="1"/>
  <c r="W17" i="25" s="1"/>
  <c r="W18" i="25" a="1"/>
  <c r="W18" i="25" s="1"/>
  <c r="W19" i="25" a="1"/>
  <c r="W19" i="25" s="1"/>
  <c r="W20" i="25" a="1"/>
  <c r="W20" i="25" s="1"/>
  <c r="W21" i="25" a="1"/>
  <c r="W21" i="25" s="1"/>
  <c r="W22" i="25" a="1"/>
  <c r="W22" i="25" s="1"/>
  <c r="U4" i="25" a="1"/>
  <c r="U4" i="25" s="1"/>
  <c r="U5" i="25" a="1"/>
  <c r="U5" i="25" s="1"/>
  <c r="U6" i="25" a="1"/>
  <c r="U6" i="25" s="1"/>
  <c r="U7" i="25" a="1"/>
  <c r="U7" i="25" s="1"/>
  <c r="U8" i="25" a="1"/>
  <c r="U8" i="25" s="1"/>
  <c r="U9" i="25" a="1"/>
  <c r="U9" i="25" s="1"/>
  <c r="U10" i="25" a="1"/>
  <c r="U10" i="25" s="1"/>
  <c r="U11" i="25" a="1"/>
  <c r="U11" i="25" s="1"/>
  <c r="U12" i="25" a="1"/>
  <c r="U12" i="25" s="1"/>
  <c r="U13" i="25" a="1"/>
  <c r="U13" i="25" s="1"/>
  <c r="U14" i="25" a="1"/>
  <c r="U14" i="25" s="1"/>
  <c r="U15" i="25" a="1"/>
  <c r="U15" i="25" s="1"/>
  <c r="U16" i="25" a="1"/>
  <c r="U16" i="25" s="1"/>
  <c r="U17" i="25" a="1"/>
  <c r="U17" i="25" s="1"/>
  <c r="U18" i="25" a="1"/>
  <c r="U18" i="25" s="1"/>
  <c r="U20" i="25" a="1"/>
  <c r="U20" i="25" s="1"/>
  <c r="U21" i="25" a="1"/>
  <c r="U21" i="25" s="1"/>
  <c r="U22" i="25" a="1"/>
  <c r="U22" i="25" s="1"/>
  <c r="T4" i="25" a="1"/>
  <c r="T4" i="25" s="1"/>
  <c r="T5" i="25" a="1"/>
  <c r="T5" i="25" s="1"/>
  <c r="T6" i="25" a="1"/>
  <c r="T6" i="25" s="1"/>
  <c r="T7" i="25" a="1"/>
  <c r="T7" i="25" s="1"/>
  <c r="T8" i="25" a="1"/>
  <c r="T8" i="25" s="1"/>
  <c r="T9" i="25" a="1"/>
  <c r="T9" i="25" s="1"/>
  <c r="T10" i="25" a="1"/>
  <c r="T10" i="25" s="1"/>
  <c r="T11" i="25" a="1"/>
  <c r="T11" i="25" s="1"/>
  <c r="T12" i="25" a="1"/>
  <c r="T12" i="25" s="1"/>
  <c r="T13" i="25" a="1"/>
  <c r="T13" i="25" s="1"/>
  <c r="T14" i="25" a="1"/>
  <c r="T14" i="25" s="1"/>
  <c r="T15" i="25" a="1"/>
  <c r="T15" i="25" s="1"/>
  <c r="T16" i="25" a="1"/>
  <c r="T16" i="25" s="1"/>
  <c r="T17" i="25" a="1"/>
  <c r="T17" i="25" s="1"/>
  <c r="T18" i="25" a="1"/>
  <c r="T18" i="25" s="1"/>
  <c r="T19" i="25" a="1"/>
  <c r="T19" i="25" s="1"/>
  <c r="T20" i="25" a="1"/>
  <c r="T20" i="25" s="1"/>
  <c r="T21" i="25" a="1"/>
  <c r="T21" i="25" s="1"/>
  <c r="T22" i="25" a="1"/>
  <c r="T22" i="25" s="1"/>
  <c r="S4" i="25" a="1"/>
  <c r="S4" i="25" s="1"/>
  <c r="S5" i="25" a="1"/>
  <c r="S5" i="25" s="1"/>
  <c r="S6" i="25" a="1"/>
  <c r="S6" i="25" s="1"/>
  <c r="S7" i="25" a="1"/>
  <c r="S7" i="25" s="1"/>
  <c r="S8" i="25" a="1"/>
  <c r="S8" i="25" s="1"/>
  <c r="S9" i="25" a="1"/>
  <c r="S9" i="25" s="1"/>
  <c r="S10" i="25" a="1"/>
  <c r="S10" i="25" s="1"/>
  <c r="S11" i="25" a="1"/>
  <c r="S11" i="25" s="1"/>
  <c r="S12" i="25" a="1"/>
  <c r="S12" i="25" s="1"/>
  <c r="S13" i="25" a="1"/>
  <c r="S13" i="25" s="1"/>
  <c r="S14" i="25" a="1"/>
  <c r="S14" i="25" s="1"/>
  <c r="S15" i="25" a="1"/>
  <c r="S15" i="25" s="1"/>
  <c r="S16" i="25" a="1"/>
  <c r="S16" i="25" s="1"/>
  <c r="S17" i="25" a="1"/>
  <c r="S17" i="25" s="1"/>
  <c r="S18" i="25" a="1"/>
  <c r="S18" i="25" s="1"/>
  <c r="S19" i="25" a="1"/>
  <c r="S19" i="25" s="1"/>
  <c r="S20" i="25" a="1"/>
  <c r="S20" i="25" s="1"/>
  <c r="S21" i="25" a="1"/>
  <c r="S21" i="25" s="1"/>
  <c r="S22" i="25" a="1"/>
  <c r="S22" i="25" s="1"/>
  <c r="R4" i="25" a="1"/>
  <c r="R4" i="25" s="1"/>
  <c r="R5" i="25" a="1"/>
  <c r="R5" i="25" s="1"/>
  <c r="R6" i="25" a="1"/>
  <c r="R6" i="25" s="1"/>
  <c r="R7" i="25" a="1"/>
  <c r="R7" i="25" s="1"/>
  <c r="R8" i="25" a="1"/>
  <c r="R8" i="25" s="1"/>
  <c r="R9" i="25" a="1"/>
  <c r="R9" i="25" s="1"/>
  <c r="R10" i="25" a="1"/>
  <c r="R10" i="25" s="1"/>
  <c r="R11" i="25" a="1"/>
  <c r="R11" i="25" s="1"/>
  <c r="R12" i="25" a="1"/>
  <c r="R12" i="25" s="1"/>
  <c r="R13" i="25" a="1"/>
  <c r="R13" i="25" s="1"/>
  <c r="R14" i="25" a="1"/>
  <c r="R14" i="25" s="1"/>
  <c r="R15" i="25" a="1"/>
  <c r="R15" i="25" s="1"/>
  <c r="R16" i="25" a="1"/>
  <c r="R16" i="25" s="1"/>
  <c r="R17" i="25" a="1"/>
  <c r="R17" i="25" s="1"/>
  <c r="R18" i="25" a="1"/>
  <c r="R18" i="25" s="1"/>
  <c r="R19" i="25" a="1"/>
  <c r="R19" i="25" s="1"/>
  <c r="R20" i="25" a="1"/>
  <c r="R20" i="25" s="1"/>
  <c r="R21" i="25" a="1"/>
  <c r="R21" i="25" s="1"/>
  <c r="R22" i="25" a="1"/>
  <c r="R22" i="25" s="1"/>
  <c r="Q4" i="25" a="1"/>
  <c r="Q4" i="25" s="1"/>
  <c r="Q5" i="25" a="1"/>
  <c r="Q5" i="25" s="1"/>
  <c r="Q6" i="25" a="1"/>
  <c r="Q6" i="25" s="1"/>
  <c r="Q7" i="25" a="1"/>
  <c r="Q7" i="25" s="1"/>
  <c r="Q8" i="25" a="1"/>
  <c r="Q8" i="25" s="1"/>
  <c r="Q9" i="25" a="1"/>
  <c r="Q9" i="25" s="1"/>
  <c r="Q10" i="25" a="1"/>
  <c r="Q10" i="25" s="1"/>
  <c r="Q11" i="25" a="1"/>
  <c r="Q11" i="25" s="1"/>
  <c r="Q12" i="25" a="1"/>
  <c r="Q12" i="25" s="1"/>
  <c r="Q13" i="25" a="1"/>
  <c r="Q13" i="25" s="1"/>
  <c r="Q14" i="25" a="1"/>
  <c r="Q14" i="25" s="1"/>
  <c r="Q15" i="25" a="1"/>
  <c r="Q15" i="25" s="1"/>
  <c r="Q16" i="25" a="1"/>
  <c r="Q16" i="25" s="1"/>
  <c r="Q17" i="25" a="1"/>
  <c r="Q17" i="25" s="1"/>
  <c r="Q18" i="25" a="1"/>
  <c r="Q18" i="25" s="1"/>
  <c r="Q19" i="25" a="1"/>
  <c r="Q19" i="25" s="1"/>
  <c r="Q20" i="25" a="1"/>
  <c r="Q20" i="25" s="1"/>
  <c r="Q21" i="25" a="1"/>
  <c r="Q21" i="25" s="1"/>
  <c r="Q22" i="25" a="1"/>
  <c r="Q22" i="25" s="1"/>
  <c r="P4" i="25" a="1"/>
  <c r="P4" i="25" s="1"/>
  <c r="P5" i="25" a="1"/>
  <c r="P5" i="25" s="1"/>
  <c r="P6" i="25" a="1"/>
  <c r="P6" i="25" s="1"/>
  <c r="P7" i="25" a="1"/>
  <c r="P7" i="25" s="1"/>
  <c r="P8" i="25" a="1"/>
  <c r="P8" i="25" s="1"/>
  <c r="P9" i="25" a="1"/>
  <c r="P9" i="25" s="1"/>
  <c r="P10" i="25" a="1"/>
  <c r="P10" i="25" s="1"/>
  <c r="P11" i="25" a="1"/>
  <c r="P11" i="25" s="1"/>
  <c r="P12" i="25" a="1"/>
  <c r="P12" i="25" s="1"/>
  <c r="P13" i="25" a="1"/>
  <c r="P13" i="25" s="1"/>
  <c r="P14" i="25" a="1"/>
  <c r="P14" i="25" s="1"/>
  <c r="P15" i="25" a="1"/>
  <c r="P15" i="25" s="1"/>
  <c r="P16" i="25" a="1"/>
  <c r="P16" i="25" s="1"/>
  <c r="P17" i="25" a="1"/>
  <c r="P17" i="25" s="1"/>
  <c r="P18" i="25" a="1"/>
  <c r="P18" i="25" s="1"/>
  <c r="P19" i="25" a="1"/>
  <c r="P19" i="25" s="1"/>
  <c r="P20" i="25" a="1"/>
  <c r="P20" i="25" s="1"/>
  <c r="P21" i="25" a="1"/>
  <c r="P21" i="25" s="1"/>
  <c r="P22" i="25" a="1"/>
  <c r="P22" i="25" s="1"/>
  <c r="O4" i="25" a="1"/>
  <c r="O4" i="25" s="1"/>
  <c r="O5" i="25" a="1"/>
  <c r="O5" i="25" s="1"/>
  <c r="O6" i="25" a="1"/>
  <c r="O6" i="25" s="1"/>
  <c r="O7" i="25" a="1"/>
  <c r="O7" i="25" s="1"/>
  <c r="O8" i="25" a="1"/>
  <c r="O8" i="25" s="1"/>
  <c r="O9" i="25" a="1"/>
  <c r="O9" i="25" s="1"/>
  <c r="O10" i="25" a="1"/>
  <c r="O10" i="25" s="1"/>
  <c r="O11" i="25" a="1"/>
  <c r="O11" i="25" s="1"/>
  <c r="O12" i="25" a="1"/>
  <c r="O12" i="25" s="1"/>
  <c r="O13" i="25" a="1"/>
  <c r="O13" i="25" s="1"/>
  <c r="O14" i="25" a="1"/>
  <c r="O14" i="25" s="1"/>
  <c r="O15" i="25" a="1"/>
  <c r="O15" i="25" s="1"/>
  <c r="O16" i="25" a="1"/>
  <c r="O16" i="25" s="1"/>
  <c r="O17" i="25" a="1"/>
  <c r="O17" i="25" s="1"/>
  <c r="O18" i="25" a="1"/>
  <c r="O18" i="25" s="1"/>
  <c r="O19" i="25" a="1"/>
  <c r="O19" i="25" s="1"/>
  <c r="O20" i="25" a="1"/>
  <c r="O20" i="25" s="1"/>
  <c r="O21" i="25" a="1"/>
  <c r="O21" i="25" s="1"/>
  <c r="O22" i="25" a="1"/>
  <c r="O22" i="25" s="1"/>
  <c r="N4" i="25" a="1"/>
  <c r="N4" i="25" s="1"/>
  <c r="N5" i="25" a="1"/>
  <c r="N5" i="25" s="1"/>
  <c r="N6" i="25" a="1"/>
  <c r="N6" i="25" s="1"/>
  <c r="N7" i="25" a="1"/>
  <c r="N7" i="25" s="1"/>
  <c r="N8" i="25" a="1"/>
  <c r="N8" i="25" s="1"/>
  <c r="N9" i="25" a="1"/>
  <c r="N9" i="25" s="1"/>
  <c r="N10" i="25" a="1"/>
  <c r="N10" i="25" s="1"/>
  <c r="N11" i="25" a="1"/>
  <c r="N11" i="25" s="1"/>
  <c r="N12" i="25" a="1"/>
  <c r="N12" i="25" s="1"/>
  <c r="N13" i="25" a="1"/>
  <c r="N13" i="25" s="1"/>
  <c r="N14" i="25" a="1"/>
  <c r="N14" i="25" s="1"/>
  <c r="N15" i="25" a="1"/>
  <c r="N15" i="25" s="1"/>
  <c r="N16" i="25" a="1"/>
  <c r="N16" i="25" s="1"/>
  <c r="N17" i="25" a="1"/>
  <c r="N17" i="25" s="1"/>
  <c r="N18" i="25" a="1"/>
  <c r="N18" i="25" s="1"/>
  <c r="N19" i="25" a="1"/>
  <c r="N19" i="25" s="1"/>
  <c r="N20" i="25" a="1"/>
  <c r="N20" i="25" s="1"/>
  <c r="N21" i="25" a="1"/>
  <c r="N21" i="25" s="1"/>
  <c r="N22" i="25" a="1"/>
  <c r="N22" i="25" s="1"/>
  <c r="M4" i="25" a="1"/>
  <c r="M4" i="25" s="1"/>
  <c r="M5" i="25" a="1"/>
  <c r="M5" i="25" s="1"/>
  <c r="M6" i="25" a="1"/>
  <c r="M6" i="25" s="1"/>
  <c r="M7" i="25" a="1"/>
  <c r="M7" i="25" s="1"/>
  <c r="M8" i="25" a="1"/>
  <c r="M8" i="25" s="1"/>
  <c r="M9" i="25" a="1"/>
  <c r="M9" i="25" s="1"/>
  <c r="M10" i="25" a="1"/>
  <c r="M10" i="25" s="1"/>
  <c r="M11" i="25" a="1"/>
  <c r="M11" i="25" s="1"/>
  <c r="M12" i="25" a="1"/>
  <c r="M12" i="25" s="1"/>
  <c r="M13" i="25" a="1"/>
  <c r="M13" i="25" s="1"/>
  <c r="M14" i="25" a="1"/>
  <c r="M14" i="25" s="1"/>
  <c r="M15" i="25" a="1"/>
  <c r="M15" i="25" s="1"/>
  <c r="M16" i="25" a="1"/>
  <c r="M16" i="25" s="1"/>
  <c r="M17" i="25" a="1"/>
  <c r="M17" i="25" s="1"/>
  <c r="M18" i="25" a="1"/>
  <c r="M18" i="25" s="1"/>
  <c r="M19" i="25" a="1"/>
  <c r="M19" i="25" s="1"/>
  <c r="M20" i="25" a="1"/>
  <c r="M20" i="25" s="1"/>
  <c r="M21" i="25" a="1"/>
  <c r="M21" i="25" s="1"/>
  <c r="M22" i="25" a="1"/>
  <c r="M22" i="25" s="1"/>
  <c r="L4" i="25" a="1"/>
  <c r="L4" i="25" s="1"/>
  <c r="L5" i="25" a="1"/>
  <c r="L5" i="25" s="1"/>
  <c r="L6" i="25" a="1"/>
  <c r="L6" i="25" s="1"/>
  <c r="L7" i="25" a="1"/>
  <c r="L7" i="25" s="1"/>
  <c r="L8" i="25" a="1"/>
  <c r="L8" i="25" s="1"/>
  <c r="L9" i="25" a="1"/>
  <c r="L9" i="25" s="1"/>
  <c r="L10" i="25" a="1"/>
  <c r="L10" i="25" s="1"/>
  <c r="L11" i="25" a="1"/>
  <c r="L11" i="25" s="1"/>
  <c r="L12" i="25" a="1"/>
  <c r="L12" i="25" s="1"/>
  <c r="L13" i="25" a="1"/>
  <c r="L13" i="25" s="1"/>
  <c r="L14" i="25" a="1"/>
  <c r="L14" i="25" s="1"/>
  <c r="L15" i="25" a="1"/>
  <c r="L15" i="25" s="1"/>
  <c r="L16" i="25" a="1"/>
  <c r="L16" i="25" s="1"/>
  <c r="L17" i="25" a="1"/>
  <c r="L17" i="25" s="1"/>
  <c r="L18" i="25" a="1"/>
  <c r="L18" i="25" s="1"/>
  <c r="L19" i="25" a="1"/>
  <c r="L19" i="25" s="1"/>
  <c r="L20" i="25" a="1"/>
  <c r="L20" i="25" s="1"/>
  <c r="L21" i="25" a="1"/>
  <c r="L21" i="25" s="1"/>
  <c r="L22" i="25" a="1"/>
  <c r="L22" i="25" s="1"/>
  <c r="K4" i="25" a="1"/>
  <c r="K4" i="25" s="1"/>
  <c r="K5" i="25" a="1"/>
  <c r="K5" i="25" s="1"/>
  <c r="K6" i="25" a="1"/>
  <c r="K6" i="25" s="1"/>
  <c r="K7" i="25" a="1"/>
  <c r="K7" i="25" s="1"/>
  <c r="K8" i="25" a="1"/>
  <c r="K8" i="25" s="1"/>
  <c r="K9" i="25" a="1"/>
  <c r="K9" i="25" s="1"/>
  <c r="K10" i="25" a="1"/>
  <c r="K10" i="25" s="1"/>
  <c r="K11" i="25" a="1"/>
  <c r="K11" i="25" s="1"/>
  <c r="K12" i="25" a="1"/>
  <c r="K12" i="25" s="1"/>
  <c r="K13" i="25" a="1"/>
  <c r="K13" i="25" s="1"/>
  <c r="K14" i="25" a="1"/>
  <c r="K14" i="25" s="1"/>
  <c r="K15" i="25" a="1"/>
  <c r="K15" i="25" s="1"/>
  <c r="K16" i="25" a="1"/>
  <c r="K16" i="25" s="1"/>
  <c r="K17" i="25" a="1"/>
  <c r="K17" i="25" s="1"/>
  <c r="K18" i="25" a="1"/>
  <c r="K18" i="25" s="1"/>
  <c r="K19" i="25" a="1"/>
  <c r="K19" i="25" s="1"/>
  <c r="K20" i="25" a="1"/>
  <c r="K20" i="25" s="1"/>
  <c r="K21" i="25" a="1"/>
  <c r="K21" i="25" s="1"/>
  <c r="K22" i="25" a="1"/>
  <c r="K22" i="25" s="1"/>
  <c r="O19" i="1"/>
  <c r="M3" i="25" a="1"/>
  <c r="M3" i="25" s="1"/>
  <c r="T3" i="25" a="1"/>
  <c r="T3" i="25" s="1"/>
  <c r="P3" i="25" a="1"/>
  <c r="P3" i="25" s="1"/>
  <c r="I3" i="25" a="1"/>
  <c r="I3" i="25" s="1"/>
  <c r="K3" i="25" a="1"/>
  <c r="K3" i="25" s="1"/>
  <c r="O3" i="25" a="1"/>
  <c r="O3" i="25" s="1"/>
  <c r="H3" i="25" a="1"/>
  <c r="H3" i="25" s="1"/>
  <c r="S3" i="25" a="1"/>
  <c r="S3" i="25" s="1"/>
  <c r="Q3" i="25" a="1"/>
  <c r="Q3" i="25" s="1"/>
  <c r="R3" i="25" a="1"/>
  <c r="R3" i="25" s="1"/>
  <c r="L3" i="25" a="1"/>
  <c r="L3" i="25" s="1"/>
  <c r="C22" i="25" a="1"/>
  <c r="C22" i="25" s="1"/>
  <c r="C21" i="25" a="1"/>
  <c r="C21" i="25" s="1"/>
  <c r="C20" i="25" a="1"/>
  <c r="C20" i="25" s="1"/>
  <c r="C19" i="25" a="1"/>
  <c r="C19" i="25" s="1"/>
  <c r="C18" i="25" a="1"/>
  <c r="C18" i="25" s="1"/>
  <c r="C17" i="25" a="1"/>
  <c r="C17" i="25" s="1"/>
  <c r="C16" i="25" a="1"/>
  <c r="C16" i="25" s="1"/>
  <c r="C15" i="25" a="1"/>
  <c r="C15" i="25" s="1"/>
  <c r="C14" i="25" a="1"/>
  <c r="C14" i="25" s="1"/>
  <c r="C13" i="25" a="1"/>
  <c r="C13" i="25" s="1"/>
  <c r="C12" i="25" a="1"/>
  <c r="C12" i="25" s="1"/>
  <c r="C11" i="25" a="1"/>
  <c r="C11" i="25" s="1"/>
  <c r="C10" i="25" a="1"/>
  <c r="C10" i="25" s="1"/>
  <c r="C9" i="25" a="1"/>
  <c r="C9" i="25" s="1"/>
  <c r="C8" i="25" a="1"/>
  <c r="C8" i="25" s="1"/>
  <c r="C7" i="25" a="1"/>
  <c r="C7" i="25" s="1"/>
  <c r="C6" i="25" a="1"/>
  <c r="C6" i="25" s="1"/>
  <c r="C5" i="25" a="1"/>
  <c r="C5" i="25" s="1"/>
  <c r="C4" i="25" a="1"/>
  <c r="C4" i="25" s="1"/>
  <c r="N18" i="22"/>
  <c r="AR22" i="25" s="1"/>
  <c r="N18" i="18"/>
  <c r="O20" i="18"/>
  <c r="O21" i="18"/>
  <c r="O21" i="22"/>
  <c r="O20" i="22"/>
  <c r="N18" i="1"/>
  <c r="O21" i="21"/>
  <c r="O20" i="21"/>
  <c r="N18" i="21"/>
  <c r="S19" i="19"/>
  <c r="O21" i="20"/>
  <c r="O20" i="20"/>
  <c r="N18" i="20"/>
  <c r="R21" i="19" a="1"/>
  <c r="R21" i="19" s="1"/>
  <c r="Q20" i="19" a="1"/>
  <c r="Q20" i="19" s="1"/>
  <c r="A2" i="6"/>
  <c r="O19" i="6" s="1"/>
  <c r="O21" i="6"/>
  <c r="O20" i="6"/>
  <c r="N18" i="6"/>
  <c r="O21" i="15"/>
  <c r="O20" i="15"/>
  <c r="N18" i="15"/>
  <c r="O21" i="10"/>
  <c r="O20" i="10"/>
  <c r="N18" i="10"/>
  <c r="A2" i="7"/>
  <c r="O19" i="7" s="1"/>
  <c r="O21" i="7"/>
  <c r="O20" i="7"/>
  <c r="N18" i="7"/>
  <c r="O21" i="16"/>
  <c r="O20" i="16"/>
  <c r="N18" i="16"/>
  <c r="A2" i="8"/>
  <c r="O19" i="8" s="1"/>
  <c r="O21" i="8"/>
  <c r="O20" i="8"/>
  <c r="N18" i="8"/>
  <c r="O21" i="17"/>
  <c r="O20" i="17"/>
  <c r="N18" i="17"/>
  <c r="AR17" i="25" s="1"/>
  <c r="A2" i="11"/>
  <c r="O19" i="11" s="1"/>
  <c r="O21" i="11"/>
  <c r="O20" i="11"/>
  <c r="N18" i="11"/>
  <c r="AR11" i="25" s="1"/>
  <c r="A2" i="13"/>
  <c r="O19" i="13" s="1"/>
  <c r="O20" i="13"/>
  <c r="O21" i="13"/>
  <c r="N18" i="13"/>
  <c r="AR13" i="25" s="1"/>
  <c r="A2" i="14"/>
  <c r="O19" i="14" s="1"/>
  <c r="N18" i="14"/>
  <c r="O21" i="14"/>
  <c r="O20" i="14"/>
  <c r="O21" i="12"/>
  <c r="O20" i="12"/>
  <c r="N18" i="12"/>
  <c r="AR12" i="25" s="1"/>
  <c r="O20" i="3"/>
  <c r="O21" i="3"/>
  <c r="N18" i="3"/>
  <c r="O21" i="1"/>
  <c r="O20" i="1"/>
  <c r="N18" i="4"/>
  <c r="O21" i="4"/>
  <c r="O20" i="4"/>
  <c r="O21" i="19"/>
  <c r="O20" i="19"/>
  <c r="J7" i="2" a="1"/>
  <c r="J6" i="2" a="1"/>
  <c r="J5" i="2" a="1"/>
  <c r="J5" i="2" l="1"/>
  <c r="J6" i="2"/>
  <c r="J7" i="2"/>
  <c r="P21" i="5" a="1"/>
  <c r="P21" i="5" s="1"/>
  <c r="P20" i="5" a="1"/>
  <c r="P20" i="5" s="1"/>
  <c r="AR3" i="25"/>
  <c r="S19" i="1"/>
  <c r="AQ10" i="25"/>
  <c r="AQ14" i="25"/>
  <c r="AQ18" i="25"/>
  <c r="AQ7" i="25"/>
  <c r="AQ11" i="25"/>
  <c r="AQ15" i="25"/>
  <c r="AQ19" i="25"/>
  <c r="AQ4" i="25"/>
  <c r="AQ12" i="25"/>
  <c r="AQ20" i="25"/>
  <c r="AQ8" i="25"/>
  <c r="AQ16" i="25"/>
  <c r="AQ5" i="25"/>
  <c r="AQ9" i="25"/>
  <c r="AQ13" i="25"/>
  <c r="AQ17" i="25"/>
  <c r="AQ21" i="25"/>
  <c r="H29" i="21" a="1"/>
  <c r="H29" i="21" s="1"/>
  <c r="AR21" i="25"/>
  <c r="H4" i="20" a="1"/>
  <c r="H4" i="20" s="1"/>
  <c r="AR20" i="25"/>
  <c r="H25" i="19" a="1"/>
  <c r="H25" i="19" s="1"/>
  <c r="AR19" i="25"/>
  <c r="H37" i="18" a="1"/>
  <c r="H37" i="18" s="1"/>
  <c r="AR18" i="25"/>
  <c r="H33" i="16" a="1"/>
  <c r="H33" i="16" s="1"/>
  <c r="AR16" i="25"/>
  <c r="H37" i="15" a="1"/>
  <c r="H37" i="15" s="1"/>
  <c r="AR15" i="25"/>
  <c r="H23" i="14" a="1"/>
  <c r="H23" i="14" s="1"/>
  <c r="J23" i="14" s="1"/>
  <c r="AR14" i="25"/>
  <c r="H32" i="10" a="1"/>
  <c r="H32" i="10" s="1"/>
  <c r="AR10" i="25"/>
  <c r="H10" i="8" a="1"/>
  <c r="H10" i="8" s="1"/>
  <c r="AR9" i="25"/>
  <c r="H29" i="7" a="1"/>
  <c r="H29" i="7" s="1"/>
  <c r="J29" i="7" s="1"/>
  <c r="AR8" i="25"/>
  <c r="H6" i="6" a="1"/>
  <c r="H6" i="6" s="1"/>
  <c r="I6" i="6" s="1"/>
  <c r="AR7" i="25"/>
  <c r="H25" i="4" a="1"/>
  <c r="H25" i="4" s="1"/>
  <c r="J25" i="4" s="1"/>
  <c r="AR5" i="25"/>
  <c r="AS4" i="25"/>
  <c r="AR4" i="25"/>
  <c r="AP4" i="25"/>
  <c r="AO4" i="25"/>
  <c r="AP5" i="25"/>
  <c r="AO5" i="25"/>
  <c r="AQ6" i="25"/>
  <c r="AP6" i="25"/>
  <c r="AO6" i="25"/>
  <c r="AP7" i="25"/>
  <c r="AO7" i="25"/>
  <c r="AP8" i="25"/>
  <c r="AO8" i="25"/>
  <c r="AP9" i="25"/>
  <c r="AO9" i="25"/>
  <c r="AP10" i="25"/>
  <c r="AO10" i="25"/>
  <c r="AP11" i="25"/>
  <c r="AO11" i="25"/>
  <c r="AP12" i="25"/>
  <c r="AO12" i="25"/>
  <c r="AP13" i="25"/>
  <c r="AO13" i="25"/>
  <c r="AP14" i="25"/>
  <c r="AO14" i="25"/>
  <c r="AP15" i="25"/>
  <c r="AO15" i="25"/>
  <c r="AP16" i="25"/>
  <c r="AO16" i="25"/>
  <c r="AP17" i="25"/>
  <c r="AO17" i="25"/>
  <c r="AP18" i="25"/>
  <c r="AO18" i="25"/>
  <c r="AP19" i="25"/>
  <c r="AO19" i="25"/>
  <c r="AP20" i="25"/>
  <c r="AO20" i="25"/>
  <c r="AP21" i="25"/>
  <c r="AO21" i="25"/>
  <c r="AQ22" i="25"/>
  <c r="AP22" i="25"/>
  <c r="AO22" i="25"/>
  <c r="H3" i="1" a="1"/>
  <c r="H3" i="1" s="1"/>
  <c r="C3" i="25" a="1"/>
  <c r="C3" i="25" s="1"/>
  <c r="Q19" i="1" a="1"/>
  <c r="Q19" i="1" s="1"/>
  <c r="H2" i="1" a="1"/>
  <c r="H2" i="1" s="1"/>
  <c r="I2" i="1" s="1" a="1"/>
  <c r="I2" i="1" s="1"/>
  <c r="AN3" i="25" a="1"/>
  <c r="AN3" i="25" s="1"/>
  <c r="AM3" i="25" a="1"/>
  <c r="AM3" i="25" s="1"/>
  <c r="V3" i="25" a="1"/>
  <c r="V3" i="25" s="1"/>
  <c r="J3" i="25" a="1"/>
  <c r="J3" i="25" s="1"/>
  <c r="Q19" i="19" a="1"/>
  <c r="Q19" i="19" s="1"/>
  <c r="P19" i="19" a="1"/>
  <c r="P19" i="19" s="1"/>
  <c r="T21" i="19"/>
  <c r="R19" i="19" a="1"/>
  <c r="R19" i="19" s="1"/>
  <c r="P21" i="19" a="1"/>
  <c r="P21" i="19" s="1"/>
  <c r="T20" i="19"/>
  <c r="S21" i="19"/>
  <c r="U21" i="19" s="1"/>
  <c r="R20" i="19" a="1"/>
  <c r="R20" i="19" s="1"/>
  <c r="S20" i="19"/>
  <c r="P20" i="19" a="1"/>
  <c r="P20" i="19" s="1"/>
  <c r="Q21" i="19" a="1"/>
  <c r="Q21" i="19" s="1"/>
  <c r="T19" i="19"/>
  <c r="H34" i="13" a="1"/>
  <c r="H34" i="13" s="1"/>
  <c r="J34" i="13" s="1"/>
  <c r="H18" i="13" a="1"/>
  <c r="H18" i="13" s="1"/>
  <c r="I18" i="13" s="1"/>
  <c r="H2" i="13" a="1"/>
  <c r="H2" i="13" s="1"/>
  <c r="H25" i="13" a="1"/>
  <c r="H25" i="13" s="1"/>
  <c r="H9" i="13" a="1"/>
  <c r="H9" i="13" s="1"/>
  <c r="J9" i="13" s="1"/>
  <c r="H28" i="13" a="1"/>
  <c r="H28" i="13" s="1"/>
  <c r="J28" i="13" s="1"/>
  <c r="H12" i="13" a="1"/>
  <c r="H12" i="13" s="1"/>
  <c r="H30" i="13" a="1"/>
  <c r="H30" i="13" s="1"/>
  <c r="H14" i="13" a="1"/>
  <c r="H14" i="13" s="1"/>
  <c r="H37" i="13" a="1"/>
  <c r="H37" i="13" s="1"/>
  <c r="J37" i="13" s="1"/>
  <c r="H21" i="13" a="1"/>
  <c r="H21" i="13" s="1"/>
  <c r="H5" i="13" a="1"/>
  <c r="H5" i="13" s="1"/>
  <c r="H24" i="13" a="1"/>
  <c r="H24" i="13" s="1"/>
  <c r="H8" i="13" a="1"/>
  <c r="H8" i="13" s="1"/>
  <c r="H3" i="13" a="1"/>
  <c r="H3" i="13" s="1"/>
  <c r="J3" i="13" s="1"/>
  <c r="H26" i="13" a="1"/>
  <c r="H26" i="13" s="1"/>
  <c r="H10" i="13" a="1"/>
  <c r="H10" i="13" s="1"/>
  <c r="I10" i="13" s="1"/>
  <c r="H33" i="13" a="1"/>
  <c r="H33" i="13" s="1"/>
  <c r="J33" i="13" s="1"/>
  <c r="H17" i="13" a="1"/>
  <c r="H17" i="13" s="1"/>
  <c r="H36" i="13" a="1"/>
  <c r="H36" i="13" s="1"/>
  <c r="I36" i="13" s="1"/>
  <c r="H20" i="13" a="1"/>
  <c r="H20" i="13" s="1"/>
  <c r="H4" i="13" a="1"/>
  <c r="H4" i="13" s="1"/>
  <c r="I4" i="13" s="1"/>
  <c r="H19" i="13" a="1"/>
  <c r="H19" i="13" s="1"/>
  <c r="H38" i="13" a="1"/>
  <c r="H38" i="13" s="1"/>
  <c r="I38" i="13" s="1"/>
  <c r="H22" i="13" a="1"/>
  <c r="H22" i="13" s="1"/>
  <c r="J22" i="13" s="1"/>
  <c r="H6" i="13" a="1"/>
  <c r="H6" i="13" s="1"/>
  <c r="H29" i="13" a="1"/>
  <c r="H29" i="13" s="1"/>
  <c r="H13" i="13" a="1"/>
  <c r="H13" i="13" s="1"/>
  <c r="I13" i="13" s="1"/>
  <c r="H32" i="13" a="1"/>
  <c r="H32" i="13" s="1"/>
  <c r="J32" i="13" s="1"/>
  <c r="H16" i="13" a="1"/>
  <c r="H16" i="13" s="1"/>
  <c r="H35" i="13" a="1"/>
  <c r="H35" i="13" s="1"/>
  <c r="H39" i="11" a="1"/>
  <c r="H39" i="11" s="1"/>
  <c r="H15" i="11" a="1"/>
  <c r="H15" i="11" s="1"/>
  <c r="H31" i="11" a="1"/>
  <c r="H31" i="11" s="1"/>
  <c r="J31" i="11" s="1"/>
  <c r="H3" i="17" a="1"/>
  <c r="H3" i="17" s="1"/>
  <c r="H11" i="17" a="1"/>
  <c r="H11" i="17" s="1"/>
  <c r="H35" i="17" a="1"/>
  <c r="H35" i="17" s="1"/>
  <c r="H9" i="12" a="1"/>
  <c r="H9" i="12" s="1"/>
  <c r="I9" i="12" s="1"/>
  <c r="H25" i="12" a="1"/>
  <c r="H25" i="12" s="1"/>
  <c r="I25" i="12" s="1"/>
  <c r="H24" i="12" a="1"/>
  <c r="H24" i="12" s="1"/>
  <c r="I24" i="12" s="1"/>
  <c r="H8" i="12" a="1"/>
  <c r="H8" i="12" s="1"/>
  <c r="H31" i="12" a="1"/>
  <c r="H31" i="12" s="1"/>
  <c r="H15" i="12" a="1"/>
  <c r="H15" i="12" s="1"/>
  <c r="H38" i="12" a="1"/>
  <c r="H38" i="12" s="1"/>
  <c r="H22" i="12" a="1"/>
  <c r="H22" i="12" s="1"/>
  <c r="I22" i="12" s="1"/>
  <c r="H6" i="12" a="1"/>
  <c r="H6" i="12" s="1"/>
  <c r="J6" i="12" s="1"/>
  <c r="J7" i="12" s="1"/>
  <c r="H32" i="12" a="1"/>
  <c r="H32" i="12" s="1"/>
  <c r="J32" i="12" s="1"/>
  <c r="H16" i="12" a="1"/>
  <c r="H16" i="12" s="1"/>
  <c r="J16" i="12" s="1"/>
  <c r="H39" i="12" a="1"/>
  <c r="H39" i="12" s="1"/>
  <c r="J39" i="12" s="1"/>
  <c r="H23" i="12" a="1"/>
  <c r="H23" i="12" s="1"/>
  <c r="J23" i="12" s="1"/>
  <c r="H7" i="12" a="1"/>
  <c r="H7" i="12" s="1"/>
  <c r="I7" i="12" s="1"/>
  <c r="H30" i="12" a="1"/>
  <c r="H30" i="12" s="1"/>
  <c r="J30" i="12" s="1"/>
  <c r="H14" i="12" a="1"/>
  <c r="H14" i="12" s="1"/>
  <c r="H38" i="3" a="1"/>
  <c r="H38" i="3" s="1"/>
  <c r="H30" i="3" a="1"/>
  <c r="H30" i="3" s="1"/>
  <c r="I30" i="3" s="1"/>
  <c r="H22" i="3" a="1"/>
  <c r="H22" i="3" s="1"/>
  <c r="H14" i="3" a="1"/>
  <c r="H14" i="3" s="1"/>
  <c r="H6" i="3" a="1"/>
  <c r="H6" i="3" s="1"/>
  <c r="H36" i="3" a="1"/>
  <c r="H36" i="3" s="1"/>
  <c r="J36" i="3" s="1"/>
  <c r="H28" i="3" a="1"/>
  <c r="H28" i="3" s="1"/>
  <c r="I28" i="3" s="1"/>
  <c r="H20" i="3" a="1"/>
  <c r="H20" i="3" s="1"/>
  <c r="H12" i="3" a="1"/>
  <c r="H12" i="3" s="1"/>
  <c r="H4" i="3" a="1"/>
  <c r="H4" i="3" s="1"/>
  <c r="H34" i="3" a="1"/>
  <c r="H34" i="3" s="1"/>
  <c r="H26" i="3" a="1"/>
  <c r="H26" i="3" s="1"/>
  <c r="H18" i="3" a="1"/>
  <c r="H18" i="3" s="1"/>
  <c r="J18" i="3" s="1"/>
  <c r="H10" i="3" a="1"/>
  <c r="H10" i="3" s="1"/>
  <c r="I10" i="3" s="1"/>
  <c r="H2" i="3" a="1"/>
  <c r="H2" i="3" s="1"/>
  <c r="H32" i="3" a="1"/>
  <c r="H32" i="3" s="1"/>
  <c r="I32" i="3" s="1"/>
  <c r="H24" i="3" a="1"/>
  <c r="H24" i="3" s="1"/>
  <c r="H16" i="3" a="1"/>
  <c r="H16" i="3" s="1"/>
  <c r="I16" i="3" s="1"/>
  <c r="H8" i="3" a="1"/>
  <c r="H8" i="3" s="1"/>
  <c r="H36" i="20" a="1"/>
  <c r="H36" i="20" s="1"/>
  <c r="H31" i="13" a="1"/>
  <c r="H31" i="13" s="1"/>
  <c r="I31" i="13" s="1"/>
  <c r="H5" i="12" a="1"/>
  <c r="H5" i="12" s="1"/>
  <c r="H17" i="10" a="1"/>
  <c r="H17" i="10" s="1"/>
  <c r="H33" i="7" a="1"/>
  <c r="H33" i="7" s="1"/>
  <c r="H14" i="7" a="1"/>
  <c r="H14" i="7" s="1"/>
  <c r="I14" i="7" s="1"/>
  <c r="H32" i="6" a="1"/>
  <c r="H32" i="6" s="1"/>
  <c r="I32" i="6" s="1"/>
  <c r="H16" i="6" a="1"/>
  <c r="H16" i="6" s="1"/>
  <c r="J16" i="6" s="1"/>
  <c r="H21" i="4" a="1"/>
  <c r="H21" i="4" s="1"/>
  <c r="I21" i="4" s="1"/>
  <c r="H37" i="4" a="1"/>
  <c r="H37" i="4" s="1"/>
  <c r="H12" i="11" a="1"/>
  <c r="H12" i="11" s="1"/>
  <c r="H28" i="11" a="1"/>
  <c r="H28" i="11" s="1"/>
  <c r="I28" i="11" s="1"/>
  <c r="H9" i="11" a="1"/>
  <c r="H9" i="11" s="1"/>
  <c r="J9" i="11" s="1"/>
  <c r="H25" i="11" a="1"/>
  <c r="H25" i="11" s="1"/>
  <c r="H2" i="11" a="1"/>
  <c r="H2" i="11" s="1"/>
  <c r="H18" i="11" a="1"/>
  <c r="H18" i="11" s="1"/>
  <c r="I18" i="11" s="1"/>
  <c r="H34" i="11" a="1"/>
  <c r="H34" i="11" s="1"/>
  <c r="H38" i="7" a="1"/>
  <c r="H38" i="7" s="1"/>
  <c r="I38" i="7" s="1"/>
  <c r="H36" i="7" a="1"/>
  <c r="H36" i="7" s="1"/>
  <c r="J36" i="7" s="1"/>
  <c r="H30" i="19" a="1"/>
  <c r="H30" i="19" s="1"/>
  <c r="H34" i="19" a="1"/>
  <c r="H34" i="19" s="1"/>
  <c r="H38" i="19" a="1"/>
  <c r="H38" i="19" s="1"/>
  <c r="H35" i="19" a="1"/>
  <c r="H35" i="19" s="1"/>
  <c r="H12" i="19" a="1"/>
  <c r="H12" i="19" s="1"/>
  <c r="H28" i="19" a="1"/>
  <c r="H28" i="19" s="1"/>
  <c r="H9" i="19" a="1"/>
  <c r="H9" i="19" s="1"/>
  <c r="H32" i="18" a="1"/>
  <c r="H32" i="18" s="1"/>
  <c r="H33" i="18" a="1"/>
  <c r="H33" i="18" s="1"/>
  <c r="H28" i="18" a="1"/>
  <c r="H28" i="18" s="1"/>
  <c r="H10" i="18" a="1"/>
  <c r="H10" i="18" s="1"/>
  <c r="H26" i="18" a="1"/>
  <c r="H26" i="18" s="1"/>
  <c r="H3" i="18" a="1"/>
  <c r="H3" i="18" s="1"/>
  <c r="H19" i="18" a="1"/>
  <c r="H19" i="18" s="1"/>
  <c r="H35" i="18" a="1"/>
  <c r="H35" i="18" s="1"/>
  <c r="H20" i="20" a="1"/>
  <c r="H20" i="20" s="1"/>
  <c r="H37" i="14" a="1"/>
  <c r="H37" i="14" s="1"/>
  <c r="H33" i="12" a="1"/>
  <c r="H33" i="12" s="1"/>
  <c r="J33" i="12" s="1"/>
  <c r="H29" i="10" a="1"/>
  <c r="H29" i="10" s="1"/>
  <c r="I29" i="10" s="1"/>
  <c r="H3" i="8" a="1"/>
  <c r="H3" i="8" s="1"/>
  <c r="H13" i="7" a="1"/>
  <c r="H13" i="7" s="1"/>
  <c r="J13" i="7" s="1"/>
  <c r="H35" i="6" a="1"/>
  <c r="H35" i="6" s="1"/>
  <c r="H19" i="6" a="1"/>
  <c r="H19" i="6" s="1"/>
  <c r="I19" i="6" s="1"/>
  <c r="H3" i="6" a="1"/>
  <c r="H3" i="6" s="1"/>
  <c r="I3" i="6" s="1"/>
  <c r="H11" i="4" a="1"/>
  <c r="H11" i="4" s="1"/>
  <c r="H27" i="4" a="1"/>
  <c r="H27" i="4" s="1"/>
  <c r="H3" i="3" a="1"/>
  <c r="H3" i="3" s="1"/>
  <c r="H11" i="3" a="1"/>
  <c r="H11" i="3" s="1"/>
  <c r="H19" i="3" a="1"/>
  <c r="H19" i="3" s="1"/>
  <c r="I19" i="3" s="1"/>
  <c r="H27" i="3" a="1"/>
  <c r="H27" i="3" s="1"/>
  <c r="I27" i="3" s="1"/>
  <c r="H35" i="3" a="1"/>
  <c r="H35" i="3" s="1"/>
  <c r="I35" i="3" s="1"/>
  <c r="I36" i="3" s="1"/>
  <c r="H14" i="17" a="1"/>
  <c r="H14" i="17" s="1"/>
  <c r="H7" i="17" a="1"/>
  <c r="H7" i="17" s="1"/>
  <c r="H39" i="17" a="1"/>
  <c r="H39" i="17" s="1"/>
  <c r="H26" i="17" a="1"/>
  <c r="H26" i="17" s="1"/>
  <c r="H12" i="17" a="1"/>
  <c r="H12" i="17" s="1"/>
  <c r="H28" i="17" a="1"/>
  <c r="H28" i="17" s="1"/>
  <c r="H9" i="17" a="1"/>
  <c r="H9" i="17" s="1"/>
  <c r="H25" i="17" a="1"/>
  <c r="H25" i="17" s="1"/>
  <c r="H14" i="10" a="1"/>
  <c r="H14" i="10" s="1"/>
  <c r="J14" i="10" s="1"/>
  <c r="H30" i="10" a="1"/>
  <c r="H30" i="10" s="1"/>
  <c r="J30" i="10" s="1"/>
  <c r="H7" i="10" a="1"/>
  <c r="H7" i="10" s="1"/>
  <c r="J7" i="10" s="1"/>
  <c r="H23" i="10" a="1"/>
  <c r="H23" i="10" s="1"/>
  <c r="H39" i="10" a="1"/>
  <c r="H39" i="10" s="1"/>
  <c r="I39" i="10" s="1"/>
  <c r="H16" i="10" a="1"/>
  <c r="H16" i="10" s="1"/>
  <c r="J16" i="10" s="1"/>
  <c r="H24" i="20" a="1"/>
  <c r="H24" i="20" s="1"/>
  <c r="H32" i="20" a="1"/>
  <c r="H32" i="20" s="1"/>
  <c r="H17" i="20" a="1"/>
  <c r="H17" i="20" s="1"/>
  <c r="H33" i="20" a="1"/>
  <c r="H33" i="20" s="1"/>
  <c r="H10" i="20" a="1"/>
  <c r="H10" i="20" s="1"/>
  <c r="H26" i="20" a="1"/>
  <c r="H26" i="20" s="1"/>
  <c r="H3" i="20" a="1"/>
  <c r="H3" i="20" s="1"/>
  <c r="H19" i="20" a="1"/>
  <c r="H19" i="20" s="1"/>
  <c r="H35" i="20" a="1"/>
  <c r="H35" i="20" s="1"/>
  <c r="H18" i="21" a="1"/>
  <c r="H18" i="21" s="1"/>
  <c r="H38" i="21" a="1"/>
  <c r="H38" i="21" s="1"/>
  <c r="H7" i="21" a="1"/>
  <c r="H7" i="21" s="1"/>
  <c r="H23" i="21" a="1"/>
  <c r="H23" i="21" s="1"/>
  <c r="H39" i="21" a="1"/>
  <c r="H39" i="21" s="1"/>
  <c r="H16" i="21" a="1"/>
  <c r="H16" i="21" s="1"/>
  <c r="H32" i="21" a="1"/>
  <c r="H32" i="21" s="1"/>
  <c r="H13" i="21" a="1"/>
  <c r="H13" i="21" s="1"/>
  <c r="H29" i="14" a="1"/>
  <c r="H29" i="14" s="1"/>
  <c r="H29" i="12" a="1"/>
  <c r="H29" i="12" s="1"/>
  <c r="H3" i="11" a="1"/>
  <c r="H3" i="11" s="1"/>
  <c r="I3" i="11" s="1"/>
  <c r="H38" i="6" a="1"/>
  <c r="H38" i="6" s="1"/>
  <c r="I38" i="6" s="1"/>
  <c r="H18" i="12" a="1"/>
  <c r="H18" i="12" s="1"/>
  <c r="H11" i="12" a="1"/>
  <c r="H11" i="12" s="1"/>
  <c r="H4" i="12" a="1"/>
  <c r="H4" i="12" s="1"/>
  <c r="H36" i="12" a="1"/>
  <c r="H36" i="12" s="1"/>
  <c r="H20" i="8" a="1"/>
  <c r="H20" i="8" s="1"/>
  <c r="J20" i="8" s="1"/>
  <c r="H17" i="8" a="1"/>
  <c r="H17" i="8" s="1"/>
  <c r="J17" i="8" s="1"/>
  <c r="H2" i="15" a="1"/>
  <c r="H2" i="15" s="1"/>
  <c r="H27" i="15" a="1"/>
  <c r="H27" i="15" s="1"/>
  <c r="H8" i="15" a="1"/>
  <c r="H8" i="15" s="1"/>
  <c r="H5" i="15" a="1"/>
  <c r="H5" i="15" s="1"/>
  <c r="H32" i="14" a="1"/>
  <c r="H32" i="14" s="1"/>
  <c r="J32" i="14" s="1"/>
  <c r="H20" i="14" a="1"/>
  <c r="H20" i="14" s="1"/>
  <c r="J20" i="14" s="1"/>
  <c r="H26" i="14" a="1"/>
  <c r="H26" i="14" s="1"/>
  <c r="H17" i="6" a="1"/>
  <c r="H17" i="6" s="1"/>
  <c r="H33" i="6" a="1"/>
  <c r="H33" i="6" s="1"/>
  <c r="I33" i="6" s="1"/>
  <c r="H5" i="6" a="1"/>
  <c r="H5" i="6" s="1"/>
  <c r="J5" i="6" s="1"/>
  <c r="J6" i="6" s="1"/>
  <c r="H21" i="6" a="1"/>
  <c r="H21" i="6" s="1"/>
  <c r="H37" i="6" a="1"/>
  <c r="H37" i="6" s="1"/>
  <c r="I37" i="6" s="1"/>
  <c r="H2" i="6" a="1"/>
  <c r="H2" i="6" s="1"/>
  <c r="H18" i="6" a="1"/>
  <c r="H18" i="6" s="1"/>
  <c r="H34" i="6" a="1"/>
  <c r="H34" i="6" s="1"/>
  <c r="I34" i="6" s="1"/>
  <c r="H36" i="6" a="1"/>
  <c r="H36" i="6" s="1"/>
  <c r="I36" i="6" s="1"/>
  <c r="H9" i="6" a="1"/>
  <c r="H9" i="6" s="1"/>
  <c r="H25" i="6" a="1"/>
  <c r="H25" i="6" s="1"/>
  <c r="I25" i="6" s="1"/>
  <c r="H13" i="6" a="1"/>
  <c r="H13" i="6" s="1"/>
  <c r="I13" i="6" s="1"/>
  <c r="H29" i="6" a="1"/>
  <c r="H29" i="6" s="1"/>
  <c r="J29" i="6" s="1"/>
  <c r="H10" i="6" a="1"/>
  <c r="H10" i="6" s="1"/>
  <c r="I10" i="6" s="1"/>
  <c r="H26" i="6" a="1"/>
  <c r="H26" i="6" s="1"/>
  <c r="I26" i="6" s="1"/>
  <c r="H33" i="15" a="1"/>
  <c r="H33" i="15" s="1"/>
  <c r="H17" i="15" a="1"/>
  <c r="H17" i="15" s="1"/>
  <c r="H36" i="15" a="1"/>
  <c r="H36" i="15" s="1"/>
  <c r="H20" i="15" a="1"/>
  <c r="H20" i="15" s="1"/>
  <c r="H4" i="15" a="1"/>
  <c r="H4" i="15" s="1"/>
  <c r="H14" i="15" a="1"/>
  <c r="H14" i="15" s="1"/>
  <c r="H19" i="15" a="1"/>
  <c r="H19" i="15" s="1"/>
  <c r="H26" i="15" a="1"/>
  <c r="H26" i="15" s="1"/>
  <c r="H15" i="15" a="1"/>
  <c r="H15" i="15" s="1"/>
  <c r="H25" i="15" a="1"/>
  <c r="H25" i="15" s="1"/>
  <c r="H9" i="15" a="1"/>
  <c r="H9" i="15" s="1"/>
  <c r="H28" i="15" a="1"/>
  <c r="H28" i="15" s="1"/>
  <c r="H12" i="15" a="1"/>
  <c r="H12" i="15" s="1"/>
  <c r="H30" i="15" a="1"/>
  <c r="H30" i="15" s="1"/>
  <c r="H35" i="15" a="1"/>
  <c r="H35" i="15" s="1"/>
  <c r="H3" i="15" a="1"/>
  <c r="H3" i="15" s="1"/>
  <c r="H10" i="15" a="1"/>
  <c r="H10" i="15" s="1"/>
  <c r="H21" i="14" a="1"/>
  <c r="H21" i="14" s="1"/>
  <c r="H27" i="14" a="1"/>
  <c r="H27" i="14" s="1"/>
  <c r="J27" i="14" s="1"/>
  <c r="H11" i="14" a="1"/>
  <c r="H11" i="14" s="1"/>
  <c r="I11" i="14" s="1"/>
  <c r="H30" i="14" a="1"/>
  <c r="H30" i="14" s="1"/>
  <c r="I30" i="14" s="1"/>
  <c r="H14" i="14" a="1"/>
  <c r="H14" i="14" s="1"/>
  <c r="I14" i="14" s="1"/>
  <c r="H28" i="14" a="1"/>
  <c r="H28" i="14" s="1"/>
  <c r="I28" i="14" s="1"/>
  <c r="H33" i="14" a="1"/>
  <c r="H33" i="14" s="1"/>
  <c r="J33" i="14" s="1"/>
  <c r="H3" i="14" a="1"/>
  <c r="H3" i="14" s="1"/>
  <c r="J3" i="14" s="1"/>
  <c r="H8" i="14" a="1"/>
  <c r="H8" i="14" s="1"/>
  <c r="H39" i="14" a="1"/>
  <c r="H39" i="14" s="1"/>
  <c r="H35" i="14" a="1"/>
  <c r="H35" i="14" s="1"/>
  <c r="H19" i="14" a="1"/>
  <c r="H19" i="14" s="1"/>
  <c r="H38" i="14" a="1"/>
  <c r="H38" i="14" s="1"/>
  <c r="J38" i="14" s="1"/>
  <c r="H22" i="14" a="1"/>
  <c r="H22" i="14" s="1"/>
  <c r="I22" i="14" s="1"/>
  <c r="I23" i="14" s="1"/>
  <c r="H6" i="14" a="1"/>
  <c r="H6" i="14" s="1"/>
  <c r="I6" i="14" s="1"/>
  <c r="H12" i="14" a="1"/>
  <c r="H12" i="14" s="1"/>
  <c r="H17" i="14" a="1"/>
  <c r="H17" i="14" s="1"/>
  <c r="J17" i="14" s="1"/>
  <c r="H24" i="14" a="1"/>
  <c r="H24" i="14" s="1"/>
  <c r="H31" i="7" a="1"/>
  <c r="H31" i="7" s="1"/>
  <c r="H11" i="7" a="1"/>
  <c r="H11" i="7" s="1"/>
  <c r="H27" i="7" a="1"/>
  <c r="H27" i="7" s="1"/>
  <c r="H15" i="7" a="1"/>
  <c r="H15" i="7" s="1"/>
  <c r="I15" i="7" s="1"/>
  <c r="H35" i="7" a="1"/>
  <c r="H35" i="7" s="1"/>
  <c r="J35" i="7" s="1"/>
  <c r="H12" i="7" a="1"/>
  <c r="H12" i="7" s="1"/>
  <c r="H3" i="7" a="1"/>
  <c r="H3" i="7" s="1"/>
  <c r="I3" i="7" s="1"/>
  <c r="H19" i="7" a="1"/>
  <c r="H19" i="7" s="1"/>
  <c r="J19" i="7" s="1"/>
  <c r="H7" i="7" a="1"/>
  <c r="H7" i="7" s="1"/>
  <c r="I7" i="7" s="1"/>
  <c r="H23" i="7" a="1"/>
  <c r="H23" i="7" s="1"/>
  <c r="J23" i="7" s="1"/>
  <c r="H4" i="7" a="1"/>
  <c r="H4" i="7" s="1"/>
  <c r="I4" i="7" s="1"/>
  <c r="H20" i="7" a="1"/>
  <c r="H20" i="7" s="1"/>
  <c r="H21" i="10" a="1"/>
  <c r="H21" i="10" s="1"/>
  <c r="H25" i="10" a="1"/>
  <c r="H25" i="10" s="1"/>
  <c r="J25" i="10" s="1"/>
  <c r="H37" i="10" a="1"/>
  <c r="H37" i="10" s="1"/>
  <c r="J37" i="10" s="1"/>
  <c r="H5" i="10" a="1"/>
  <c r="H5" i="10" s="1"/>
  <c r="J5" i="10" s="1"/>
  <c r="H14" i="21" a="1"/>
  <c r="H14" i="21" s="1"/>
  <c r="H30" i="21" a="1"/>
  <c r="H30" i="21" s="1"/>
  <c r="H13" i="18" a="1"/>
  <c r="H13" i="18" s="1"/>
  <c r="H29" i="18" a="1"/>
  <c r="H29" i="18" s="1"/>
  <c r="H31" i="4" a="1"/>
  <c r="H31" i="4" s="1"/>
  <c r="I31" i="4" s="1"/>
  <c r="H15" i="4" a="1"/>
  <c r="H15" i="4" s="1"/>
  <c r="I15" i="4" s="1"/>
  <c r="H26" i="4" a="1"/>
  <c r="H26" i="4" s="1"/>
  <c r="H10" i="4" a="1"/>
  <c r="H10" i="4" s="1"/>
  <c r="I10" i="4" s="1"/>
  <c r="H28" i="4" a="1"/>
  <c r="H28" i="4" s="1"/>
  <c r="J28" i="4" s="1"/>
  <c r="H12" i="4" a="1"/>
  <c r="H12" i="4" s="1"/>
  <c r="I12" i="4" s="1"/>
  <c r="H5" i="4" a="1"/>
  <c r="H5" i="4" s="1"/>
  <c r="I5" i="4" s="1"/>
  <c r="H39" i="4" a="1"/>
  <c r="H39" i="4" s="1"/>
  <c r="H23" i="4" a="1"/>
  <c r="H23" i="4" s="1"/>
  <c r="I23" i="4" s="1"/>
  <c r="H7" i="4" a="1"/>
  <c r="H7" i="4" s="1"/>
  <c r="J7" i="4" s="1"/>
  <c r="H34" i="4" a="1"/>
  <c r="H34" i="4" s="1"/>
  <c r="H18" i="4" a="1"/>
  <c r="H18" i="4" s="1"/>
  <c r="J18" i="4" s="1"/>
  <c r="H36" i="4" a="1"/>
  <c r="H36" i="4" s="1"/>
  <c r="H20" i="4" a="1"/>
  <c r="H20" i="4" s="1"/>
  <c r="I20" i="4" s="1"/>
  <c r="H4" i="4" a="1"/>
  <c r="H4" i="4" s="1"/>
  <c r="H27" i="8" a="1"/>
  <c r="H27" i="8" s="1"/>
  <c r="H38" i="8" a="1"/>
  <c r="H38" i="8" s="1"/>
  <c r="J38" i="8" s="1"/>
  <c r="H22" i="8" a="1"/>
  <c r="H22" i="8" s="1"/>
  <c r="I22" i="8" s="1"/>
  <c r="H6" i="8" a="1"/>
  <c r="H6" i="8" s="1"/>
  <c r="J6" i="8" s="1"/>
  <c r="H29" i="8" a="1"/>
  <c r="H29" i="8" s="1"/>
  <c r="H13" i="8" a="1"/>
  <c r="H13" i="8" s="1"/>
  <c r="H32" i="8" a="1"/>
  <c r="H32" i="8" s="1"/>
  <c r="J32" i="8" s="1"/>
  <c r="H16" i="8" a="1"/>
  <c r="H16" i="8" s="1"/>
  <c r="I16" i="8" s="1"/>
  <c r="I17" i="8" s="1"/>
  <c r="H11" i="8" a="1"/>
  <c r="H11" i="8" s="1"/>
  <c r="I11" i="8" s="1"/>
  <c r="H30" i="8" a="1"/>
  <c r="H30" i="8" s="1"/>
  <c r="H14" i="8" a="1"/>
  <c r="H14" i="8" s="1"/>
  <c r="H37" i="8" a="1"/>
  <c r="H37" i="8" s="1"/>
  <c r="H21" i="8" a="1"/>
  <c r="H21" i="8" s="1"/>
  <c r="H5" i="8" a="1"/>
  <c r="H5" i="8" s="1"/>
  <c r="H24" i="8" a="1"/>
  <c r="H24" i="8" s="1"/>
  <c r="H8" i="8" a="1"/>
  <c r="H8" i="8" s="1"/>
  <c r="J8" i="8" s="1"/>
  <c r="H15" i="8" a="1"/>
  <c r="H15" i="8" s="1"/>
  <c r="J15" i="8" s="1"/>
  <c r="H27" i="16" a="1"/>
  <c r="H27" i="16" s="1"/>
  <c r="H11" i="16" a="1"/>
  <c r="H11" i="16" s="1"/>
  <c r="H34" i="16" a="1"/>
  <c r="H34" i="16" s="1"/>
  <c r="H18" i="16" a="1"/>
  <c r="H18" i="16" s="1"/>
  <c r="H2" i="16" a="1"/>
  <c r="H2" i="16" s="1"/>
  <c r="H8" i="16" a="1"/>
  <c r="H8" i="16" s="1"/>
  <c r="H13" i="16" a="1"/>
  <c r="H13" i="16" s="1"/>
  <c r="H20" i="16" a="1"/>
  <c r="H20" i="16" s="1"/>
  <c r="H9" i="16" a="1"/>
  <c r="H9" i="16" s="1"/>
  <c r="H39" i="16" a="1"/>
  <c r="H39" i="16" s="1"/>
  <c r="H23" i="16" a="1"/>
  <c r="H23" i="16" s="1"/>
  <c r="H7" i="16" a="1"/>
  <c r="H7" i="16" s="1"/>
  <c r="H30" i="16" a="1"/>
  <c r="H30" i="16" s="1"/>
  <c r="H14" i="16" a="1"/>
  <c r="H14" i="16" s="1"/>
  <c r="H32" i="16" a="1"/>
  <c r="H32" i="16" s="1"/>
  <c r="H37" i="16" a="1"/>
  <c r="H37" i="16" s="1"/>
  <c r="H5" i="16" a="1"/>
  <c r="H5" i="16" s="1"/>
  <c r="H12" i="16" a="1"/>
  <c r="H12" i="16" s="1"/>
  <c r="H35" i="16" a="1"/>
  <c r="H35" i="16" s="1"/>
  <c r="H19" i="16" a="1"/>
  <c r="H19" i="16" s="1"/>
  <c r="H3" i="16" a="1"/>
  <c r="H3" i="16" s="1"/>
  <c r="H26" i="16" a="1"/>
  <c r="H26" i="16" s="1"/>
  <c r="H10" i="16" a="1"/>
  <c r="H10" i="16" s="1"/>
  <c r="H24" i="16" a="1"/>
  <c r="H24" i="16" s="1"/>
  <c r="H29" i="16" a="1"/>
  <c r="H29" i="16" s="1"/>
  <c r="H36" i="16" a="1"/>
  <c r="H36" i="16" s="1"/>
  <c r="H4" i="16" a="1"/>
  <c r="H4" i="16" s="1"/>
  <c r="H31" i="16" a="1"/>
  <c r="H31" i="16" s="1"/>
  <c r="H15" i="16" a="1"/>
  <c r="H15" i="16" s="1"/>
  <c r="H38" i="16" a="1"/>
  <c r="H38" i="16" s="1"/>
  <c r="H22" i="16" a="1"/>
  <c r="H22" i="16" s="1"/>
  <c r="H6" i="16" a="1"/>
  <c r="H6" i="16" s="1"/>
  <c r="H16" i="16" a="1"/>
  <c r="H16" i="16" s="1"/>
  <c r="H21" i="16" a="1"/>
  <c r="H21" i="16" s="1"/>
  <c r="H28" i="16" a="1"/>
  <c r="H28" i="16" s="1"/>
  <c r="P19" i="22" a="1"/>
  <c r="P19" i="22" s="1"/>
  <c r="H39" i="22" a="1"/>
  <c r="H39" i="22" s="1"/>
  <c r="H23" i="22" a="1"/>
  <c r="H23" i="22" s="1"/>
  <c r="H7" i="22" a="1"/>
  <c r="H7" i="22" s="1"/>
  <c r="H30" i="22" a="1"/>
  <c r="H30" i="22" s="1"/>
  <c r="H14" i="22" a="1"/>
  <c r="H14" i="22" s="1"/>
  <c r="H37" i="22" a="1"/>
  <c r="H37" i="22" s="1"/>
  <c r="H21" i="22" a="1"/>
  <c r="H21" i="22" s="1"/>
  <c r="H5" i="22" a="1"/>
  <c r="H5" i="22" s="1"/>
  <c r="H32" i="22" a="1"/>
  <c r="H32" i="22" s="1"/>
  <c r="H35" i="22" a="1"/>
  <c r="H35" i="22" s="1"/>
  <c r="H19" i="22" a="1"/>
  <c r="H19" i="22" s="1"/>
  <c r="H3" i="22" a="1"/>
  <c r="H3" i="22" s="1"/>
  <c r="H26" i="22" a="1"/>
  <c r="H26" i="22" s="1"/>
  <c r="H10" i="22" a="1"/>
  <c r="H10" i="22" s="1"/>
  <c r="H33" i="22" a="1"/>
  <c r="H33" i="22" s="1"/>
  <c r="H17" i="22" a="1"/>
  <c r="H17" i="22" s="1"/>
  <c r="H36" i="22" a="1"/>
  <c r="H36" i="22" s="1"/>
  <c r="H16" i="22" a="1"/>
  <c r="H16" i="22" s="1"/>
  <c r="H31" i="22" a="1"/>
  <c r="H31" i="22" s="1"/>
  <c r="H15" i="22" a="1"/>
  <c r="H15" i="22" s="1"/>
  <c r="H38" i="22" a="1"/>
  <c r="H38" i="22" s="1"/>
  <c r="H22" i="22" a="1"/>
  <c r="H22" i="22" s="1"/>
  <c r="H6" i="22" a="1"/>
  <c r="H6" i="22" s="1"/>
  <c r="H29" i="22" a="1"/>
  <c r="H29" i="22" s="1"/>
  <c r="H13" i="22" a="1"/>
  <c r="H13" i="22" s="1"/>
  <c r="H20" i="22" a="1"/>
  <c r="H20" i="22" s="1"/>
  <c r="H28" i="22" a="1"/>
  <c r="H28" i="22" s="1"/>
  <c r="H27" i="22" a="1"/>
  <c r="H27" i="22" s="1"/>
  <c r="H11" i="22" a="1"/>
  <c r="H11" i="22" s="1"/>
  <c r="H34" i="22" a="1"/>
  <c r="H34" i="22" s="1"/>
  <c r="H18" i="22" a="1"/>
  <c r="H18" i="22" s="1"/>
  <c r="H2" i="22" a="1"/>
  <c r="H2" i="22" s="1"/>
  <c r="H25" i="22" a="1"/>
  <c r="H25" i="22" s="1"/>
  <c r="H9" i="22" a="1"/>
  <c r="H9" i="22" s="1"/>
  <c r="H4" i="22" a="1"/>
  <c r="H4" i="22" s="1"/>
  <c r="H12" i="22" a="1"/>
  <c r="H12" i="22" s="1"/>
  <c r="H26" i="19" a="1"/>
  <c r="H26" i="19" s="1"/>
  <c r="H7" i="19" a="1"/>
  <c r="H7" i="19" s="1"/>
  <c r="H15" i="19" a="1"/>
  <c r="H15" i="19" s="1"/>
  <c r="H39" i="15" a="1"/>
  <c r="H39" i="15" s="1"/>
  <c r="H15" i="13" a="1"/>
  <c r="H15" i="13" s="1"/>
  <c r="H27" i="11" a="1"/>
  <c r="H27" i="11" s="1"/>
  <c r="I27" i="11" s="1"/>
  <c r="H39" i="8" a="1"/>
  <c r="H39" i="8" s="1"/>
  <c r="H26" i="7" a="1"/>
  <c r="H26" i="7" s="1"/>
  <c r="H10" i="7" a="1"/>
  <c r="H10" i="7" s="1"/>
  <c r="H28" i="6" a="1"/>
  <c r="H28" i="6" s="1"/>
  <c r="J28" i="6" s="1"/>
  <c r="H12" i="6" a="1"/>
  <c r="H12" i="6" s="1"/>
  <c r="I12" i="6" s="1"/>
  <c r="H8" i="4" a="1"/>
  <c r="H8" i="4" s="1"/>
  <c r="H24" i="4" a="1"/>
  <c r="H24" i="4" s="1"/>
  <c r="J24" i="4" s="1"/>
  <c r="H2" i="4" a="1"/>
  <c r="H2" i="4" s="1"/>
  <c r="H16" i="11" a="1"/>
  <c r="H16" i="11" s="1"/>
  <c r="J16" i="11" s="1"/>
  <c r="H32" i="11" a="1"/>
  <c r="H32" i="11" s="1"/>
  <c r="H13" i="11" a="1"/>
  <c r="H13" i="11" s="1"/>
  <c r="J13" i="11" s="1"/>
  <c r="H29" i="11" a="1"/>
  <c r="H29" i="11" s="1"/>
  <c r="H6" i="11" a="1"/>
  <c r="H6" i="11" s="1"/>
  <c r="I6" i="11" s="1"/>
  <c r="H22" i="11" a="1"/>
  <c r="H22" i="11" s="1"/>
  <c r="I22" i="11" s="1"/>
  <c r="H38" i="11" a="1"/>
  <c r="H38" i="11" s="1"/>
  <c r="H39" i="7" a="1"/>
  <c r="H39" i="7" s="1"/>
  <c r="I39" i="7" s="1"/>
  <c r="H2" i="19" a="1"/>
  <c r="H2" i="19" s="1"/>
  <c r="H3" i="19" a="1"/>
  <c r="H3" i="19" s="1"/>
  <c r="H6" i="19" a="1"/>
  <c r="H6" i="19" s="1"/>
  <c r="H23" i="19" a="1"/>
  <c r="H23" i="19" s="1"/>
  <c r="H39" i="19" a="1"/>
  <c r="H39" i="19" s="1"/>
  <c r="H16" i="19" a="1"/>
  <c r="H16" i="19" s="1"/>
  <c r="H32" i="19" a="1"/>
  <c r="H32" i="19" s="1"/>
  <c r="H13" i="19" a="1"/>
  <c r="H13" i="19" s="1"/>
  <c r="H29" i="19" a="1"/>
  <c r="H29" i="19" s="1"/>
  <c r="H8" i="18" a="1"/>
  <c r="H8" i="18" s="1"/>
  <c r="H9" i="18" a="1"/>
  <c r="H9" i="18" s="1"/>
  <c r="H4" i="18" a="1"/>
  <c r="H4" i="18" s="1"/>
  <c r="H36" i="18" a="1"/>
  <c r="H36" i="18" s="1"/>
  <c r="H14" i="18" a="1"/>
  <c r="H14" i="18" s="1"/>
  <c r="H30" i="18" a="1"/>
  <c r="H30" i="18" s="1"/>
  <c r="H7" i="18" a="1"/>
  <c r="H7" i="18" s="1"/>
  <c r="H23" i="18" a="1"/>
  <c r="H23" i="18" s="1"/>
  <c r="H39" i="18" a="1"/>
  <c r="H39" i="18" s="1"/>
  <c r="H19" i="17" a="1"/>
  <c r="H19" i="17" s="1"/>
  <c r="H5" i="14" a="1"/>
  <c r="H5" i="14" s="1"/>
  <c r="J5" i="14" s="1"/>
  <c r="H17" i="12" a="1"/>
  <c r="H17" i="12" s="1"/>
  <c r="J17" i="12" s="1"/>
  <c r="H13" i="10" a="1"/>
  <c r="H13" i="10" s="1"/>
  <c r="J13" i="10" s="1"/>
  <c r="H25" i="7" a="1"/>
  <c r="H25" i="7" s="1"/>
  <c r="I25" i="7" s="1"/>
  <c r="H9" i="7" a="1"/>
  <c r="H9" i="7" s="1"/>
  <c r="H31" i="6" a="1"/>
  <c r="H31" i="6" s="1"/>
  <c r="J31" i="6" s="1"/>
  <c r="J32" i="6" s="1"/>
  <c r="J33" i="6" s="1"/>
  <c r="H15" i="6" a="1"/>
  <c r="H15" i="6" s="1"/>
  <c r="J15" i="6" s="1"/>
  <c r="H14" i="4" a="1"/>
  <c r="H14" i="4" s="1"/>
  <c r="J14" i="4" s="1"/>
  <c r="H30" i="4" a="1"/>
  <c r="H30" i="4" s="1"/>
  <c r="H5" i="3" a="1"/>
  <c r="H5" i="3" s="1"/>
  <c r="J5" i="3" s="1"/>
  <c r="H13" i="3" a="1"/>
  <c r="H13" i="3" s="1"/>
  <c r="I13" i="3" s="1"/>
  <c r="H21" i="3" a="1"/>
  <c r="H21" i="3" s="1"/>
  <c r="H29" i="3" a="1"/>
  <c r="H29" i="3" s="1"/>
  <c r="J29" i="3" s="1"/>
  <c r="J30" i="3" s="1"/>
  <c r="H37" i="3" a="1"/>
  <c r="H37" i="3" s="1"/>
  <c r="J37" i="3" s="1"/>
  <c r="H22" i="17" a="1"/>
  <c r="H22" i="17" s="1"/>
  <c r="H15" i="17" a="1"/>
  <c r="H15" i="17" s="1"/>
  <c r="H2" i="17" a="1"/>
  <c r="H2" i="17" s="1"/>
  <c r="H34" i="17" a="1"/>
  <c r="H34" i="17" s="1"/>
  <c r="H16" i="17" a="1"/>
  <c r="H16" i="17" s="1"/>
  <c r="H32" i="17" a="1"/>
  <c r="H32" i="17" s="1"/>
  <c r="H13" i="17" a="1"/>
  <c r="H13" i="17" s="1"/>
  <c r="H29" i="17" a="1"/>
  <c r="H29" i="17" s="1"/>
  <c r="H2" i="10" a="1"/>
  <c r="H2" i="10" s="1"/>
  <c r="H18" i="10" a="1"/>
  <c r="H18" i="10" s="1"/>
  <c r="H34" i="10" a="1"/>
  <c r="H34" i="10" s="1"/>
  <c r="J34" i="10" s="1"/>
  <c r="H11" i="10" a="1"/>
  <c r="H11" i="10" s="1"/>
  <c r="J11" i="10" s="1"/>
  <c r="H27" i="10" a="1"/>
  <c r="H27" i="10" s="1"/>
  <c r="H4" i="10" a="1"/>
  <c r="H4" i="10" s="1"/>
  <c r="H20" i="10" a="1"/>
  <c r="H20" i="10" s="1"/>
  <c r="I20" i="10" s="1"/>
  <c r="H36" i="10" a="1"/>
  <c r="H36" i="10" s="1"/>
  <c r="I36" i="10" s="1"/>
  <c r="I37" i="10" s="1"/>
  <c r="H12" i="20" a="1"/>
  <c r="H12" i="20" s="1"/>
  <c r="H5" i="20" a="1"/>
  <c r="H5" i="20" s="1"/>
  <c r="H21" i="20" a="1"/>
  <c r="H21" i="20" s="1"/>
  <c r="H37" i="20" a="1"/>
  <c r="H37" i="20" s="1"/>
  <c r="H14" i="20" a="1"/>
  <c r="H14" i="20" s="1"/>
  <c r="H30" i="20" a="1"/>
  <c r="H30" i="20" s="1"/>
  <c r="H7" i="20" a="1"/>
  <c r="H7" i="20" s="1"/>
  <c r="H23" i="20" a="1"/>
  <c r="H23" i="20" s="1"/>
  <c r="H39" i="20" a="1"/>
  <c r="H39" i="20" s="1"/>
  <c r="H34" i="21" a="1"/>
  <c r="H34" i="21" s="1"/>
  <c r="H10" i="21" a="1"/>
  <c r="H10" i="21" s="1"/>
  <c r="H11" i="21" a="1"/>
  <c r="H11" i="21" s="1"/>
  <c r="H27" i="21" a="1"/>
  <c r="H27" i="21" s="1"/>
  <c r="H4" i="21" a="1"/>
  <c r="H4" i="21" s="1"/>
  <c r="H20" i="21" a="1"/>
  <c r="H20" i="21" s="1"/>
  <c r="H36" i="21" a="1"/>
  <c r="H36" i="21" s="1"/>
  <c r="H17" i="21" a="1"/>
  <c r="H17" i="21" s="1"/>
  <c r="H33" i="21" a="1"/>
  <c r="H33" i="21" s="1"/>
  <c r="H5" i="18" a="1"/>
  <c r="H5" i="18" s="1"/>
  <c r="H39" i="13" a="1"/>
  <c r="H39" i="13" s="1"/>
  <c r="J39" i="13" s="1"/>
  <c r="H13" i="12" a="1"/>
  <c r="H13" i="12" s="1"/>
  <c r="J13" i="12" s="1"/>
  <c r="H9" i="10" a="1"/>
  <c r="H9" i="10" s="1"/>
  <c r="I9" i="10" s="1"/>
  <c r="H24" i="7" a="1"/>
  <c r="H24" i="7" s="1"/>
  <c r="H30" i="6" a="1"/>
  <c r="H30" i="6" s="1"/>
  <c r="J30" i="6" s="1"/>
  <c r="H33" i="4" a="1"/>
  <c r="H33" i="4" s="1"/>
  <c r="J33" i="4" s="1"/>
  <c r="H26" i="12" a="1"/>
  <c r="H26" i="12" s="1"/>
  <c r="H19" i="12" a="1"/>
  <c r="H19" i="12" s="1"/>
  <c r="I19" i="12" s="1"/>
  <c r="H12" i="12" a="1"/>
  <c r="H12" i="12" s="1"/>
  <c r="I12" i="12" s="1"/>
  <c r="H28" i="8" a="1"/>
  <c r="H28" i="8" s="1"/>
  <c r="I28" i="8" s="1"/>
  <c r="H25" i="8" a="1"/>
  <c r="H25" i="8" s="1"/>
  <c r="J25" i="8" s="1"/>
  <c r="H18" i="8" a="1"/>
  <c r="H18" i="8" s="1"/>
  <c r="J18" i="8" s="1"/>
  <c r="H18" i="15" a="1"/>
  <c r="H18" i="15" s="1"/>
  <c r="H6" i="15" a="1"/>
  <c r="H6" i="15" s="1"/>
  <c r="H16" i="15" a="1"/>
  <c r="H16" i="15" s="1"/>
  <c r="H13" i="15" a="1"/>
  <c r="H13" i="15" s="1"/>
  <c r="H9" i="14" a="1"/>
  <c r="H9" i="14" s="1"/>
  <c r="I9" i="14" s="1"/>
  <c r="H36" i="14" a="1"/>
  <c r="H36" i="14" s="1"/>
  <c r="I36" i="14" s="1"/>
  <c r="H34" i="14" a="1"/>
  <c r="H34" i="14" s="1"/>
  <c r="I34" i="14" s="1"/>
  <c r="H31" i="14" a="1"/>
  <c r="H31" i="14" s="1"/>
  <c r="H21" i="18" a="1"/>
  <c r="H21" i="18" s="1"/>
  <c r="H7" i="15" a="1"/>
  <c r="H7" i="15" s="1"/>
  <c r="H37" i="12" a="1"/>
  <c r="H37" i="12" s="1"/>
  <c r="J37" i="12" s="1"/>
  <c r="H11" i="11" a="1"/>
  <c r="H11" i="11" s="1"/>
  <c r="H23" i="8" a="1"/>
  <c r="H23" i="8" s="1"/>
  <c r="I23" i="8" s="1"/>
  <c r="H22" i="7" a="1"/>
  <c r="H22" i="7" s="1"/>
  <c r="J22" i="7" s="1"/>
  <c r="H6" i="7" a="1"/>
  <c r="H6" i="7" s="1"/>
  <c r="H24" i="6" a="1"/>
  <c r="H24" i="6" s="1"/>
  <c r="H8" i="6" a="1"/>
  <c r="H8" i="6" s="1"/>
  <c r="J8" i="6" s="1"/>
  <c r="H13" i="4" a="1"/>
  <c r="H13" i="4" s="1"/>
  <c r="J13" i="4" s="1"/>
  <c r="H29" i="4" a="1"/>
  <c r="H29" i="4" s="1"/>
  <c r="H4" i="11" a="1"/>
  <c r="H4" i="11" s="1"/>
  <c r="J4" i="11" s="1"/>
  <c r="H20" i="11" a="1"/>
  <c r="H20" i="11" s="1"/>
  <c r="I20" i="11" s="1"/>
  <c r="H36" i="11" a="1"/>
  <c r="H36" i="11" s="1"/>
  <c r="I36" i="11" s="1"/>
  <c r="H17" i="11" a="1"/>
  <c r="H17" i="11" s="1"/>
  <c r="J17" i="11" s="1"/>
  <c r="J18" i="11" s="1"/>
  <c r="H33" i="11" a="1"/>
  <c r="H33" i="11" s="1"/>
  <c r="H10" i="11" a="1"/>
  <c r="H10" i="11" s="1"/>
  <c r="I10" i="11" s="1"/>
  <c r="H26" i="11" a="1"/>
  <c r="H26" i="11" s="1"/>
  <c r="H30" i="7" a="1"/>
  <c r="H30" i="7" s="1"/>
  <c r="I30" i="7" s="1"/>
  <c r="H28" i="7" a="1"/>
  <c r="H28" i="7" s="1"/>
  <c r="I28" i="7" s="1"/>
  <c r="I29" i="7" s="1"/>
  <c r="H10" i="19" a="1"/>
  <c r="H10" i="19" s="1"/>
  <c r="H11" i="19" a="1"/>
  <c r="H11" i="19" s="1"/>
  <c r="H14" i="19" a="1"/>
  <c r="H14" i="19" s="1"/>
  <c r="H27" i="19" a="1"/>
  <c r="H27" i="19" s="1"/>
  <c r="H4" i="19" a="1"/>
  <c r="H4" i="19" s="1"/>
  <c r="H20" i="19" a="1"/>
  <c r="H20" i="19" s="1"/>
  <c r="H36" i="19" a="1"/>
  <c r="H36" i="19" s="1"/>
  <c r="H17" i="19" a="1"/>
  <c r="H17" i="19" s="1"/>
  <c r="H33" i="19" a="1"/>
  <c r="H33" i="19" s="1"/>
  <c r="H16" i="18" a="1"/>
  <c r="H16" i="18" s="1"/>
  <c r="H17" i="18" a="1"/>
  <c r="H17" i="18" s="1"/>
  <c r="H12" i="18" a="1"/>
  <c r="H12" i="18" s="1"/>
  <c r="H2" i="18" a="1"/>
  <c r="H2" i="18" s="1"/>
  <c r="H18" i="18" a="1"/>
  <c r="H18" i="18" s="1"/>
  <c r="H34" i="18" a="1"/>
  <c r="H34" i="18" s="1"/>
  <c r="H11" i="18" a="1"/>
  <c r="H11" i="18" s="1"/>
  <c r="H27" i="18" a="1"/>
  <c r="H27" i="18" s="1"/>
  <c r="H25" i="16" a="1"/>
  <c r="H25" i="16" s="1"/>
  <c r="H27" i="13" a="1"/>
  <c r="H27" i="13" s="1"/>
  <c r="J27" i="13" s="1"/>
  <c r="H23" i="11" a="1"/>
  <c r="H23" i="11" s="1"/>
  <c r="H35" i="8" a="1"/>
  <c r="H35" i="8" s="1"/>
  <c r="H21" i="7" a="1"/>
  <c r="H21" i="7" s="1"/>
  <c r="J21" i="7" s="1"/>
  <c r="H5" i="7" a="1"/>
  <c r="H5" i="7" s="1"/>
  <c r="H27" i="6" a="1"/>
  <c r="H27" i="6" s="1"/>
  <c r="I27" i="6" s="1"/>
  <c r="I28" i="6" s="1"/>
  <c r="I29" i="6" s="1"/>
  <c r="I30" i="6" s="1"/>
  <c r="I31" i="6" s="1"/>
  <c r="H11" i="6" a="1"/>
  <c r="H11" i="6" s="1"/>
  <c r="H3" i="4" a="1"/>
  <c r="H3" i="4" s="1"/>
  <c r="I3" i="4" s="1"/>
  <c r="H19" i="4" a="1"/>
  <c r="H19" i="4" s="1"/>
  <c r="J19" i="4" s="1"/>
  <c r="H35" i="4" a="1"/>
  <c r="H35" i="4" s="1"/>
  <c r="J35" i="4" s="1"/>
  <c r="H7" i="3" a="1"/>
  <c r="H7" i="3" s="1"/>
  <c r="J7" i="3" s="1"/>
  <c r="H15" i="3" a="1"/>
  <c r="H15" i="3" s="1"/>
  <c r="J15" i="3" s="1"/>
  <c r="J16" i="3" s="1"/>
  <c r="H23" i="3" a="1"/>
  <c r="H23" i="3" s="1"/>
  <c r="I23" i="3" s="1"/>
  <c r="H31" i="3" a="1"/>
  <c r="H31" i="3" s="1"/>
  <c r="I31" i="3" s="1"/>
  <c r="H39" i="3" a="1"/>
  <c r="H39" i="3" s="1"/>
  <c r="H30" i="17" a="1"/>
  <c r="H30" i="17" s="1"/>
  <c r="H23" i="17" a="1"/>
  <c r="H23" i="17" s="1"/>
  <c r="H10" i="17" a="1"/>
  <c r="H10" i="17" s="1"/>
  <c r="H4" i="17" a="1"/>
  <c r="H4" i="17" s="1"/>
  <c r="H20" i="17" a="1"/>
  <c r="H20" i="17" s="1"/>
  <c r="H36" i="17" a="1"/>
  <c r="H36" i="17" s="1"/>
  <c r="H17" i="17" a="1"/>
  <c r="H17" i="17" s="1"/>
  <c r="H33" i="17" a="1"/>
  <c r="H33" i="17" s="1"/>
  <c r="H6" i="10" a="1"/>
  <c r="H6" i="10" s="1"/>
  <c r="I6" i="10" s="1"/>
  <c r="H22" i="10" a="1"/>
  <c r="H22" i="10" s="1"/>
  <c r="J22" i="10" s="1"/>
  <c r="H38" i="10" a="1"/>
  <c r="H38" i="10" s="1"/>
  <c r="I38" i="10" s="1"/>
  <c r="H15" i="10" a="1"/>
  <c r="H15" i="10" s="1"/>
  <c r="J15" i="10" s="1"/>
  <c r="H31" i="10" a="1"/>
  <c r="H31" i="10" s="1"/>
  <c r="H8" i="10" a="1"/>
  <c r="H8" i="10" s="1"/>
  <c r="J8" i="10" s="1"/>
  <c r="J9" i="10" s="1"/>
  <c r="H24" i="10" a="1"/>
  <c r="H24" i="10" s="1"/>
  <c r="I24" i="10" s="1"/>
  <c r="I25" i="10" s="1"/>
  <c r="H28" i="20" a="1"/>
  <c r="H28" i="20" s="1"/>
  <c r="H9" i="20" a="1"/>
  <c r="H9" i="20" s="1"/>
  <c r="H25" i="20" a="1"/>
  <c r="H25" i="20" s="1"/>
  <c r="H2" i="20" a="1"/>
  <c r="H2" i="20" s="1"/>
  <c r="H18" i="20" a="1"/>
  <c r="H18" i="20" s="1"/>
  <c r="H34" i="20" a="1"/>
  <c r="H34" i="20" s="1"/>
  <c r="H11" i="20" a="1"/>
  <c r="H11" i="20" s="1"/>
  <c r="H27" i="20" a="1"/>
  <c r="H27" i="20" s="1"/>
  <c r="H6" i="21" a="1"/>
  <c r="H6" i="21" s="1"/>
  <c r="H26" i="21" a="1"/>
  <c r="H26" i="21" s="1"/>
  <c r="H15" i="21" a="1"/>
  <c r="H15" i="21" s="1"/>
  <c r="H31" i="21" a="1"/>
  <c r="H31" i="21" s="1"/>
  <c r="H8" i="21" a="1"/>
  <c r="H8" i="21" s="1"/>
  <c r="H24" i="21" a="1"/>
  <c r="H24" i="21" s="1"/>
  <c r="H5" i="21" a="1"/>
  <c r="H5" i="21" s="1"/>
  <c r="H21" i="21" a="1"/>
  <c r="H21" i="21" s="1"/>
  <c r="H37" i="21" a="1"/>
  <c r="H37" i="21" s="1"/>
  <c r="H17" i="16" a="1"/>
  <c r="H17" i="16" s="1"/>
  <c r="H23" i="13" a="1"/>
  <c r="H23" i="13" s="1"/>
  <c r="H35" i="11" a="1"/>
  <c r="H35" i="11" s="1"/>
  <c r="I35" i="11" s="1"/>
  <c r="H31" i="8" a="1"/>
  <c r="H31" i="8" s="1"/>
  <c r="H16" i="7" a="1"/>
  <c r="H16" i="7" s="1"/>
  <c r="I16" i="7" s="1"/>
  <c r="H22" i="6" a="1"/>
  <c r="H22" i="6" s="1"/>
  <c r="H9" i="4" a="1"/>
  <c r="H9" i="4" s="1"/>
  <c r="J9" i="4" s="1"/>
  <c r="J10" i="4" s="1"/>
  <c r="J11" i="4" s="1"/>
  <c r="J12" i="4" s="1"/>
  <c r="H2" i="12" a="1"/>
  <c r="H2" i="12" s="1"/>
  <c r="H34" i="12" a="1"/>
  <c r="H34" i="12" s="1"/>
  <c r="J34" i="12" s="1"/>
  <c r="H27" i="12" a="1"/>
  <c r="H27" i="12" s="1"/>
  <c r="J27" i="12" s="1"/>
  <c r="H20" i="12" a="1"/>
  <c r="H20" i="12" s="1"/>
  <c r="J20" i="12" s="1"/>
  <c r="H4" i="8" a="1"/>
  <c r="H4" i="8" s="1"/>
  <c r="I4" i="8" s="1"/>
  <c r="H36" i="8" a="1"/>
  <c r="H36" i="8" s="1"/>
  <c r="J36" i="8" s="1"/>
  <c r="H33" i="8" a="1"/>
  <c r="H33" i="8" s="1"/>
  <c r="I33" i="8" s="1"/>
  <c r="H26" i="8" a="1"/>
  <c r="H26" i="8" s="1"/>
  <c r="J26" i="8" s="1"/>
  <c r="H34" i="15" a="1"/>
  <c r="H34" i="15" s="1"/>
  <c r="H22" i="15" a="1"/>
  <c r="H22" i="15" s="1"/>
  <c r="H24" i="15" a="1"/>
  <c r="H24" i="15" s="1"/>
  <c r="H21" i="15" a="1"/>
  <c r="H21" i="15" s="1"/>
  <c r="H2" i="14" a="1"/>
  <c r="H2" i="14" s="1"/>
  <c r="H25" i="14" a="1"/>
  <c r="H25" i="14" s="1"/>
  <c r="H10" i="14" a="1"/>
  <c r="H10" i="14" s="1"/>
  <c r="J10" i="14" s="1"/>
  <c r="J11" i="14" s="1"/>
  <c r="H7" i="14" a="1"/>
  <c r="H7" i="14" s="1"/>
  <c r="I7" i="14" s="1"/>
  <c r="H24" i="22" a="1"/>
  <c r="H24" i="22" s="1"/>
  <c r="H27" i="17" a="1"/>
  <c r="H27" i="17" s="1"/>
  <c r="H13" i="14" a="1"/>
  <c r="H13" i="14" s="1"/>
  <c r="H21" i="12" a="1"/>
  <c r="H21" i="12" s="1"/>
  <c r="J21" i="12" s="1"/>
  <c r="J22" i="12" s="1"/>
  <c r="H33" i="10" a="1"/>
  <c r="H33" i="10" s="1"/>
  <c r="I33" i="10" s="1"/>
  <c r="H7" i="8" a="1"/>
  <c r="H7" i="8" s="1"/>
  <c r="I7" i="8" s="1"/>
  <c r="I8" i="8" s="1"/>
  <c r="H18" i="7" a="1"/>
  <c r="H18" i="7" s="1"/>
  <c r="I18" i="7" s="1"/>
  <c r="I19" i="7" s="1"/>
  <c r="H2" i="7" a="1"/>
  <c r="H2" i="7" s="1"/>
  <c r="H20" i="6" a="1"/>
  <c r="H20" i="6" s="1"/>
  <c r="J20" i="6" s="1"/>
  <c r="H4" i="6" a="1"/>
  <c r="H4" i="6" s="1"/>
  <c r="H16" i="4" a="1"/>
  <c r="H16" i="4" s="1"/>
  <c r="I16" i="4" s="1"/>
  <c r="H32" i="4" a="1"/>
  <c r="H32" i="4" s="1"/>
  <c r="J32" i="4" s="1"/>
  <c r="H8" i="11" a="1"/>
  <c r="H8" i="11" s="1"/>
  <c r="I8" i="11" s="1"/>
  <c r="H24" i="11" a="1"/>
  <c r="H24" i="11" s="1"/>
  <c r="J24" i="11" s="1"/>
  <c r="H5" i="11" a="1"/>
  <c r="H5" i="11" s="1"/>
  <c r="H21" i="11" a="1"/>
  <c r="H21" i="11" s="1"/>
  <c r="I21" i="11" s="1"/>
  <c r="H37" i="11" a="1"/>
  <c r="H37" i="11" s="1"/>
  <c r="H14" i="11" a="1"/>
  <c r="H14" i="11" s="1"/>
  <c r="I14" i="11" s="1"/>
  <c r="H30" i="11" a="1"/>
  <c r="H30" i="11" s="1"/>
  <c r="J30" i="11" s="1"/>
  <c r="H34" i="7" a="1"/>
  <c r="H34" i="7" s="1"/>
  <c r="I34" i="7" s="1"/>
  <c r="I35" i="7" s="1"/>
  <c r="I36" i="7" s="1"/>
  <c r="H32" i="7" a="1"/>
  <c r="H32" i="7" s="1"/>
  <c r="I32" i="7" s="1"/>
  <c r="H18" i="19" a="1"/>
  <c r="H18" i="19" s="1"/>
  <c r="H19" i="19" a="1"/>
  <c r="H19" i="19" s="1"/>
  <c r="H22" i="19" a="1"/>
  <c r="H22" i="19" s="1"/>
  <c r="H31" i="19" a="1"/>
  <c r="H31" i="19" s="1"/>
  <c r="H8" i="19" a="1"/>
  <c r="H8" i="19" s="1"/>
  <c r="H24" i="19" a="1"/>
  <c r="H24" i="19" s="1"/>
  <c r="H5" i="19" a="1"/>
  <c r="H5" i="19" s="1"/>
  <c r="H21" i="19" a="1"/>
  <c r="H21" i="19" s="1"/>
  <c r="H37" i="19" a="1"/>
  <c r="H37" i="19" s="1"/>
  <c r="H24" i="18" a="1"/>
  <c r="H24" i="18" s="1"/>
  <c r="H25" i="18" a="1"/>
  <c r="H25" i="18" s="1"/>
  <c r="H20" i="18" a="1"/>
  <c r="H20" i="18" s="1"/>
  <c r="H6" i="18" a="1"/>
  <c r="H6" i="18" s="1"/>
  <c r="H22" i="18" a="1"/>
  <c r="H22" i="18" s="1"/>
  <c r="H38" i="18" a="1"/>
  <c r="H38" i="18" s="1"/>
  <c r="H15" i="18" a="1"/>
  <c r="H15" i="18" s="1"/>
  <c r="H31" i="18" a="1"/>
  <c r="H31" i="18" s="1"/>
  <c r="H8" i="22" a="1"/>
  <c r="H8" i="22" s="1"/>
  <c r="H31" i="15" a="1"/>
  <c r="H31" i="15" s="1"/>
  <c r="H11" i="13" a="1"/>
  <c r="H11" i="13" s="1"/>
  <c r="H7" i="11" a="1"/>
  <c r="H7" i="11" s="1"/>
  <c r="H19" i="8" a="1"/>
  <c r="H19" i="8" s="1"/>
  <c r="I19" i="8" s="1"/>
  <c r="H17" i="7" a="1"/>
  <c r="H17" i="7" s="1"/>
  <c r="H39" i="6" a="1"/>
  <c r="H39" i="6" s="1"/>
  <c r="H23" i="6" a="1"/>
  <c r="H23" i="6" s="1"/>
  <c r="H7" i="6" a="1"/>
  <c r="H7" i="6" s="1"/>
  <c r="H6" i="4" a="1"/>
  <c r="H6" i="4" s="1"/>
  <c r="H22" i="4" a="1"/>
  <c r="H22" i="4" s="1"/>
  <c r="I22" i="4" s="1"/>
  <c r="H38" i="4" a="1"/>
  <c r="H38" i="4" s="1"/>
  <c r="J38" i="4" s="1"/>
  <c r="J39" i="4" s="1"/>
  <c r="H9" i="3" a="1"/>
  <c r="H9" i="3" s="1"/>
  <c r="H17" i="3" a="1"/>
  <c r="H17" i="3" s="1"/>
  <c r="I17" i="3" s="1"/>
  <c r="I18" i="3" s="1"/>
  <c r="H25" i="3" a="1"/>
  <c r="H25" i="3" s="1"/>
  <c r="I25" i="3" s="1"/>
  <c r="H33" i="3" a="1"/>
  <c r="H33" i="3" s="1"/>
  <c r="J33" i="3" s="1"/>
  <c r="H6" i="17" a="1"/>
  <c r="H6" i="17" s="1"/>
  <c r="H38" i="17" a="1"/>
  <c r="H38" i="17" s="1"/>
  <c r="H31" i="17" a="1"/>
  <c r="H31" i="17" s="1"/>
  <c r="H18" i="17" a="1"/>
  <c r="H18" i="17" s="1"/>
  <c r="H8" i="17" a="1"/>
  <c r="H8" i="17" s="1"/>
  <c r="H24" i="17" a="1"/>
  <c r="H24" i="17" s="1"/>
  <c r="H5" i="17" a="1"/>
  <c r="H5" i="17" s="1"/>
  <c r="H21" i="17" a="1"/>
  <c r="H21" i="17" s="1"/>
  <c r="H37" i="17" a="1"/>
  <c r="H37" i="17" s="1"/>
  <c r="H10" i="10" a="1"/>
  <c r="H10" i="10" s="1"/>
  <c r="J10" i="10" s="1"/>
  <c r="H26" i="10" a="1"/>
  <c r="H26" i="10" s="1"/>
  <c r="H3" i="10" a="1"/>
  <c r="H3" i="10" s="1"/>
  <c r="H19" i="10" a="1"/>
  <c r="H19" i="10" s="1"/>
  <c r="I19" i="10" s="1"/>
  <c r="H35" i="10" a="1"/>
  <c r="H35" i="10" s="1"/>
  <c r="H12" i="10" a="1"/>
  <c r="H12" i="10" s="1"/>
  <c r="J12" i="10" s="1"/>
  <c r="H28" i="10" a="1"/>
  <c r="H28" i="10" s="1"/>
  <c r="I28" i="10" s="1"/>
  <c r="H8" i="20" a="1"/>
  <c r="H8" i="20" s="1"/>
  <c r="H16" i="20" a="1"/>
  <c r="H16" i="20" s="1"/>
  <c r="H13" i="20" a="1"/>
  <c r="H13" i="20" s="1"/>
  <c r="H29" i="20" a="1"/>
  <c r="H29" i="20" s="1"/>
  <c r="H6" i="20" a="1"/>
  <c r="H6" i="20" s="1"/>
  <c r="H22" i="20" a="1"/>
  <c r="H22" i="20" s="1"/>
  <c r="H38" i="20" a="1"/>
  <c r="H38" i="20" s="1"/>
  <c r="H15" i="20" a="1"/>
  <c r="H15" i="20" s="1"/>
  <c r="H31" i="20" a="1"/>
  <c r="H31" i="20" s="1"/>
  <c r="H2" i="21" a="1"/>
  <c r="H2" i="21" s="1"/>
  <c r="H22" i="21" a="1"/>
  <c r="H22" i="21" s="1"/>
  <c r="H3" i="21" a="1"/>
  <c r="H3" i="21" s="1"/>
  <c r="H19" i="21" a="1"/>
  <c r="H19" i="21" s="1"/>
  <c r="H35" i="21" a="1"/>
  <c r="H35" i="21" s="1"/>
  <c r="H12" i="21" a="1"/>
  <c r="H12" i="21" s="1"/>
  <c r="H28" i="21" a="1"/>
  <c r="H28" i="21" s="1"/>
  <c r="H9" i="21" a="1"/>
  <c r="H9" i="21" s="1"/>
  <c r="H25" i="21" a="1"/>
  <c r="H25" i="21" s="1"/>
  <c r="H23" i="15" a="1"/>
  <c r="H23" i="15" s="1"/>
  <c r="H7" i="13" a="1"/>
  <c r="H7" i="13" s="1"/>
  <c r="J7" i="13" s="1"/>
  <c r="H19" i="11" a="1"/>
  <c r="H19" i="11" s="1"/>
  <c r="J19" i="11" s="1"/>
  <c r="H37" i="7" a="1"/>
  <c r="H37" i="7" s="1"/>
  <c r="I37" i="7" s="1"/>
  <c r="H8" i="7" a="1"/>
  <c r="H8" i="7" s="1"/>
  <c r="I8" i="7" s="1"/>
  <c r="H14" i="6" a="1"/>
  <c r="H14" i="6" s="1"/>
  <c r="I14" i="6" s="1"/>
  <c r="I15" i="6" s="1"/>
  <c r="I16" i="6" s="1"/>
  <c r="H17" i="4" a="1"/>
  <c r="H17" i="4" s="1"/>
  <c r="I17" i="4" s="1"/>
  <c r="I18" i="4" s="1"/>
  <c r="I19" i="4" s="1"/>
  <c r="H10" i="12" a="1"/>
  <c r="H10" i="12" s="1"/>
  <c r="H3" i="12" a="1"/>
  <c r="H3" i="12" s="1"/>
  <c r="H35" i="12" a="1"/>
  <c r="H35" i="12" s="1"/>
  <c r="J35" i="12" s="1"/>
  <c r="H28" i="12" a="1"/>
  <c r="H28" i="12" s="1"/>
  <c r="J28" i="12" s="1"/>
  <c r="H12" i="8" a="1"/>
  <c r="H12" i="8" s="1"/>
  <c r="H9" i="8" a="1"/>
  <c r="H9" i="8" s="1"/>
  <c r="I9" i="8" s="1"/>
  <c r="H2" i="8" a="1"/>
  <c r="H2" i="8" s="1"/>
  <c r="H34" i="8" a="1"/>
  <c r="H34" i="8" s="1"/>
  <c r="J34" i="8" s="1"/>
  <c r="H11" i="15" a="1"/>
  <c r="H11" i="15" s="1"/>
  <c r="H38" i="15" a="1"/>
  <c r="H38" i="15" s="1"/>
  <c r="H32" i="15" a="1"/>
  <c r="H32" i="15" s="1"/>
  <c r="H29" i="15" a="1"/>
  <c r="H29" i="15" s="1"/>
  <c r="H16" i="14" a="1"/>
  <c r="H16" i="14" s="1"/>
  <c r="I16" i="14" s="1"/>
  <c r="I17" i="14" s="1"/>
  <c r="H4" i="14" a="1"/>
  <c r="H4" i="14" s="1"/>
  <c r="I4" i="14" s="1"/>
  <c r="H18" i="14" a="1"/>
  <c r="H18" i="14" s="1"/>
  <c r="H15" i="14" a="1"/>
  <c r="H15" i="14" s="1"/>
  <c r="I15" i="14" s="1"/>
  <c r="H32" i="1" a="1"/>
  <c r="H32" i="1" s="1"/>
  <c r="H25" i="1" a="1"/>
  <c r="H25" i="1" s="1"/>
  <c r="H6" i="1" a="1"/>
  <c r="H6" i="1" s="1"/>
  <c r="H23" i="1" a="1"/>
  <c r="H23" i="1" s="1"/>
  <c r="H22" i="1" a="1"/>
  <c r="H22" i="1" s="1"/>
  <c r="H28" i="1" a="1"/>
  <c r="H28" i="1" s="1"/>
  <c r="H16" i="1" a="1"/>
  <c r="H16" i="1" s="1"/>
  <c r="H38" i="1" a="1"/>
  <c r="H38" i="1" s="1"/>
  <c r="H26" i="1" a="1"/>
  <c r="H26" i="1" s="1"/>
  <c r="H21" i="1" a="1"/>
  <c r="H21" i="1" s="1"/>
  <c r="H37" i="1" a="1"/>
  <c r="H37" i="1" s="1"/>
  <c r="H11" i="1" a="1"/>
  <c r="H11" i="1" s="1"/>
  <c r="H27" i="1" a="1"/>
  <c r="H27" i="1" s="1"/>
  <c r="H9" i="1" a="1"/>
  <c r="H9" i="1" s="1"/>
  <c r="H33" i="1" a="1"/>
  <c r="H33" i="1" s="1"/>
  <c r="H31" i="1" a="1"/>
  <c r="H31" i="1" s="1"/>
  <c r="H36" i="1" a="1"/>
  <c r="H36" i="1" s="1"/>
  <c r="H34" i="1" a="1"/>
  <c r="H34" i="1" s="1"/>
  <c r="H8" i="1" a="1"/>
  <c r="H8" i="1" s="1"/>
  <c r="H24" i="1" a="1"/>
  <c r="H24" i="1" s="1"/>
  <c r="H14" i="1" a="1"/>
  <c r="H14" i="1" s="1"/>
  <c r="H30" i="1" a="1"/>
  <c r="H30" i="1" s="1"/>
  <c r="H12" i="1" a="1"/>
  <c r="H12" i="1" s="1"/>
  <c r="H10" i="1" a="1"/>
  <c r="H10" i="1" s="1"/>
  <c r="H4" i="1" a="1"/>
  <c r="H4" i="1" s="1"/>
  <c r="H7" i="1" a="1"/>
  <c r="H7" i="1" s="1"/>
  <c r="H39" i="1" a="1"/>
  <c r="H39" i="1" s="1"/>
  <c r="H13" i="1" a="1"/>
  <c r="H13" i="1" s="1"/>
  <c r="H29" i="1" a="1"/>
  <c r="H29" i="1" s="1"/>
  <c r="H19" i="1" a="1"/>
  <c r="H19" i="1" s="1"/>
  <c r="H35" i="1" a="1"/>
  <c r="H35" i="1" s="1"/>
  <c r="H17" i="1" a="1"/>
  <c r="H17" i="1" s="1"/>
  <c r="H15" i="1" a="1"/>
  <c r="H15" i="1" s="1"/>
  <c r="H20" i="1" a="1"/>
  <c r="H20" i="1" s="1"/>
  <c r="H18" i="1" a="1"/>
  <c r="H18" i="1" s="1"/>
  <c r="H5" i="1" a="1"/>
  <c r="H5" i="1" s="1"/>
  <c r="V20" i="19"/>
  <c r="AE3" i="25" a="1"/>
  <c r="AE3" i="25" s="1"/>
  <c r="AL3" i="25" a="1"/>
  <c r="AL3" i="25" s="1"/>
  <c r="AK3" i="25" a="1"/>
  <c r="AK3" i="25" s="1"/>
  <c r="AJ3" i="25" a="1"/>
  <c r="AJ3" i="25" s="1"/>
  <c r="AI3" i="25" a="1"/>
  <c r="AI3" i="25" s="1"/>
  <c r="AH3" i="25" a="1"/>
  <c r="AH3" i="25" s="1"/>
  <c r="AG3" i="25" a="1"/>
  <c r="AG3" i="25" s="1"/>
  <c r="AF3" i="25" a="1"/>
  <c r="AF3" i="25" s="1"/>
  <c r="AD3" i="25" a="1"/>
  <c r="AD3" i="25" s="1"/>
  <c r="D3" i="25" a="1"/>
  <c r="D3" i="25" s="1"/>
  <c r="E3" i="25" a="1"/>
  <c r="E3" i="25" s="1"/>
  <c r="F3" i="25" a="1"/>
  <c r="F3" i="25" s="1"/>
  <c r="G3" i="25" a="1"/>
  <c r="G3" i="25" s="1"/>
  <c r="AC3" i="25" a="1"/>
  <c r="AC3" i="25" s="1"/>
  <c r="Z3" i="25" a="1"/>
  <c r="Z3" i="25" s="1"/>
  <c r="AB3" i="25" a="1"/>
  <c r="AB3" i="25" s="1"/>
  <c r="X3" i="25" a="1"/>
  <c r="X3" i="25" s="1"/>
  <c r="Y3" i="25" a="1"/>
  <c r="Y3" i="25" s="1"/>
  <c r="AA3" i="25" a="1"/>
  <c r="AA3" i="25" s="1"/>
  <c r="W3" i="25" a="1"/>
  <c r="W3" i="25" s="1"/>
  <c r="N3" i="25" a="1"/>
  <c r="N3" i="25" s="1"/>
  <c r="U3" i="25" a="1"/>
  <c r="U3" i="25" s="1"/>
  <c r="P20" i="1" a="1"/>
  <c r="P20" i="1" s="1"/>
  <c r="R19" i="1" a="1"/>
  <c r="R19" i="1" s="1"/>
  <c r="P19" i="1" a="1"/>
  <c r="P19" i="1" s="1"/>
  <c r="Q20" i="1" a="1"/>
  <c r="Q20" i="1" s="1"/>
  <c r="Q21" i="1" a="1"/>
  <c r="Q21" i="1" s="1"/>
  <c r="R21" i="1" a="1"/>
  <c r="R21" i="1" s="1"/>
  <c r="S20" i="1"/>
  <c r="R20" i="1" a="1"/>
  <c r="R20" i="1" s="1"/>
  <c r="P21" i="1" a="1"/>
  <c r="P21" i="1" s="1"/>
  <c r="U19" i="19"/>
  <c r="S19" i="4"/>
  <c r="T19" i="4"/>
  <c r="S20" i="4"/>
  <c r="T20" i="4"/>
  <c r="S21" i="4"/>
  <c r="T21" i="4"/>
  <c r="R21" i="4" a="1"/>
  <c r="R21" i="4" s="1"/>
  <c r="Q21" i="4" a="1"/>
  <c r="Q21" i="4" s="1"/>
  <c r="P21" i="4" a="1"/>
  <c r="P21" i="4" s="1"/>
  <c r="R20" i="4" a="1"/>
  <c r="R20" i="4" s="1"/>
  <c r="Q20" i="4" a="1"/>
  <c r="Q20" i="4" s="1"/>
  <c r="P20" i="4" a="1"/>
  <c r="P20" i="4" s="1"/>
  <c r="R19" i="4" a="1"/>
  <c r="R19" i="4" s="1"/>
  <c r="Q19" i="4" a="1"/>
  <c r="Q19" i="4" s="1"/>
  <c r="P19" i="4" a="1"/>
  <c r="P19" i="4" s="1"/>
  <c r="S19" i="3"/>
  <c r="T19" i="3"/>
  <c r="S20" i="3"/>
  <c r="T20" i="3"/>
  <c r="S21" i="3"/>
  <c r="T21" i="3"/>
  <c r="R21" i="3" a="1"/>
  <c r="R21" i="3" s="1"/>
  <c r="Q21" i="3" a="1"/>
  <c r="Q21" i="3" s="1"/>
  <c r="P21" i="3" a="1"/>
  <c r="P21" i="3" s="1"/>
  <c r="R20" i="3" a="1"/>
  <c r="R20" i="3" s="1"/>
  <c r="Q20" i="3" a="1"/>
  <c r="Q20" i="3" s="1"/>
  <c r="P20" i="3" a="1"/>
  <c r="P20" i="3" s="1"/>
  <c r="R19" i="3" a="1"/>
  <c r="R19" i="3" s="1"/>
  <c r="Q19" i="3" a="1"/>
  <c r="Q19" i="3" s="1"/>
  <c r="P19" i="3" a="1"/>
  <c r="P19" i="3" s="1"/>
  <c r="S19" i="13"/>
  <c r="T19" i="13"/>
  <c r="S20" i="13"/>
  <c r="T20" i="13"/>
  <c r="S21" i="13"/>
  <c r="T21" i="13"/>
  <c r="R21" i="13" a="1"/>
  <c r="R21" i="13" s="1"/>
  <c r="Q21" i="13" a="1"/>
  <c r="Q21" i="13" s="1"/>
  <c r="P21" i="13" a="1"/>
  <c r="P21" i="13" s="1"/>
  <c r="R20" i="13" a="1"/>
  <c r="R20" i="13" s="1"/>
  <c r="Q20" i="13" a="1"/>
  <c r="Q20" i="13" s="1"/>
  <c r="P20" i="13" a="1"/>
  <c r="P20" i="13" s="1"/>
  <c r="R19" i="13" a="1"/>
  <c r="R19" i="13" s="1"/>
  <c r="Q19" i="13" a="1"/>
  <c r="Q19" i="13" s="1"/>
  <c r="P19" i="13" a="1"/>
  <c r="P19" i="13" s="1"/>
  <c r="S19" i="11"/>
  <c r="T19" i="11"/>
  <c r="S20" i="11"/>
  <c r="T20" i="11"/>
  <c r="S21" i="11"/>
  <c r="T21" i="11"/>
  <c r="R21" i="11" a="1"/>
  <c r="R21" i="11" s="1"/>
  <c r="Q21" i="11" a="1"/>
  <c r="Q21" i="11" s="1"/>
  <c r="P21" i="11" a="1"/>
  <c r="P21" i="11" s="1"/>
  <c r="R20" i="11" a="1"/>
  <c r="R20" i="11" s="1"/>
  <c r="Q20" i="11" a="1"/>
  <c r="Q20" i="11" s="1"/>
  <c r="P20" i="11" a="1"/>
  <c r="P20" i="11" s="1"/>
  <c r="R19" i="11" a="1"/>
  <c r="R19" i="11" s="1"/>
  <c r="Q19" i="11" a="1"/>
  <c r="Q19" i="11" s="1"/>
  <c r="P19" i="11" a="1"/>
  <c r="P19" i="11" s="1"/>
  <c r="S19" i="17"/>
  <c r="T19" i="17"/>
  <c r="S20" i="17"/>
  <c r="T20" i="17"/>
  <c r="S21" i="17"/>
  <c r="T21" i="17"/>
  <c r="R21" i="17" a="1"/>
  <c r="R21" i="17" s="1"/>
  <c r="R20" i="17" a="1"/>
  <c r="R20" i="17" s="1"/>
  <c r="R19" i="17" a="1"/>
  <c r="R19" i="17" s="1"/>
  <c r="Q21" i="17" a="1"/>
  <c r="Q21" i="17" s="1"/>
  <c r="Q19" i="17" a="1"/>
  <c r="Q19" i="17" s="1"/>
  <c r="Q20" i="17" a="1"/>
  <c r="Q20" i="17" s="1"/>
  <c r="P21" i="17" a="1"/>
  <c r="P21" i="17" s="1"/>
  <c r="P20" i="17" a="1"/>
  <c r="P20" i="17" s="1"/>
  <c r="P19" i="17" a="1"/>
  <c r="P19" i="17" s="1"/>
  <c r="S19" i="8"/>
  <c r="T19" i="8"/>
  <c r="S20" i="8"/>
  <c r="T20" i="8"/>
  <c r="S21" i="8"/>
  <c r="T21" i="8"/>
  <c r="R21" i="8" a="1"/>
  <c r="R21" i="8" s="1"/>
  <c r="Q21" i="8" a="1"/>
  <c r="Q21" i="8" s="1"/>
  <c r="P21" i="8" a="1"/>
  <c r="P21" i="8" s="1"/>
  <c r="R20" i="8" a="1"/>
  <c r="R20" i="8" s="1"/>
  <c r="Q20" i="8" a="1"/>
  <c r="Q20" i="8" s="1"/>
  <c r="P20" i="8" a="1"/>
  <c r="P20" i="8" s="1"/>
  <c r="R19" i="8" a="1"/>
  <c r="R19" i="8" s="1"/>
  <c r="Q19" i="8" a="1"/>
  <c r="Q19" i="8" s="1"/>
  <c r="P19" i="8" a="1"/>
  <c r="P19" i="8" s="1"/>
  <c r="S19" i="16"/>
  <c r="T19" i="16"/>
  <c r="S20" i="16"/>
  <c r="T20" i="16"/>
  <c r="S21" i="16"/>
  <c r="T21" i="16"/>
  <c r="P19" i="16" a="1"/>
  <c r="P19" i="16" s="1"/>
  <c r="R19" i="16" a="1"/>
  <c r="R19" i="16" s="1"/>
  <c r="R21" i="16" a="1"/>
  <c r="R21" i="16" s="1"/>
  <c r="R20" i="16" a="1"/>
  <c r="R20" i="16" s="1"/>
  <c r="Q21" i="16" a="1"/>
  <c r="Q21" i="16" s="1"/>
  <c r="Q20" i="16" a="1"/>
  <c r="Q20" i="16" s="1"/>
  <c r="Q19" i="16" a="1"/>
  <c r="Q19" i="16" s="1"/>
  <c r="P21" i="16" a="1"/>
  <c r="P21" i="16" s="1"/>
  <c r="P20" i="16" a="1"/>
  <c r="P20" i="16" s="1"/>
  <c r="S19" i="7"/>
  <c r="T19" i="7"/>
  <c r="S20" i="7"/>
  <c r="T20" i="7"/>
  <c r="S21" i="7"/>
  <c r="T21" i="7"/>
  <c r="R21" i="7" a="1"/>
  <c r="R21" i="7" s="1"/>
  <c r="Q21" i="7" a="1"/>
  <c r="Q21" i="7" s="1"/>
  <c r="P21" i="7" a="1"/>
  <c r="P21" i="7" s="1"/>
  <c r="R20" i="7" a="1"/>
  <c r="R20" i="7" s="1"/>
  <c r="Q20" i="7" a="1"/>
  <c r="Q20" i="7" s="1"/>
  <c r="P20" i="7" a="1"/>
  <c r="P20" i="7" s="1"/>
  <c r="R19" i="7" a="1"/>
  <c r="R19" i="7" s="1"/>
  <c r="Q19" i="7" a="1"/>
  <c r="Q19" i="7" s="1"/>
  <c r="P19" i="7" a="1"/>
  <c r="P19" i="7" s="1"/>
  <c r="S19" i="10"/>
  <c r="T19" i="10"/>
  <c r="S20" i="10"/>
  <c r="T20" i="10"/>
  <c r="S21" i="10"/>
  <c r="T21" i="10"/>
  <c r="R21" i="10" a="1"/>
  <c r="R21" i="10" s="1"/>
  <c r="Q21" i="10" a="1"/>
  <c r="Q21" i="10" s="1"/>
  <c r="P21" i="10" a="1"/>
  <c r="P21" i="10" s="1"/>
  <c r="R20" i="10" a="1"/>
  <c r="R20" i="10" s="1"/>
  <c r="Q20" i="10" a="1"/>
  <c r="Q20" i="10" s="1"/>
  <c r="P20" i="10" a="1"/>
  <c r="P20" i="10" s="1"/>
  <c r="R19" i="10" a="1"/>
  <c r="R19" i="10" s="1"/>
  <c r="Q19" i="10" a="1"/>
  <c r="Q19" i="10" s="1"/>
  <c r="P19" i="10" a="1"/>
  <c r="P19" i="10" s="1"/>
  <c r="S19" i="15"/>
  <c r="T19" i="15"/>
  <c r="S20" i="15"/>
  <c r="T20" i="15"/>
  <c r="S21" i="15"/>
  <c r="T21" i="15"/>
  <c r="P19" i="15" a="1"/>
  <c r="P19" i="15" s="1"/>
  <c r="P21" i="15" a="1"/>
  <c r="P21" i="15" s="1"/>
  <c r="P20" i="15" a="1"/>
  <c r="P20" i="15" s="1"/>
  <c r="R21" i="15" a="1"/>
  <c r="R21" i="15" s="1"/>
  <c r="R19" i="15" a="1"/>
  <c r="R19" i="15" s="1"/>
  <c r="Q21" i="15" a="1"/>
  <c r="Q21" i="15" s="1"/>
  <c r="Q20" i="15" a="1"/>
  <c r="Q20" i="15" s="1"/>
  <c r="Q19" i="15" a="1"/>
  <c r="Q19" i="15" s="1"/>
  <c r="R20" i="15" a="1"/>
  <c r="R20" i="15" s="1"/>
  <c r="T19" i="6"/>
  <c r="S19" i="6"/>
  <c r="S20" i="6"/>
  <c r="T20" i="6"/>
  <c r="S21" i="6"/>
  <c r="T21" i="6"/>
  <c r="R21" i="6" a="1"/>
  <c r="R21" i="6" s="1"/>
  <c r="R20" i="6" a="1"/>
  <c r="R20" i="6" s="1"/>
  <c r="R19" i="6" a="1"/>
  <c r="R19" i="6" s="1"/>
  <c r="Q21" i="6" a="1"/>
  <c r="Q21" i="6" s="1"/>
  <c r="Q20" i="6" a="1"/>
  <c r="Q20" i="6" s="1"/>
  <c r="Q19" i="6" a="1"/>
  <c r="Q19" i="6" s="1"/>
  <c r="P20" i="6" a="1"/>
  <c r="P20" i="6" s="1"/>
  <c r="P19" i="6" a="1"/>
  <c r="P19" i="6" s="1"/>
  <c r="P21" i="6" a="1"/>
  <c r="P21" i="6" s="1"/>
  <c r="S19" i="20"/>
  <c r="T19" i="20"/>
  <c r="S20" i="20"/>
  <c r="T20" i="20"/>
  <c r="S21" i="20"/>
  <c r="T21" i="20"/>
  <c r="R21" i="20" a="1"/>
  <c r="R21" i="20" s="1"/>
  <c r="Q21" i="20" a="1"/>
  <c r="Q21" i="20" s="1"/>
  <c r="P21" i="20" a="1"/>
  <c r="P21" i="20" s="1"/>
  <c r="R20" i="20" a="1"/>
  <c r="R20" i="20" s="1"/>
  <c r="Q20" i="20" a="1"/>
  <c r="Q20" i="20" s="1"/>
  <c r="P20" i="20" a="1"/>
  <c r="P20" i="20" s="1"/>
  <c r="R19" i="20" a="1"/>
  <c r="R19" i="20" s="1"/>
  <c r="Q19" i="20" a="1"/>
  <c r="Q19" i="20" s="1"/>
  <c r="P19" i="20" a="1"/>
  <c r="P19" i="20" s="1"/>
  <c r="S19" i="21"/>
  <c r="T19" i="21"/>
  <c r="S20" i="21"/>
  <c r="T20" i="21"/>
  <c r="S21" i="21"/>
  <c r="T21" i="21"/>
  <c r="R21" i="21" a="1"/>
  <c r="R21" i="21" s="1"/>
  <c r="Q21" i="21" a="1"/>
  <c r="Q21" i="21" s="1"/>
  <c r="P21" i="21" a="1"/>
  <c r="P21" i="21" s="1"/>
  <c r="R20" i="21" a="1"/>
  <c r="R20" i="21" s="1"/>
  <c r="Q20" i="21" a="1"/>
  <c r="Q20" i="21" s="1"/>
  <c r="P20" i="21" a="1"/>
  <c r="P20" i="21" s="1"/>
  <c r="R19" i="21" a="1"/>
  <c r="R19" i="21" s="1"/>
  <c r="Q19" i="21" a="1"/>
  <c r="Q19" i="21" s="1"/>
  <c r="P19" i="21" a="1"/>
  <c r="P19" i="21" s="1"/>
  <c r="S19" i="22"/>
  <c r="T19" i="22"/>
  <c r="S20" i="22"/>
  <c r="T20" i="22"/>
  <c r="S21" i="22"/>
  <c r="T21" i="22"/>
  <c r="R21" i="22" a="1"/>
  <c r="R21" i="22" s="1"/>
  <c r="Q21" i="22" a="1"/>
  <c r="Q21" i="22" s="1"/>
  <c r="P21" i="22" a="1"/>
  <c r="P21" i="22" s="1"/>
  <c r="R20" i="22" a="1"/>
  <c r="R20" i="22" s="1"/>
  <c r="Q20" i="22" a="1"/>
  <c r="Q20" i="22" s="1"/>
  <c r="P20" i="22" a="1"/>
  <c r="P20" i="22" s="1"/>
  <c r="R19" i="22" a="1"/>
  <c r="R19" i="22" s="1"/>
  <c r="Q19" i="22" a="1"/>
  <c r="Q19" i="22" s="1"/>
  <c r="S19" i="18"/>
  <c r="T19" i="18"/>
  <c r="S20" i="18"/>
  <c r="T20" i="18"/>
  <c r="S21" i="18"/>
  <c r="T21" i="18"/>
  <c r="R21" i="18" a="1"/>
  <c r="R21" i="18" s="1"/>
  <c r="R20" i="18" a="1"/>
  <c r="R20" i="18" s="1"/>
  <c r="R19" i="18" a="1"/>
  <c r="R19" i="18" s="1"/>
  <c r="Q21" i="18" a="1"/>
  <c r="Q21" i="18" s="1"/>
  <c r="Q20" i="18" a="1"/>
  <c r="Q20" i="18" s="1"/>
  <c r="Q19" i="18" a="1"/>
  <c r="Q19" i="18" s="1"/>
  <c r="P21" i="18" a="1"/>
  <c r="P21" i="18" s="1"/>
  <c r="P20" i="18" a="1"/>
  <c r="P20" i="18" s="1"/>
  <c r="P19" i="18" a="1"/>
  <c r="P19" i="18" s="1"/>
  <c r="S19" i="12"/>
  <c r="T19" i="12"/>
  <c r="S20" i="12"/>
  <c r="T20" i="12"/>
  <c r="S21" i="12"/>
  <c r="T21" i="12"/>
  <c r="R21" i="12" a="1"/>
  <c r="R21" i="12" s="1"/>
  <c r="Q21" i="12" a="1"/>
  <c r="Q21" i="12" s="1"/>
  <c r="P21" i="12" a="1"/>
  <c r="P21" i="12" s="1"/>
  <c r="R20" i="12" a="1"/>
  <c r="R20" i="12" s="1"/>
  <c r="Q20" i="12" a="1"/>
  <c r="Q20" i="12" s="1"/>
  <c r="P20" i="12" a="1"/>
  <c r="P20" i="12" s="1"/>
  <c r="R19" i="12" a="1"/>
  <c r="R19" i="12" s="1"/>
  <c r="Q19" i="12" a="1"/>
  <c r="Q19" i="12" s="1"/>
  <c r="P19" i="12" a="1"/>
  <c r="P19" i="12" s="1"/>
  <c r="S19" i="14"/>
  <c r="T19" i="14"/>
  <c r="S20" i="14"/>
  <c r="T20" i="14"/>
  <c r="S21" i="14"/>
  <c r="T21" i="14"/>
  <c r="R21" i="14" a="1"/>
  <c r="R21" i="14" s="1"/>
  <c r="Q21" i="14" a="1"/>
  <c r="Q21" i="14" s="1"/>
  <c r="P21" i="14" a="1"/>
  <c r="P21" i="14" s="1"/>
  <c r="R20" i="14" a="1"/>
  <c r="R20" i="14" s="1"/>
  <c r="Q20" i="14" a="1"/>
  <c r="Q20" i="14" s="1"/>
  <c r="P20" i="14" a="1"/>
  <c r="P20" i="14" s="1"/>
  <c r="R19" i="14" a="1"/>
  <c r="R19" i="14" s="1"/>
  <c r="Q19" i="14" a="1"/>
  <c r="Q19" i="14" s="1"/>
  <c r="P19" i="14" a="1"/>
  <c r="P19" i="14" s="1"/>
  <c r="T19" i="1"/>
  <c r="T21" i="1"/>
  <c r="T20" i="1"/>
  <c r="S21" i="1"/>
  <c r="N5" i="2" a="1"/>
  <c r="O6" i="2" a="1"/>
  <c r="N6" i="2" a="1"/>
  <c r="M6" i="2" a="1"/>
  <c r="M7" i="2" a="1"/>
  <c r="N7" i="2" a="1"/>
  <c r="K7" i="2" a="1"/>
  <c r="L7" i="2" a="1"/>
  <c r="L6" i="2" a="1"/>
  <c r="K5" i="2" a="1"/>
  <c r="O7" i="2" a="1"/>
  <c r="K6" i="2" a="1"/>
  <c r="L5" i="2" a="1"/>
  <c r="O5" i="2" a="1"/>
  <c r="M5" i="2" a="1"/>
  <c r="J20" i="11" l="1"/>
  <c r="J16" i="8"/>
  <c r="U20" i="19"/>
  <c r="I20" i="8"/>
  <c r="J23" i="10"/>
  <c r="J20" i="4"/>
  <c r="J21" i="4" s="1"/>
  <c r="J22" i="4" s="1"/>
  <c r="J23" i="4" s="1"/>
  <c r="J15" i="4"/>
  <c r="J16" i="4" s="1"/>
  <c r="J17" i="4" s="1"/>
  <c r="J29" i="13"/>
  <c r="O5" i="2"/>
  <c r="K7" i="2"/>
  <c r="L7" i="2"/>
  <c r="K6" i="2"/>
  <c r="N5" i="2"/>
  <c r="M7" i="2"/>
  <c r="M6" i="2"/>
  <c r="L6" i="2"/>
  <c r="M5" i="2"/>
  <c r="N7" i="2"/>
  <c r="O6" i="2"/>
  <c r="O7" i="2"/>
  <c r="N6" i="2"/>
  <c r="K5" i="2"/>
  <c r="L5" i="2"/>
  <c r="I21" i="10"/>
  <c r="I7" i="10"/>
  <c r="I8" i="10" s="1"/>
  <c r="J14" i="7"/>
  <c r="I37" i="13"/>
  <c r="I9" i="11"/>
  <c r="J34" i="6"/>
  <c r="J35" i="6" s="1"/>
  <c r="J36" i="6" s="1"/>
  <c r="J37" i="6" s="1"/>
  <c r="J38" i="6" s="1"/>
  <c r="I37" i="11"/>
  <c r="J21" i="14"/>
  <c r="J22" i="14" s="1"/>
  <c r="J6" i="14"/>
  <c r="I32" i="13"/>
  <c r="I33" i="13" s="1"/>
  <c r="I34" i="13" s="1"/>
  <c r="I26" i="7"/>
  <c r="J37" i="8"/>
  <c r="I8" i="14"/>
  <c r="J33" i="11"/>
  <c r="I35" i="6"/>
  <c r="I33" i="7"/>
  <c r="I20" i="3"/>
  <c r="I21" i="3" s="1"/>
  <c r="I22" i="3" s="1"/>
  <c r="I14" i="3"/>
  <c r="I15" i="3" s="1"/>
  <c r="I29" i="8"/>
  <c r="J27" i="8"/>
  <c r="J28" i="8" s="1"/>
  <c r="J29" i="8" s="1"/>
  <c r="J9" i="6"/>
  <c r="I11" i="4"/>
  <c r="J17" i="10"/>
  <c r="J30" i="13"/>
  <c r="J31" i="13" s="1"/>
  <c r="J21" i="11"/>
  <c r="J22" i="11" s="1"/>
  <c r="J24" i="10"/>
  <c r="J17" i="3"/>
  <c r="I5" i="14"/>
  <c r="I34" i="10"/>
  <c r="J18" i="14"/>
  <c r="I18" i="14"/>
  <c r="I2" i="8" a="1"/>
  <c r="I2" i="8" s="1"/>
  <c r="L2" i="8" a="1"/>
  <c r="L2" i="8" s="1"/>
  <c r="K2" i="8" a="1"/>
  <c r="K2" i="8" s="1"/>
  <c r="J2" i="8" a="1"/>
  <c r="J2" i="8" s="1"/>
  <c r="J3" i="8" s="1"/>
  <c r="J4" i="8" s="1"/>
  <c r="J5" i="8" s="1"/>
  <c r="I3" i="10"/>
  <c r="I4" i="10" s="1"/>
  <c r="I5" i="10" s="1"/>
  <c r="J3" i="10"/>
  <c r="J4" i="10" s="1"/>
  <c r="J23" i="6"/>
  <c r="J24" i="6" s="1"/>
  <c r="J25" i="6" s="1"/>
  <c r="J26" i="6" s="1"/>
  <c r="J27" i="6" s="1"/>
  <c r="I23" i="6"/>
  <c r="J7" i="11"/>
  <c r="J8" i="11" s="1"/>
  <c r="I7" i="11"/>
  <c r="J25" i="14"/>
  <c r="J26" i="14" s="1"/>
  <c r="J31" i="10"/>
  <c r="I31" i="10"/>
  <c r="J26" i="11"/>
  <c r="J27" i="11" s="1"/>
  <c r="J28" i="11" s="1"/>
  <c r="I26" i="11"/>
  <c r="I27" i="10"/>
  <c r="J27" i="10"/>
  <c r="J28" i="10" s="1"/>
  <c r="J29" i="10" s="1"/>
  <c r="I2" i="10" a="1"/>
  <c r="I2" i="10" s="1"/>
  <c r="L2" i="10" a="1"/>
  <c r="L2" i="10" s="1"/>
  <c r="K2" i="10" a="1"/>
  <c r="K2" i="10" s="1"/>
  <c r="J2" i="10" a="1"/>
  <c r="J2" i="10" s="1"/>
  <c r="J32" i="11"/>
  <c r="I32" i="11"/>
  <c r="I33" i="11" s="1"/>
  <c r="I34" i="11" s="1"/>
  <c r="J8" i="4"/>
  <c r="I8" i="4"/>
  <c r="I9" i="4" s="1"/>
  <c r="J21" i="8"/>
  <c r="J22" i="8" s="1"/>
  <c r="J23" i="8" s="1"/>
  <c r="I21" i="8"/>
  <c r="J6" i="10"/>
  <c r="I20" i="7"/>
  <c r="I21" i="7" s="1"/>
  <c r="I22" i="7" s="1"/>
  <c r="I23" i="7" s="1"/>
  <c r="J20" i="7"/>
  <c r="J24" i="14"/>
  <c r="I24" i="14"/>
  <c r="I25" i="14" s="1"/>
  <c r="I26" i="14" s="1"/>
  <c r="I27" i="14" s="1"/>
  <c r="J28" i="14"/>
  <c r="J10" i="6"/>
  <c r="J11" i="6" s="1"/>
  <c r="J12" i="6" s="1"/>
  <c r="J13" i="6" s="1"/>
  <c r="J14" i="6" s="1"/>
  <c r="J2" i="6" a="1"/>
  <c r="J2" i="6" s="1"/>
  <c r="I2" i="6" a="1"/>
  <c r="I2" i="6" s="1"/>
  <c r="L2" i="6" a="1"/>
  <c r="L2" i="6" s="1"/>
  <c r="K2" i="6" a="1"/>
  <c r="K2" i="6" s="1"/>
  <c r="I4" i="11"/>
  <c r="J15" i="7"/>
  <c r="J16" i="7" s="1"/>
  <c r="J37" i="14"/>
  <c r="I37" i="14"/>
  <c r="I38" i="14" s="1"/>
  <c r="I39" i="14" s="1"/>
  <c r="I19" i="11"/>
  <c r="J8" i="3"/>
  <c r="J9" i="3" s="1"/>
  <c r="J10" i="3" s="1"/>
  <c r="I8" i="3"/>
  <c r="I9" i="3" s="1"/>
  <c r="J2" i="3" a="1"/>
  <c r="J2" i="3" s="1"/>
  <c r="I2" i="3" a="1"/>
  <c r="I2" i="3" s="1"/>
  <c r="L2" i="3" a="1"/>
  <c r="L2" i="3" s="1"/>
  <c r="K2" i="3" a="1"/>
  <c r="K2" i="3" s="1"/>
  <c r="I34" i="3"/>
  <c r="J34" i="3"/>
  <c r="J35" i="3" s="1"/>
  <c r="I29" i="3"/>
  <c r="J38" i="12"/>
  <c r="I38" i="12"/>
  <c r="I39" i="12" s="1"/>
  <c r="I39" i="13"/>
  <c r="J26" i="13"/>
  <c r="I26" i="13"/>
  <c r="I27" i="13" s="1"/>
  <c r="I28" i="13" s="1"/>
  <c r="I29" i="13" s="1"/>
  <c r="I30" i="13" s="1"/>
  <c r="I5" i="13"/>
  <c r="J5" i="13"/>
  <c r="I25" i="13"/>
  <c r="J3" i="12"/>
  <c r="J4" i="12" s="1"/>
  <c r="I3" i="12"/>
  <c r="I4" i="12" s="1"/>
  <c r="J26" i="10"/>
  <c r="I26" i="10"/>
  <c r="J39" i="6"/>
  <c r="I39" i="6"/>
  <c r="J11" i="13"/>
  <c r="I11" i="13"/>
  <c r="L2" i="14" a="1"/>
  <c r="L2" i="14" s="1"/>
  <c r="K2" i="14" a="1"/>
  <c r="K2" i="14" s="1"/>
  <c r="J2" i="14" a="1"/>
  <c r="J2" i="14" s="1"/>
  <c r="I2" i="14" a="1"/>
  <c r="I2" i="14" s="1"/>
  <c r="L2" i="12" a="1"/>
  <c r="L2" i="12" s="1"/>
  <c r="K2" i="12" a="1"/>
  <c r="K2" i="12" s="1"/>
  <c r="J2" i="12" a="1"/>
  <c r="J2" i="12" s="1"/>
  <c r="I2" i="12" a="1"/>
  <c r="I2" i="12" s="1"/>
  <c r="I31" i="8"/>
  <c r="I32" i="8" s="1"/>
  <c r="J31" i="8"/>
  <c r="J39" i="3"/>
  <c r="I39" i="3"/>
  <c r="I11" i="6"/>
  <c r="J35" i="8"/>
  <c r="I35" i="8"/>
  <c r="I36" i="8" s="1"/>
  <c r="I37" i="8" s="1"/>
  <c r="I38" i="8" s="1"/>
  <c r="I10" i="14"/>
  <c r="I13" i="12"/>
  <c r="J39" i="8"/>
  <c r="I39" i="8"/>
  <c r="J9" i="8"/>
  <c r="I18" i="8"/>
  <c r="J7" i="8"/>
  <c r="J4" i="4"/>
  <c r="J5" i="4" s="1"/>
  <c r="I4" i="4"/>
  <c r="J34" i="4"/>
  <c r="I34" i="4"/>
  <c r="I35" i="4" s="1"/>
  <c r="I26" i="4"/>
  <c r="I27" i="4" s="1"/>
  <c r="I28" i="4" s="1"/>
  <c r="J26" i="4"/>
  <c r="J27" i="4" s="1"/>
  <c r="J38" i="10"/>
  <c r="J39" i="10" s="1"/>
  <c r="J27" i="7"/>
  <c r="J28" i="7" s="1"/>
  <c r="I27" i="7"/>
  <c r="J39" i="14"/>
  <c r="J17" i="6"/>
  <c r="I17" i="6"/>
  <c r="J29" i="12"/>
  <c r="I29" i="12"/>
  <c r="I30" i="12" s="1"/>
  <c r="J11" i="3"/>
  <c r="J12" i="3" s="1"/>
  <c r="J13" i="3" s="1"/>
  <c r="J14" i="3" s="1"/>
  <c r="I11" i="3"/>
  <c r="I12" i="3" s="1"/>
  <c r="I4" i="6"/>
  <c r="I5" i="6" s="1"/>
  <c r="I3" i="8"/>
  <c r="J37" i="7"/>
  <c r="J38" i="7" s="1"/>
  <c r="J39" i="7" s="1"/>
  <c r="L2" i="11" a="1"/>
  <c r="L2" i="11" s="1"/>
  <c r="K2" i="11" a="1"/>
  <c r="K2" i="11" s="1"/>
  <c r="J2" i="11" a="1"/>
  <c r="J2" i="11" s="1"/>
  <c r="I2" i="11" a="1"/>
  <c r="I2" i="11" s="1"/>
  <c r="I5" i="12"/>
  <c r="I6" i="12" s="1"/>
  <c r="J5" i="12"/>
  <c r="J15" i="12"/>
  <c r="J35" i="13"/>
  <c r="J36" i="13" s="1"/>
  <c r="I35" i="13"/>
  <c r="J19" i="13"/>
  <c r="I19" i="13"/>
  <c r="J4" i="13"/>
  <c r="J12" i="13"/>
  <c r="J13" i="13" s="1"/>
  <c r="I12" i="13"/>
  <c r="K2" i="13" a="1"/>
  <c r="K2" i="13" s="1"/>
  <c r="J2" i="13" a="1"/>
  <c r="J2" i="13" s="1"/>
  <c r="I2" i="13" a="1"/>
  <c r="I2" i="13" s="1"/>
  <c r="L2" i="13" a="1"/>
  <c r="L2" i="13" s="1"/>
  <c r="J10" i="8"/>
  <c r="J11" i="8" s="1"/>
  <c r="I10" i="8"/>
  <c r="I12" i="8"/>
  <c r="J12" i="8"/>
  <c r="J10" i="12"/>
  <c r="J11" i="12" s="1"/>
  <c r="J12" i="12" s="1"/>
  <c r="I10" i="12"/>
  <c r="I11" i="12" s="1"/>
  <c r="J35" i="10"/>
  <c r="J36" i="10" s="1"/>
  <c r="I35" i="10"/>
  <c r="J6" i="4"/>
  <c r="I6" i="4"/>
  <c r="I7" i="4" s="1"/>
  <c r="I17" i="7"/>
  <c r="J17" i="7"/>
  <c r="J18" i="7" s="1"/>
  <c r="L2" i="7" a="1"/>
  <c r="L2" i="7" s="1"/>
  <c r="K2" i="7" a="1"/>
  <c r="K2" i="7" s="1"/>
  <c r="J2" i="7" a="1"/>
  <c r="J2" i="7" s="1"/>
  <c r="I2" i="7" a="1"/>
  <c r="I2" i="7" s="1"/>
  <c r="J23" i="11"/>
  <c r="I23" i="11"/>
  <c r="I24" i="11" s="1"/>
  <c r="I24" i="6"/>
  <c r="J11" i="11"/>
  <c r="J12" i="11" s="1"/>
  <c r="I11" i="11"/>
  <c r="I12" i="11" s="1"/>
  <c r="I13" i="11" s="1"/>
  <c r="J31" i="14"/>
  <c r="I31" i="14"/>
  <c r="I32" i="14" s="1"/>
  <c r="I33" i="14" s="1"/>
  <c r="J19" i="8"/>
  <c r="I20" i="12"/>
  <c r="I21" i="12" s="1"/>
  <c r="J24" i="7"/>
  <c r="J25" i="7" s="1"/>
  <c r="J26" i="7" s="1"/>
  <c r="I24" i="7"/>
  <c r="I22" i="10"/>
  <c r="I23" i="10" s="1"/>
  <c r="J31" i="3"/>
  <c r="J32" i="3" s="1"/>
  <c r="J30" i="4"/>
  <c r="J31" i="4" s="1"/>
  <c r="I30" i="4"/>
  <c r="J9" i="7"/>
  <c r="I9" i="7"/>
  <c r="J7" i="14"/>
  <c r="J8" i="14" s="1"/>
  <c r="J9" i="14" s="1"/>
  <c r="J29" i="11"/>
  <c r="I29" i="11"/>
  <c r="I30" i="11" s="1"/>
  <c r="I31" i="11" s="1"/>
  <c r="K2" i="4" a="1"/>
  <c r="K2" i="4" s="1"/>
  <c r="L2" i="4" a="1"/>
  <c r="L2" i="4" s="1"/>
  <c r="J2" i="4" a="1"/>
  <c r="J2" i="4" s="1"/>
  <c r="I2" i="4" a="1"/>
  <c r="I2" i="4" s="1"/>
  <c r="J24" i="8"/>
  <c r="I24" i="8"/>
  <c r="I25" i="8" s="1"/>
  <c r="I26" i="8" s="1"/>
  <c r="I27" i="8" s="1"/>
  <c r="J33" i="8"/>
  <c r="I13" i="4"/>
  <c r="I14" i="4" s="1"/>
  <c r="J11" i="7"/>
  <c r="J12" i="7" s="1"/>
  <c r="I11" i="7"/>
  <c r="I12" i="7" s="1"/>
  <c r="I13" i="7" s="1"/>
  <c r="J12" i="14"/>
  <c r="J13" i="14" s="1"/>
  <c r="J14" i="14" s="1"/>
  <c r="J15" i="14" s="1"/>
  <c r="J16" i="14" s="1"/>
  <c r="I12" i="14"/>
  <c r="I13" i="14" s="1"/>
  <c r="J19" i="14"/>
  <c r="I19" i="14"/>
  <c r="I20" i="14" s="1"/>
  <c r="I21" i="14" s="1"/>
  <c r="J4" i="14"/>
  <c r="J21" i="6"/>
  <c r="I21" i="6"/>
  <c r="J18" i="12"/>
  <c r="J19" i="12" s="1"/>
  <c r="I18" i="12"/>
  <c r="I29" i="14"/>
  <c r="J29" i="14"/>
  <c r="J30" i="14" s="1"/>
  <c r="I37" i="3"/>
  <c r="J3" i="3"/>
  <c r="J4" i="3" s="1"/>
  <c r="I3" i="3"/>
  <c r="I4" i="3" s="1"/>
  <c r="I5" i="3" s="1"/>
  <c r="I20" i="6"/>
  <c r="I30" i="10"/>
  <c r="I25" i="11"/>
  <c r="J25" i="11"/>
  <c r="I37" i="4"/>
  <c r="I38" i="4" s="1"/>
  <c r="I39" i="4" s="1"/>
  <c r="J37" i="4"/>
  <c r="I24" i="3"/>
  <c r="J19" i="3"/>
  <c r="J20" i="3" s="1"/>
  <c r="J21" i="3" s="1"/>
  <c r="J22" i="3" s="1"/>
  <c r="J23" i="3" s="1"/>
  <c r="J24" i="3" s="1"/>
  <c r="J25" i="3" s="1"/>
  <c r="J6" i="3"/>
  <c r="I6" i="3"/>
  <c r="I7" i="3" s="1"/>
  <c r="J38" i="3"/>
  <c r="I38" i="3"/>
  <c r="J24" i="12"/>
  <c r="J25" i="12" s="1"/>
  <c r="J31" i="12"/>
  <c r="I31" i="12"/>
  <c r="I32" i="12" s="1"/>
  <c r="I33" i="12" s="1"/>
  <c r="I34" i="12" s="1"/>
  <c r="I35" i="12" s="1"/>
  <c r="J6" i="13"/>
  <c r="I6" i="13"/>
  <c r="I7" i="13" s="1"/>
  <c r="J8" i="13"/>
  <c r="I8" i="13"/>
  <c r="I9" i="13" s="1"/>
  <c r="J38" i="13"/>
  <c r="J7" i="6"/>
  <c r="I7" i="6"/>
  <c r="I8" i="6" s="1"/>
  <c r="I9" i="6" s="1"/>
  <c r="J5" i="11"/>
  <c r="J6" i="11" s="1"/>
  <c r="I5" i="11"/>
  <c r="I34" i="8"/>
  <c r="J22" i="6"/>
  <c r="I22" i="6"/>
  <c r="J23" i="13"/>
  <c r="I23" i="13"/>
  <c r="J5" i="7"/>
  <c r="I5" i="7"/>
  <c r="I29" i="4"/>
  <c r="J29" i="4"/>
  <c r="J6" i="7"/>
  <c r="J7" i="7" s="1"/>
  <c r="J8" i="7" s="1"/>
  <c r="I6" i="7"/>
  <c r="J26" i="12"/>
  <c r="I26" i="12"/>
  <c r="I27" i="12" s="1"/>
  <c r="I28" i="12" s="1"/>
  <c r="I10" i="10"/>
  <c r="I11" i="10" s="1"/>
  <c r="I12" i="10" s="1"/>
  <c r="I13" i="10" s="1"/>
  <c r="I14" i="10" s="1"/>
  <c r="I15" i="10" s="1"/>
  <c r="I16" i="10" s="1"/>
  <c r="I17" i="10" s="1"/>
  <c r="J18" i="10"/>
  <c r="J19" i="10" s="1"/>
  <c r="J20" i="10" s="1"/>
  <c r="J21" i="10" s="1"/>
  <c r="I18" i="10"/>
  <c r="J38" i="11"/>
  <c r="J39" i="11" s="1"/>
  <c r="I38" i="11"/>
  <c r="I39" i="11" s="1"/>
  <c r="J14" i="11"/>
  <c r="J10" i="7"/>
  <c r="I10" i="7"/>
  <c r="I15" i="13"/>
  <c r="I16" i="13" s="1"/>
  <c r="I17" i="13" s="1"/>
  <c r="I5" i="8"/>
  <c r="I6" i="8" s="1"/>
  <c r="J30" i="8"/>
  <c r="I30" i="8"/>
  <c r="J13" i="8"/>
  <c r="J14" i="8" s="1"/>
  <c r="I13" i="8"/>
  <c r="I14" i="8" s="1"/>
  <c r="I15" i="8" s="1"/>
  <c r="J36" i="4"/>
  <c r="I36" i="4"/>
  <c r="I24" i="4"/>
  <c r="I25" i="4" s="1"/>
  <c r="I32" i="4"/>
  <c r="I33" i="4" s="1"/>
  <c r="J31" i="7"/>
  <c r="J32" i="7" s="1"/>
  <c r="J33" i="7" s="1"/>
  <c r="J34" i="7" s="1"/>
  <c r="I31" i="7"/>
  <c r="I35" i="14"/>
  <c r="J35" i="14"/>
  <c r="J36" i="14" s="1"/>
  <c r="J34" i="14"/>
  <c r="J18" i="6"/>
  <c r="J19" i="6" s="1"/>
  <c r="I18" i="6"/>
  <c r="I36" i="12"/>
  <c r="I37" i="12" s="1"/>
  <c r="J36" i="12"/>
  <c r="J34" i="11"/>
  <c r="J35" i="11" s="1"/>
  <c r="J36" i="11" s="1"/>
  <c r="J37" i="11" s="1"/>
  <c r="J10" i="11"/>
  <c r="I33" i="3"/>
  <c r="J26" i="3"/>
  <c r="J27" i="3" s="1"/>
  <c r="J28" i="3" s="1"/>
  <c r="I26" i="3"/>
  <c r="I14" i="12"/>
  <c r="I15" i="12" s="1"/>
  <c r="I16" i="12" s="1"/>
  <c r="I17" i="12" s="1"/>
  <c r="J14" i="12"/>
  <c r="I23" i="12"/>
  <c r="I8" i="12"/>
  <c r="J8" i="12"/>
  <c r="J9" i="12" s="1"/>
  <c r="I15" i="11"/>
  <c r="I16" i="11" s="1"/>
  <c r="I17" i="11" s="1"/>
  <c r="J15" i="11"/>
  <c r="J20" i="13"/>
  <c r="J21" i="13" s="1"/>
  <c r="I20" i="13"/>
  <c r="I21" i="13" s="1"/>
  <c r="I22" i="13" s="1"/>
  <c r="J24" i="13"/>
  <c r="J25" i="13" s="1"/>
  <c r="I24" i="13"/>
  <c r="J14" i="13"/>
  <c r="J15" i="13" s="1"/>
  <c r="J16" i="13" s="1"/>
  <c r="J17" i="13" s="1"/>
  <c r="J18" i="13" s="1"/>
  <c r="I14" i="13"/>
  <c r="J10" i="13"/>
  <c r="I3" i="1"/>
  <c r="J30" i="7"/>
  <c r="J32" i="10"/>
  <c r="J33" i="10" s="1"/>
  <c r="I32" i="10"/>
  <c r="AQ3" i="25"/>
  <c r="J8" i="22"/>
  <c r="J12" i="22"/>
  <c r="I12" i="22"/>
  <c r="I13" i="22" s="1"/>
  <c r="I14" i="22" s="1"/>
  <c r="J4" i="22"/>
  <c r="J5" i="22" s="1"/>
  <c r="J6" i="22" s="1"/>
  <c r="I4" i="22"/>
  <c r="J9" i="22"/>
  <c r="L2" i="22" a="1"/>
  <c r="L2" i="22" s="1"/>
  <c r="L3" i="22" s="1" a="1"/>
  <c r="L3" i="22" s="1"/>
  <c r="L4" i="22" s="1" a="1"/>
  <c r="L4" i="22" s="1"/>
  <c r="L5" i="22" s="1" a="1"/>
  <c r="L5" i="22" s="1"/>
  <c r="L6" i="22" s="1" a="1"/>
  <c r="L6" i="22" s="1"/>
  <c r="L7" i="22" s="1" a="1"/>
  <c r="L7" i="22" s="1"/>
  <c r="L8" i="22" s="1" a="1"/>
  <c r="L8" i="22" s="1"/>
  <c r="L9" i="22" s="1" a="1"/>
  <c r="L9" i="22" s="1"/>
  <c r="L10" i="22" s="1" a="1"/>
  <c r="L10" i="22" s="1"/>
  <c r="L11" i="22" s="1" a="1"/>
  <c r="L11" i="22" s="1"/>
  <c r="L12" i="22" s="1" a="1"/>
  <c r="L12" i="22" s="1"/>
  <c r="L13" i="22" s="1" a="1"/>
  <c r="L13" i="22" s="1"/>
  <c r="L14" i="22" s="1" a="1"/>
  <c r="L14" i="22" s="1"/>
  <c r="L15" i="22" s="1" a="1"/>
  <c r="L15" i="22" s="1"/>
  <c r="L16" i="22" s="1" a="1"/>
  <c r="L16" i="22" s="1"/>
  <c r="L17" i="22" s="1" a="1"/>
  <c r="L17" i="22" s="1"/>
  <c r="L18" i="22" s="1" a="1"/>
  <c r="L18" i="22" s="1"/>
  <c r="L19" i="22" s="1" a="1"/>
  <c r="L19" i="22" s="1"/>
  <c r="L20" i="22" s="1" a="1"/>
  <c r="L20" i="22" s="1"/>
  <c r="L21" i="22" s="1" a="1"/>
  <c r="L21" i="22" s="1"/>
  <c r="L22" i="22" s="1" a="1"/>
  <c r="L22" i="22" s="1"/>
  <c r="L23" i="22" s="1" a="1"/>
  <c r="L23" i="22" s="1"/>
  <c r="L24" i="22" s="1" a="1"/>
  <c r="L24" i="22" s="1"/>
  <c r="L25" i="22" s="1" a="1"/>
  <c r="L25" i="22" s="1"/>
  <c r="L26" i="22" s="1" a="1"/>
  <c r="L26" i="22" s="1"/>
  <c r="L27" i="22" s="1" a="1"/>
  <c r="L27" i="22" s="1"/>
  <c r="L28" i="22" s="1" a="1"/>
  <c r="L28" i="22" s="1"/>
  <c r="L29" i="22" s="1" a="1"/>
  <c r="L29" i="22" s="1"/>
  <c r="L30" i="22" s="1" a="1"/>
  <c r="L30" i="22" s="1"/>
  <c r="L31" i="22" s="1" a="1"/>
  <c r="L31" i="22" s="1"/>
  <c r="L32" i="22" s="1" a="1"/>
  <c r="L32" i="22" s="1"/>
  <c r="L33" i="22" s="1" a="1"/>
  <c r="L33" i="22" s="1"/>
  <c r="L34" i="22" s="1" a="1"/>
  <c r="L34" i="22" s="1"/>
  <c r="L35" i="22" s="1" a="1"/>
  <c r="L35" i="22" s="1"/>
  <c r="L36" i="22" s="1" a="1"/>
  <c r="L36" i="22" s="1"/>
  <c r="L37" i="22" s="1" a="1"/>
  <c r="L37" i="22" s="1"/>
  <c r="L38" i="22" s="1" a="1"/>
  <c r="L38" i="22" s="1"/>
  <c r="L39" i="22" s="1" a="1"/>
  <c r="L39" i="22" s="1"/>
  <c r="K2" i="22" a="1"/>
  <c r="K2" i="22" s="1"/>
  <c r="K3" i="22" s="1" a="1"/>
  <c r="K3" i="22" s="1"/>
  <c r="K4" i="22" s="1" a="1"/>
  <c r="K4" i="22" s="1"/>
  <c r="K5" i="22" s="1" a="1"/>
  <c r="K5" i="22" s="1"/>
  <c r="K6" i="22" s="1" a="1"/>
  <c r="K6" i="22" s="1"/>
  <c r="K7" i="22" s="1" a="1"/>
  <c r="K7" i="22" s="1"/>
  <c r="K8" i="22" s="1" a="1"/>
  <c r="K8" i="22" s="1"/>
  <c r="K9" i="22" s="1" a="1"/>
  <c r="K9" i="22" s="1"/>
  <c r="K10" i="22" s="1" a="1"/>
  <c r="K10" i="22" s="1"/>
  <c r="K11" i="22" s="1" a="1"/>
  <c r="K11" i="22" s="1"/>
  <c r="K12" i="22" s="1" a="1"/>
  <c r="K12" i="22" s="1"/>
  <c r="K13" i="22" s="1" a="1"/>
  <c r="K13" i="22" s="1"/>
  <c r="K14" i="22" s="1" a="1"/>
  <c r="K14" i="22" s="1"/>
  <c r="K15" i="22" s="1" a="1"/>
  <c r="K15" i="22" s="1"/>
  <c r="K16" i="22" s="1" a="1"/>
  <c r="K16" i="22" s="1"/>
  <c r="K17" i="22" s="1" a="1"/>
  <c r="K17" i="22" s="1"/>
  <c r="K18" i="22" s="1" a="1"/>
  <c r="K18" i="22" s="1"/>
  <c r="K19" i="22" s="1" a="1"/>
  <c r="K19" i="22" s="1"/>
  <c r="K20" i="22" s="1" a="1"/>
  <c r="K20" i="22" s="1"/>
  <c r="K21" i="22" s="1" a="1"/>
  <c r="K21" i="22" s="1"/>
  <c r="K22" i="22" s="1" a="1"/>
  <c r="K22" i="22" s="1"/>
  <c r="K23" i="22" s="1" a="1"/>
  <c r="K23" i="22" s="1"/>
  <c r="K24" i="22" s="1" a="1"/>
  <c r="K24" i="22" s="1"/>
  <c r="K25" i="22" s="1" a="1"/>
  <c r="K25" i="22" s="1"/>
  <c r="K26" i="22" s="1" a="1"/>
  <c r="K26" i="22" s="1"/>
  <c r="K27" i="22" s="1" a="1"/>
  <c r="K27" i="22" s="1"/>
  <c r="K28" i="22" s="1" a="1"/>
  <c r="K28" i="22" s="1"/>
  <c r="K29" i="22" s="1" a="1"/>
  <c r="K29" i="22" s="1"/>
  <c r="K30" i="22" s="1" a="1"/>
  <c r="K30" i="22" s="1"/>
  <c r="K31" i="22" s="1" a="1"/>
  <c r="K31" i="22" s="1"/>
  <c r="K32" i="22" s="1" a="1"/>
  <c r="K32" i="22" s="1"/>
  <c r="K33" i="22" s="1" a="1"/>
  <c r="K33" i="22" s="1"/>
  <c r="K34" i="22" s="1" a="1"/>
  <c r="K34" i="22" s="1"/>
  <c r="K35" i="22" s="1" a="1"/>
  <c r="K35" i="22" s="1"/>
  <c r="K36" i="22" s="1" a="1"/>
  <c r="K36" i="22" s="1"/>
  <c r="K37" i="22" s="1" a="1"/>
  <c r="K37" i="22" s="1"/>
  <c r="K38" i="22" s="1" a="1"/>
  <c r="K38" i="22" s="1"/>
  <c r="K39" i="22" s="1" a="1"/>
  <c r="K39" i="22" s="1"/>
  <c r="J2" i="22" a="1"/>
  <c r="J2" i="22" s="1"/>
  <c r="I2" i="22" a="1"/>
  <c r="I2" i="22" s="1"/>
  <c r="I34" i="22"/>
  <c r="J11" i="22"/>
  <c r="I11" i="22"/>
  <c r="J27" i="22"/>
  <c r="I27" i="22"/>
  <c r="I28" i="22" s="1"/>
  <c r="I29" i="22" s="1"/>
  <c r="J28" i="22"/>
  <c r="J29" i="22" s="1"/>
  <c r="J20" i="22"/>
  <c r="J21" i="22" s="1"/>
  <c r="J22" i="22" s="1"/>
  <c r="J13" i="22"/>
  <c r="I22" i="22"/>
  <c r="J38" i="22"/>
  <c r="J39" i="22" s="1"/>
  <c r="J15" i="22"/>
  <c r="I15" i="22"/>
  <c r="I16" i="22" s="1"/>
  <c r="J31" i="22"/>
  <c r="J16" i="22"/>
  <c r="J17" i="22" s="1"/>
  <c r="J18" i="22" s="1"/>
  <c r="J19" i="22" s="1"/>
  <c r="J36" i="22"/>
  <c r="I17" i="22"/>
  <c r="I18" i="22" s="1"/>
  <c r="I19" i="22" s="1"/>
  <c r="I20" i="22" s="1"/>
  <c r="J33" i="22"/>
  <c r="J34" i="22" s="1"/>
  <c r="J35" i="22" s="1"/>
  <c r="J10" i="22"/>
  <c r="I10" i="22"/>
  <c r="J26" i="22"/>
  <c r="I26" i="22"/>
  <c r="J3" i="22"/>
  <c r="I3" i="22"/>
  <c r="I35" i="22"/>
  <c r="I36" i="22" s="1"/>
  <c r="J32" i="22"/>
  <c r="I5" i="22"/>
  <c r="I6" i="22" s="1"/>
  <c r="I21" i="22"/>
  <c r="J37" i="22"/>
  <c r="I37" i="22"/>
  <c r="I38" i="22" s="1"/>
  <c r="J14" i="22"/>
  <c r="J30" i="22"/>
  <c r="I30" i="22"/>
  <c r="I31" i="22" s="1"/>
  <c r="I32" i="22" s="1"/>
  <c r="I33" i="22" s="1"/>
  <c r="J7" i="22"/>
  <c r="I7" i="22"/>
  <c r="I8" i="22" s="1"/>
  <c r="I9" i="22" s="1"/>
  <c r="J23" i="22"/>
  <c r="J24" i="22" s="1"/>
  <c r="J25" i="22" s="1"/>
  <c r="I23" i="22"/>
  <c r="I24" i="22" s="1"/>
  <c r="I25" i="22" s="1"/>
  <c r="I39" i="22"/>
  <c r="J25" i="21"/>
  <c r="J26" i="21" s="1"/>
  <c r="J27" i="21" s="1"/>
  <c r="J28" i="21"/>
  <c r="J29" i="21" s="1"/>
  <c r="J19" i="21"/>
  <c r="J20" i="21" s="1"/>
  <c r="J21" i="21" s="1"/>
  <c r="J3" i="21"/>
  <c r="J4" i="21" s="1"/>
  <c r="I3" i="21"/>
  <c r="I4" i="21" s="1"/>
  <c r="I5" i="21" s="1"/>
  <c r="I6" i="21" s="1"/>
  <c r="J22" i="21"/>
  <c r="I22" i="21"/>
  <c r="I23" i="21" s="1"/>
  <c r="L2" i="21" a="1"/>
  <c r="L2" i="21" s="1"/>
  <c r="K2" i="21" a="1"/>
  <c r="K2" i="21" s="1"/>
  <c r="J2" i="21" a="1"/>
  <c r="J2" i="21" s="1"/>
  <c r="I2" i="21" a="1"/>
  <c r="I2" i="21" s="1"/>
  <c r="J37" i="21"/>
  <c r="J38" i="21" s="1"/>
  <c r="J5" i="21"/>
  <c r="I24" i="21"/>
  <c r="I25" i="21" s="1"/>
  <c r="J8" i="21"/>
  <c r="J9" i="21" s="1"/>
  <c r="I15" i="21"/>
  <c r="I16" i="21" s="1"/>
  <c r="I26" i="21"/>
  <c r="J6" i="21"/>
  <c r="J7" i="21" s="1"/>
  <c r="I33" i="21"/>
  <c r="I34" i="21" s="1"/>
  <c r="I35" i="21" s="1"/>
  <c r="I17" i="21"/>
  <c r="I36" i="21"/>
  <c r="I37" i="21" s="1"/>
  <c r="I20" i="21"/>
  <c r="I21" i="21" s="1"/>
  <c r="I27" i="21"/>
  <c r="I28" i="21" s="1"/>
  <c r="J10" i="21"/>
  <c r="J11" i="21" s="1"/>
  <c r="J12" i="21" s="1"/>
  <c r="J34" i="21"/>
  <c r="J35" i="21" s="1"/>
  <c r="J36" i="21" s="1"/>
  <c r="J30" i="21"/>
  <c r="J31" i="21" s="1"/>
  <c r="I14" i="21"/>
  <c r="J13" i="21"/>
  <c r="J14" i="21" s="1"/>
  <c r="J15" i="21" s="1"/>
  <c r="J32" i="21"/>
  <c r="J33" i="21" s="1"/>
  <c r="J16" i="21"/>
  <c r="J17" i="21" s="1"/>
  <c r="J18" i="21" s="1"/>
  <c r="J39" i="21"/>
  <c r="J23" i="21"/>
  <c r="J24" i="21" s="1"/>
  <c r="I7" i="21"/>
  <c r="I8" i="21" s="1"/>
  <c r="I9" i="21" s="1"/>
  <c r="I10" i="21" s="1"/>
  <c r="I11" i="21" s="1"/>
  <c r="I12" i="21" s="1"/>
  <c r="I13" i="21" s="1"/>
  <c r="I38" i="21"/>
  <c r="I39" i="21" s="1"/>
  <c r="I18" i="21"/>
  <c r="I19" i="21" s="1"/>
  <c r="I29" i="21"/>
  <c r="I30" i="21" s="1"/>
  <c r="I31" i="21" s="1"/>
  <c r="I32" i="21" s="1"/>
  <c r="I31" i="20"/>
  <c r="J15" i="20"/>
  <c r="I15" i="20"/>
  <c r="I38" i="20"/>
  <c r="I22" i="20"/>
  <c r="I23" i="20" s="1"/>
  <c r="I6" i="20"/>
  <c r="I7" i="20" s="1"/>
  <c r="J29" i="20"/>
  <c r="J13" i="20"/>
  <c r="I13" i="20"/>
  <c r="J16" i="20"/>
  <c r="I16" i="20"/>
  <c r="I17" i="20" s="1"/>
  <c r="I18" i="20" s="1"/>
  <c r="I19" i="20" s="1"/>
  <c r="I8" i="20"/>
  <c r="J27" i="20"/>
  <c r="J11" i="20"/>
  <c r="I11" i="20"/>
  <c r="I12" i="20" s="1"/>
  <c r="J34" i="20"/>
  <c r="I34" i="20"/>
  <c r="I35" i="20" s="1"/>
  <c r="I36" i="20" s="1"/>
  <c r="J18" i="20"/>
  <c r="L2" i="20" a="1"/>
  <c r="L2" i="20" s="1"/>
  <c r="L3" i="20" s="1" a="1"/>
  <c r="L3" i="20" s="1"/>
  <c r="L4" i="20" s="1" a="1"/>
  <c r="L4" i="20" s="1"/>
  <c r="L5" i="20" s="1" a="1"/>
  <c r="L5" i="20" s="1"/>
  <c r="L6" i="20" s="1" a="1"/>
  <c r="L6" i="20" s="1"/>
  <c r="L7" i="20" s="1" a="1"/>
  <c r="L7" i="20" s="1"/>
  <c r="L8" i="20" s="1" a="1"/>
  <c r="L8" i="20" s="1"/>
  <c r="L9" i="20" s="1" a="1"/>
  <c r="L9" i="20" s="1"/>
  <c r="L10" i="20" s="1" a="1"/>
  <c r="L10" i="20" s="1"/>
  <c r="L11" i="20" s="1" a="1"/>
  <c r="L11" i="20" s="1"/>
  <c r="L12" i="20" s="1" a="1"/>
  <c r="L12" i="20" s="1"/>
  <c r="L13" i="20" s="1" a="1"/>
  <c r="L13" i="20" s="1"/>
  <c r="L14" i="20" s="1" a="1"/>
  <c r="L14" i="20" s="1"/>
  <c r="L15" i="20" s="1" a="1"/>
  <c r="L15" i="20" s="1"/>
  <c r="L16" i="20" s="1" a="1"/>
  <c r="L16" i="20" s="1"/>
  <c r="L17" i="20" s="1" a="1"/>
  <c r="L17" i="20" s="1"/>
  <c r="L18" i="20" s="1" a="1"/>
  <c r="L18" i="20" s="1"/>
  <c r="L19" i="20" s="1" a="1"/>
  <c r="L19" i="20" s="1"/>
  <c r="L20" i="20" s="1" a="1"/>
  <c r="L20" i="20" s="1"/>
  <c r="L21" i="20" s="1" a="1"/>
  <c r="L21" i="20" s="1"/>
  <c r="L22" i="20" s="1" a="1"/>
  <c r="L22" i="20" s="1"/>
  <c r="L23" i="20" s="1" a="1"/>
  <c r="L23" i="20" s="1"/>
  <c r="L24" i="20" s="1" a="1"/>
  <c r="L24" i="20" s="1"/>
  <c r="L25" i="20" s="1" a="1"/>
  <c r="L25" i="20" s="1"/>
  <c r="L26" i="20" s="1" a="1"/>
  <c r="L26" i="20" s="1"/>
  <c r="L27" i="20" s="1" a="1"/>
  <c r="L27" i="20" s="1"/>
  <c r="L28" i="20" s="1" a="1"/>
  <c r="L28" i="20" s="1"/>
  <c r="L29" i="20" s="1" a="1"/>
  <c r="L29" i="20" s="1"/>
  <c r="L30" i="20" s="1" a="1"/>
  <c r="L30" i="20" s="1"/>
  <c r="L31" i="20" s="1" a="1"/>
  <c r="L31" i="20" s="1"/>
  <c r="L32" i="20" s="1" a="1"/>
  <c r="L32" i="20" s="1"/>
  <c r="L33" i="20" s="1" a="1"/>
  <c r="L33" i="20" s="1"/>
  <c r="L34" i="20" s="1" a="1"/>
  <c r="L34" i="20" s="1"/>
  <c r="L35" i="20" s="1" a="1"/>
  <c r="L35" i="20" s="1"/>
  <c r="L36" i="20" s="1" a="1"/>
  <c r="L36" i="20" s="1"/>
  <c r="L37" i="20" s="1" a="1"/>
  <c r="L37" i="20" s="1"/>
  <c r="L38" i="20" s="1" a="1"/>
  <c r="L38" i="20" s="1"/>
  <c r="L39" i="20" s="1" a="1"/>
  <c r="L39" i="20" s="1"/>
  <c r="K2" i="20" a="1"/>
  <c r="K2" i="20" s="1"/>
  <c r="K3" i="20" s="1" a="1"/>
  <c r="K3" i="20" s="1"/>
  <c r="K4" i="20" s="1" a="1"/>
  <c r="K4" i="20" s="1"/>
  <c r="K5" i="20" s="1" a="1"/>
  <c r="K5" i="20" s="1"/>
  <c r="K6" i="20" s="1" a="1"/>
  <c r="K6" i="20" s="1"/>
  <c r="K7" i="20" s="1" a="1"/>
  <c r="K7" i="20" s="1"/>
  <c r="K8" i="20" s="1" a="1"/>
  <c r="K8" i="20" s="1"/>
  <c r="K9" i="20" s="1" a="1"/>
  <c r="K9" i="20" s="1"/>
  <c r="K10" i="20" s="1" a="1"/>
  <c r="K10" i="20" s="1"/>
  <c r="K11" i="20" s="1" a="1"/>
  <c r="K11" i="20" s="1"/>
  <c r="K12" i="20" s="1" a="1"/>
  <c r="K12" i="20" s="1"/>
  <c r="K13" i="20" s="1" a="1"/>
  <c r="K13" i="20" s="1"/>
  <c r="K14" i="20" s="1" a="1"/>
  <c r="K14" i="20" s="1"/>
  <c r="K15" i="20" s="1" a="1"/>
  <c r="K15" i="20" s="1"/>
  <c r="K16" i="20" s="1" a="1"/>
  <c r="K16" i="20" s="1"/>
  <c r="K17" i="20" s="1" a="1"/>
  <c r="K17" i="20" s="1"/>
  <c r="K18" i="20" s="1" a="1"/>
  <c r="K18" i="20" s="1"/>
  <c r="K19" i="20" s="1" a="1"/>
  <c r="K19" i="20" s="1"/>
  <c r="K20" i="20" s="1" a="1"/>
  <c r="K20" i="20" s="1"/>
  <c r="K21" i="20" s="1" a="1"/>
  <c r="K21" i="20" s="1"/>
  <c r="K22" i="20" s="1" a="1"/>
  <c r="K22" i="20" s="1"/>
  <c r="K23" i="20" s="1" a="1"/>
  <c r="K23" i="20" s="1"/>
  <c r="K24" i="20" s="1" a="1"/>
  <c r="K24" i="20" s="1"/>
  <c r="K25" i="20" s="1" a="1"/>
  <c r="K25" i="20" s="1"/>
  <c r="K26" i="20" s="1" a="1"/>
  <c r="K26" i="20" s="1"/>
  <c r="K27" i="20" s="1" a="1"/>
  <c r="K27" i="20" s="1"/>
  <c r="K28" i="20" s="1" a="1"/>
  <c r="K28" i="20" s="1"/>
  <c r="K29" i="20" s="1" a="1"/>
  <c r="K29" i="20" s="1"/>
  <c r="K30" i="20" s="1" a="1"/>
  <c r="K30" i="20" s="1"/>
  <c r="K31" i="20" s="1" a="1"/>
  <c r="K31" i="20" s="1"/>
  <c r="K32" i="20" s="1" a="1"/>
  <c r="K32" i="20" s="1"/>
  <c r="K33" i="20" s="1" a="1"/>
  <c r="K33" i="20" s="1"/>
  <c r="K34" i="20" s="1" a="1"/>
  <c r="K34" i="20" s="1"/>
  <c r="K35" i="20" s="1" a="1"/>
  <c r="K35" i="20" s="1"/>
  <c r="K36" i="20" s="1" a="1"/>
  <c r="K36" i="20" s="1"/>
  <c r="K37" i="20" s="1" a="1"/>
  <c r="K37" i="20" s="1"/>
  <c r="K38" i="20" s="1" a="1"/>
  <c r="K38" i="20" s="1"/>
  <c r="K39" i="20" s="1" a="1"/>
  <c r="K39" i="20" s="1"/>
  <c r="J2" i="20" a="1"/>
  <c r="J2" i="20" s="1"/>
  <c r="I2" i="20" a="1"/>
  <c r="I2" i="20" s="1"/>
  <c r="I25" i="20"/>
  <c r="I26" i="20" s="1"/>
  <c r="I27" i="20" s="1"/>
  <c r="J9" i="20"/>
  <c r="I9" i="20"/>
  <c r="I10" i="20" s="1"/>
  <c r="J28" i="20"/>
  <c r="I28" i="20"/>
  <c r="I29" i="20" s="1"/>
  <c r="I30" i="20" s="1"/>
  <c r="I39" i="20"/>
  <c r="J23" i="20"/>
  <c r="J7" i="20"/>
  <c r="J8" i="20" s="1"/>
  <c r="J30" i="20"/>
  <c r="J31" i="20" s="1"/>
  <c r="J32" i="20" s="1"/>
  <c r="J14" i="20"/>
  <c r="I14" i="20"/>
  <c r="I37" i="20"/>
  <c r="I21" i="20"/>
  <c r="J5" i="20"/>
  <c r="J6" i="20" s="1"/>
  <c r="I5" i="20"/>
  <c r="J12" i="20"/>
  <c r="J35" i="20"/>
  <c r="J19" i="20"/>
  <c r="J3" i="20"/>
  <c r="J4" i="20" s="1"/>
  <c r="J26" i="20"/>
  <c r="J10" i="20"/>
  <c r="J33" i="20"/>
  <c r="J17" i="20"/>
  <c r="I32" i="20"/>
  <c r="I33" i="20" s="1"/>
  <c r="J24" i="20"/>
  <c r="J25" i="20" s="1"/>
  <c r="I24" i="20"/>
  <c r="J20" i="20"/>
  <c r="J21" i="20" s="1"/>
  <c r="J22" i="20" s="1"/>
  <c r="I20" i="20"/>
  <c r="J36" i="20"/>
  <c r="J37" i="20" s="1"/>
  <c r="J38" i="20" s="1"/>
  <c r="J39" i="20" s="1"/>
  <c r="J37" i="19"/>
  <c r="J21" i="19"/>
  <c r="J5" i="19"/>
  <c r="J6" i="19" s="1"/>
  <c r="J24" i="19"/>
  <c r="J31" i="19"/>
  <c r="J32" i="19" s="1"/>
  <c r="J22" i="19"/>
  <c r="J23" i="19" s="1"/>
  <c r="J19" i="19"/>
  <c r="J20" i="19" s="1"/>
  <c r="J18" i="19"/>
  <c r="J33" i="19"/>
  <c r="J34" i="19" s="1"/>
  <c r="J36" i="19"/>
  <c r="I20" i="19"/>
  <c r="I21" i="19" s="1"/>
  <c r="I22" i="19" s="1"/>
  <c r="I23" i="19" s="1"/>
  <c r="I24" i="19" s="1"/>
  <c r="I25" i="19" s="1"/>
  <c r="J27" i="19"/>
  <c r="J14" i="19"/>
  <c r="J15" i="19" s="1"/>
  <c r="J16" i="19" s="1"/>
  <c r="J17" i="19" s="1"/>
  <c r="J11" i="19"/>
  <c r="J10" i="19"/>
  <c r="I13" i="19"/>
  <c r="I14" i="19" s="1"/>
  <c r="I32" i="19"/>
  <c r="I33" i="19" s="1"/>
  <c r="J39" i="19"/>
  <c r="I6" i="19"/>
  <c r="I7" i="19" s="1"/>
  <c r="I8" i="19" s="1"/>
  <c r="J3" i="19"/>
  <c r="J4" i="19" s="1"/>
  <c r="L2" i="19" a="1"/>
  <c r="L2" i="19" s="1"/>
  <c r="K2" i="19" a="1"/>
  <c r="K2" i="19" s="1"/>
  <c r="J2" i="19" a="1"/>
  <c r="J2" i="19" s="1"/>
  <c r="I2" i="19" a="1"/>
  <c r="I2" i="19" s="1"/>
  <c r="I3" i="19" s="1"/>
  <c r="I4" i="19" s="1"/>
  <c r="I5" i="19" s="1"/>
  <c r="I15" i="19"/>
  <c r="I16" i="19" s="1"/>
  <c r="I17" i="19" s="1"/>
  <c r="I18" i="19" s="1"/>
  <c r="I19" i="19" s="1"/>
  <c r="J7" i="19"/>
  <c r="J8" i="19" s="1"/>
  <c r="J9" i="19" s="1"/>
  <c r="I26" i="19"/>
  <c r="I27" i="19" s="1"/>
  <c r="I28" i="19" s="1"/>
  <c r="I29" i="19" s="1"/>
  <c r="I30" i="19" s="1"/>
  <c r="I31" i="19" s="1"/>
  <c r="I9" i="19"/>
  <c r="I10" i="19" s="1"/>
  <c r="I11" i="19" s="1"/>
  <c r="I12" i="19" s="1"/>
  <c r="J28" i="19"/>
  <c r="J29" i="19" s="1"/>
  <c r="J30" i="19" s="1"/>
  <c r="J12" i="19"/>
  <c r="J13" i="19" s="1"/>
  <c r="J35" i="19"/>
  <c r="J38" i="19"/>
  <c r="I34" i="19"/>
  <c r="I35" i="19" s="1"/>
  <c r="I36" i="19" s="1"/>
  <c r="I37" i="19" s="1"/>
  <c r="I38" i="19" s="1"/>
  <c r="I39" i="19" s="1"/>
  <c r="J25" i="19"/>
  <c r="J26" i="19" s="1"/>
  <c r="J31" i="18"/>
  <c r="J15" i="18"/>
  <c r="J38" i="18"/>
  <c r="J22" i="18"/>
  <c r="J23" i="18" s="1"/>
  <c r="J24" i="18" s="1"/>
  <c r="J6" i="18"/>
  <c r="J7" i="18" s="1"/>
  <c r="J8" i="18" s="1"/>
  <c r="J9" i="18" s="1"/>
  <c r="J20" i="18"/>
  <c r="J25" i="18"/>
  <c r="J26" i="18" s="1"/>
  <c r="J27" i="18" s="1"/>
  <c r="I11" i="18"/>
  <c r="J34" i="18"/>
  <c r="I18" i="18"/>
  <c r="I19" i="18" s="1"/>
  <c r="I20" i="18" s="1"/>
  <c r="L2" i="18" a="1"/>
  <c r="L2" i="18" s="1"/>
  <c r="L3" i="18" s="1" a="1"/>
  <c r="L3" i="18" s="1"/>
  <c r="L4" i="18" s="1" a="1"/>
  <c r="L4" i="18" s="1"/>
  <c r="L5" i="18" s="1" a="1"/>
  <c r="L5" i="18" s="1"/>
  <c r="L6" i="18" s="1" a="1"/>
  <c r="L6" i="18" s="1"/>
  <c r="L7" i="18" s="1" a="1"/>
  <c r="L7" i="18" s="1"/>
  <c r="L8" i="18" s="1" a="1"/>
  <c r="L8" i="18" s="1"/>
  <c r="L9" i="18" s="1" a="1"/>
  <c r="L9" i="18" s="1"/>
  <c r="L10" i="18" s="1" a="1"/>
  <c r="L10" i="18" s="1"/>
  <c r="L11" i="18" s="1" a="1"/>
  <c r="L11" i="18" s="1"/>
  <c r="L12" i="18" s="1" a="1"/>
  <c r="L12" i="18" s="1"/>
  <c r="L13" i="18" s="1" a="1"/>
  <c r="L13" i="18" s="1"/>
  <c r="L14" i="18" s="1" a="1"/>
  <c r="L14" i="18" s="1"/>
  <c r="L15" i="18" s="1" a="1"/>
  <c r="L15" i="18" s="1"/>
  <c r="L16" i="18" s="1" a="1"/>
  <c r="L16" i="18" s="1"/>
  <c r="L17" i="18" s="1" a="1"/>
  <c r="L17" i="18" s="1"/>
  <c r="L18" i="18" s="1" a="1"/>
  <c r="L18" i="18" s="1"/>
  <c r="L19" i="18" s="1" a="1"/>
  <c r="L19" i="18" s="1"/>
  <c r="L20" i="18" s="1" a="1"/>
  <c r="L20" i="18" s="1"/>
  <c r="L21" i="18" s="1" a="1"/>
  <c r="L21" i="18" s="1"/>
  <c r="L22" i="18" s="1" a="1"/>
  <c r="L22" i="18" s="1"/>
  <c r="L23" i="18" s="1" a="1"/>
  <c r="L23" i="18" s="1"/>
  <c r="L24" i="18" s="1" a="1"/>
  <c r="L24" i="18" s="1"/>
  <c r="L25" i="18" s="1" a="1"/>
  <c r="L25" i="18" s="1"/>
  <c r="L26" i="18" s="1" a="1"/>
  <c r="L26" i="18" s="1"/>
  <c r="L27" i="18" s="1" a="1"/>
  <c r="L27" i="18" s="1"/>
  <c r="L28" i="18" s="1" a="1"/>
  <c r="L28" i="18" s="1"/>
  <c r="L29" i="18" s="1" a="1"/>
  <c r="L29" i="18" s="1"/>
  <c r="L30" i="18" s="1" a="1"/>
  <c r="L30" i="18" s="1"/>
  <c r="L31" i="18" s="1" a="1"/>
  <c r="L31" i="18" s="1"/>
  <c r="L32" i="18" s="1" a="1"/>
  <c r="L32" i="18" s="1"/>
  <c r="L33" i="18" s="1" a="1"/>
  <c r="L33" i="18" s="1"/>
  <c r="L34" i="18" s="1" a="1"/>
  <c r="L34" i="18" s="1"/>
  <c r="L35" i="18" s="1" a="1"/>
  <c r="L35" i="18" s="1"/>
  <c r="L36" i="18" s="1" a="1"/>
  <c r="L36" i="18" s="1"/>
  <c r="L37" i="18" s="1" a="1"/>
  <c r="L37" i="18" s="1"/>
  <c r="L38" i="18" s="1" a="1"/>
  <c r="L38" i="18" s="1"/>
  <c r="L39" i="18" s="1" a="1"/>
  <c r="L39" i="18" s="1"/>
  <c r="K2" i="18" a="1"/>
  <c r="K2" i="18" s="1"/>
  <c r="K3" i="18" s="1" a="1"/>
  <c r="K3" i="18" s="1"/>
  <c r="K4" i="18" s="1" a="1"/>
  <c r="K4" i="18" s="1"/>
  <c r="K5" i="18" s="1" a="1"/>
  <c r="K5" i="18" s="1"/>
  <c r="K6" i="18" s="1" a="1"/>
  <c r="K6" i="18" s="1"/>
  <c r="K7" i="18" s="1" a="1"/>
  <c r="K7" i="18" s="1"/>
  <c r="K8" i="18" s="1" a="1"/>
  <c r="K8" i="18" s="1"/>
  <c r="K9" i="18" s="1" a="1"/>
  <c r="K9" i="18" s="1"/>
  <c r="K10" i="18" s="1" a="1"/>
  <c r="K10" i="18" s="1"/>
  <c r="K11" i="18" s="1" a="1"/>
  <c r="K11" i="18" s="1"/>
  <c r="K12" i="18" s="1" a="1"/>
  <c r="K12" i="18" s="1"/>
  <c r="K13" i="18" s="1" a="1"/>
  <c r="K13" i="18" s="1"/>
  <c r="K14" i="18" s="1" a="1"/>
  <c r="K14" i="18" s="1"/>
  <c r="K15" i="18" s="1" a="1"/>
  <c r="K15" i="18" s="1"/>
  <c r="K16" i="18" s="1" a="1"/>
  <c r="K16" i="18" s="1"/>
  <c r="K17" i="18" s="1" a="1"/>
  <c r="K17" i="18" s="1"/>
  <c r="K18" i="18" s="1" a="1"/>
  <c r="K18" i="18" s="1"/>
  <c r="K19" i="18" s="1" a="1"/>
  <c r="K19" i="18" s="1"/>
  <c r="K20" i="18" s="1" a="1"/>
  <c r="K20" i="18" s="1"/>
  <c r="K21" i="18" s="1" a="1"/>
  <c r="K21" i="18" s="1"/>
  <c r="K22" i="18" s="1" a="1"/>
  <c r="K22" i="18" s="1"/>
  <c r="K23" i="18" s="1" a="1"/>
  <c r="K23" i="18" s="1"/>
  <c r="K24" i="18" s="1" a="1"/>
  <c r="K24" i="18" s="1"/>
  <c r="K25" i="18" s="1" a="1"/>
  <c r="K25" i="18" s="1"/>
  <c r="K26" i="18" s="1" a="1"/>
  <c r="K26" i="18" s="1"/>
  <c r="K27" i="18" s="1" a="1"/>
  <c r="K27" i="18" s="1"/>
  <c r="K28" i="18" s="1" a="1"/>
  <c r="K28" i="18" s="1"/>
  <c r="K29" i="18" s="1" a="1"/>
  <c r="K29" i="18" s="1"/>
  <c r="K30" i="18" s="1" a="1"/>
  <c r="K30" i="18" s="1"/>
  <c r="K31" i="18" s="1" a="1"/>
  <c r="K31" i="18" s="1"/>
  <c r="K32" i="18" s="1" a="1"/>
  <c r="K32" i="18" s="1"/>
  <c r="K33" i="18" s="1" a="1"/>
  <c r="K33" i="18" s="1"/>
  <c r="K34" i="18" s="1" a="1"/>
  <c r="K34" i="18" s="1"/>
  <c r="K35" i="18" s="1" a="1"/>
  <c r="K35" i="18" s="1"/>
  <c r="K36" i="18" s="1" a="1"/>
  <c r="K36" i="18" s="1"/>
  <c r="K37" i="18" s="1" a="1"/>
  <c r="K37" i="18" s="1"/>
  <c r="K38" i="18" s="1" a="1"/>
  <c r="K38" i="18" s="1"/>
  <c r="K39" i="18" s="1" a="1"/>
  <c r="K39" i="18" s="1"/>
  <c r="J2" i="18" a="1"/>
  <c r="J2" i="18" s="1"/>
  <c r="I2" i="18" a="1"/>
  <c r="I2" i="18" s="1"/>
  <c r="I12" i="18"/>
  <c r="I13" i="18" s="1"/>
  <c r="I17" i="18"/>
  <c r="J16" i="18"/>
  <c r="J17" i="18" s="1"/>
  <c r="J18" i="18" s="1"/>
  <c r="J19" i="18" s="1"/>
  <c r="J21" i="18"/>
  <c r="I21" i="18"/>
  <c r="I22" i="18" s="1"/>
  <c r="I23" i="18" s="1"/>
  <c r="I24" i="18" s="1"/>
  <c r="I25" i="18" s="1"/>
  <c r="J5" i="18"/>
  <c r="I5" i="18"/>
  <c r="I6" i="18" s="1"/>
  <c r="J39" i="18"/>
  <c r="I7" i="18"/>
  <c r="I30" i="18"/>
  <c r="I31" i="18" s="1"/>
  <c r="I14" i="18"/>
  <c r="I15" i="18" s="1"/>
  <c r="I16" i="18" s="1"/>
  <c r="I36" i="18"/>
  <c r="J4" i="18"/>
  <c r="I8" i="18"/>
  <c r="I9" i="18" s="1"/>
  <c r="I29" i="18"/>
  <c r="J35" i="18"/>
  <c r="J36" i="18" s="1"/>
  <c r="I35" i="18"/>
  <c r="I3" i="18"/>
  <c r="I4" i="18" s="1"/>
  <c r="I26" i="18"/>
  <c r="I27" i="18" s="1"/>
  <c r="I28" i="18" s="1"/>
  <c r="J10" i="18"/>
  <c r="J11" i="18" s="1"/>
  <c r="J12" i="18" s="1"/>
  <c r="J13" i="18" s="1"/>
  <c r="J14" i="18" s="1"/>
  <c r="I10" i="18"/>
  <c r="J28" i="18"/>
  <c r="J29" i="18" s="1"/>
  <c r="J30" i="18" s="1"/>
  <c r="J32" i="18"/>
  <c r="J33" i="18" s="1"/>
  <c r="I32" i="18"/>
  <c r="I33" i="18" s="1"/>
  <c r="I34" i="18" s="1"/>
  <c r="J37" i="18"/>
  <c r="I37" i="18"/>
  <c r="I38" i="18" s="1"/>
  <c r="I39" i="18" s="1"/>
  <c r="I37" i="17"/>
  <c r="J21" i="17"/>
  <c r="I5" i="17"/>
  <c r="J24" i="17"/>
  <c r="J25" i="17" s="1"/>
  <c r="I8" i="17"/>
  <c r="I9" i="17" s="1"/>
  <c r="J18" i="17"/>
  <c r="J19" i="17" s="1"/>
  <c r="J20" i="17" s="1"/>
  <c r="I18" i="17"/>
  <c r="I19" i="17" s="1"/>
  <c r="I31" i="17"/>
  <c r="I38" i="17"/>
  <c r="J6" i="17"/>
  <c r="J7" i="17" s="1"/>
  <c r="J8" i="17" s="1"/>
  <c r="J9" i="17" s="1"/>
  <c r="I6" i="17"/>
  <c r="I27" i="17"/>
  <c r="I33" i="17"/>
  <c r="I36" i="17"/>
  <c r="I20" i="17"/>
  <c r="I21" i="17" s="1"/>
  <c r="J10" i="17"/>
  <c r="J11" i="17" s="1"/>
  <c r="J12" i="17" s="1"/>
  <c r="J13" i="17" s="1"/>
  <c r="I10" i="17"/>
  <c r="I23" i="17"/>
  <c r="I24" i="17" s="1"/>
  <c r="I30" i="17"/>
  <c r="J29" i="17"/>
  <c r="J30" i="17" s="1"/>
  <c r="J31" i="17" s="1"/>
  <c r="J32" i="17" s="1"/>
  <c r="J33" i="17" s="1"/>
  <c r="J34" i="17" s="1"/>
  <c r="J35" i="17" s="1"/>
  <c r="J36" i="17" s="1"/>
  <c r="J37" i="17" s="1"/>
  <c r="J38" i="17" s="1"/>
  <c r="J39" i="17" s="1"/>
  <c r="I13" i="17"/>
  <c r="I14" i="17" s="1"/>
  <c r="I15" i="17" s="1"/>
  <c r="I32" i="17"/>
  <c r="I16" i="17"/>
  <c r="I17" i="17" s="1"/>
  <c r="I34" i="17"/>
  <c r="L2" i="17" a="1"/>
  <c r="L2" i="17" s="1"/>
  <c r="K2" i="17" a="1"/>
  <c r="K2" i="17" s="1"/>
  <c r="K3" i="17" s="1" a="1"/>
  <c r="K3" i="17" s="1"/>
  <c r="K4" i="17" s="1" a="1"/>
  <c r="K4" i="17" s="1"/>
  <c r="K5" i="17" s="1" a="1"/>
  <c r="K5" i="17" s="1"/>
  <c r="K6" i="17" s="1" a="1"/>
  <c r="K6" i="17" s="1"/>
  <c r="K7" i="17" s="1" a="1"/>
  <c r="K7" i="17" s="1"/>
  <c r="K8" i="17" s="1" a="1"/>
  <c r="K8" i="17" s="1"/>
  <c r="K9" i="17" s="1" a="1"/>
  <c r="K9" i="17" s="1"/>
  <c r="K10" i="17" s="1" a="1"/>
  <c r="K10" i="17" s="1"/>
  <c r="K11" i="17" s="1" a="1"/>
  <c r="K11" i="17" s="1"/>
  <c r="K12" i="17" s="1" a="1"/>
  <c r="K12" i="17" s="1"/>
  <c r="K13" i="17" s="1" a="1"/>
  <c r="K13" i="17" s="1"/>
  <c r="K14" i="17" s="1" a="1"/>
  <c r="K14" i="17" s="1"/>
  <c r="K15" i="17" s="1" a="1"/>
  <c r="K15" i="17" s="1"/>
  <c r="K16" i="17" s="1" a="1"/>
  <c r="K16" i="17" s="1"/>
  <c r="K17" i="17" s="1" a="1"/>
  <c r="K17" i="17" s="1"/>
  <c r="K18" i="17" s="1" a="1"/>
  <c r="K18" i="17" s="1"/>
  <c r="K19" i="17" s="1" a="1"/>
  <c r="K19" i="17" s="1"/>
  <c r="K20" i="17" s="1" a="1"/>
  <c r="K20" i="17" s="1"/>
  <c r="K21" i="17" s="1" a="1"/>
  <c r="K21" i="17" s="1"/>
  <c r="K22" i="17" s="1" a="1"/>
  <c r="K22" i="17" s="1"/>
  <c r="K23" i="17" s="1" a="1"/>
  <c r="K23" i="17" s="1"/>
  <c r="K24" i="17" s="1" a="1"/>
  <c r="K24" i="17" s="1"/>
  <c r="K25" i="17" s="1" a="1"/>
  <c r="K25" i="17" s="1"/>
  <c r="K26" i="17" s="1" a="1"/>
  <c r="K26" i="17" s="1"/>
  <c r="K27" i="17" s="1" a="1"/>
  <c r="K27" i="17" s="1"/>
  <c r="K28" i="17" s="1" a="1"/>
  <c r="K28" i="17" s="1"/>
  <c r="K29" i="17" s="1" a="1"/>
  <c r="K29" i="17" s="1"/>
  <c r="K30" i="17" s="1" a="1"/>
  <c r="K30" i="17" s="1"/>
  <c r="K31" i="17" s="1" a="1"/>
  <c r="K31" i="17" s="1"/>
  <c r="K32" i="17" s="1" a="1"/>
  <c r="K32" i="17" s="1"/>
  <c r="K33" i="17" s="1" a="1"/>
  <c r="K33" i="17" s="1"/>
  <c r="K34" i="17" s="1" a="1"/>
  <c r="K34" i="17" s="1"/>
  <c r="K35" i="17" s="1" a="1"/>
  <c r="K35" i="17" s="1"/>
  <c r="K36" i="17" s="1" a="1"/>
  <c r="K36" i="17" s="1"/>
  <c r="K37" i="17" s="1" a="1"/>
  <c r="K37" i="17" s="1"/>
  <c r="K38" i="17" s="1" a="1"/>
  <c r="K38" i="17" s="1"/>
  <c r="K39" i="17" s="1" a="1"/>
  <c r="K39" i="17" s="1"/>
  <c r="J2" i="17" a="1"/>
  <c r="J2" i="17" s="1"/>
  <c r="I2" i="17" a="1"/>
  <c r="I2" i="17" s="1"/>
  <c r="J15" i="17"/>
  <c r="J16" i="17" s="1"/>
  <c r="J17" i="17" s="1"/>
  <c r="J22" i="17"/>
  <c r="J23" i="17" s="1"/>
  <c r="I22" i="17"/>
  <c r="I25" i="17"/>
  <c r="I28" i="17"/>
  <c r="I29" i="17" s="1"/>
  <c r="I12" i="17"/>
  <c r="J26" i="17"/>
  <c r="J27" i="17" s="1"/>
  <c r="J28" i="17" s="1"/>
  <c r="I26" i="17"/>
  <c r="I39" i="17"/>
  <c r="I7" i="17"/>
  <c r="J14" i="17"/>
  <c r="I35" i="17"/>
  <c r="I11" i="17"/>
  <c r="J3" i="17"/>
  <c r="J4" i="17" s="1"/>
  <c r="J5" i="17" s="1"/>
  <c r="J25" i="16"/>
  <c r="J26" i="16" s="1"/>
  <c r="J27" i="16" s="1"/>
  <c r="J28" i="16" s="1"/>
  <c r="J29" i="16" s="1"/>
  <c r="J30" i="16" s="1"/>
  <c r="J31" i="16" s="1"/>
  <c r="I28" i="16"/>
  <c r="I21" i="16"/>
  <c r="I22" i="16" s="1"/>
  <c r="I23" i="16" s="1"/>
  <c r="I16" i="16"/>
  <c r="I17" i="16" s="1"/>
  <c r="J6" i="16"/>
  <c r="J7" i="16" s="1"/>
  <c r="I6" i="16"/>
  <c r="J38" i="16"/>
  <c r="I15" i="16"/>
  <c r="J4" i="16"/>
  <c r="J5" i="16" s="1"/>
  <c r="J36" i="16"/>
  <c r="I29" i="16"/>
  <c r="J24" i="16"/>
  <c r="I24" i="16"/>
  <c r="I25" i="16" s="1"/>
  <c r="J10" i="16"/>
  <c r="J11" i="16" s="1"/>
  <c r="J12" i="16" s="1"/>
  <c r="J13" i="16" s="1"/>
  <c r="I26" i="16"/>
  <c r="I27" i="16" s="1"/>
  <c r="I35" i="16"/>
  <c r="I36" i="16" s="1"/>
  <c r="I5" i="16"/>
  <c r="J37" i="16"/>
  <c r="I37" i="16"/>
  <c r="I38" i="16" s="1"/>
  <c r="J32" i="16"/>
  <c r="J33" i="16" s="1"/>
  <c r="J34" i="16" s="1"/>
  <c r="J35" i="16" s="1"/>
  <c r="I32" i="16"/>
  <c r="J14" i="16"/>
  <c r="J15" i="16" s="1"/>
  <c r="J16" i="16" s="1"/>
  <c r="J17" i="16" s="1"/>
  <c r="J18" i="16" s="1"/>
  <c r="J19" i="16" s="1"/>
  <c r="I30" i="16"/>
  <c r="I31" i="16" s="1"/>
  <c r="I7" i="16"/>
  <c r="J39" i="16"/>
  <c r="I39" i="16"/>
  <c r="J9" i="16"/>
  <c r="J20" i="16"/>
  <c r="J21" i="16" s="1"/>
  <c r="J22" i="16" s="1"/>
  <c r="J23" i="16" s="1"/>
  <c r="I13" i="16"/>
  <c r="I14" i="16" s="1"/>
  <c r="J8" i="16"/>
  <c r="I8" i="16"/>
  <c r="I9" i="16" s="1"/>
  <c r="I10" i="16" s="1"/>
  <c r="L2" i="16" a="1"/>
  <c r="L2" i="16" s="1"/>
  <c r="K2" i="16" a="1"/>
  <c r="K2" i="16" s="1"/>
  <c r="J2" i="16" a="1"/>
  <c r="J2" i="16" s="1"/>
  <c r="I2" i="16" a="1"/>
  <c r="I2" i="16" s="1"/>
  <c r="I3" i="16" s="1"/>
  <c r="I4" i="16" s="1"/>
  <c r="I18" i="16"/>
  <c r="I19" i="16" s="1"/>
  <c r="I20" i="16" s="1"/>
  <c r="I34" i="16"/>
  <c r="I11" i="16"/>
  <c r="I12" i="16" s="1"/>
  <c r="I33" i="16"/>
  <c r="I29" i="15"/>
  <c r="J32" i="15"/>
  <c r="J33" i="15" s="1"/>
  <c r="I32" i="15"/>
  <c r="J38" i="15"/>
  <c r="J39" i="15" s="1"/>
  <c r="I38" i="15"/>
  <c r="I39" i="15" s="1"/>
  <c r="J11" i="15"/>
  <c r="I23" i="15"/>
  <c r="J31" i="15"/>
  <c r="J21" i="15"/>
  <c r="J24" i="15"/>
  <c r="J25" i="15" s="1"/>
  <c r="J26" i="15" s="1"/>
  <c r="I24" i="15"/>
  <c r="J22" i="15"/>
  <c r="J23" i="15" s="1"/>
  <c r="I22" i="15"/>
  <c r="J34" i="15"/>
  <c r="J35" i="15" s="1"/>
  <c r="J36" i="15" s="1"/>
  <c r="J7" i="15"/>
  <c r="J8" i="15" s="1"/>
  <c r="I7" i="15"/>
  <c r="I13" i="15"/>
  <c r="J6" i="15"/>
  <c r="I6" i="15"/>
  <c r="J18" i="15"/>
  <c r="J19" i="15" s="1"/>
  <c r="J20" i="15" s="1"/>
  <c r="I18" i="15"/>
  <c r="I10" i="15"/>
  <c r="I11" i="15" s="1"/>
  <c r="I12" i="15" s="1"/>
  <c r="J3" i="15"/>
  <c r="J4" i="15" s="1"/>
  <c r="J5" i="15" s="1"/>
  <c r="I3" i="15"/>
  <c r="J30" i="15"/>
  <c r="I30" i="15"/>
  <c r="I31" i="15" s="1"/>
  <c r="J12" i="15"/>
  <c r="J13" i="15" s="1"/>
  <c r="J14" i="15" s="1"/>
  <c r="J15" i="15" s="1"/>
  <c r="J16" i="15" s="1"/>
  <c r="J28" i="15"/>
  <c r="J29" i="15" s="1"/>
  <c r="I28" i="15"/>
  <c r="J9" i="15"/>
  <c r="J10" i="15" s="1"/>
  <c r="I25" i="15"/>
  <c r="I15" i="15"/>
  <c r="I16" i="15" s="1"/>
  <c r="I17" i="15" s="1"/>
  <c r="I26" i="15"/>
  <c r="I19" i="15"/>
  <c r="I14" i="15"/>
  <c r="I4" i="15"/>
  <c r="I20" i="15"/>
  <c r="I21" i="15" s="1"/>
  <c r="I36" i="15"/>
  <c r="J17" i="15"/>
  <c r="I33" i="15"/>
  <c r="I34" i="15" s="1"/>
  <c r="I35" i="15" s="1"/>
  <c r="I5" i="15"/>
  <c r="I8" i="15"/>
  <c r="I9" i="15" s="1"/>
  <c r="J27" i="15"/>
  <c r="I27" i="15"/>
  <c r="L2" i="15" a="1"/>
  <c r="L2" i="15" s="1"/>
  <c r="K2" i="15" a="1"/>
  <c r="K2" i="15" s="1"/>
  <c r="J2" i="15" a="1"/>
  <c r="J2" i="15" s="1"/>
  <c r="I2" i="15" a="1"/>
  <c r="I2" i="15" s="1"/>
  <c r="J37" i="15"/>
  <c r="I37" i="15"/>
  <c r="AP3" i="25"/>
  <c r="AO3" i="25"/>
  <c r="L2" i="1" a="1"/>
  <c r="L2" i="1" s="1"/>
  <c r="J2" i="1" a="1"/>
  <c r="J2" i="1" s="1"/>
  <c r="J5" i="1"/>
  <c r="J18" i="1"/>
  <c r="J20" i="1"/>
  <c r="J15" i="1"/>
  <c r="J17" i="1"/>
  <c r="J19" i="1"/>
  <c r="J13" i="1"/>
  <c r="J4" i="1"/>
  <c r="J30" i="1"/>
  <c r="J14" i="1"/>
  <c r="J24" i="1"/>
  <c r="J8" i="1"/>
  <c r="J9" i="1"/>
  <c r="J27" i="1"/>
  <c r="J11" i="1"/>
  <c r="J12" i="1" s="1"/>
  <c r="J21" i="1"/>
  <c r="J26" i="1"/>
  <c r="J38" i="1"/>
  <c r="J39" i="1" s="1"/>
  <c r="J16" i="1"/>
  <c r="J28" i="1"/>
  <c r="J29" i="1" s="1"/>
  <c r="J22" i="1"/>
  <c r="J23" i="1"/>
  <c r="J6" i="1"/>
  <c r="J7" i="1" s="1"/>
  <c r="J25" i="1"/>
  <c r="J32" i="1"/>
  <c r="J33" i="1" s="1"/>
  <c r="K2" i="1" a="1"/>
  <c r="K2" i="1" s="1"/>
  <c r="K3" i="1" s="1" a="1"/>
  <c r="K3" i="1" s="1"/>
  <c r="K4" i="1" s="1" a="1"/>
  <c r="K4" i="1" s="1"/>
  <c r="K5" i="1" s="1" a="1"/>
  <c r="K5" i="1" s="1"/>
  <c r="K6" i="1" s="1" a="1"/>
  <c r="K6" i="1" s="1"/>
  <c r="K7" i="1" s="1" a="1"/>
  <c r="K7" i="1" s="1"/>
  <c r="K8" i="1" s="1" a="1"/>
  <c r="K8" i="1" s="1"/>
  <c r="K9" i="1" s="1" a="1"/>
  <c r="K9" i="1" s="1"/>
  <c r="K10" i="1" s="1" a="1"/>
  <c r="K10" i="1" s="1"/>
  <c r="K11" i="1" s="1" a="1"/>
  <c r="K11" i="1" s="1"/>
  <c r="K12" i="1" s="1" a="1"/>
  <c r="K12" i="1" s="1"/>
  <c r="K13" i="1" s="1" a="1"/>
  <c r="K13" i="1" s="1"/>
  <c r="K14" i="1" s="1" a="1"/>
  <c r="K14" i="1" s="1"/>
  <c r="K15" i="1" s="1" a="1"/>
  <c r="K15" i="1" s="1"/>
  <c r="K16" i="1" s="1" a="1"/>
  <c r="K16" i="1" s="1"/>
  <c r="K17" i="1" s="1" a="1"/>
  <c r="K17" i="1" s="1"/>
  <c r="K18" i="1" s="1" a="1"/>
  <c r="K18" i="1" s="1"/>
  <c r="K19" i="1" s="1" a="1"/>
  <c r="K19" i="1" s="1"/>
  <c r="K20" i="1" s="1" a="1"/>
  <c r="K20" i="1" s="1"/>
  <c r="K21" i="1" s="1" a="1"/>
  <c r="K21" i="1" s="1"/>
  <c r="K22" i="1" s="1" a="1"/>
  <c r="K22" i="1" s="1"/>
  <c r="K23" i="1" s="1" a="1"/>
  <c r="K23" i="1" s="1"/>
  <c r="K24" i="1" s="1" a="1"/>
  <c r="K24" i="1" s="1"/>
  <c r="K25" i="1" s="1" a="1"/>
  <c r="K25" i="1" s="1"/>
  <c r="K26" i="1" s="1" a="1"/>
  <c r="K26" i="1" s="1"/>
  <c r="K27" i="1" s="1" a="1"/>
  <c r="K27" i="1" s="1"/>
  <c r="K28" i="1" s="1" a="1"/>
  <c r="K28" i="1" s="1"/>
  <c r="K29" i="1" s="1" a="1"/>
  <c r="K29" i="1" s="1"/>
  <c r="K30" i="1" s="1" a="1"/>
  <c r="K30" i="1" s="1"/>
  <c r="K31" i="1" s="1" a="1"/>
  <c r="K31" i="1" s="1"/>
  <c r="K32" i="1" s="1" a="1"/>
  <c r="K32" i="1" s="1"/>
  <c r="K33" i="1" s="1" a="1"/>
  <c r="K33" i="1" s="1"/>
  <c r="K34" i="1" s="1" a="1"/>
  <c r="K34" i="1" s="1"/>
  <c r="K35" i="1" s="1" a="1"/>
  <c r="K35" i="1" s="1"/>
  <c r="K36" i="1" s="1" a="1"/>
  <c r="K36" i="1" s="1"/>
  <c r="K37" i="1" s="1" a="1"/>
  <c r="K37" i="1" s="1"/>
  <c r="K38" i="1" s="1" a="1"/>
  <c r="K38" i="1" s="1"/>
  <c r="K39" i="1" s="1" a="1"/>
  <c r="K39" i="1" s="1"/>
  <c r="J3" i="1"/>
  <c r="I29" i="1"/>
  <c r="I30" i="1" s="1"/>
  <c r="I10" i="1"/>
  <c r="I11" i="1" s="1"/>
  <c r="I12" i="1" s="1"/>
  <c r="I13" i="1" s="1"/>
  <c r="I14" i="1" s="1"/>
  <c r="I15" i="1" s="1"/>
  <c r="I16" i="1" s="1"/>
  <c r="I17" i="1" s="1"/>
  <c r="I18" i="1" s="1"/>
  <c r="I19" i="1" s="1"/>
  <c r="J10" i="1"/>
  <c r="J34" i="1"/>
  <c r="J35" i="1" s="1"/>
  <c r="I36" i="1"/>
  <c r="J36" i="1"/>
  <c r="J37" i="1" s="1"/>
  <c r="I31" i="1"/>
  <c r="I32" i="1" s="1"/>
  <c r="J31" i="1"/>
  <c r="I33" i="1"/>
  <c r="I34" i="1" s="1"/>
  <c r="I35" i="1" s="1"/>
  <c r="I37" i="1"/>
  <c r="I38" i="1" s="1"/>
  <c r="I39" i="1" s="1"/>
  <c r="V21" i="19"/>
  <c r="V19" i="19" s="1"/>
  <c r="D19" i="23" s="1" a="1"/>
  <c r="D19" i="23" s="1"/>
  <c r="V21" i="14"/>
  <c r="V21" i="21"/>
  <c r="V20" i="11"/>
  <c r="V20" i="17"/>
  <c r="V20" i="18"/>
  <c r="V21" i="11"/>
  <c r="V20" i="13"/>
  <c r="V21" i="20"/>
  <c r="V20" i="12"/>
  <c r="V20" i="16"/>
  <c r="V21" i="17"/>
  <c r="U19" i="6"/>
  <c r="V20" i="10"/>
  <c r="V20" i="1"/>
  <c r="V20" i="22"/>
  <c r="V20" i="6"/>
  <c r="V20" i="8"/>
  <c r="U20" i="1"/>
  <c r="U21" i="1"/>
  <c r="V21" i="1"/>
  <c r="U19" i="1"/>
  <c r="V21" i="16"/>
  <c r="V21" i="8"/>
  <c r="V21" i="3"/>
  <c r="V20" i="4"/>
  <c r="V21" i="12"/>
  <c r="V21" i="18"/>
  <c r="V21" i="13"/>
  <c r="V20" i="3"/>
  <c r="V21" i="7"/>
  <c r="V20" i="14"/>
  <c r="V21" i="22"/>
  <c r="V20" i="21"/>
  <c r="V20" i="20"/>
  <c r="V21" i="6"/>
  <c r="V21" i="10"/>
  <c r="V20" i="7"/>
  <c r="V21" i="4"/>
  <c r="U21" i="14"/>
  <c r="U20" i="14"/>
  <c r="U19" i="14"/>
  <c r="U21" i="12"/>
  <c r="U20" i="12"/>
  <c r="U19" i="12"/>
  <c r="U21" i="18"/>
  <c r="U20" i="18"/>
  <c r="U19" i="18"/>
  <c r="U21" i="22"/>
  <c r="U20" i="22"/>
  <c r="U19" i="22"/>
  <c r="U21" i="21"/>
  <c r="U20" i="21"/>
  <c r="U19" i="21"/>
  <c r="U21" i="20"/>
  <c r="U20" i="20"/>
  <c r="U19" i="20"/>
  <c r="U21" i="6"/>
  <c r="U20" i="6"/>
  <c r="U21" i="15"/>
  <c r="U20" i="15"/>
  <c r="U19" i="15"/>
  <c r="U21" i="10"/>
  <c r="U20" i="10"/>
  <c r="U19" i="10"/>
  <c r="U21" i="7"/>
  <c r="U20" i="7"/>
  <c r="U19" i="7"/>
  <c r="U21" i="16"/>
  <c r="U20" i="16"/>
  <c r="U19" i="16"/>
  <c r="U21" i="8"/>
  <c r="U20" i="8"/>
  <c r="U19" i="8"/>
  <c r="U21" i="17"/>
  <c r="U20" i="17"/>
  <c r="U19" i="17"/>
  <c r="U21" i="11"/>
  <c r="U20" i="11"/>
  <c r="U19" i="11"/>
  <c r="U21" i="13"/>
  <c r="U20" i="13"/>
  <c r="U19" i="13"/>
  <c r="U21" i="3"/>
  <c r="U20" i="3"/>
  <c r="U19" i="3"/>
  <c r="U21" i="4"/>
  <c r="U20" i="4"/>
  <c r="U19" i="4"/>
  <c r="V20" i="15"/>
  <c r="V21" i="15"/>
  <c r="P6" i="2" a="1"/>
  <c r="Q6" i="2" a="1"/>
  <c r="P5" i="2" a="1"/>
  <c r="Q7" i="2" a="1"/>
  <c r="P7" i="2" a="1"/>
  <c r="P7" i="2" l="1"/>
  <c r="Q7" i="2"/>
  <c r="P6" i="2"/>
  <c r="Q6" i="2"/>
  <c r="P5" i="2"/>
  <c r="AT28" i="25" a="1"/>
  <c r="AT28" i="25" s="1"/>
  <c r="V19" i="14"/>
  <c r="V19" i="18"/>
  <c r="V19" i="12"/>
  <c r="D12" i="23" s="1" a="1"/>
  <c r="D12" i="23" s="1"/>
  <c r="V19" i="21"/>
  <c r="D21" i="23" s="1" a="1"/>
  <c r="D21" i="23" s="1"/>
  <c r="V19" i="6"/>
  <c r="D7" i="23" s="1" a="1"/>
  <c r="D7" i="23" s="1"/>
  <c r="AV3" i="25"/>
  <c r="L3" i="15" a="1"/>
  <c r="L3" i="15" s="1"/>
  <c r="L4" i="15" s="1" a="1"/>
  <c r="L4" i="15" s="1"/>
  <c r="L5" i="15" s="1" a="1"/>
  <c r="L5" i="15" s="1"/>
  <c r="L6" i="15" s="1" a="1"/>
  <c r="L6" i="15" s="1"/>
  <c r="L7" i="15" s="1" a="1"/>
  <c r="L7" i="15" s="1"/>
  <c r="L8" i="15" s="1" a="1"/>
  <c r="L8" i="15" s="1"/>
  <c r="L9" i="15" s="1" a="1"/>
  <c r="L9" i="15" s="1"/>
  <c r="L10" i="15" s="1" a="1"/>
  <c r="L10" i="15" s="1"/>
  <c r="L11" i="15" s="1" a="1"/>
  <c r="L11" i="15" s="1"/>
  <c r="L12" i="15" s="1" a="1"/>
  <c r="L12" i="15" s="1"/>
  <c r="L13" i="15" s="1" a="1"/>
  <c r="L13" i="15" s="1"/>
  <c r="L14" i="15" s="1" a="1"/>
  <c r="L14" i="15" s="1"/>
  <c r="L15" i="15" s="1" a="1"/>
  <c r="L15" i="15" s="1"/>
  <c r="L16" i="15" s="1" a="1"/>
  <c r="L16" i="15" s="1"/>
  <c r="L17" i="15" s="1" a="1"/>
  <c r="L17" i="15" s="1"/>
  <c r="L18" i="15" s="1" a="1"/>
  <c r="L18" i="15" s="1"/>
  <c r="L19" i="15" s="1" a="1"/>
  <c r="L19" i="15" s="1"/>
  <c r="L20" i="15" s="1" a="1"/>
  <c r="L20" i="15" s="1"/>
  <c r="L21" i="15" s="1" a="1"/>
  <c r="L21" i="15" s="1"/>
  <c r="L22" i="15" s="1" a="1"/>
  <c r="L22" i="15" s="1"/>
  <c r="L23" i="15" s="1" a="1"/>
  <c r="L23" i="15" s="1"/>
  <c r="L24" i="15" s="1" a="1"/>
  <c r="L24" i="15" s="1"/>
  <c r="L25" i="15" s="1" a="1"/>
  <c r="L25" i="15" s="1"/>
  <c r="L26" i="15" s="1" a="1"/>
  <c r="L26" i="15" s="1"/>
  <c r="L27" i="15" s="1" a="1"/>
  <c r="L27" i="15" s="1"/>
  <c r="L28" i="15" s="1" a="1"/>
  <c r="L28" i="15" s="1"/>
  <c r="L29" i="15" s="1" a="1"/>
  <c r="L29" i="15" s="1"/>
  <c r="L30" i="15" s="1" a="1"/>
  <c r="L30" i="15" s="1"/>
  <c r="L31" i="15" s="1" a="1"/>
  <c r="L31" i="15" s="1"/>
  <c r="L32" i="15" s="1" a="1"/>
  <c r="L32" i="15" s="1"/>
  <c r="L33" i="15" s="1" a="1"/>
  <c r="L33" i="15" s="1"/>
  <c r="L34" i="15" s="1" a="1"/>
  <c r="L34" i="15" s="1"/>
  <c r="L35" i="15" s="1" a="1"/>
  <c r="L35" i="15" s="1"/>
  <c r="L36" i="15" s="1" a="1"/>
  <c r="L36" i="15" s="1"/>
  <c r="L37" i="15" s="1" a="1"/>
  <c r="L37" i="15" s="1"/>
  <c r="L38" i="15" s="1" a="1"/>
  <c r="L38" i="15" s="1"/>
  <c r="L39" i="15" s="1" a="1"/>
  <c r="L39" i="15" s="1"/>
  <c r="L3" i="16" a="1"/>
  <c r="L3" i="16" s="1"/>
  <c r="L4" i="16" s="1" a="1"/>
  <c r="L4" i="16" s="1"/>
  <c r="L5" i="16" s="1" a="1"/>
  <c r="L5" i="16" s="1"/>
  <c r="L6" i="16" s="1" a="1"/>
  <c r="L6" i="16" s="1"/>
  <c r="L7" i="16" s="1" a="1"/>
  <c r="L7" i="16" s="1"/>
  <c r="L8" i="16" s="1" a="1"/>
  <c r="L8" i="16" s="1"/>
  <c r="L9" i="16" s="1" a="1"/>
  <c r="L9" i="16" s="1"/>
  <c r="L10" i="16" s="1" a="1"/>
  <c r="L10" i="16" s="1"/>
  <c r="L11" i="16" s="1" a="1"/>
  <c r="L11" i="16" s="1"/>
  <c r="L12" i="16" s="1" a="1"/>
  <c r="L12" i="16" s="1"/>
  <c r="L13" i="16" s="1" a="1"/>
  <c r="L13" i="16" s="1"/>
  <c r="L14" i="16" s="1" a="1"/>
  <c r="L14" i="16" s="1"/>
  <c r="L15" i="16" s="1" a="1"/>
  <c r="L15" i="16" s="1"/>
  <c r="L16" i="16" s="1" a="1"/>
  <c r="L16" i="16" s="1"/>
  <c r="L17" i="16" s="1" a="1"/>
  <c r="L17" i="16" s="1"/>
  <c r="L18" i="16" s="1" a="1"/>
  <c r="L18" i="16" s="1"/>
  <c r="L19" i="16" s="1" a="1"/>
  <c r="L19" i="16" s="1"/>
  <c r="L20" i="16" s="1" a="1"/>
  <c r="L20" i="16" s="1"/>
  <c r="L21" i="16" s="1" a="1"/>
  <c r="L21" i="16" s="1"/>
  <c r="L22" i="16" s="1" a="1"/>
  <c r="L22" i="16" s="1"/>
  <c r="L23" i="16" s="1" a="1"/>
  <c r="L23" i="16" s="1"/>
  <c r="L24" i="16" s="1" a="1"/>
  <c r="L24" i="16" s="1"/>
  <c r="L25" i="16" s="1" a="1"/>
  <c r="L25" i="16" s="1"/>
  <c r="L26" i="16" s="1" a="1"/>
  <c r="L26" i="16" s="1"/>
  <c r="L27" i="16" s="1" a="1"/>
  <c r="L27" i="16" s="1"/>
  <c r="L28" i="16" s="1" a="1"/>
  <c r="L28" i="16" s="1"/>
  <c r="L29" i="16" s="1" a="1"/>
  <c r="L29" i="16" s="1"/>
  <c r="L30" i="16" s="1" a="1"/>
  <c r="L30" i="16" s="1"/>
  <c r="L31" i="16" s="1" a="1"/>
  <c r="L31" i="16" s="1"/>
  <c r="L32" i="16" s="1" a="1"/>
  <c r="L32" i="16" s="1"/>
  <c r="L33" i="16" s="1" a="1"/>
  <c r="L33" i="16" s="1"/>
  <c r="L34" i="16" s="1" a="1"/>
  <c r="L34" i="16" s="1"/>
  <c r="L35" i="16" s="1" a="1"/>
  <c r="L35" i="16" s="1"/>
  <c r="L36" i="16" s="1" a="1"/>
  <c r="L36" i="16" s="1"/>
  <c r="L37" i="16" s="1" a="1"/>
  <c r="L37" i="16" s="1"/>
  <c r="L38" i="16" s="1" a="1"/>
  <c r="L38" i="16" s="1"/>
  <c r="L39" i="16" s="1" a="1"/>
  <c r="L39" i="16" s="1"/>
  <c r="I3" i="17"/>
  <c r="AV17" i="25"/>
  <c r="AW18" i="25"/>
  <c r="AT19" i="25"/>
  <c r="AV20" i="25"/>
  <c r="AT21" i="25"/>
  <c r="AW22" i="25"/>
  <c r="L3" i="4" a="1"/>
  <c r="L3" i="4" s="1"/>
  <c r="L4" i="4" s="1" a="1"/>
  <c r="L4" i="4" s="1"/>
  <c r="L5" i="4" s="1" a="1"/>
  <c r="L5" i="4" s="1"/>
  <c r="L6" i="4" s="1" a="1"/>
  <c r="L6" i="4" s="1"/>
  <c r="L7" i="4" s="1" a="1"/>
  <c r="L7" i="4" s="1"/>
  <c r="L8" i="4" s="1" a="1"/>
  <c r="L8" i="4" s="1"/>
  <c r="L9" i="4" s="1" a="1"/>
  <c r="L9" i="4" s="1"/>
  <c r="L10" i="4" s="1" a="1"/>
  <c r="L10" i="4" s="1"/>
  <c r="L11" i="4" s="1" a="1"/>
  <c r="L11" i="4" s="1"/>
  <c r="L12" i="4" s="1" a="1"/>
  <c r="L12" i="4" s="1"/>
  <c r="L13" i="4" s="1" a="1"/>
  <c r="L13" i="4" s="1"/>
  <c r="L14" i="4" s="1" a="1"/>
  <c r="L14" i="4" s="1"/>
  <c r="L15" i="4" s="1" a="1"/>
  <c r="L15" i="4" s="1"/>
  <c r="L16" i="4" s="1" a="1"/>
  <c r="L16" i="4" s="1"/>
  <c r="L17" i="4" s="1" a="1"/>
  <c r="L17" i="4" s="1"/>
  <c r="L18" i="4" s="1" a="1"/>
  <c r="L18" i="4" s="1"/>
  <c r="L19" i="4" s="1" a="1"/>
  <c r="L19" i="4" s="1"/>
  <c r="L20" i="4" s="1" a="1"/>
  <c r="L20" i="4" s="1"/>
  <c r="L21" i="4" s="1" a="1"/>
  <c r="L21" i="4" s="1"/>
  <c r="L22" i="4" s="1" a="1"/>
  <c r="L22" i="4" s="1"/>
  <c r="L23" i="4" s="1" a="1"/>
  <c r="L23" i="4" s="1"/>
  <c r="L24" i="4" s="1" a="1"/>
  <c r="L24" i="4" s="1"/>
  <c r="L25" i="4" s="1" a="1"/>
  <c r="L25" i="4" s="1"/>
  <c r="L26" i="4" s="1" a="1"/>
  <c r="L26" i="4" s="1"/>
  <c r="L27" i="4" s="1" a="1"/>
  <c r="L27" i="4" s="1"/>
  <c r="L28" i="4" s="1" a="1"/>
  <c r="L28" i="4" s="1"/>
  <c r="L29" i="4" s="1" a="1"/>
  <c r="L29" i="4" s="1"/>
  <c r="L30" i="4" s="1" a="1"/>
  <c r="L30" i="4" s="1"/>
  <c r="L31" i="4" s="1" a="1"/>
  <c r="L31" i="4" s="1"/>
  <c r="L32" i="4" s="1" a="1"/>
  <c r="L32" i="4" s="1"/>
  <c r="L33" i="4" s="1" a="1"/>
  <c r="L33" i="4" s="1"/>
  <c r="L34" i="4" s="1" a="1"/>
  <c r="L34" i="4" s="1"/>
  <c r="L35" i="4" s="1" a="1"/>
  <c r="L35" i="4" s="1"/>
  <c r="L36" i="4" s="1" a="1"/>
  <c r="L36" i="4" s="1"/>
  <c r="L37" i="4" s="1" a="1"/>
  <c r="L37" i="4" s="1"/>
  <c r="L38" i="4" s="1" a="1"/>
  <c r="L38" i="4" s="1"/>
  <c r="L39" i="4" s="1" a="1"/>
  <c r="L39" i="4" s="1"/>
  <c r="J3" i="7"/>
  <c r="J4" i="7" s="1"/>
  <c r="L3" i="13" a="1"/>
  <c r="L3" i="13" s="1"/>
  <c r="L4" i="13" s="1" a="1"/>
  <c r="L4" i="13" s="1"/>
  <c r="L5" i="13" s="1" a="1"/>
  <c r="L5" i="13" s="1"/>
  <c r="L6" i="13" s="1" a="1"/>
  <c r="L6" i="13" s="1"/>
  <c r="L7" i="13" s="1" a="1"/>
  <c r="L7" i="13" s="1"/>
  <c r="L8" i="13" s="1" a="1"/>
  <c r="L8" i="13" s="1"/>
  <c r="L9" i="13" s="1" a="1"/>
  <c r="L9" i="13" s="1"/>
  <c r="L10" i="13" s="1" a="1"/>
  <c r="L10" i="13" s="1"/>
  <c r="L11" i="13" s="1" a="1"/>
  <c r="L11" i="13" s="1"/>
  <c r="L12" i="13" s="1" a="1"/>
  <c r="L12" i="13" s="1"/>
  <c r="L13" i="13" s="1" a="1"/>
  <c r="L13" i="13" s="1"/>
  <c r="L14" i="13" s="1" a="1"/>
  <c r="L14" i="13" s="1"/>
  <c r="L15" i="13" s="1" a="1"/>
  <c r="L15" i="13" s="1"/>
  <c r="L16" i="13" s="1" a="1"/>
  <c r="L16" i="13" s="1"/>
  <c r="L17" i="13" s="1" a="1"/>
  <c r="L17" i="13" s="1"/>
  <c r="L18" i="13" s="1" a="1"/>
  <c r="L18" i="13" s="1"/>
  <c r="L19" i="13" s="1" a="1"/>
  <c r="L19" i="13" s="1"/>
  <c r="L20" i="13" s="1" a="1"/>
  <c r="L20" i="13" s="1"/>
  <c r="L21" i="13" s="1" a="1"/>
  <c r="L21" i="13" s="1"/>
  <c r="L22" i="13" s="1" a="1"/>
  <c r="L22" i="13" s="1"/>
  <c r="L23" i="13" s="1" a="1"/>
  <c r="L23" i="13" s="1"/>
  <c r="L24" i="13" s="1" a="1"/>
  <c r="L24" i="13" s="1"/>
  <c r="L25" i="13" s="1" a="1"/>
  <c r="L25" i="13" s="1"/>
  <c r="L26" i="13" s="1" a="1"/>
  <c r="L26" i="13" s="1"/>
  <c r="L27" i="13" s="1" a="1"/>
  <c r="L27" i="13" s="1"/>
  <c r="L28" i="13" s="1" a="1"/>
  <c r="L28" i="13" s="1"/>
  <c r="L29" i="13" s="1" a="1"/>
  <c r="L29" i="13" s="1"/>
  <c r="L30" i="13" s="1" a="1"/>
  <c r="L30" i="13" s="1"/>
  <c r="L31" i="13" s="1" a="1"/>
  <c r="L31" i="13" s="1"/>
  <c r="L32" i="13" s="1" a="1"/>
  <c r="L32" i="13" s="1"/>
  <c r="L33" i="13" s="1" a="1"/>
  <c r="L33" i="13" s="1"/>
  <c r="L34" i="13" s="1" a="1"/>
  <c r="L34" i="13" s="1"/>
  <c r="L35" i="13" s="1" a="1"/>
  <c r="L35" i="13" s="1"/>
  <c r="L36" i="13" s="1" a="1"/>
  <c r="L36" i="13" s="1"/>
  <c r="L37" i="13" s="1" a="1"/>
  <c r="L37" i="13" s="1"/>
  <c r="L38" i="13" s="1" a="1"/>
  <c r="L38" i="13" s="1"/>
  <c r="L39" i="13" s="1" a="1"/>
  <c r="L39" i="13" s="1"/>
  <c r="K3" i="11" a="1"/>
  <c r="K3" i="11" s="1"/>
  <c r="K4" i="11" s="1" a="1"/>
  <c r="K4" i="11" s="1"/>
  <c r="K5" i="11" s="1" a="1"/>
  <c r="K5" i="11" s="1"/>
  <c r="K6" i="11" s="1" a="1"/>
  <c r="K6" i="11" s="1"/>
  <c r="K7" i="11" s="1" a="1"/>
  <c r="K7" i="11" s="1"/>
  <c r="K8" i="11" s="1" a="1"/>
  <c r="K8" i="11" s="1"/>
  <c r="K9" i="11" s="1" a="1"/>
  <c r="K9" i="11" s="1"/>
  <c r="K10" i="11" s="1" a="1"/>
  <c r="K10" i="11" s="1"/>
  <c r="K11" i="11" s="1" a="1"/>
  <c r="K11" i="11" s="1"/>
  <c r="K12" i="11" s="1" a="1"/>
  <c r="K12" i="11" s="1"/>
  <c r="K13" i="11" s="1" a="1"/>
  <c r="K13" i="11" s="1"/>
  <c r="K14" i="11" s="1" a="1"/>
  <c r="K14" i="11" s="1"/>
  <c r="K15" i="11" s="1" a="1"/>
  <c r="K15" i="11" s="1"/>
  <c r="K16" i="11" s="1" a="1"/>
  <c r="K16" i="11" s="1"/>
  <c r="K17" i="11" s="1" a="1"/>
  <c r="K17" i="11" s="1"/>
  <c r="K18" i="11" s="1" a="1"/>
  <c r="K18" i="11" s="1"/>
  <c r="K19" i="11" s="1" a="1"/>
  <c r="K19" i="11" s="1"/>
  <c r="K20" i="11" s="1" a="1"/>
  <c r="K20" i="11" s="1"/>
  <c r="K21" i="11" s="1" a="1"/>
  <c r="K21" i="11" s="1"/>
  <c r="K22" i="11" s="1" a="1"/>
  <c r="K22" i="11" s="1"/>
  <c r="K23" i="11" s="1" a="1"/>
  <c r="K23" i="11" s="1"/>
  <c r="K24" i="11" s="1" a="1"/>
  <c r="K24" i="11" s="1"/>
  <c r="K25" i="11" s="1" a="1"/>
  <c r="K25" i="11" s="1"/>
  <c r="K26" i="11" s="1" a="1"/>
  <c r="K26" i="11" s="1"/>
  <c r="K27" i="11" s="1" a="1"/>
  <c r="K27" i="11" s="1"/>
  <c r="K28" i="11" s="1" a="1"/>
  <c r="K28" i="11" s="1"/>
  <c r="K29" i="11" s="1" a="1"/>
  <c r="K29" i="11" s="1"/>
  <c r="K30" i="11" s="1" a="1"/>
  <c r="K30" i="11" s="1"/>
  <c r="K31" i="11" s="1" a="1"/>
  <c r="K31" i="11" s="1"/>
  <c r="K32" i="11" s="1" a="1"/>
  <c r="K32" i="11" s="1"/>
  <c r="K33" i="11" s="1" a="1"/>
  <c r="K33" i="11" s="1"/>
  <c r="K34" i="11" s="1" a="1"/>
  <c r="K34" i="11" s="1"/>
  <c r="K35" i="11" s="1" a="1"/>
  <c r="K35" i="11" s="1"/>
  <c r="K36" i="11" s="1" a="1"/>
  <c r="K36" i="11" s="1"/>
  <c r="K37" i="11" s="1" a="1"/>
  <c r="K37" i="11" s="1"/>
  <c r="K38" i="11" s="1" a="1"/>
  <c r="K38" i="11" s="1"/>
  <c r="K39" i="11" s="1" a="1"/>
  <c r="K39" i="11" s="1"/>
  <c r="AV11" i="25" s="1"/>
  <c r="AU12" i="25"/>
  <c r="AU14" i="25"/>
  <c r="AU4" i="25"/>
  <c r="K3" i="6" a="1"/>
  <c r="K3" i="6" s="1"/>
  <c r="K4" i="6" s="1" a="1"/>
  <c r="K4" i="6" s="1"/>
  <c r="K5" i="6" s="1" a="1"/>
  <c r="K5" i="6" s="1"/>
  <c r="K6" i="6" s="1" a="1"/>
  <c r="K6" i="6" s="1"/>
  <c r="K7" i="6" s="1" a="1"/>
  <c r="K7" i="6" s="1"/>
  <c r="K8" i="6" s="1" a="1"/>
  <c r="K8" i="6" s="1"/>
  <c r="K9" i="6" s="1" a="1"/>
  <c r="K9" i="6" s="1"/>
  <c r="K10" i="6" s="1" a="1"/>
  <c r="K10" i="6" s="1"/>
  <c r="K11" i="6" s="1" a="1"/>
  <c r="K11" i="6" s="1"/>
  <c r="K12" i="6" s="1" a="1"/>
  <c r="K12" i="6" s="1"/>
  <c r="K13" i="6" s="1" a="1"/>
  <c r="K13" i="6" s="1"/>
  <c r="K14" i="6" s="1" a="1"/>
  <c r="K14" i="6" s="1"/>
  <c r="K15" i="6" s="1" a="1"/>
  <c r="K15" i="6" s="1"/>
  <c r="K16" i="6" s="1" a="1"/>
  <c r="K16" i="6" s="1"/>
  <c r="K17" i="6" s="1" a="1"/>
  <c r="K17" i="6" s="1"/>
  <c r="K18" i="6" s="1" a="1"/>
  <c r="K18" i="6" s="1"/>
  <c r="K19" i="6" s="1" a="1"/>
  <c r="K19" i="6" s="1"/>
  <c r="K20" i="6" s="1" a="1"/>
  <c r="K20" i="6" s="1"/>
  <c r="K21" i="6" s="1" a="1"/>
  <c r="K21" i="6" s="1"/>
  <c r="K22" i="6" s="1" a="1"/>
  <c r="K22" i="6" s="1"/>
  <c r="K23" i="6" s="1" a="1"/>
  <c r="K23" i="6" s="1"/>
  <c r="K24" i="6" s="1" a="1"/>
  <c r="K24" i="6" s="1"/>
  <c r="K25" i="6" s="1" a="1"/>
  <c r="K25" i="6" s="1"/>
  <c r="K26" i="6" s="1" a="1"/>
  <c r="K26" i="6" s="1"/>
  <c r="K27" i="6" s="1" a="1"/>
  <c r="K27" i="6" s="1"/>
  <c r="K28" i="6" s="1" a="1"/>
  <c r="K28" i="6" s="1"/>
  <c r="K29" i="6" s="1" a="1"/>
  <c r="K29" i="6" s="1"/>
  <c r="K30" i="6" s="1" a="1"/>
  <c r="K30" i="6" s="1"/>
  <c r="K31" i="6" s="1" a="1"/>
  <c r="K31" i="6" s="1"/>
  <c r="K32" i="6" s="1" a="1"/>
  <c r="K32" i="6" s="1"/>
  <c r="K33" i="6" s="1" a="1"/>
  <c r="K33" i="6" s="1"/>
  <c r="K34" i="6" s="1" a="1"/>
  <c r="K34" i="6" s="1"/>
  <c r="K35" i="6" s="1" a="1"/>
  <c r="K35" i="6" s="1"/>
  <c r="K36" i="6" s="1" a="1"/>
  <c r="K36" i="6" s="1"/>
  <c r="K37" i="6" s="1" a="1"/>
  <c r="K37" i="6" s="1"/>
  <c r="K38" i="6" s="1" a="1"/>
  <c r="K38" i="6" s="1"/>
  <c r="K39" i="6" s="1" a="1"/>
  <c r="K39" i="6" s="1"/>
  <c r="L3" i="10" a="1"/>
  <c r="L3" i="10" s="1"/>
  <c r="L4" i="10" s="1" a="1"/>
  <c r="L4" i="10" s="1"/>
  <c r="L5" i="10" s="1" a="1"/>
  <c r="L5" i="10" s="1"/>
  <c r="L6" i="10" s="1" a="1"/>
  <c r="L6" i="10" s="1"/>
  <c r="L7" i="10" s="1" a="1"/>
  <c r="L7" i="10" s="1"/>
  <c r="L8" i="10" s="1" a="1"/>
  <c r="L8" i="10" s="1"/>
  <c r="L9" i="10" s="1" a="1"/>
  <c r="L9" i="10" s="1"/>
  <c r="L10" i="10" s="1" a="1"/>
  <c r="L10" i="10" s="1"/>
  <c r="L11" i="10" s="1" a="1"/>
  <c r="L11" i="10" s="1"/>
  <c r="L12" i="10" s="1" a="1"/>
  <c r="L12" i="10" s="1"/>
  <c r="L13" i="10" s="1" a="1"/>
  <c r="L13" i="10" s="1"/>
  <c r="L14" i="10" s="1" a="1"/>
  <c r="L14" i="10" s="1"/>
  <c r="L15" i="10" s="1" a="1"/>
  <c r="L15" i="10" s="1"/>
  <c r="L16" i="10" s="1" a="1"/>
  <c r="L16" i="10" s="1"/>
  <c r="L17" i="10" s="1" a="1"/>
  <c r="L17" i="10" s="1"/>
  <c r="L18" i="10" s="1" a="1"/>
  <c r="L18" i="10" s="1"/>
  <c r="L19" i="10" s="1" a="1"/>
  <c r="L19" i="10" s="1"/>
  <c r="L20" i="10" s="1" a="1"/>
  <c r="L20" i="10" s="1"/>
  <c r="L21" i="10" s="1" a="1"/>
  <c r="L21" i="10" s="1"/>
  <c r="L22" i="10" s="1" a="1"/>
  <c r="L22" i="10" s="1"/>
  <c r="L23" i="10" s="1" a="1"/>
  <c r="L23" i="10" s="1"/>
  <c r="L24" i="10" s="1" a="1"/>
  <c r="L24" i="10" s="1"/>
  <c r="L25" i="10" s="1" a="1"/>
  <c r="L25" i="10" s="1"/>
  <c r="L26" i="10" s="1" a="1"/>
  <c r="L26" i="10" s="1"/>
  <c r="L27" i="10" s="1" a="1"/>
  <c r="L27" i="10" s="1"/>
  <c r="L28" i="10" s="1" a="1"/>
  <c r="L28" i="10" s="1"/>
  <c r="L29" i="10" s="1" a="1"/>
  <c r="L29" i="10" s="1"/>
  <c r="L30" i="10" s="1" a="1"/>
  <c r="L30" i="10" s="1"/>
  <c r="L31" i="10" s="1" a="1"/>
  <c r="L31" i="10" s="1"/>
  <c r="L32" i="10" s="1" a="1"/>
  <c r="L32" i="10" s="1"/>
  <c r="L33" i="10" s="1" a="1"/>
  <c r="L33" i="10" s="1"/>
  <c r="L34" i="10" s="1" a="1"/>
  <c r="L34" i="10" s="1"/>
  <c r="L35" i="10" s="1" a="1"/>
  <c r="L35" i="10" s="1"/>
  <c r="L36" i="10" s="1" a="1"/>
  <c r="L36" i="10" s="1"/>
  <c r="L37" i="10" s="1" a="1"/>
  <c r="L37" i="10" s="1"/>
  <c r="L38" i="10" s="1" a="1"/>
  <c r="L38" i="10" s="1"/>
  <c r="L39" i="10" s="1" a="1"/>
  <c r="L39" i="10" s="1"/>
  <c r="AU9" i="25"/>
  <c r="AU3" i="25"/>
  <c r="AT15" i="25"/>
  <c r="AT16" i="25"/>
  <c r="AT18" i="25"/>
  <c r="AU19" i="25"/>
  <c r="AW20" i="25"/>
  <c r="AU21" i="25"/>
  <c r="AT22" i="25"/>
  <c r="K3" i="4" a="1"/>
  <c r="K3" i="4" s="1"/>
  <c r="K4" i="4" s="1" a="1"/>
  <c r="K4" i="4" s="1"/>
  <c r="K5" i="4" s="1" a="1"/>
  <c r="K5" i="4" s="1"/>
  <c r="K6" i="4" s="1" a="1"/>
  <c r="K6" i="4" s="1"/>
  <c r="K7" i="4" s="1" a="1"/>
  <c r="K7" i="4" s="1"/>
  <c r="K8" i="4" s="1" a="1"/>
  <c r="K8" i="4" s="1"/>
  <c r="K9" i="4" s="1" a="1"/>
  <c r="K9" i="4" s="1"/>
  <c r="K10" i="4" s="1" a="1"/>
  <c r="K10" i="4" s="1"/>
  <c r="K11" i="4" s="1" a="1"/>
  <c r="K11" i="4" s="1"/>
  <c r="K12" i="4" s="1" a="1"/>
  <c r="K12" i="4" s="1"/>
  <c r="K13" i="4" s="1" a="1"/>
  <c r="K13" i="4" s="1"/>
  <c r="K14" i="4" s="1" a="1"/>
  <c r="K14" i="4" s="1"/>
  <c r="K15" i="4" s="1" a="1"/>
  <c r="K15" i="4" s="1"/>
  <c r="K16" i="4" s="1" a="1"/>
  <c r="K16" i="4" s="1"/>
  <c r="K17" i="4" s="1" a="1"/>
  <c r="K17" i="4" s="1"/>
  <c r="K18" i="4" s="1" a="1"/>
  <c r="K18" i="4" s="1"/>
  <c r="K19" i="4" s="1" a="1"/>
  <c r="K19" i="4" s="1"/>
  <c r="K20" i="4" s="1" a="1"/>
  <c r="K20" i="4" s="1"/>
  <c r="K21" i="4" s="1" a="1"/>
  <c r="K21" i="4" s="1"/>
  <c r="K22" i="4" s="1" a="1"/>
  <c r="K22" i="4" s="1"/>
  <c r="K23" i="4" s="1" a="1"/>
  <c r="K23" i="4" s="1"/>
  <c r="K24" i="4" s="1" a="1"/>
  <c r="K24" i="4" s="1"/>
  <c r="K25" i="4" s="1" a="1"/>
  <c r="K25" i="4" s="1"/>
  <c r="K26" i="4" s="1" a="1"/>
  <c r="K26" i="4" s="1"/>
  <c r="K27" i="4" s="1" a="1"/>
  <c r="K27" i="4" s="1"/>
  <c r="K28" i="4" s="1" a="1"/>
  <c r="K28" i="4" s="1"/>
  <c r="K29" i="4" s="1" a="1"/>
  <c r="K29" i="4" s="1"/>
  <c r="K30" i="4" s="1" a="1"/>
  <c r="K30" i="4" s="1"/>
  <c r="K31" i="4" s="1" a="1"/>
  <c r="K31" i="4" s="1"/>
  <c r="K32" i="4" s="1" a="1"/>
  <c r="K32" i="4" s="1"/>
  <c r="K33" i="4" s="1" a="1"/>
  <c r="K33" i="4" s="1"/>
  <c r="K34" i="4" s="1" a="1"/>
  <c r="K34" i="4" s="1"/>
  <c r="K35" i="4" s="1" a="1"/>
  <c r="K35" i="4" s="1"/>
  <c r="K36" i="4" s="1" a="1"/>
  <c r="K36" i="4" s="1"/>
  <c r="K37" i="4" s="1" a="1"/>
  <c r="K37" i="4" s="1"/>
  <c r="K38" i="4" s="1" a="1"/>
  <c r="K38" i="4" s="1"/>
  <c r="K39" i="4" s="1" a="1"/>
  <c r="K39" i="4" s="1"/>
  <c r="K3" i="7" a="1"/>
  <c r="K3" i="7" s="1"/>
  <c r="K4" i="7" s="1" a="1"/>
  <c r="K4" i="7" s="1"/>
  <c r="K5" i="7" s="1" a="1"/>
  <c r="K5" i="7" s="1"/>
  <c r="K6" i="7" s="1" a="1"/>
  <c r="K6" i="7" s="1"/>
  <c r="K7" i="7" s="1" a="1"/>
  <c r="K7" i="7" s="1"/>
  <c r="K8" i="7" s="1" a="1"/>
  <c r="K8" i="7" s="1"/>
  <c r="K9" i="7" s="1" a="1"/>
  <c r="K9" i="7" s="1"/>
  <c r="K10" i="7" s="1" a="1"/>
  <c r="K10" i="7" s="1"/>
  <c r="K11" i="7" s="1" a="1"/>
  <c r="K11" i="7" s="1"/>
  <c r="K12" i="7" s="1" a="1"/>
  <c r="K12" i="7" s="1"/>
  <c r="K13" i="7" s="1" a="1"/>
  <c r="K13" i="7" s="1"/>
  <c r="K14" i="7" s="1" a="1"/>
  <c r="K14" i="7" s="1"/>
  <c r="K15" i="7" s="1" a="1"/>
  <c r="K15" i="7" s="1"/>
  <c r="K16" i="7" s="1" a="1"/>
  <c r="K16" i="7" s="1"/>
  <c r="K17" i="7" s="1" a="1"/>
  <c r="K17" i="7" s="1"/>
  <c r="K18" i="7" s="1" a="1"/>
  <c r="K18" i="7" s="1"/>
  <c r="K19" i="7" s="1" a="1"/>
  <c r="K19" i="7" s="1"/>
  <c r="K20" i="7" s="1" a="1"/>
  <c r="K20" i="7" s="1"/>
  <c r="K21" i="7" s="1" a="1"/>
  <c r="K21" i="7" s="1"/>
  <c r="K22" i="7" s="1" a="1"/>
  <c r="K22" i="7" s="1"/>
  <c r="K23" i="7" s="1" a="1"/>
  <c r="K23" i="7" s="1"/>
  <c r="K24" i="7" s="1" a="1"/>
  <c r="K24" i="7" s="1"/>
  <c r="K25" i="7" s="1" a="1"/>
  <c r="K25" i="7" s="1"/>
  <c r="K26" i="7" s="1" a="1"/>
  <c r="K26" i="7" s="1"/>
  <c r="K27" i="7" s="1" a="1"/>
  <c r="K27" i="7" s="1"/>
  <c r="K28" i="7" s="1" a="1"/>
  <c r="K28" i="7" s="1"/>
  <c r="K29" i="7" s="1" a="1"/>
  <c r="K29" i="7" s="1"/>
  <c r="K30" i="7" s="1" a="1"/>
  <c r="K30" i="7" s="1"/>
  <c r="K31" i="7" s="1" a="1"/>
  <c r="K31" i="7" s="1"/>
  <c r="K32" i="7" s="1" a="1"/>
  <c r="K32" i="7" s="1"/>
  <c r="K33" i="7" s="1" a="1"/>
  <c r="K33" i="7" s="1"/>
  <c r="K34" i="7" s="1" a="1"/>
  <c r="K34" i="7" s="1"/>
  <c r="K35" i="7" s="1" a="1"/>
  <c r="K35" i="7" s="1"/>
  <c r="K36" i="7" s="1" a="1"/>
  <c r="K36" i="7" s="1"/>
  <c r="K37" i="7" s="1" a="1"/>
  <c r="K37" i="7" s="1"/>
  <c r="K38" i="7" s="1" a="1"/>
  <c r="K38" i="7" s="1"/>
  <c r="K39" i="7" s="1" a="1"/>
  <c r="K39" i="7" s="1"/>
  <c r="I3" i="13"/>
  <c r="AT13" i="25" s="1"/>
  <c r="L3" i="11" a="1"/>
  <c r="L3" i="11" s="1"/>
  <c r="L4" i="11" s="1" a="1"/>
  <c r="L4" i="11" s="1"/>
  <c r="L5" i="11" s="1" a="1"/>
  <c r="L5" i="11" s="1"/>
  <c r="L6" i="11" s="1" a="1"/>
  <c r="L6" i="11" s="1"/>
  <c r="L7" i="11" s="1" a="1"/>
  <c r="L7" i="11" s="1"/>
  <c r="L8" i="11" s="1" a="1"/>
  <c r="L8" i="11" s="1"/>
  <c r="L9" i="11" s="1" a="1"/>
  <c r="L9" i="11" s="1"/>
  <c r="L10" i="11" s="1" a="1"/>
  <c r="L10" i="11" s="1"/>
  <c r="L11" i="11" s="1" a="1"/>
  <c r="L11" i="11" s="1"/>
  <c r="L12" i="11" s="1" a="1"/>
  <c r="L12" i="11" s="1"/>
  <c r="L13" i="11" s="1" a="1"/>
  <c r="L13" i="11" s="1"/>
  <c r="L14" i="11" s="1" a="1"/>
  <c r="L14" i="11" s="1"/>
  <c r="L15" i="11" s="1" a="1"/>
  <c r="L15" i="11" s="1"/>
  <c r="L16" i="11" s="1" a="1"/>
  <c r="L16" i="11" s="1"/>
  <c r="L17" i="11" s="1" a="1"/>
  <c r="L17" i="11" s="1"/>
  <c r="L18" i="11" s="1" a="1"/>
  <c r="L18" i="11" s="1"/>
  <c r="L19" i="11" s="1" a="1"/>
  <c r="L19" i="11" s="1"/>
  <c r="L20" i="11" s="1" a="1"/>
  <c r="L20" i="11" s="1"/>
  <c r="L21" i="11" s="1" a="1"/>
  <c r="L21" i="11" s="1"/>
  <c r="L22" i="11" s="1" a="1"/>
  <c r="L22" i="11" s="1"/>
  <c r="L23" i="11" s="1" a="1"/>
  <c r="L23" i="11" s="1"/>
  <c r="L24" i="11" s="1" a="1"/>
  <c r="L24" i="11" s="1"/>
  <c r="L25" i="11" s="1" a="1"/>
  <c r="L25" i="11" s="1"/>
  <c r="L26" i="11" s="1" a="1"/>
  <c r="L26" i="11" s="1"/>
  <c r="L27" i="11" s="1" a="1"/>
  <c r="L27" i="11" s="1"/>
  <c r="L28" i="11" s="1" a="1"/>
  <c r="L28" i="11" s="1"/>
  <c r="L29" i="11" s="1" a="1"/>
  <c r="L29" i="11" s="1"/>
  <c r="L30" i="11" s="1" a="1"/>
  <c r="L30" i="11" s="1"/>
  <c r="L31" i="11" s="1" a="1"/>
  <c r="L31" i="11" s="1"/>
  <c r="L32" i="11" s="1" a="1"/>
  <c r="L32" i="11" s="1"/>
  <c r="L33" i="11" s="1" a="1"/>
  <c r="L33" i="11" s="1"/>
  <c r="L34" i="11" s="1" a="1"/>
  <c r="L34" i="11" s="1"/>
  <c r="L35" i="11" s="1" a="1"/>
  <c r="L35" i="11" s="1"/>
  <c r="L36" i="11" s="1" a="1"/>
  <c r="L36" i="11" s="1"/>
  <c r="L37" i="11" s="1" a="1"/>
  <c r="L37" i="11" s="1"/>
  <c r="L38" i="11" s="1" a="1"/>
  <c r="L38" i="11" s="1"/>
  <c r="L39" i="11" s="1" a="1"/>
  <c r="L39" i="11" s="1"/>
  <c r="K3" i="12" a="1"/>
  <c r="K3" i="12" s="1"/>
  <c r="K4" i="12" s="1" a="1"/>
  <c r="K4" i="12" s="1"/>
  <c r="K5" i="12" s="1" a="1"/>
  <c r="K5" i="12" s="1"/>
  <c r="K6" i="12" s="1" a="1"/>
  <c r="K6" i="12" s="1"/>
  <c r="K7" i="12" s="1" a="1"/>
  <c r="K7" i="12" s="1"/>
  <c r="K8" i="12" s="1" a="1"/>
  <c r="K8" i="12" s="1"/>
  <c r="K9" i="12" s="1" a="1"/>
  <c r="K9" i="12" s="1"/>
  <c r="K10" i="12" s="1" a="1"/>
  <c r="K10" i="12" s="1"/>
  <c r="K11" i="12" s="1" a="1"/>
  <c r="K11" i="12" s="1"/>
  <c r="K12" i="12" s="1" a="1"/>
  <c r="K12" i="12" s="1"/>
  <c r="K13" i="12" s="1" a="1"/>
  <c r="K13" i="12" s="1"/>
  <c r="K14" i="12" s="1" a="1"/>
  <c r="K14" i="12" s="1"/>
  <c r="K15" i="12" s="1" a="1"/>
  <c r="K15" i="12" s="1"/>
  <c r="K16" i="12" s="1" a="1"/>
  <c r="K16" i="12" s="1"/>
  <c r="K17" i="12" s="1" a="1"/>
  <c r="K17" i="12" s="1"/>
  <c r="K18" i="12" s="1" a="1"/>
  <c r="K18" i="12" s="1"/>
  <c r="K19" i="12" s="1" a="1"/>
  <c r="K19" i="12" s="1"/>
  <c r="K20" i="12" s="1" a="1"/>
  <c r="K20" i="12" s="1"/>
  <c r="K21" i="12" s="1" a="1"/>
  <c r="K21" i="12" s="1"/>
  <c r="K22" i="12" s="1" a="1"/>
  <c r="K22" i="12" s="1"/>
  <c r="K23" i="12" s="1" a="1"/>
  <c r="K23" i="12" s="1"/>
  <c r="K24" i="12" s="1" a="1"/>
  <c r="K24" i="12" s="1"/>
  <c r="K25" i="12" s="1" a="1"/>
  <c r="K25" i="12" s="1"/>
  <c r="K26" i="12" s="1" a="1"/>
  <c r="K26" i="12" s="1"/>
  <c r="K27" i="12" s="1" a="1"/>
  <c r="K27" i="12" s="1"/>
  <c r="K28" i="12" s="1" a="1"/>
  <c r="K28" i="12" s="1"/>
  <c r="K29" i="12" s="1" a="1"/>
  <c r="K29" i="12" s="1"/>
  <c r="K30" i="12" s="1" a="1"/>
  <c r="K30" i="12" s="1"/>
  <c r="K31" i="12" s="1" a="1"/>
  <c r="K31" i="12" s="1"/>
  <c r="K32" i="12" s="1" a="1"/>
  <c r="K32" i="12" s="1"/>
  <c r="K33" i="12" s="1" a="1"/>
  <c r="K33" i="12" s="1"/>
  <c r="K34" i="12" s="1" a="1"/>
  <c r="K34" i="12" s="1"/>
  <c r="K35" i="12" s="1" a="1"/>
  <c r="K35" i="12" s="1"/>
  <c r="K36" i="12" s="1" a="1"/>
  <c r="K36" i="12" s="1"/>
  <c r="K37" i="12" s="1" a="1"/>
  <c r="K37" i="12" s="1"/>
  <c r="K38" i="12" s="1" a="1"/>
  <c r="K38" i="12" s="1"/>
  <c r="K39" i="12" s="1" a="1"/>
  <c r="K39" i="12" s="1"/>
  <c r="K3" i="14" a="1"/>
  <c r="K3" i="14" s="1"/>
  <c r="K4" i="14" s="1" a="1"/>
  <c r="K4" i="14" s="1"/>
  <c r="K5" i="14" s="1" a="1"/>
  <c r="K5" i="14" s="1"/>
  <c r="K6" i="14" s="1" a="1"/>
  <c r="K6" i="14" s="1"/>
  <c r="K7" i="14" s="1" a="1"/>
  <c r="K7" i="14" s="1"/>
  <c r="K8" i="14" s="1" a="1"/>
  <c r="K8" i="14" s="1"/>
  <c r="K9" i="14" s="1" a="1"/>
  <c r="K9" i="14" s="1"/>
  <c r="K10" i="14" s="1" a="1"/>
  <c r="K10" i="14" s="1"/>
  <c r="K11" i="14" s="1" a="1"/>
  <c r="K11" i="14" s="1"/>
  <c r="K12" i="14" s="1" a="1"/>
  <c r="K12" i="14" s="1"/>
  <c r="K13" i="14" s="1" a="1"/>
  <c r="K13" i="14" s="1"/>
  <c r="K14" i="14" s="1" a="1"/>
  <c r="K14" i="14" s="1"/>
  <c r="K15" i="14" s="1" a="1"/>
  <c r="K15" i="14" s="1"/>
  <c r="K16" i="14" s="1" a="1"/>
  <c r="K16" i="14" s="1"/>
  <c r="K17" i="14" s="1" a="1"/>
  <c r="K17" i="14" s="1"/>
  <c r="K18" i="14" s="1" a="1"/>
  <c r="K18" i="14" s="1"/>
  <c r="K19" i="14" s="1" a="1"/>
  <c r="K19" i="14" s="1"/>
  <c r="K20" i="14" s="1" a="1"/>
  <c r="K20" i="14" s="1"/>
  <c r="K21" i="14" s="1" a="1"/>
  <c r="K21" i="14" s="1"/>
  <c r="K22" i="14" s="1" a="1"/>
  <c r="K22" i="14" s="1"/>
  <c r="K23" i="14" s="1" a="1"/>
  <c r="K23" i="14" s="1"/>
  <c r="K24" i="14" s="1" a="1"/>
  <c r="K24" i="14" s="1"/>
  <c r="K25" i="14" s="1" a="1"/>
  <c r="K25" i="14" s="1"/>
  <c r="K26" i="14" s="1" a="1"/>
  <c r="K26" i="14" s="1"/>
  <c r="K27" i="14" s="1" a="1"/>
  <c r="K27" i="14" s="1"/>
  <c r="K28" i="14" s="1" a="1"/>
  <c r="K28" i="14" s="1"/>
  <c r="K29" i="14" s="1" a="1"/>
  <c r="K29" i="14" s="1"/>
  <c r="K30" i="14" s="1" a="1"/>
  <c r="K30" i="14" s="1"/>
  <c r="K31" i="14" s="1" a="1"/>
  <c r="K31" i="14" s="1"/>
  <c r="K32" i="14" s="1" a="1"/>
  <c r="K32" i="14" s="1"/>
  <c r="K33" i="14" s="1" a="1"/>
  <c r="K33" i="14" s="1"/>
  <c r="K34" i="14" s="1" a="1"/>
  <c r="K34" i="14" s="1"/>
  <c r="K35" i="14" s="1" a="1"/>
  <c r="K35" i="14" s="1"/>
  <c r="K36" i="14" s="1" a="1"/>
  <c r="K36" i="14" s="1"/>
  <c r="K37" i="14" s="1" a="1"/>
  <c r="K37" i="14" s="1"/>
  <c r="K38" i="14" s="1" a="1"/>
  <c r="K38" i="14" s="1"/>
  <c r="K39" i="14" s="1" a="1"/>
  <c r="K39" i="14" s="1"/>
  <c r="K3" i="3" a="1"/>
  <c r="K3" i="3" s="1"/>
  <c r="K4" i="3" s="1" a="1"/>
  <c r="K4" i="3" s="1"/>
  <c r="K5" i="3" s="1" a="1"/>
  <c r="K5" i="3" s="1"/>
  <c r="K6" i="3" s="1" a="1"/>
  <c r="K6" i="3" s="1"/>
  <c r="K7" i="3" s="1" a="1"/>
  <c r="K7" i="3" s="1"/>
  <c r="K8" i="3" s="1" a="1"/>
  <c r="K8" i="3" s="1"/>
  <c r="K9" i="3" s="1" a="1"/>
  <c r="K9" i="3" s="1"/>
  <c r="K10" i="3" s="1" a="1"/>
  <c r="K10" i="3" s="1"/>
  <c r="K11" i="3" s="1" a="1"/>
  <c r="K11" i="3" s="1"/>
  <c r="K12" i="3" s="1" a="1"/>
  <c r="K12" i="3" s="1"/>
  <c r="K13" i="3" s="1" a="1"/>
  <c r="K13" i="3" s="1"/>
  <c r="K14" i="3" s="1" a="1"/>
  <c r="K14" i="3" s="1"/>
  <c r="K15" i="3" s="1" a="1"/>
  <c r="K15" i="3" s="1"/>
  <c r="K16" i="3" s="1" a="1"/>
  <c r="K16" i="3" s="1"/>
  <c r="K17" i="3" s="1" a="1"/>
  <c r="K17" i="3" s="1"/>
  <c r="K18" i="3" s="1" a="1"/>
  <c r="K18" i="3" s="1"/>
  <c r="K19" i="3" s="1" a="1"/>
  <c r="K19" i="3" s="1"/>
  <c r="K20" i="3" s="1" a="1"/>
  <c r="K20" i="3" s="1"/>
  <c r="K21" i="3" s="1" a="1"/>
  <c r="K21" i="3" s="1"/>
  <c r="K22" i="3" s="1" a="1"/>
  <c r="K22" i="3" s="1"/>
  <c r="K23" i="3" s="1" a="1"/>
  <c r="K23" i="3" s="1"/>
  <c r="K24" i="3" s="1" a="1"/>
  <c r="K24" i="3" s="1"/>
  <c r="K25" i="3" s="1" a="1"/>
  <c r="K25" i="3" s="1"/>
  <c r="K26" i="3" s="1" a="1"/>
  <c r="K26" i="3" s="1"/>
  <c r="K27" i="3" s="1" a="1"/>
  <c r="K27" i="3" s="1"/>
  <c r="K28" i="3" s="1" a="1"/>
  <c r="K28" i="3" s="1"/>
  <c r="K29" i="3" s="1" a="1"/>
  <c r="K29" i="3" s="1"/>
  <c r="K30" i="3" s="1" a="1"/>
  <c r="K30" i="3" s="1"/>
  <c r="K31" i="3" s="1" a="1"/>
  <c r="K31" i="3" s="1"/>
  <c r="K32" i="3" s="1" a="1"/>
  <c r="K32" i="3" s="1"/>
  <c r="K33" i="3" s="1" a="1"/>
  <c r="K33" i="3" s="1"/>
  <c r="K34" i="3" s="1" a="1"/>
  <c r="K34" i="3" s="1"/>
  <c r="K35" i="3" s="1" a="1"/>
  <c r="K35" i="3" s="1"/>
  <c r="K36" i="3" s="1" a="1"/>
  <c r="K36" i="3" s="1"/>
  <c r="K37" i="3" s="1" a="1"/>
  <c r="K37" i="3" s="1"/>
  <c r="K38" i="3" s="1" a="1"/>
  <c r="K38" i="3" s="1"/>
  <c r="K39" i="3" s="1" a="1"/>
  <c r="K39" i="3" s="1"/>
  <c r="L3" i="6" a="1"/>
  <c r="L3" i="6" s="1"/>
  <c r="L4" i="6" s="1" a="1"/>
  <c r="L4" i="6" s="1"/>
  <c r="L5" i="6" s="1" a="1"/>
  <c r="L5" i="6" s="1"/>
  <c r="L6" i="6" s="1" a="1"/>
  <c r="L6" i="6" s="1"/>
  <c r="L7" i="6" s="1" a="1"/>
  <c r="L7" i="6" s="1"/>
  <c r="L8" i="6" s="1" a="1"/>
  <c r="L8" i="6" s="1"/>
  <c r="L9" i="6" s="1" a="1"/>
  <c r="L9" i="6" s="1"/>
  <c r="L10" i="6" s="1" a="1"/>
  <c r="L10" i="6" s="1"/>
  <c r="L11" i="6" s="1" a="1"/>
  <c r="L11" i="6" s="1"/>
  <c r="L12" i="6" s="1" a="1"/>
  <c r="L12" i="6" s="1"/>
  <c r="L13" i="6" s="1" a="1"/>
  <c r="L13" i="6" s="1"/>
  <c r="L14" i="6" s="1" a="1"/>
  <c r="L14" i="6" s="1"/>
  <c r="L15" i="6" s="1" a="1"/>
  <c r="L15" i="6" s="1"/>
  <c r="L16" i="6" s="1" a="1"/>
  <c r="L16" i="6" s="1"/>
  <c r="L17" i="6" s="1" a="1"/>
  <c r="L17" i="6" s="1"/>
  <c r="L18" i="6" s="1" a="1"/>
  <c r="L18" i="6" s="1"/>
  <c r="L19" i="6" s="1" a="1"/>
  <c r="L19" i="6" s="1"/>
  <c r="L20" i="6" s="1" a="1"/>
  <c r="L20" i="6" s="1"/>
  <c r="L21" i="6" s="1" a="1"/>
  <c r="L21" i="6" s="1"/>
  <c r="L22" i="6" s="1" a="1"/>
  <c r="L22" i="6" s="1"/>
  <c r="L23" i="6" s="1" a="1"/>
  <c r="L23" i="6" s="1"/>
  <c r="L24" i="6" s="1" a="1"/>
  <c r="L24" i="6" s="1"/>
  <c r="L25" i="6" s="1" a="1"/>
  <c r="L25" i="6" s="1"/>
  <c r="L26" i="6" s="1" a="1"/>
  <c r="L26" i="6" s="1"/>
  <c r="L27" i="6" s="1" a="1"/>
  <c r="L27" i="6" s="1"/>
  <c r="L28" i="6" s="1" a="1"/>
  <c r="L28" i="6" s="1"/>
  <c r="L29" i="6" s="1" a="1"/>
  <c r="L29" i="6" s="1"/>
  <c r="L30" i="6" s="1" a="1"/>
  <c r="L30" i="6" s="1"/>
  <c r="L31" i="6" s="1" a="1"/>
  <c r="L31" i="6" s="1"/>
  <c r="L32" i="6" s="1" a="1"/>
  <c r="L32" i="6" s="1"/>
  <c r="L33" i="6" s="1" a="1"/>
  <c r="L33" i="6" s="1"/>
  <c r="L34" i="6" s="1" a="1"/>
  <c r="L34" i="6" s="1"/>
  <c r="L35" i="6" s="1" a="1"/>
  <c r="L35" i="6" s="1"/>
  <c r="L36" i="6" s="1" a="1"/>
  <c r="L36" i="6" s="1"/>
  <c r="L37" i="6" s="1" a="1"/>
  <c r="L37" i="6" s="1"/>
  <c r="L38" i="6" s="1" a="1"/>
  <c r="L38" i="6" s="1"/>
  <c r="L39" i="6" s="1" a="1"/>
  <c r="L39" i="6" s="1"/>
  <c r="AT10" i="25"/>
  <c r="K3" i="8" a="1"/>
  <c r="K3" i="8" s="1"/>
  <c r="K4" i="8" s="1" a="1"/>
  <c r="K4" i="8" s="1"/>
  <c r="K5" i="8" s="1" a="1"/>
  <c r="K5" i="8" s="1"/>
  <c r="K6" i="8" s="1" a="1"/>
  <c r="K6" i="8" s="1"/>
  <c r="K7" i="8" s="1" a="1"/>
  <c r="K7" i="8" s="1"/>
  <c r="K8" i="8" s="1" a="1"/>
  <c r="K8" i="8" s="1"/>
  <c r="K9" i="8" s="1" a="1"/>
  <c r="K9" i="8" s="1"/>
  <c r="K10" i="8" s="1" a="1"/>
  <c r="K10" i="8" s="1"/>
  <c r="K11" i="8" s="1" a="1"/>
  <c r="K11" i="8" s="1"/>
  <c r="K12" i="8" s="1" a="1"/>
  <c r="K12" i="8" s="1"/>
  <c r="K13" i="8" s="1" a="1"/>
  <c r="K13" i="8" s="1"/>
  <c r="K14" i="8" s="1" a="1"/>
  <c r="K14" i="8" s="1"/>
  <c r="K15" i="8" s="1" a="1"/>
  <c r="K15" i="8" s="1"/>
  <c r="K16" i="8" s="1" a="1"/>
  <c r="K16" i="8" s="1"/>
  <c r="K17" i="8" s="1" a="1"/>
  <c r="K17" i="8" s="1"/>
  <c r="K18" i="8" s="1" a="1"/>
  <c r="K18" i="8" s="1"/>
  <c r="K19" i="8" s="1" a="1"/>
  <c r="K19" i="8" s="1"/>
  <c r="K20" i="8" s="1" a="1"/>
  <c r="K20" i="8" s="1"/>
  <c r="K21" i="8" s="1" a="1"/>
  <c r="K21" i="8" s="1"/>
  <c r="K22" i="8" s="1" a="1"/>
  <c r="K22" i="8" s="1"/>
  <c r="K23" i="8" s="1" a="1"/>
  <c r="K23" i="8" s="1"/>
  <c r="K24" i="8" s="1" a="1"/>
  <c r="K24" i="8" s="1"/>
  <c r="K25" i="8" s="1" a="1"/>
  <c r="K25" i="8" s="1"/>
  <c r="K26" i="8" s="1" a="1"/>
  <c r="K26" i="8" s="1"/>
  <c r="K27" i="8" s="1" a="1"/>
  <c r="K27" i="8" s="1"/>
  <c r="K28" i="8" s="1" a="1"/>
  <c r="K28" i="8" s="1"/>
  <c r="K29" i="8" s="1" a="1"/>
  <c r="K29" i="8" s="1"/>
  <c r="K30" i="8" s="1" a="1"/>
  <c r="K30" i="8" s="1"/>
  <c r="K31" i="8" s="1" a="1"/>
  <c r="K31" i="8" s="1"/>
  <c r="K32" i="8" s="1" a="1"/>
  <c r="K32" i="8" s="1"/>
  <c r="K33" i="8" s="1" a="1"/>
  <c r="K33" i="8" s="1"/>
  <c r="K34" i="8" s="1" a="1"/>
  <c r="K34" i="8" s="1"/>
  <c r="K35" i="8" s="1" a="1"/>
  <c r="K35" i="8" s="1"/>
  <c r="K36" i="8" s="1" a="1"/>
  <c r="K36" i="8" s="1"/>
  <c r="K37" i="8" s="1" a="1"/>
  <c r="K37" i="8" s="1"/>
  <c r="K38" i="8" s="1" a="1"/>
  <c r="K38" i="8" s="1"/>
  <c r="K39" i="8" s="1" a="1"/>
  <c r="K39" i="8" s="1"/>
  <c r="AU15" i="25"/>
  <c r="J3" i="16"/>
  <c r="AU16" i="25" s="1"/>
  <c r="K3" i="19" a="1"/>
  <c r="K3" i="19" s="1"/>
  <c r="K4" i="19" s="1" a="1"/>
  <c r="K4" i="19" s="1"/>
  <c r="K5" i="19" s="1" a="1"/>
  <c r="K5" i="19" s="1"/>
  <c r="K6" i="19" s="1" a="1"/>
  <c r="K6" i="19" s="1"/>
  <c r="K7" i="19" s="1" a="1"/>
  <c r="K7" i="19" s="1"/>
  <c r="K8" i="19" s="1" a="1"/>
  <c r="K8" i="19" s="1"/>
  <c r="K9" i="19" s="1" a="1"/>
  <c r="K9" i="19" s="1"/>
  <c r="K10" i="19" s="1" a="1"/>
  <c r="K10" i="19" s="1"/>
  <c r="K11" i="19" s="1" a="1"/>
  <c r="K11" i="19" s="1"/>
  <c r="K12" i="19" s="1" a="1"/>
  <c r="K12" i="19" s="1"/>
  <c r="K13" i="19" s="1" a="1"/>
  <c r="K13" i="19" s="1"/>
  <c r="K14" i="19" s="1" a="1"/>
  <c r="K14" i="19" s="1"/>
  <c r="K15" i="19" s="1" a="1"/>
  <c r="K15" i="19" s="1"/>
  <c r="K16" i="19" s="1" a="1"/>
  <c r="K16" i="19" s="1"/>
  <c r="K17" i="19" s="1" a="1"/>
  <c r="K17" i="19" s="1"/>
  <c r="K18" i="19" s="1" a="1"/>
  <c r="K18" i="19" s="1"/>
  <c r="K19" i="19" s="1" a="1"/>
  <c r="K19" i="19" s="1"/>
  <c r="K20" i="19" s="1" a="1"/>
  <c r="K20" i="19" s="1"/>
  <c r="K21" i="19" s="1" a="1"/>
  <c r="K21" i="19" s="1"/>
  <c r="K22" i="19" s="1" a="1"/>
  <c r="K22" i="19" s="1"/>
  <c r="K23" i="19" s="1" a="1"/>
  <c r="K23" i="19" s="1"/>
  <c r="K24" i="19" s="1" a="1"/>
  <c r="K24" i="19" s="1"/>
  <c r="K25" i="19" s="1" a="1"/>
  <c r="K25" i="19" s="1"/>
  <c r="K26" i="19" s="1" a="1"/>
  <c r="K26" i="19" s="1"/>
  <c r="K27" i="19" s="1" a="1"/>
  <c r="K27" i="19" s="1"/>
  <c r="K28" i="19" s="1" a="1"/>
  <c r="K28" i="19" s="1"/>
  <c r="K29" i="19" s="1" a="1"/>
  <c r="K29" i="19" s="1"/>
  <c r="K30" i="19" s="1" a="1"/>
  <c r="K30" i="19" s="1"/>
  <c r="K31" i="19" s="1" a="1"/>
  <c r="K31" i="19" s="1"/>
  <c r="K32" i="19" s="1" a="1"/>
  <c r="K32" i="19" s="1"/>
  <c r="K33" i="19" s="1" a="1"/>
  <c r="K33" i="19" s="1"/>
  <c r="K34" i="19" s="1" a="1"/>
  <c r="K34" i="19" s="1"/>
  <c r="K35" i="19" s="1" a="1"/>
  <c r="K35" i="19" s="1"/>
  <c r="K36" i="19" s="1" a="1"/>
  <c r="K36" i="19" s="1"/>
  <c r="K37" i="19" s="1" a="1"/>
  <c r="K37" i="19" s="1"/>
  <c r="K38" i="19" s="1" a="1"/>
  <c r="K38" i="19" s="1"/>
  <c r="K39" i="19" s="1" a="1"/>
  <c r="K39" i="19" s="1"/>
  <c r="K3" i="21" a="1"/>
  <c r="K3" i="21" s="1"/>
  <c r="K4" i="21" s="1" a="1"/>
  <c r="K4" i="21" s="1"/>
  <c r="K5" i="21" s="1" a="1"/>
  <c r="K5" i="21" s="1"/>
  <c r="K6" i="21" s="1" a="1"/>
  <c r="K6" i="21" s="1"/>
  <c r="K7" i="21" s="1" a="1"/>
  <c r="K7" i="21" s="1"/>
  <c r="K8" i="21" s="1" a="1"/>
  <c r="K8" i="21" s="1"/>
  <c r="K9" i="21" s="1" a="1"/>
  <c r="K9" i="21" s="1"/>
  <c r="K10" i="21" s="1" a="1"/>
  <c r="K10" i="21" s="1"/>
  <c r="K11" i="21" s="1" a="1"/>
  <c r="K11" i="21" s="1"/>
  <c r="K12" i="21" s="1" a="1"/>
  <c r="K12" i="21" s="1"/>
  <c r="K13" i="21" s="1" a="1"/>
  <c r="K13" i="21" s="1"/>
  <c r="K14" i="21" s="1" a="1"/>
  <c r="K14" i="21" s="1"/>
  <c r="K15" i="21" s="1" a="1"/>
  <c r="K15" i="21" s="1"/>
  <c r="K16" i="21" s="1" a="1"/>
  <c r="K16" i="21" s="1"/>
  <c r="K17" i="21" s="1" a="1"/>
  <c r="K17" i="21" s="1"/>
  <c r="K18" i="21" s="1" a="1"/>
  <c r="K18" i="21" s="1"/>
  <c r="K19" i="21" s="1" a="1"/>
  <c r="K19" i="21" s="1"/>
  <c r="K20" i="21" s="1" a="1"/>
  <c r="K20" i="21" s="1"/>
  <c r="K21" i="21" s="1" a="1"/>
  <c r="K21" i="21" s="1"/>
  <c r="K22" i="21" s="1" a="1"/>
  <c r="K22" i="21" s="1"/>
  <c r="K23" i="21" s="1" a="1"/>
  <c r="K23" i="21" s="1"/>
  <c r="K24" i="21" s="1" a="1"/>
  <c r="K24" i="21" s="1"/>
  <c r="K25" i="21" s="1" a="1"/>
  <c r="K25" i="21" s="1"/>
  <c r="K26" i="21" s="1" a="1"/>
  <c r="K26" i="21" s="1"/>
  <c r="K27" i="21" s="1" a="1"/>
  <c r="K27" i="21" s="1"/>
  <c r="K28" i="21" s="1" a="1"/>
  <c r="K28" i="21" s="1"/>
  <c r="K29" i="21" s="1" a="1"/>
  <c r="K29" i="21" s="1"/>
  <c r="K30" i="21" s="1" a="1"/>
  <c r="K30" i="21" s="1"/>
  <c r="K31" i="21" s="1" a="1"/>
  <c r="K31" i="21" s="1"/>
  <c r="K32" i="21" s="1" a="1"/>
  <c r="K32" i="21" s="1"/>
  <c r="K33" i="21" s="1" a="1"/>
  <c r="K33" i="21" s="1"/>
  <c r="K34" i="21" s="1" a="1"/>
  <c r="K34" i="21" s="1"/>
  <c r="K35" i="21" s="1" a="1"/>
  <c r="K35" i="21" s="1"/>
  <c r="K36" i="21" s="1" a="1"/>
  <c r="K36" i="21" s="1"/>
  <c r="K37" i="21" s="1" a="1"/>
  <c r="K37" i="21" s="1"/>
  <c r="K38" i="21" s="1" a="1"/>
  <c r="K38" i="21" s="1"/>
  <c r="K39" i="21" s="1" a="1"/>
  <c r="K39" i="21" s="1"/>
  <c r="AU22" i="25"/>
  <c r="AT5" i="25"/>
  <c r="L3" i="7" a="1"/>
  <c r="L3" i="7" s="1"/>
  <c r="L4" i="7" s="1" a="1"/>
  <c r="L4" i="7" s="1"/>
  <c r="L5" i="7" s="1" a="1"/>
  <c r="L5" i="7" s="1"/>
  <c r="L6" i="7" s="1" a="1"/>
  <c r="L6" i="7" s="1"/>
  <c r="L7" i="7" s="1" a="1"/>
  <c r="L7" i="7" s="1"/>
  <c r="L8" i="7" s="1" a="1"/>
  <c r="L8" i="7" s="1"/>
  <c r="L9" i="7" s="1" a="1"/>
  <c r="L9" i="7" s="1"/>
  <c r="L10" i="7" s="1" a="1"/>
  <c r="L10" i="7" s="1"/>
  <c r="L11" i="7" s="1" a="1"/>
  <c r="L11" i="7" s="1"/>
  <c r="L12" i="7" s="1" a="1"/>
  <c r="L12" i="7" s="1"/>
  <c r="L13" i="7" s="1" a="1"/>
  <c r="L13" i="7" s="1"/>
  <c r="L14" i="7" s="1" a="1"/>
  <c r="L14" i="7" s="1"/>
  <c r="L15" i="7" s="1" a="1"/>
  <c r="L15" i="7" s="1"/>
  <c r="L16" i="7" s="1" a="1"/>
  <c r="L16" i="7" s="1"/>
  <c r="L17" i="7" s="1" a="1"/>
  <c r="L17" i="7" s="1"/>
  <c r="L18" i="7" s="1" a="1"/>
  <c r="L18" i="7" s="1"/>
  <c r="L19" i="7" s="1" a="1"/>
  <c r="L19" i="7" s="1"/>
  <c r="L20" i="7" s="1" a="1"/>
  <c r="L20" i="7" s="1"/>
  <c r="L21" i="7" s="1" a="1"/>
  <c r="L21" i="7" s="1"/>
  <c r="L22" i="7" s="1" a="1"/>
  <c r="L22" i="7" s="1"/>
  <c r="L23" i="7" s="1" a="1"/>
  <c r="L23" i="7" s="1"/>
  <c r="L24" i="7" s="1" a="1"/>
  <c r="L24" i="7" s="1"/>
  <c r="L25" i="7" s="1" a="1"/>
  <c r="L25" i="7" s="1"/>
  <c r="L26" i="7" s="1" a="1"/>
  <c r="L26" i="7" s="1"/>
  <c r="L27" i="7" s="1" a="1"/>
  <c r="L27" i="7" s="1"/>
  <c r="L28" i="7" s="1" a="1"/>
  <c r="L28" i="7" s="1"/>
  <c r="L29" i="7" s="1" a="1"/>
  <c r="L29" i="7" s="1"/>
  <c r="L30" i="7" s="1" a="1"/>
  <c r="L30" i="7" s="1"/>
  <c r="L31" i="7" s="1" a="1"/>
  <c r="L31" i="7" s="1"/>
  <c r="L32" i="7" s="1" a="1"/>
  <c r="L32" i="7" s="1"/>
  <c r="L33" i="7" s="1" a="1"/>
  <c r="L33" i="7" s="1"/>
  <c r="L34" i="7" s="1" a="1"/>
  <c r="L34" i="7" s="1"/>
  <c r="L35" i="7" s="1" a="1"/>
  <c r="L35" i="7" s="1"/>
  <c r="L36" i="7" s="1" a="1"/>
  <c r="L36" i="7" s="1"/>
  <c r="L37" i="7" s="1" a="1"/>
  <c r="L37" i="7" s="1"/>
  <c r="L38" i="7" s="1" a="1"/>
  <c r="L38" i="7" s="1"/>
  <c r="L39" i="7" s="1" a="1"/>
  <c r="L39" i="7" s="1"/>
  <c r="AU13" i="25"/>
  <c r="AT11" i="25"/>
  <c r="L3" i="12" a="1"/>
  <c r="L3" i="12" s="1"/>
  <c r="L4" i="12" s="1" a="1"/>
  <c r="L4" i="12" s="1"/>
  <c r="L5" i="12" s="1" a="1"/>
  <c r="L5" i="12" s="1"/>
  <c r="L6" i="12" s="1" a="1"/>
  <c r="L6" i="12" s="1"/>
  <c r="L7" i="12" s="1" a="1"/>
  <c r="L7" i="12" s="1"/>
  <c r="L8" i="12" s="1" a="1"/>
  <c r="L8" i="12" s="1"/>
  <c r="L9" i="12" s="1" a="1"/>
  <c r="L9" i="12" s="1"/>
  <c r="L10" i="12" s="1" a="1"/>
  <c r="L10" i="12" s="1"/>
  <c r="L11" i="12" s="1" a="1"/>
  <c r="L11" i="12" s="1"/>
  <c r="L12" i="12" s="1" a="1"/>
  <c r="L12" i="12" s="1"/>
  <c r="L13" i="12" s="1" a="1"/>
  <c r="L13" i="12" s="1"/>
  <c r="L14" i="12" s="1" a="1"/>
  <c r="L14" i="12" s="1"/>
  <c r="L15" i="12" s="1" a="1"/>
  <c r="L15" i="12" s="1"/>
  <c r="L16" i="12" s="1" a="1"/>
  <c r="L16" i="12" s="1"/>
  <c r="L17" i="12" s="1" a="1"/>
  <c r="L17" i="12" s="1"/>
  <c r="L18" i="12" s="1" a="1"/>
  <c r="L18" i="12" s="1"/>
  <c r="L19" i="12" s="1" a="1"/>
  <c r="L19" i="12" s="1"/>
  <c r="L20" i="12" s="1" a="1"/>
  <c r="L20" i="12" s="1"/>
  <c r="L21" i="12" s="1" a="1"/>
  <c r="L21" i="12" s="1"/>
  <c r="L22" i="12" s="1" a="1"/>
  <c r="L22" i="12" s="1"/>
  <c r="L23" i="12" s="1" a="1"/>
  <c r="L23" i="12" s="1"/>
  <c r="L24" i="12" s="1" a="1"/>
  <c r="L24" i="12" s="1"/>
  <c r="L25" i="12" s="1" a="1"/>
  <c r="L25" i="12" s="1"/>
  <c r="L26" i="12" s="1" a="1"/>
  <c r="L26" i="12" s="1"/>
  <c r="L27" i="12" s="1" a="1"/>
  <c r="L27" i="12" s="1"/>
  <c r="L28" i="12" s="1" a="1"/>
  <c r="L28" i="12" s="1"/>
  <c r="L29" i="12" s="1" a="1"/>
  <c r="L29" i="12" s="1"/>
  <c r="L30" i="12" s="1" a="1"/>
  <c r="L30" i="12" s="1"/>
  <c r="L31" i="12" s="1" a="1"/>
  <c r="L31" i="12" s="1"/>
  <c r="L32" i="12" s="1" a="1"/>
  <c r="L32" i="12" s="1"/>
  <c r="L33" i="12" s="1" a="1"/>
  <c r="L33" i="12" s="1"/>
  <c r="L34" i="12" s="1" a="1"/>
  <c r="L34" i="12" s="1"/>
  <c r="L35" i="12" s="1" a="1"/>
  <c r="L35" i="12" s="1"/>
  <c r="L36" i="12" s="1" a="1"/>
  <c r="L36" i="12" s="1"/>
  <c r="L37" i="12" s="1" a="1"/>
  <c r="L37" i="12" s="1"/>
  <c r="L38" i="12" s="1" a="1"/>
  <c r="L38" i="12" s="1"/>
  <c r="L39" i="12" s="1" a="1"/>
  <c r="L39" i="12" s="1"/>
  <c r="L3" i="14" a="1"/>
  <c r="L3" i="14" s="1"/>
  <c r="L4" i="14" s="1" a="1"/>
  <c r="L4" i="14" s="1"/>
  <c r="L5" i="14" s="1" a="1"/>
  <c r="L5" i="14" s="1"/>
  <c r="L6" i="14" s="1" a="1"/>
  <c r="L6" i="14" s="1"/>
  <c r="L7" i="14" s="1" a="1"/>
  <c r="L7" i="14" s="1"/>
  <c r="L8" i="14" s="1" a="1"/>
  <c r="L8" i="14" s="1"/>
  <c r="L9" i="14" s="1" a="1"/>
  <c r="L9" i="14" s="1"/>
  <c r="L10" i="14" s="1" a="1"/>
  <c r="L10" i="14" s="1"/>
  <c r="L11" i="14" s="1" a="1"/>
  <c r="L11" i="14" s="1"/>
  <c r="L12" i="14" s="1" a="1"/>
  <c r="L12" i="14" s="1"/>
  <c r="L13" i="14" s="1" a="1"/>
  <c r="L13" i="14" s="1"/>
  <c r="L14" i="14" s="1" a="1"/>
  <c r="L14" i="14" s="1"/>
  <c r="L15" i="14" s="1" a="1"/>
  <c r="L15" i="14" s="1"/>
  <c r="L16" i="14" s="1" a="1"/>
  <c r="L16" i="14" s="1"/>
  <c r="L17" i="14" s="1" a="1"/>
  <c r="L17" i="14" s="1"/>
  <c r="L18" i="14" s="1" a="1"/>
  <c r="L18" i="14" s="1"/>
  <c r="L19" i="14" s="1" a="1"/>
  <c r="L19" i="14" s="1"/>
  <c r="L20" i="14" s="1" a="1"/>
  <c r="L20" i="14" s="1"/>
  <c r="L21" i="14" s="1" a="1"/>
  <c r="L21" i="14" s="1"/>
  <c r="L22" i="14" s="1" a="1"/>
  <c r="L22" i="14" s="1"/>
  <c r="L23" i="14" s="1" a="1"/>
  <c r="L23" i="14" s="1"/>
  <c r="L24" i="14" s="1" a="1"/>
  <c r="L24" i="14" s="1"/>
  <c r="L25" i="14" s="1" a="1"/>
  <c r="L25" i="14" s="1"/>
  <c r="L26" i="14" s="1" a="1"/>
  <c r="L26" i="14" s="1"/>
  <c r="L27" i="14" s="1" a="1"/>
  <c r="L27" i="14" s="1"/>
  <c r="L28" i="14" s="1" a="1"/>
  <c r="L28" i="14" s="1"/>
  <c r="L29" i="14" s="1" a="1"/>
  <c r="L29" i="14" s="1"/>
  <c r="L30" i="14" s="1" a="1"/>
  <c r="L30" i="14" s="1"/>
  <c r="L31" i="14" s="1" a="1"/>
  <c r="L31" i="14" s="1"/>
  <c r="L32" i="14" s="1" a="1"/>
  <c r="L32" i="14" s="1"/>
  <c r="L33" i="14" s="1" a="1"/>
  <c r="L33" i="14" s="1"/>
  <c r="L34" i="14" s="1" a="1"/>
  <c r="L34" i="14" s="1"/>
  <c r="L35" i="14" s="1" a="1"/>
  <c r="L35" i="14" s="1"/>
  <c r="L36" i="14" s="1" a="1"/>
  <c r="L36" i="14" s="1"/>
  <c r="L37" i="14" s="1" a="1"/>
  <c r="L37" i="14" s="1"/>
  <c r="L38" i="14" s="1" a="1"/>
  <c r="L38" i="14" s="1"/>
  <c r="L39" i="14" s="1" a="1"/>
  <c r="L39" i="14" s="1"/>
  <c r="L3" i="3" a="1"/>
  <c r="L3" i="3" s="1"/>
  <c r="L4" i="3" s="1" a="1"/>
  <c r="L4" i="3" s="1"/>
  <c r="L5" i="3" s="1" a="1"/>
  <c r="L5" i="3" s="1"/>
  <c r="L6" i="3" s="1" a="1"/>
  <c r="L6" i="3" s="1"/>
  <c r="L7" i="3" s="1" a="1"/>
  <c r="L7" i="3" s="1"/>
  <c r="L8" i="3" s="1" a="1"/>
  <c r="L8" i="3" s="1"/>
  <c r="L9" i="3" s="1" a="1"/>
  <c r="L9" i="3" s="1"/>
  <c r="L10" i="3" s="1" a="1"/>
  <c r="L10" i="3" s="1"/>
  <c r="L11" i="3" s="1" a="1"/>
  <c r="L11" i="3" s="1"/>
  <c r="L12" i="3" s="1" a="1"/>
  <c r="L12" i="3" s="1"/>
  <c r="L13" i="3" s="1" a="1"/>
  <c r="L13" i="3" s="1"/>
  <c r="L14" i="3" s="1" a="1"/>
  <c r="L14" i="3" s="1"/>
  <c r="L15" i="3" s="1" a="1"/>
  <c r="L15" i="3" s="1"/>
  <c r="L16" i="3" s="1" a="1"/>
  <c r="L16" i="3" s="1"/>
  <c r="L17" i="3" s="1" a="1"/>
  <c r="L17" i="3" s="1"/>
  <c r="L18" i="3" s="1" a="1"/>
  <c r="L18" i="3" s="1"/>
  <c r="L19" i="3" s="1" a="1"/>
  <c r="L19" i="3" s="1"/>
  <c r="L20" i="3" s="1" a="1"/>
  <c r="L20" i="3" s="1"/>
  <c r="L21" i="3" s="1" a="1"/>
  <c r="L21" i="3" s="1"/>
  <c r="L22" i="3" s="1" a="1"/>
  <c r="L22" i="3" s="1"/>
  <c r="L23" i="3" s="1" a="1"/>
  <c r="L23" i="3" s="1"/>
  <c r="L24" i="3" s="1" a="1"/>
  <c r="L24" i="3" s="1"/>
  <c r="L25" i="3" s="1" a="1"/>
  <c r="L25" i="3" s="1"/>
  <c r="L26" i="3" s="1" a="1"/>
  <c r="L26" i="3" s="1"/>
  <c r="L27" i="3" s="1" a="1"/>
  <c r="L27" i="3" s="1"/>
  <c r="L28" i="3" s="1" a="1"/>
  <c r="L28" i="3" s="1"/>
  <c r="L29" i="3" s="1" a="1"/>
  <c r="L29" i="3" s="1"/>
  <c r="L30" i="3" s="1" a="1"/>
  <c r="L30" i="3" s="1"/>
  <c r="L31" i="3" s="1" a="1"/>
  <c r="L31" i="3" s="1"/>
  <c r="L32" i="3" s="1" a="1"/>
  <c r="L32" i="3" s="1"/>
  <c r="L33" i="3" s="1" a="1"/>
  <c r="L33" i="3" s="1"/>
  <c r="L34" i="3" s="1" a="1"/>
  <c r="L34" i="3" s="1"/>
  <c r="L35" i="3" s="1" a="1"/>
  <c r="L35" i="3" s="1"/>
  <c r="L36" i="3" s="1" a="1"/>
  <c r="L36" i="3" s="1"/>
  <c r="L37" i="3" s="1" a="1"/>
  <c r="L37" i="3" s="1"/>
  <c r="L38" i="3" s="1" a="1"/>
  <c r="L38" i="3" s="1"/>
  <c r="L39" i="3" s="1" a="1"/>
  <c r="L39" i="3" s="1"/>
  <c r="AT7" i="25"/>
  <c r="AU10" i="25"/>
  <c r="L3" i="8" a="1"/>
  <c r="L3" i="8" s="1"/>
  <c r="L4" i="8" s="1" a="1"/>
  <c r="L4" i="8" s="1"/>
  <c r="L5" i="8" s="1" a="1"/>
  <c r="L5" i="8" s="1"/>
  <c r="L6" i="8" s="1" a="1"/>
  <c r="L6" i="8" s="1"/>
  <c r="L7" i="8" s="1" a="1"/>
  <c r="L7" i="8" s="1"/>
  <c r="L8" i="8" s="1" a="1"/>
  <c r="L8" i="8" s="1"/>
  <c r="L9" i="8" s="1" a="1"/>
  <c r="L9" i="8" s="1"/>
  <c r="L10" i="8" s="1" a="1"/>
  <c r="L10" i="8" s="1"/>
  <c r="L11" i="8" s="1" a="1"/>
  <c r="L11" i="8" s="1"/>
  <c r="L12" i="8" s="1" a="1"/>
  <c r="L12" i="8" s="1"/>
  <c r="L13" i="8" s="1" a="1"/>
  <c r="L13" i="8" s="1"/>
  <c r="L14" i="8" s="1" a="1"/>
  <c r="L14" i="8" s="1"/>
  <c r="L15" i="8" s="1" a="1"/>
  <c r="L15" i="8" s="1"/>
  <c r="L16" i="8" s="1" a="1"/>
  <c r="L16" i="8" s="1"/>
  <c r="L17" i="8" s="1" a="1"/>
  <c r="L17" i="8" s="1"/>
  <c r="L18" i="8" s="1" a="1"/>
  <c r="L18" i="8" s="1"/>
  <c r="L19" i="8" s="1" a="1"/>
  <c r="L19" i="8" s="1"/>
  <c r="L20" i="8" s="1" a="1"/>
  <c r="L20" i="8" s="1"/>
  <c r="L21" i="8" s="1" a="1"/>
  <c r="L21" i="8" s="1"/>
  <c r="L22" i="8" s="1" a="1"/>
  <c r="L22" i="8" s="1"/>
  <c r="L23" i="8" s="1" a="1"/>
  <c r="L23" i="8" s="1"/>
  <c r="L24" i="8" s="1" a="1"/>
  <c r="L24" i="8" s="1"/>
  <c r="L25" i="8" s="1" a="1"/>
  <c r="L25" i="8" s="1"/>
  <c r="L26" i="8" s="1" a="1"/>
  <c r="L26" i="8" s="1"/>
  <c r="L27" i="8" s="1" a="1"/>
  <c r="L27" i="8" s="1"/>
  <c r="L28" i="8" s="1" a="1"/>
  <c r="L28" i="8" s="1"/>
  <c r="L29" i="8" s="1" a="1"/>
  <c r="L29" i="8" s="1"/>
  <c r="L30" i="8" s="1" a="1"/>
  <c r="L30" i="8" s="1"/>
  <c r="L31" i="8" s="1" a="1"/>
  <c r="L31" i="8" s="1"/>
  <c r="L32" i="8" s="1" a="1"/>
  <c r="L32" i="8" s="1"/>
  <c r="L33" i="8" s="1" a="1"/>
  <c r="L33" i="8" s="1"/>
  <c r="L34" i="8" s="1" a="1"/>
  <c r="L34" i="8" s="1"/>
  <c r="L35" i="8" s="1" a="1"/>
  <c r="L35" i="8" s="1"/>
  <c r="L36" i="8" s="1" a="1"/>
  <c r="L36" i="8" s="1"/>
  <c r="L37" i="8" s="1" a="1"/>
  <c r="L37" i="8" s="1"/>
  <c r="L38" i="8" s="1" a="1"/>
  <c r="L38" i="8" s="1"/>
  <c r="L39" i="8" s="1" a="1"/>
  <c r="L39" i="8" s="1"/>
  <c r="K3" i="15" a="1"/>
  <c r="K3" i="15" s="1"/>
  <c r="K4" i="15" s="1" a="1"/>
  <c r="K4" i="15" s="1"/>
  <c r="K5" i="15" s="1" a="1"/>
  <c r="K5" i="15" s="1"/>
  <c r="K6" i="15" s="1" a="1"/>
  <c r="K6" i="15" s="1"/>
  <c r="K7" i="15" s="1" a="1"/>
  <c r="K7" i="15" s="1"/>
  <c r="K8" i="15" s="1" a="1"/>
  <c r="K8" i="15" s="1"/>
  <c r="K9" i="15" s="1" a="1"/>
  <c r="K9" i="15" s="1"/>
  <c r="K10" i="15" s="1" a="1"/>
  <c r="K10" i="15" s="1"/>
  <c r="K11" i="15" s="1" a="1"/>
  <c r="K11" i="15" s="1"/>
  <c r="K12" i="15" s="1" a="1"/>
  <c r="K12" i="15" s="1"/>
  <c r="K13" i="15" s="1" a="1"/>
  <c r="K13" i="15" s="1"/>
  <c r="K14" i="15" s="1" a="1"/>
  <c r="K14" i="15" s="1"/>
  <c r="K15" i="15" s="1" a="1"/>
  <c r="K15" i="15" s="1"/>
  <c r="K16" i="15" s="1" a="1"/>
  <c r="K16" i="15" s="1"/>
  <c r="K17" i="15" s="1" a="1"/>
  <c r="K17" i="15" s="1"/>
  <c r="K18" i="15" s="1" a="1"/>
  <c r="K18" i="15" s="1"/>
  <c r="K19" i="15" s="1" a="1"/>
  <c r="K19" i="15" s="1"/>
  <c r="K20" i="15" s="1" a="1"/>
  <c r="K20" i="15" s="1"/>
  <c r="K21" i="15" s="1" a="1"/>
  <c r="K21" i="15" s="1"/>
  <c r="K22" i="15" s="1" a="1"/>
  <c r="K22" i="15" s="1"/>
  <c r="K23" i="15" s="1" a="1"/>
  <c r="K23" i="15" s="1"/>
  <c r="K24" i="15" s="1" a="1"/>
  <c r="K24" i="15" s="1"/>
  <c r="K25" i="15" s="1" a="1"/>
  <c r="K25" i="15" s="1"/>
  <c r="K26" i="15" s="1" a="1"/>
  <c r="K26" i="15" s="1"/>
  <c r="K27" i="15" s="1" a="1"/>
  <c r="K27" i="15" s="1"/>
  <c r="K28" i="15" s="1" a="1"/>
  <c r="K28" i="15" s="1"/>
  <c r="K29" i="15" s="1" a="1"/>
  <c r="K29" i="15" s="1"/>
  <c r="K30" i="15" s="1" a="1"/>
  <c r="K30" i="15" s="1"/>
  <c r="K31" i="15" s="1" a="1"/>
  <c r="K31" i="15" s="1"/>
  <c r="K32" i="15" s="1" a="1"/>
  <c r="K32" i="15" s="1"/>
  <c r="K33" i="15" s="1" a="1"/>
  <c r="K33" i="15" s="1"/>
  <c r="K34" i="15" s="1" a="1"/>
  <c r="K34" i="15" s="1"/>
  <c r="K35" i="15" s="1" a="1"/>
  <c r="K35" i="15" s="1"/>
  <c r="K36" i="15" s="1" a="1"/>
  <c r="K36" i="15" s="1"/>
  <c r="K37" i="15" s="1" a="1"/>
  <c r="K37" i="15" s="1"/>
  <c r="K38" i="15" s="1" a="1"/>
  <c r="K38" i="15" s="1"/>
  <c r="K39" i="15" s="1" a="1"/>
  <c r="K39" i="15" s="1"/>
  <c r="K3" i="16" a="1"/>
  <c r="K3" i="16" s="1"/>
  <c r="K4" i="16" s="1" a="1"/>
  <c r="K4" i="16" s="1"/>
  <c r="K5" i="16" s="1" a="1"/>
  <c r="K5" i="16" s="1"/>
  <c r="K6" i="16" s="1" a="1"/>
  <c r="K6" i="16" s="1"/>
  <c r="K7" i="16" s="1" a="1"/>
  <c r="K7" i="16" s="1"/>
  <c r="K8" i="16" s="1" a="1"/>
  <c r="K8" i="16" s="1"/>
  <c r="K9" i="16" s="1" a="1"/>
  <c r="K9" i="16" s="1"/>
  <c r="K10" i="16" s="1" a="1"/>
  <c r="K10" i="16" s="1"/>
  <c r="K11" i="16" s="1" a="1"/>
  <c r="K11" i="16" s="1"/>
  <c r="K12" i="16" s="1" a="1"/>
  <c r="K12" i="16" s="1"/>
  <c r="K13" i="16" s="1" a="1"/>
  <c r="K13" i="16" s="1"/>
  <c r="K14" i="16" s="1" a="1"/>
  <c r="K14" i="16" s="1"/>
  <c r="K15" i="16" s="1" a="1"/>
  <c r="K15" i="16" s="1"/>
  <c r="K16" i="16" s="1" a="1"/>
  <c r="K16" i="16" s="1"/>
  <c r="K17" i="16" s="1" a="1"/>
  <c r="K17" i="16" s="1"/>
  <c r="K18" i="16" s="1" a="1"/>
  <c r="K18" i="16" s="1"/>
  <c r="K19" i="16" s="1" a="1"/>
  <c r="K19" i="16" s="1"/>
  <c r="K20" i="16" s="1" a="1"/>
  <c r="K20" i="16" s="1"/>
  <c r="K21" i="16" s="1" a="1"/>
  <c r="K21" i="16" s="1"/>
  <c r="K22" i="16" s="1" a="1"/>
  <c r="K22" i="16" s="1"/>
  <c r="K23" i="16" s="1" a="1"/>
  <c r="K23" i="16" s="1"/>
  <c r="K24" i="16" s="1" a="1"/>
  <c r="K24" i="16" s="1"/>
  <c r="K25" i="16" s="1" a="1"/>
  <c r="K25" i="16" s="1"/>
  <c r="K26" i="16" s="1" a="1"/>
  <c r="K26" i="16" s="1"/>
  <c r="K27" i="16" s="1" a="1"/>
  <c r="K27" i="16" s="1"/>
  <c r="K28" i="16" s="1" a="1"/>
  <c r="K28" i="16" s="1"/>
  <c r="K29" i="16" s="1" a="1"/>
  <c r="K29" i="16" s="1"/>
  <c r="K30" i="16" s="1" a="1"/>
  <c r="K30" i="16" s="1"/>
  <c r="K31" i="16" s="1" a="1"/>
  <c r="K31" i="16" s="1"/>
  <c r="K32" i="16" s="1" a="1"/>
  <c r="K32" i="16" s="1"/>
  <c r="K33" i="16" s="1" a="1"/>
  <c r="K33" i="16" s="1"/>
  <c r="K34" i="16" s="1" a="1"/>
  <c r="K34" i="16" s="1"/>
  <c r="K35" i="16" s="1" a="1"/>
  <c r="K35" i="16" s="1"/>
  <c r="K36" i="16" s="1" a="1"/>
  <c r="K36" i="16" s="1"/>
  <c r="K37" i="16" s="1" a="1"/>
  <c r="K37" i="16" s="1"/>
  <c r="K38" i="16" s="1" a="1"/>
  <c r="K38" i="16" s="1"/>
  <c r="K39" i="16" s="1" a="1"/>
  <c r="K39" i="16" s="1"/>
  <c r="L3" i="17" a="1"/>
  <c r="L3" i="17" s="1"/>
  <c r="L4" i="17" s="1" a="1"/>
  <c r="L4" i="17" s="1"/>
  <c r="L5" i="17" s="1" a="1"/>
  <c r="L5" i="17" s="1"/>
  <c r="L6" i="17" s="1" a="1"/>
  <c r="L6" i="17" s="1"/>
  <c r="L7" i="17" s="1" a="1"/>
  <c r="L7" i="17" s="1"/>
  <c r="L8" i="17" s="1" a="1"/>
  <c r="L8" i="17" s="1"/>
  <c r="L9" i="17" s="1" a="1"/>
  <c r="L9" i="17" s="1"/>
  <c r="L10" i="17" s="1" a="1"/>
  <c r="L10" i="17" s="1"/>
  <c r="L11" i="17" s="1" a="1"/>
  <c r="L11" i="17" s="1"/>
  <c r="L12" i="17" s="1" a="1"/>
  <c r="L12" i="17" s="1"/>
  <c r="L13" i="17" s="1" a="1"/>
  <c r="L13" i="17" s="1"/>
  <c r="L14" i="17" s="1" a="1"/>
  <c r="L14" i="17" s="1"/>
  <c r="L15" i="17" s="1" a="1"/>
  <c r="L15" i="17" s="1"/>
  <c r="L16" i="17" s="1" a="1"/>
  <c r="L16" i="17" s="1"/>
  <c r="L17" i="17" s="1" a="1"/>
  <c r="L17" i="17" s="1"/>
  <c r="L18" i="17" s="1" a="1"/>
  <c r="L18" i="17" s="1"/>
  <c r="L19" i="17" s="1" a="1"/>
  <c r="L19" i="17" s="1"/>
  <c r="L20" i="17" s="1" a="1"/>
  <c r="L20" i="17" s="1"/>
  <c r="L21" i="17" s="1" a="1"/>
  <c r="L21" i="17" s="1"/>
  <c r="L22" i="17" s="1" a="1"/>
  <c r="L22" i="17" s="1"/>
  <c r="L23" i="17" s="1" a="1"/>
  <c r="L23" i="17" s="1"/>
  <c r="L24" i="17" s="1" a="1"/>
  <c r="L24" i="17" s="1"/>
  <c r="L25" i="17" s="1" a="1"/>
  <c r="L25" i="17" s="1"/>
  <c r="L26" i="17" s="1" a="1"/>
  <c r="L26" i="17" s="1"/>
  <c r="L27" i="17" s="1" a="1"/>
  <c r="L27" i="17" s="1"/>
  <c r="L28" i="17" s="1" a="1"/>
  <c r="L28" i="17" s="1"/>
  <c r="L29" i="17" s="1" a="1"/>
  <c r="L29" i="17" s="1"/>
  <c r="L30" i="17" s="1" a="1"/>
  <c r="L30" i="17" s="1"/>
  <c r="L31" i="17" s="1" a="1"/>
  <c r="L31" i="17" s="1"/>
  <c r="L32" i="17" s="1" a="1"/>
  <c r="L32" i="17" s="1"/>
  <c r="L33" i="17" s="1" a="1"/>
  <c r="L33" i="17" s="1"/>
  <c r="L34" i="17" s="1" a="1"/>
  <c r="L34" i="17" s="1"/>
  <c r="L35" i="17" s="1" a="1"/>
  <c r="L35" i="17" s="1"/>
  <c r="L36" i="17" s="1" a="1"/>
  <c r="L36" i="17" s="1"/>
  <c r="L37" i="17" s="1" a="1"/>
  <c r="L37" i="17" s="1"/>
  <c r="L38" i="17" s="1" a="1"/>
  <c r="L38" i="17" s="1"/>
  <c r="L39" i="17" s="1" a="1"/>
  <c r="L39" i="17" s="1"/>
  <c r="AU17" i="25"/>
  <c r="J3" i="18"/>
  <c r="AU18" i="25" s="1"/>
  <c r="AV18" i="25"/>
  <c r="L3" i="19" a="1"/>
  <c r="L3" i="19" s="1"/>
  <c r="L4" i="19" s="1" a="1"/>
  <c r="L4" i="19" s="1"/>
  <c r="L5" i="19" s="1" a="1"/>
  <c r="L5" i="19" s="1"/>
  <c r="L6" i="19" s="1" a="1"/>
  <c r="L6" i="19" s="1"/>
  <c r="L7" i="19" s="1" a="1"/>
  <c r="L7" i="19" s="1"/>
  <c r="L8" i="19" s="1" a="1"/>
  <c r="L8" i="19" s="1"/>
  <c r="L9" i="19" s="1" a="1"/>
  <c r="L9" i="19" s="1"/>
  <c r="L10" i="19" s="1" a="1"/>
  <c r="L10" i="19" s="1"/>
  <c r="L11" i="19" s="1" a="1"/>
  <c r="L11" i="19" s="1"/>
  <c r="L12" i="19" s="1" a="1"/>
  <c r="L12" i="19" s="1"/>
  <c r="L13" i="19" s="1" a="1"/>
  <c r="L13" i="19" s="1"/>
  <c r="L14" i="19" s="1" a="1"/>
  <c r="L14" i="19" s="1"/>
  <c r="L15" i="19" s="1" a="1"/>
  <c r="L15" i="19" s="1"/>
  <c r="L16" i="19" s="1" a="1"/>
  <c r="L16" i="19" s="1"/>
  <c r="L17" i="19" s="1" a="1"/>
  <c r="L17" i="19" s="1"/>
  <c r="L18" i="19" s="1" a="1"/>
  <c r="L18" i="19" s="1"/>
  <c r="L19" i="19" s="1" a="1"/>
  <c r="L19" i="19" s="1"/>
  <c r="L20" i="19" s="1" a="1"/>
  <c r="L20" i="19" s="1"/>
  <c r="L21" i="19" s="1" a="1"/>
  <c r="L21" i="19" s="1"/>
  <c r="L22" i="19" s="1" a="1"/>
  <c r="L22" i="19" s="1"/>
  <c r="L23" i="19" s="1" a="1"/>
  <c r="L23" i="19" s="1"/>
  <c r="L24" i="19" s="1" a="1"/>
  <c r="L24" i="19" s="1"/>
  <c r="L25" i="19" s="1" a="1"/>
  <c r="L25" i="19" s="1"/>
  <c r="L26" i="19" s="1" a="1"/>
  <c r="L26" i="19" s="1"/>
  <c r="L27" i="19" s="1" a="1"/>
  <c r="L27" i="19" s="1"/>
  <c r="L28" i="19" s="1" a="1"/>
  <c r="L28" i="19" s="1"/>
  <c r="L29" i="19" s="1" a="1"/>
  <c r="L29" i="19" s="1"/>
  <c r="L30" i="19" s="1" a="1"/>
  <c r="L30" i="19" s="1"/>
  <c r="L31" i="19" s="1" a="1"/>
  <c r="L31" i="19" s="1"/>
  <c r="L32" i="19" s="1" a="1"/>
  <c r="L32" i="19" s="1"/>
  <c r="L33" i="19" s="1" a="1"/>
  <c r="L33" i="19" s="1"/>
  <c r="L34" i="19" s="1" a="1"/>
  <c r="L34" i="19" s="1"/>
  <c r="L35" i="19" s="1" a="1"/>
  <c r="L35" i="19" s="1"/>
  <c r="L36" i="19" s="1" a="1"/>
  <c r="L36" i="19" s="1"/>
  <c r="L37" i="19" s="1" a="1"/>
  <c r="L37" i="19" s="1"/>
  <c r="L38" i="19" s="1" a="1"/>
  <c r="L38" i="19" s="1"/>
  <c r="L39" i="19" s="1" a="1"/>
  <c r="L39" i="19" s="1"/>
  <c r="I3" i="20"/>
  <c r="AU20" i="25"/>
  <c r="L3" i="21" a="1"/>
  <c r="L3" i="21" s="1"/>
  <c r="L4" i="21" s="1" a="1"/>
  <c r="L4" i="21" s="1"/>
  <c r="L5" i="21" s="1" a="1"/>
  <c r="L5" i="21" s="1"/>
  <c r="L6" i="21" s="1" a="1"/>
  <c r="L6" i="21" s="1"/>
  <c r="L7" i="21" s="1" a="1"/>
  <c r="L7" i="21" s="1"/>
  <c r="L8" i="21" s="1" a="1"/>
  <c r="L8" i="21" s="1"/>
  <c r="L9" i="21" s="1" a="1"/>
  <c r="L9" i="21" s="1"/>
  <c r="L10" i="21" s="1" a="1"/>
  <c r="L10" i="21" s="1"/>
  <c r="L11" i="21" s="1" a="1"/>
  <c r="L11" i="21" s="1"/>
  <c r="L12" i="21" s="1" a="1"/>
  <c r="L12" i="21" s="1"/>
  <c r="L13" i="21" s="1" a="1"/>
  <c r="L13" i="21" s="1"/>
  <c r="L14" i="21" s="1" a="1"/>
  <c r="L14" i="21" s="1"/>
  <c r="L15" i="21" s="1" a="1"/>
  <c r="L15" i="21" s="1"/>
  <c r="L16" i="21" s="1" a="1"/>
  <c r="L16" i="21" s="1"/>
  <c r="L17" i="21" s="1" a="1"/>
  <c r="L17" i="21" s="1"/>
  <c r="L18" i="21" s="1" a="1"/>
  <c r="L18" i="21" s="1"/>
  <c r="L19" i="21" s="1" a="1"/>
  <c r="L19" i="21" s="1"/>
  <c r="L20" i="21" s="1" a="1"/>
  <c r="L20" i="21" s="1"/>
  <c r="L21" i="21" s="1" a="1"/>
  <c r="L21" i="21" s="1"/>
  <c r="L22" i="21" s="1" a="1"/>
  <c r="L22" i="21" s="1"/>
  <c r="L23" i="21" s="1" a="1"/>
  <c r="L23" i="21" s="1"/>
  <c r="L24" i="21" s="1" a="1"/>
  <c r="L24" i="21" s="1"/>
  <c r="L25" i="21" s="1" a="1"/>
  <c r="L25" i="21" s="1"/>
  <c r="L26" i="21" s="1" a="1"/>
  <c r="L26" i="21" s="1"/>
  <c r="L27" i="21" s="1" a="1"/>
  <c r="L27" i="21" s="1"/>
  <c r="L28" i="21" s="1" a="1"/>
  <c r="L28" i="21" s="1"/>
  <c r="L29" i="21" s="1" a="1"/>
  <c r="L29" i="21" s="1"/>
  <c r="L30" i="21" s="1" a="1"/>
  <c r="L30" i="21" s="1"/>
  <c r="L31" i="21" s="1" a="1"/>
  <c r="L31" i="21" s="1"/>
  <c r="L32" i="21" s="1" a="1"/>
  <c r="L32" i="21" s="1"/>
  <c r="L33" i="21" s="1" a="1"/>
  <c r="L33" i="21" s="1"/>
  <c r="L34" i="21" s="1" a="1"/>
  <c r="L34" i="21" s="1"/>
  <c r="L35" i="21" s="1" a="1"/>
  <c r="L35" i="21" s="1"/>
  <c r="L36" i="21" s="1" a="1"/>
  <c r="L36" i="21" s="1"/>
  <c r="L37" i="21" s="1" a="1"/>
  <c r="L37" i="21" s="1"/>
  <c r="L38" i="21" s="1" a="1"/>
  <c r="L38" i="21" s="1"/>
  <c r="L39" i="21" s="1" a="1"/>
  <c r="L39" i="21" s="1"/>
  <c r="AV22" i="25"/>
  <c r="L3" i="1" a="1"/>
  <c r="L3" i="1" s="1"/>
  <c r="L4" i="1" s="1" a="1"/>
  <c r="L4" i="1" s="1"/>
  <c r="L5" i="1" s="1" a="1"/>
  <c r="L5" i="1" s="1"/>
  <c r="L6" i="1" s="1" a="1"/>
  <c r="L6" i="1" s="1"/>
  <c r="L7" i="1" s="1" a="1"/>
  <c r="L7" i="1" s="1"/>
  <c r="L8" i="1" s="1" a="1"/>
  <c r="L8" i="1" s="1"/>
  <c r="L9" i="1" s="1" a="1"/>
  <c r="L9" i="1" s="1"/>
  <c r="L10" i="1" s="1" a="1"/>
  <c r="L10" i="1" s="1"/>
  <c r="L11" i="1" s="1" a="1"/>
  <c r="L11" i="1" s="1"/>
  <c r="L12" i="1" s="1" a="1"/>
  <c r="L12" i="1" s="1"/>
  <c r="L13" i="1" s="1" a="1"/>
  <c r="L13" i="1" s="1"/>
  <c r="L14" i="1" s="1" a="1"/>
  <c r="L14" i="1" s="1"/>
  <c r="L15" i="1" s="1" a="1"/>
  <c r="L15" i="1" s="1"/>
  <c r="L16" i="1" s="1" a="1"/>
  <c r="L16" i="1" s="1"/>
  <c r="L17" i="1" s="1" a="1"/>
  <c r="L17" i="1" s="1"/>
  <c r="L18" i="1" s="1" a="1"/>
  <c r="L18" i="1" s="1"/>
  <c r="L19" i="1" s="1" a="1"/>
  <c r="L19" i="1" s="1"/>
  <c r="J3" i="4"/>
  <c r="AU5" i="25" s="1"/>
  <c r="AT8" i="25"/>
  <c r="K3" i="13" a="1"/>
  <c r="K3" i="13" s="1"/>
  <c r="K4" i="13" s="1" a="1"/>
  <c r="K4" i="13" s="1"/>
  <c r="K5" i="13" s="1" a="1"/>
  <c r="K5" i="13" s="1"/>
  <c r="K6" i="13" s="1" a="1"/>
  <c r="K6" i="13" s="1"/>
  <c r="K7" i="13" s="1" a="1"/>
  <c r="K7" i="13" s="1"/>
  <c r="K8" i="13" s="1" a="1"/>
  <c r="K8" i="13" s="1"/>
  <c r="K9" i="13" s="1" a="1"/>
  <c r="K9" i="13" s="1"/>
  <c r="K10" i="13" s="1" a="1"/>
  <c r="K10" i="13" s="1"/>
  <c r="K11" i="13" s="1" a="1"/>
  <c r="K11" i="13" s="1"/>
  <c r="K12" i="13" s="1" a="1"/>
  <c r="K12" i="13" s="1"/>
  <c r="K13" i="13" s="1" a="1"/>
  <c r="K13" i="13" s="1"/>
  <c r="K14" i="13" s="1" a="1"/>
  <c r="K14" i="13" s="1"/>
  <c r="K15" i="13" s="1" a="1"/>
  <c r="K15" i="13" s="1"/>
  <c r="K16" i="13" s="1" a="1"/>
  <c r="K16" i="13" s="1"/>
  <c r="K17" i="13" s="1" a="1"/>
  <c r="K17" i="13" s="1"/>
  <c r="K18" i="13" s="1" a="1"/>
  <c r="K18" i="13" s="1"/>
  <c r="K19" i="13" s="1" a="1"/>
  <c r="K19" i="13" s="1"/>
  <c r="K20" i="13" s="1" a="1"/>
  <c r="K20" i="13" s="1"/>
  <c r="K21" i="13" s="1" a="1"/>
  <c r="K21" i="13" s="1"/>
  <c r="K22" i="13" s="1" a="1"/>
  <c r="K22" i="13" s="1"/>
  <c r="K23" i="13" s="1" a="1"/>
  <c r="K23" i="13" s="1"/>
  <c r="K24" i="13" s="1" a="1"/>
  <c r="K24" i="13" s="1"/>
  <c r="K25" i="13" s="1" a="1"/>
  <c r="K25" i="13" s="1"/>
  <c r="K26" i="13" s="1" a="1"/>
  <c r="K26" i="13" s="1"/>
  <c r="K27" i="13" s="1" a="1"/>
  <c r="K27" i="13" s="1"/>
  <c r="K28" i="13" s="1" a="1"/>
  <c r="K28" i="13" s="1"/>
  <c r="K29" i="13" s="1" a="1"/>
  <c r="K29" i="13" s="1"/>
  <c r="K30" i="13" s="1" a="1"/>
  <c r="K30" i="13" s="1"/>
  <c r="K31" i="13" s="1" a="1"/>
  <c r="K31" i="13" s="1"/>
  <c r="K32" i="13" s="1" a="1"/>
  <c r="K32" i="13" s="1"/>
  <c r="K33" i="13" s="1" a="1"/>
  <c r="K33" i="13" s="1"/>
  <c r="K34" i="13" s="1" a="1"/>
  <c r="K34" i="13" s="1"/>
  <c r="K35" i="13" s="1" a="1"/>
  <c r="K35" i="13" s="1"/>
  <c r="K36" i="13" s="1" a="1"/>
  <c r="K36" i="13" s="1"/>
  <c r="K37" i="13" s="1" a="1"/>
  <c r="K37" i="13" s="1"/>
  <c r="K38" i="13" s="1" a="1"/>
  <c r="K38" i="13" s="1"/>
  <c r="K39" i="13" s="1" a="1"/>
  <c r="K39" i="13" s="1"/>
  <c r="J3" i="11"/>
  <c r="AU11" i="25" s="1"/>
  <c r="AT12" i="25"/>
  <c r="I3" i="14"/>
  <c r="AT14" i="25" s="1"/>
  <c r="AT4" i="25"/>
  <c r="J3" i="6"/>
  <c r="K3" i="10" a="1"/>
  <c r="K3" i="10" s="1"/>
  <c r="K4" i="10" s="1" a="1"/>
  <c r="K4" i="10" s="1"/>
  <c r="K5" i="10" s="1" a="1"/>
  <c r="K5" i="10" s="1"/>
  <c r="K6" i="10" s="1" a="1"/>
  <c r="K6" i="10" s="1"/>
  <c r="K7" i="10" s="1" a="1"/>
  <c r="K7" i="10" s="1"/>
  <c r="K8" i="10" s="1" a="1"/>
  <c r="K8" i="10" s="1"/>
  <c r="K9" i="10" s="1" a="1"/>
  <c r="K9" i="10" s="1"/>
  <c r="K10" i="10" s="1" a="1"/>
  <c r="K10" i="10" s="1"/>
  <c r="K11" i="10" s="1" a="1"/>
  <c r="K11" i="10" s="1"/>
  <c r="K12" i="10" s="1" a="1"/>
  <c r="K12" i="10" s="1"/>
  <c r="K13" i="10" s="1" a="1"/>
  <c r="K13" i="10" s="1"/>
  <c r="K14" i="10" s="1" a="1"/>
  <c r="K14" i="10" s="1"/>
  <c r="K15" i="10" s="1" a="1"/>
  <c r="K15" i="10" s="1"/>
  <c r="K16" i="10" s="1" a="1"/>
  <c r="K16" i="10" s="1"/>
  <c r="K17" i="10" s="1" a="1"/>
  <c r="K17" i="10" s="1"/>
  <c r="K18" i="10" s="1" a="1"/>
  <c r="K18" i="10" s="1"/>
  <c r="K19" i="10" s="1" a="1"/>
  <c r="K19" i="10" s="1"/>
  <c r="K20" i="10" s="1" a="1"/>
  <c r="K20" i="10" s="1"/>
  <c r="K21" i="10" s="1" a="1"/>
  <c r="K21" i="10" s="1"/>
  <c r="K22" i="10" s="1" a="1"/>
  <c r="K22" i="10" s="1"/>
  <c r="K23" i="10" s="1" a="1"/>
  <c r="K23" i="10" s="1"/>
  <c r="K24" i="10" s="1" a="1"/>
  <c r="K24" i="10" s="1"/>
  <c r="K25" i="10" s="1" a="1"/>
  <c r="K25" i="10" s="1"/>
  <c r="K26" i="10" s="1" a="1"/>
  <c r="K26" i="10" s="1"/>
  <c r="K27" i="10" s="1" a="1"/>
  <c r="K27" i="10" s="1"/>
  <c r="K28" i="10" s="1" a="1"/>
  <c r="K28" i="10" s="1"/>
  <c r="K29" i="10" s="1" a="1"/>
  <c r="K29" i="10" s="1"/>
  <c r="K30" i="10" s="1" a="1"/>
  <c r="K30" i="10" s="1"/>
  <c r="K31" i="10" s="1" a="1"/>
  <c r="K31" i="10" s="1"/>
  <c r="K32" i="10" s="1" a="1"/>
  <c r="K32" i="10" s="1"/>
  <c r="K33" i="10" s="1" a="1"/>
  <c r="K33" i="10" s="1"/>
  <c r="K34" i="10" s="1" a="1"/>
  <c r="K34" i="10" s="1"/>
  <c r="K35" i="10" s="1" a="1"/>
  <c r="K35" i="10" s="1"/>
  <c r="K36" i="10" s="1" a="1"/>
  <c r="K36" i="10" s="1"/>
  <c r="K37" i="10" s="1" a="1"/>
  <c r="K37" i="10" s="1"/>
  <c r="K38" i="10" s="1" a="1"/>
  <c r="K38" i="10" s="1"/>
  <c r="K39" i="10" s="1" a="1"/>
  <c r="K39" i="10" s="1"/>
  <c r="AT9" i="25"/>
  <c r="V19" i="11"/>
  <c r="I20" i="1"/>
  <c r="V19" i="17"/>
  <c r="D17" i="23" s="1" a="1"/>
  <c r="D17" i="23" s="1"/>
  <c r="V19" i="22"/>
  <c r="D22" i="23" s="1" a="1"/>
  <c r="D22" i="23" s="1"/>
  <c r="D11" i="23" a="1"/>
  <c r="D11" i="23" s="1"/>
  <c r="D14" i="23" a="1"/>
  <c r="D14" i="23" s="1"/>
  <c r="V19" i="10"/>
  <c r="D10" i="23" s="1" a="1"/>
  <c r="D10" i="23" s="1"/>
  <c r="V19" i="3"/>
  <c r="D4" i="23" s="1" a="1"/>
  <c r="D4" i="23" s="1"/>
  <c r="V19" i="8"/>
  <c r="D9" i="23" s="1" a="1"/>
  <c r="D9" i="23" s="1"/>
  <c r="V19" i="13"/>
  <c r="D13" i="23" s="1" a="1"/>
  <c r="D13" i="23" s="1"/>
  <c r="V19" i="20"/>
  <c r="D20" i="23" s="1" a="1"/>
  <c r="D20" i="23" s="1"/>
  <c r="V19" i="1"/>
  <c r="V19" i="16"/>
  <c r="D16" i="23" s="1" a="1"/>
  <c r="D16" i="23" s="1"/>
  <c r="D18" i="23" a="1"/>
  <c r="D18" i="23" s="1"/>
  <c r="V19" i="7"/>
  <c r="V19" i="4"/>
  <c r="D5" i="23" s="1" a="1"/>
  <c r="V19" i="15"/>
  <c r="D15" i="23" s="1" a="1"/>
  <c r="Q5" i="2" a="1"/>
  <c r="Q5" i="2" l="1"/>
  <c r="D3" i="23" a="1"/>
  <c r="D3" i="23" s="1"/>
  <c r="J4" i="6"/>
  <c r="AU7" i="25" s="1"/>
  <c r="I4" i="20"/>
  <c r="AT20" i="25" s="1"/>
  <c r="I4" i="17"/>
  <c r="AT17" i="25" s="1"/>
  <c r="AU8" i="25"/>
  <c r="AV7" i="25"/>
  <c r="AV10" i="25"/>
  <c r="AW19" i="25"/>
  <c r="AV15" i="25"/>
  <c r="AW14" i="25"/>
  <c r="AV9" i="25"/>
  <c r="AV8" i="25"/>
  <c r="AW13" i="25"/>
  <c r="AW5" i="25"/>
  <c r="AV16" i="25"/>
  <c r="AW9" i="25"/>
  <c r="AW4" i="25"/>
  <c r="AW12" i="25"/>
  <c r="AW8" i="25"/>
  <c r="AV21" i="25"/>
  <c r="AW7" i="25"/>
  <c r="AV14" i="25"/>
  <c r="AW11" i="25"/>
  <c r="AW16" i="25"/>
  <c r="AW21" i="25"/>
  <c r="AW17" i="25"/>
  <c r="L20" i="1" a="1"/>
  <c r="L20" i="1" s="1"/>
  <c r="AV13" i="25"/>
  <c r="AV19" i="25"/>
  <c r="AV4" i="25"/>
  <c r="AV12" i="25"/>
  <c r="AV5" i="25"/>
  <c r="AW10" i="25"/>
  <c r="AW15" i="25"/>
  <c r="I4" i="1"/>
  <c r="I21" i="1"/>
  <c r="D5" i="23"/>
  <c r="D8" i="23" a="1"/>
  <c r="D15" i="23"/>
  <c r="L21" i="1" l="1" a="1"/>
  <c r="L21" i="1" s="1"/>
  <c r="I5" i="1"/>
  <c r="I6" i="1" s="1"/>
  <c r="I7" i="1" s="1"/>
  <c r="I8" i="1" s="1"/>
  <c r="I9" i="1" s="1"/>
  <c r="I22" i="1"/>
  <c r="D8" i="23"/>
  <c r="L22" i="1" l="1" a="1"/>
  <c r="L22" i="1" s="1"/>
  <c r="L23" i="1" s="1" a="1"/>
  <c r="L23" i="1" s="1"/>
  <c r="L24" i="1" s="1" a="1"/>
  <c r="L24" i="1" s="1"/>
  <c r="L25" i="1" s="1" a="1"/>
  <c r="L25" i="1" s="1"/>
  <c r="L26" i="1" s="1" a="1"/>
  <c r="L26" i="1" s="1"/>
  <c r="L27" i="1" s="1" a="1"/>
  <c r="L27" i="1" s="1"/>
  <c r="L28" i="1" s="1" a="1"/>
  <c r="L28" i="1" s="1"/>
  <c r="L29" i="1" s="1" a="1"/>
  <c r="L29" i="1" s="1"/>
  <c r="L30" i="1" s="1" a="1"/>
  <c r="L30" i="1" s="1"/>
  <c r="L31" i="1" s="1" a="1"/>
  <c r="L31" i="1" s="1"/>
  <c r="L32" i="1" s="1" a="1"/>
  <c r="L32" i="1" s="1"/>
  <c r="L33" i="1" s="1" a="1"/>
  <c r="L33" i="1" s="1"/>
  <c r="L34" i="1" s="1" a="1"/>
  <c r="L34" i="1" s="1"/>
  <c r="L35" i="1" s="1" a="1"/>
  <c r="L35" i="1" s="1"/>
  <c r="L36" i="1" s="1" a="1"/>
  <c r="L36" i="1" s="1"/>
  <c r="L37" i="1" s="1" a="1"/>
  <c r="L37" i="1" s="1"/>
  <c r="L38" i="1" s="1" a="1"/>
  <c r="L38" i="1" s="1"/>
  <c r="L39" i="1" s="1" a="1"/>
  <c r="L39" i="1" s="1"/>
  <c r="I23" i="1"/>
  <c r="S19" i="5"/>
  <c r="S20" i="5"/>
  <c r="S21" i="5"/>
  <c r="Q19" i="5" a="1"/>
  <c r="Q19" i="5" s="1"/>
  <c r="R19" i="5" a="1"/>
  <c r="R19" i="5" s="1"/>
  <c r="Q20" i="5" a="1"/>
  <c r="Q20" i="5" s="1"/>
  <c r="V20" i="5" s="1"/>
  <c r="R20" i="5" a="1"/>
  <c r="R20" i="5" s="1"/>
  <c r="Q21" i="5" a="1"/>
  <c r="Q21" i="5" s="1"/>
  <c r="V21" i="5" s="1"/>
  <c r="R21" i="5" a="1"/>
  <c r="R21" i="5" s="1"/>
  <c r="T21" i="5"/>
  <c r="T20" i="5"/>
  <c r="T19" i="5"/>
  <c r="AR6" i="25"/>
  <c r="AT33" i="25" s="1" a="1"/>
  <c r="AT33" i="25" s="1"/>
  <c r="H2" i="5" a="1"/>
  <c r="H2" i="5" s="1"/>
  <c r="H3" i="5" a="1"/>
  <c r="H3" i="5" s="1"/>
  <c r="H4" i="5" a="1"/>
  <c r="H4" i="5" s="1"/>
  <c r="H5" i="5" a="1"/>
  <c r="H5" i="5" s="1"/>
  <c r="I5" i="5" s="1"/>
  <c r="H6" i="5" a="1"/>
  <c r="H6" i="5" s="1"/>
  <c r="J6" i="5" s="1"/>
  <c r="H7" i="5" a="1"/>
  <c r="H7" i="5" s="1"/>
  <c r="H8" i="5" a="1"/>
  <c r="H8" i="5" s="1"/>
  <c r="H9" i="5" a="1"/>
  <c r="H9" i="5" s="1"/>
  <c r="I9" i="5" s="1"/>
  <c r="H10" i="5" a="1"/>
  <c r="H10" i="5" s="1"/>
  <c r="H11" i="5" a="1"/>
  <c r="H11" i="5" s="1"/>
  <c r="H12" i="5" a="1"/>
  <c r="H12" i="5" s="1"/>
  <c r="J12" i="5" s="1"/>
  <c r="H13" i="5" a="1"/>
  <c r="H13" i="5" s="1"/>
  <c r="I13" i="5" s="1"/>
  <c r="H14" i="5" a="1"/>
  <c r="H14" i="5" s="1"/>
  <c r="H15" i="5" a="1"/>
  <c r="H15" i="5" s="1"/>
  <c r="I15" i="5" s="1"/>
  <c r="H16" i="5" a="1"/>
  <c r="H16" i="5" s="1"/>
  <c r="I16" i="5" s="1"/>
  <c r="H17" i="5" a="1"/>
  <c r="H17" i="5" s="1"/>
  <c r="I17" i="5" s="1"/>
  <c r="H19" i="5" a="1"/>
  <c r="H19" i="5" s="1"/>
  <c r="I19" i="5" s="1"/>
  <c r="H20" i="5" a="1"/>
  <c r="H20" i="5" s="1"/>
  <c r="H21" i="5" a="1"/>
  <c r="H21" i="5" s="1"/>
  <c r="I21" i="5" s="1"/>
  <c r="H22" i="5" a="1"/>
  <c r="H22" i="5" s="1"/>
  <c r="I22" i="5" s="1"/>
  <c r="H23" i="5" a="1"/>
  <c r="H23" i="5" s="1"/>
  <c r="I23" i="5" s="1"/>
  <c r="H24" i="5" a="1"/>
  <c r="H24" i="5" s="1"/>
  <c r="I24" i="5" s="1"/>
  <c r="H25" i="5" a="1"/>
  <c r="H25" i="5" s="1"/>
  <c r="J25" i="5" s="1"/>
  <c r="H26" i="5" a="1"/>
  <c r="H26" i="5" s="1"/>
  <c r="J26" i="5" s="1"/>
  <c r="H27" i="5" a="1"/>
  <c r="H27" i="5" s="1"/>
  <c r="I27" i="5" s="1"/>
  <c r="H28" i="5" a="1"/>
  <c r="H28" i="5" s="1"/>
  <c r="I28" i="5" s="1"/>
  <c r="H29" i="5" a="1"/>
  <c r="H29" i="5" s="1"/>
  <c r="H30" i="5" a="1"/>
  <c r="H30" i="5" s="1"/>
  <c r="I30" i="5" s="1"/>
  <c r="H31" i="5" a="1"/>
  <c r="H31" i="5" s="1"/>
  <c r="I31" i="5" s="1"/>
  <c r="H32" i="5" a="1"/>
  <c r="H32" i="5" s="1"/>
  <c r="I32" i="5" s="1"/>
  <c r="H33" i="5" a="1"/>
  <c r="H33" i="5" s="1"/>
  <c r="H34" i="5" a="1"/>
  <c r="H34" i="5" s="1"/>
  <c r="I34" i="5" s="1"/>
  <c r="H35" i="5" a="1"/>
  <c r="H35" i="5" s="1"/>
  <c r="H36" i="5" a="1"/>
  <c r="H36" i="5" s="1"/>
  <c r="J36" i="5" s="1"/>
  <c r="H37" i="5" a="1"/>
  <c r="H37" i="5" s="1"/>
  <c r="I37" i="5" s="1"/>
  <c r="H38" i="5" a="1"/>
  <c r="H38" i="5" s="1"/>
  <c r="I38" i="5" s="1"/>
  <c r="H18" i="5" a="1"/>
  <c r="H18" i="5" s="1"/>
  <c r="J18" i="5" s="1"/>
  <c r="J19" i="5" s="1"/>
  <c r="H39" i="5" a="1"/>
  <c r="H39" i="5" s="1"/>
  <c r="I33" i="5" l="1"/>
  <c r="J7" i="5"/>
  <c r="I14" i="5"/>
  <c r="J37" i="5"/>
  <c r="J38" i="5" s="1"/>
  <c r="J39" i="5" s="1"/>
  <c r="I25" i="5"/>
  <c r="I26" i="5" s="1"/>
  <c r="AW3" i="25"/>
  <c r="I20" i="5"/>
  <c r="J20" i="5"/>
  <c r="J21" i="5" s="1"/>
  <c r="J22" i="5" s="1"/>
  <c r="J23" i="5" s="1"/>
  <c r="J24" i="5" s="1"/>
  <c r="J11" i="5"/>
  <c r="I11" i="5"/>
  <c r="I12" i="5" s="1"/>
  <c r="J35" i="5"/>
  <c r="I35" i="5"/>
  <c r="I36" i="5" s="1"/>
  <c r="I10" i="5"/>
  <c r="J10" i="5"/>
  <c r="I2" i="5" a="1"/>
  <c r="I2" i="5" s="1"/>
  <c r="L2" i="5" a="1"/>
  <c r="L2" i="5" s="1"/>
  <c r="K2" i="5" a="1"/>
  <c r="K2" i="5" s="1"/>
  <c r="J2" i="5" a="1"/>
  <c r="J2" i="5" s="1"/>
  <c r="J3" i="5" s="1"/>
  <c r="J4" i="5" s="1"/>
  <c r="J5" i="5" s="1"/>
  <c r="I39" i="5"/>
  <c r="J27" i="5"/>
  <c r="J28" i="5" s="1"/>
  <c r="I18" i="5"/>
  <c r="I6" i="5"/>
  <c r="I7" i="5" s="1"/>
  <c r="I8" i="5" s="1"/>
  <c r="J29" i="5"/>
  <c r="J30" i="5" s="1"/>
  <c r="J31" i="5" s="1"/>
  <c r="J32" i="5" s="1"/>
  <c r="J33" i="5" s="1"/>
  <c r="J34" i="5" s="1"/>
  <c r="I29" i="5"/>
  <c r="J13" i="5"/>
  <c r="J14" i="5" s="1"/>
  <c r="J15" i="5" s="1"/>
  <c r="J16" i="5" s="1"/>
  <c r="J17" i="5" s="1"/>
  <c r="J8" i="5"/>
  <c r="J9" i="5" s="1"/>
  <c r="I24" i="1"/>
  <c r="I25" i="1" s="1"/>
  <c r="I26" i="1" s="1"/>
  <c r="I27" i="1" s="1"/>
  <c r="I28" i="1" s="1"/>
  <c r="V19" i="5"/>
  <c r="U21" i="5"/>
  <c r="U20" i="5"/>
  <c r="U19" i="5"/>
  <c r="D6" i="23" l="1" a="1"/>
  <c r="L22" i="23" s="1"/>
  <c r="AT3" i="25"/>
  <c r="AU6" i="25"/>
  <c r="K3" i="5" a="1"/>
  <c r="K3" i="5" s="1"/>
  <c r="K4" i="5" s="1" a="1"/>
  <c r="K4" i="5" s="1"/>
  <c r="K5" i="5" s="1" a="1"/>
  <c r="K5" i="5" s="1"/>
  <c r="K6" i="5" s="1" a="1"/>
  <c r="K6" i="5" s="1"/>
  <c r="K7" i="5" s="1" a="1"/>
  <c r="K7" i="5" s="1"/>
  <c r="K8" i="5" s="1" a="1"/>
  <c r="K8" i="5" s="1"/>
  <c r="K9" i="5" s="1" a="1"/>
  <c r="K9" i="5" s="1"/>
  <c r="K10" i="5" s="1" a="1"/>
  <c r="K10" i="5" s="1"/>
  <c r="K11" i="5" s="1" a="1"/>
  <c r="K11" i="5" s="1"/>
  <c r="K12" i="5" s="1" a="1"/>
  <c r="K12" i="5" s="1"/>
  <c r="K13" i="5" s="1" a="1"/>
  <c r="K13" i="5" s="1"/>
  <c r="K14" i="5" s="1" a="1"/>
  <c r="K14" i="5" s="1"/>
  <c r="K15" i="5" s="1" a="1"/>
  <c r="K15" i="5" s="1"/>
  <c r="K16" i="5" s="1" a="1"/>
  <c r="K16" i="5" s="1"/>
  <c r="K17" i="5" s="1" a="1"/>
  <c r="K17" i="5" s="1"/>
  <c r="K18" i="5" s="1" a="1"/>
  <c r="K18" i="5" s="1"/>
  <c r="K19" i="5" s="1" a="1"/>
  <c r="K19" i="5" s="1"/>
  <c r="K20" i="5" s="1" a="1"/>
  <c r="K20" i="5" s="1"/>
  <c r="K21" i="5" s="1" a="1"/>
  <c r="K21" i="5" s="1"/>
  <c r="K22" i="5" s="1" a="1"/>
  <c r="K22" i="5" s="1"/>
  <c r="K23" i="5" s="1" a="1"/>
  <c r="K23" i="5" s="1"/>
  <c r="K24" i="5" s="1" a="1"/>
  <c r="K24" i="5" s="1"/>
  <c r="K25" i="5" s="1" a="1"/>
  <c r="K25" i="5" s="1"/>
  <c r="K26" i="5" s="1" a="1"/>
  <c r="K26" i="5" s="1"/>
  <c r="K27" i="5" s="1" a="1"/>
  <c r="K27" i="5" s="1"/>
  <c r="K28" i="5" s="1" a="1"/>
  <c r="K28" i="5" s="1"/>
  <c r="K29" i="5" s="1" a="1"/>
  <c r="K29" i="5" s="1"/>
  <c r="K30" i="5" s="1" a="1"/>
  <c r="K30" i="5" s="1"/>
  <c r="K31" i="5" s="1" a="1"/>
  <c r="K31" i="5" s="1"/>
  <c r="K32" i="5" s="1" a="1"/>
  <c r="K32" i="5" s="1"/>
  <c r="K33" i="5" s="1" a="1"/>
  <c r="K33" i="5" s="1"/>
  <c r="K34" i="5" s="1" a="1"/>
  <c r="K34" i="5" s="1"/>
  <c r="K35" i="5" s="1" a="1"/>
  <c r="K35" i="5" s="1"/>
  <c r="K36" i="5" s="1" a="1"/>
  <c r="K36" i="5" s="1"/>
  <c r="K37" i="5" s="1" a="1"/>
  <c r="K37" i="5" s="1"/>
  <c r="K38" i="5" s="1" a="1"/>
  <c r="K38" i="5" s="1"/>
  <c r="K39" i="5" s="1" a="1"/>
  <c r="K39" i="5" s="1"/>
  <c r="L3" i="5" a="1"/>
  <c r="L3" i="5" s="1"/>
  <c r="L4" i="5" s="1" a="1"/>
  <c r="L4" i="5" s="1"/>
  <c r="L5" i="5" s="1" a="1"/>
  <c r="L5" i="5" s="1"/>
  <c r="L6" i="5" s="1" a="1"/>
  <c r="L6" i="5" s="1"/>
  <c r="L7" i="5" s="1" a="1"/>
  <c r="L7" i="5" s="1"/>
  <c r="L8" i="5" s="1" a="1"/>
  <c r="L8" i="5" s="1"/>
  <c r="L9" i="5" s="1" a="1"/>
  <c r="L9" i="5" s="1"/>
  <c r="L10" i="5" s="1" a="1"/>
  <c r="L10" i="5" s="1"/>
  <c r="L11" i="5" s="1" a="1"/>
  <c r="L11" i="5" s="1"/>
  <c r="L12" i="5" s="1" a="1"/>
  <c r="L12" i="5" s="1"/>
  <c r="L13" i="5" s="1" a="1"/>
  <c r="L13" i="5" s="1"/>
  <c r="L14" i="5" s="1" a="1"/>
  <c r="L14" i="5" s="1"/>
  <c r="L15" i="5" s="1" a="1"/>
  <c r="L15" i="5" s="1"/>
  <c r="L16" i="5" s="1" a="1"/>
  <c r="L16" i="5" s="1"/>
  <c r="L17" i="5" s="1" a="1"/>
  <c r="L17" i="5" s="1"/>
  <c r="L18" i="5" s="1" a="1"/>
  <c r="L18" i="5" s="1"/>
  <c r="L19" i="5" s="1" a="1"/>
  <c r="L19" i="5" s="1"/>
  <c r="L20" i="5" s="1" a="1"/>
  <c r="L20" i="5" s="1"/>
  <c r="L21" i="5" s="1" a="1"/>
  <c r="L21" i="5" s="1"/>
  <c r="L22" i="5" s="1" a="1"/>
  <c r="L22" i="5" s="1"/>
  <c r="L23" i="5" s="1" a="1"/>
  <c r="L23" i="5" s="1"/>
  <c r="L24" i="5" s="1" a="1"/>
  <c r="L24" i="5" s="1"/>
  <c r="L25" i="5" s="1" a="1"/>
  <c r="L25" i="5" s="1"/>
  <c r="L26" i="5" s="1" a="1"/>
  <c r="L26" i="5" s="1"/>
  <c r="L27" i="5" s="1" a="1"/>
  <c r="L27" i="5" s="1"/>
  <c r="L28" i="5" s="1" a="1"/>
  <c r="L28" i="5" s="1"/>
  <c r="L29" i="5" s="1" a="1"/>
  <c r="L29" i="5" s="1"/>
  <c r="L30" i="5" s="1" a="1"/>
  <c r="L30" i="5" s="1"/>
  <c r="L31" i="5" s="1" a="1"/>
  <c r="L31" i="5" s="1"/>
  <c r="L32" i="5" s="1" a="1"/>
  <c r="L32" i="5" s="1"/>
  <c r="L33" i="5" s="1" a="1"/>
  <c r="L33" i="5" s="1"/>
  <c r="L34" i="5" s="1" a="1"/>
  <c r="L34" i="5" s="1"/>
  <c r="L35" i="5" s="1" a="1"/>
  <c r="L35" i="5" s="1"/>
  <c r="L36" i="5" s="1" a="1"/>
  <c r="L36" i="5" s="1"/>
  <c r="L37" i="5" s="1" a="1"/>
  <c r="L37" i="5" s="1"/>
  <c r="L38" i="5" s="1" a="1"/>
  <c r="L38" i="5" s="1"/>
  <c r="L39" i="5" s="1" a="1"/>
  <c r="L39" i="5" s="1"/>
  <c r="I3" i="5"/>
  <c r="L21" i="23"/>
  <c r="L7" i="23"/>
  <c r="L19" i="23"/>
  <c r="N12" i="23"/>
  <c r="N22" i="23"/>
  <c r="N3" i="23"/>
  <c r="N18" i="23"/>
  <c r="N10" i="23"/>
  <c r="N11" i="23"/>
  <c r="N8" i="23"/>
  <c r="N4" i="23"/>
  <c r="M18" i="23"/>
  <c r="N6" i="23" l="1"/>
  <c r="L8" i="23"/>
  <c r="M9" i="23"/>
  <c r="N7" i="23"/>
  <c r="M5" i="23"/>
  <c r="M4" i="23"/>
  <c r="N20" i="23"/>
  <c r="M17" i="23"/>
  <c r="M3" i="23"/>
  <c r="M7" i="23"/>
  <c r="N16" i="23"/>
  <c r="L11" i="23"/>
  <c r="L20" i="23"/>
  <c r="L6" i="23"/>
  <c r="D6" i="23"/>
  <c r="N19" i="23"/>
  <c r="N17" i="23"/>
  <c r="M6" i="23"/>
  <c r="N9" i="23"/>
  <c r="N14" i="23"/>
  <c r="N21" i="23"/>
  <c r="M15" i="23"/>
  <c r="M19" i="23"/>
  <c r="M11" i="23"/>
  <c r="M16" i="23"/>
  <c r="L16" i="23"/>
  <c r="L5" i="23"/>
  <c r="L10" i="23"/>
  <c r="O10" i="23" s="1"/>
  <c r="L3" i="23"/>
  <c r="M22" i="23"/>
  <c r="O22" i="23" s="1"/>
  <c r="M10" i="23"/>
  <c r="M21" i="23"/>
  <c r="O21" i="23" s="1"/>
  <c r="N13" i="23"/>
  <c r="M8" i="23"/>
  <c r="O8" i="23" s="1"/>
  <c r="N15" i="23"/>
  <c r="N5" i="23"/>
  <c r="O5" i="23" s="1"/>
  <c r="M20" i="23"/>
  <c r="M12" i="23"/>
  <c r="L9" i="23"/>
  <c r="L12" i="23"/>
  <c r="L13" i="23"/>
  <c r="L18" i="23"/>
  <c r="O18" i="23" s="1"/>
  <c r="M13" i="23"/>
  <c r="M14" i="23"/>
  <c r="L4" i="23"/>
  <c r="O4" i="23" s="1"/>
  <c r="L15" i="23"/>
  <c r="O15" i="23" s="1"/>
  <c r="L17" i="23"/>
  <c r="L14" i="23"/>
  <c r="O14" i="23" s="1"/>
  <c r="I4" i="5"/>
  <c r="AT6" i="25" s="1"/>
  <c r="AT37" i="25" s="1" a="1"/>
  <c r="AT37" i="25" s="1"/>
  <c r="AV6" i="25"/>
  <c r="AW6" i="25"/>
  <c r="O9" i="23"/>
  <c r="O20" i="23"/>
  <c r="O13" i="23"/>
  <c r="O3" i="23"/>
  <c r="O16" i="23" l="1"/>
  <c r="O19" i="23"/>
  <c r="O11" i="23"/>
  <c r="O7" i="23"/>
  <c r="P6" i="23" s="1"/>
  <c r="O17" i="23"/>
  <c r="O12" i="23"/>
  <c r="O6" i="23"/>
  <c r="P13" i="23" s="1"/>
  <c r="AT41" i="25" a="1"/>
  <c r="AT41" i="25" s="1"/>
  <c r="P19" i="23"/>
  <c r="P11" i="23"/>
  <c r="P8" i="23"/>
  <c r="P10" i="23" l="1"/>
  <c r="P9" i="23"/>
  <c r="P16" i="23"/>
  <c r="P20" i="23"/>
  <c r="P7" i="23"/>
  <c r="P18" i="23"/>
  <c r="P3" i="23"/>
  <c r="P4" i="23"/>
  <c r="P15" i="23"/>
  <c r="P17" i="23"/>
  <c r="P14" i="23"/>
  <c r="P22" i="23"/>
  <c r="P12" i="23"/>
  <c r="P5" i="23"/>
  <c r="P21" i="23"/>
  <c r="B3" i="24" l="1" a="1"/>
  <c r="B3" i="2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FDCAE7-61BB-49C6-96C3-FF0A32FBDF98}" keepAlive="1" name="Query - eng 1" description="Connection to the 'eng 1' query in the workbook." type="5" refreshedVersion="6" background="1" refreshOnLoad="1" saveData="1">
    <dbPr connection="Provider=Microsoft.Mashup.OleDb.1;Data Source=$Workbook$;Location=&quot;eng 1&quot;;Extended Properties=&quot;&quot;" command="SELECT * FROM [eng 1]"/>
  </connection>
  <connection id="2" xr16:uid="{11704CE9-D4B5-44C3-A845-0A428A29E6D5}" keepAlive="1" name="Query - Ffoo" description="Connection to the 'Ffoo' query in the workbook." type="5" refreshedVersion="6" background="1" saveData="1">
    <dbPr connection="Provider=Microsoft.Mashup.OleDb.1;Data Source=$Workbook$;Location=Ffoo;Extended Properties=&quot;&quot;" command="SELECT * FROM [Ffo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<sst xmlns="http://schemas.openxmlformats.org/spreadsheetml/2006/main" count="1770" uniqueCount="107">
  <si>
    <t>Round</t>
  </si>
  <si>
    <t>Date</t>
  </si>
  <si>
    <t>Home</t>
  </si>
  <si>
    <t>Home Score</t>
  </si>
  <si>
    <t>Away</t>
  </si>
  <si>
    <t>Away Score</t>
  </si>
  <si>
    <t>Liverpool FC</t>
  </si>
  <si>
    <t>Norwich City FC</t>
  </si>
  <si>
    <t>West Ham United FC</t>
  </si>
  <si>
    <t>Manchester City FC</t>
  </si>
  <si>
    <t>Burnley FC</t>
  </si>
  <si>
    <t>Southampton FC</t>
  </si>
  <si>
    <t>P</t>
  </si>
  <si>
    <t>W</t>
  </si>
  <si>
    <t>D</t>
  </si>
  <si>
    <t>L</t>
  </si>
  <si>
    <t>GF</t>
  </si>
  <si>
    <t>GA</t>
  </si>
  <si>
    <t>GD</t>
  </si>
  <si>
    <t>Pts</t>
  </si>
  <si>
    <t>AFC Bournemouth</t>
  </si>
  <si>
    <t>Sheffield United FC</t>
  </si>
  <si>
    <t>Overall</t>
  </si>
  <si>
    <t>Crystal Palace FC</t>
  </si>
  <si>
    <t>Everton FC</t>
  </si>
  <si>
    <t>Watford FC</t>
  </si>
  <si>
    <t>Brighton &amp; Hove Albion FC</t>
  </si>
  <si>
    <t>Tottenham Hotspur FC</t>
  </si>
  <si>
    <t>Aston Villa FC</t>
  </si>
  <si>
    <t>Leicester City FC</t>
  </si>
  <si>
    <t>Wolverhampton Wanderers FC</t>
  </si>
  <si>
    <t>Newcastle United FC</t>
  </si>
  <si>
    <t>Arsenal FC</t>
  </si>
  <si>
    <t>Manchester United FC</t>
  </si>
  <si>
    <t>Chelsea FC</t>
  </si>
  <si>
    <t>Team Position by Round</t>
  </si>
  <si>
    <t>RESULT</t>
  </si>
  <si>
    <t>GOALS</t>
  </si>
  <si>
    <t>Team                              Round</t>
  </si>
  <si>
    <t>WINS</t>
  </si>
  <si>
    <t>DRAWS</t>
  </si>
  <si>
    <t>LOSSESS</t>
  </si>
  <si>
    <t>SCORED</t>
  </si>
  <si>
    <t>CONCEDED</t>
  </si>
  <si>
    <t>UNBEATEN STEAK</t>
  </si>
  <si>
    <t>WINLESS STEAK</t>
  </si>
  <si>
    <t>Which team wins / draws/ losses the most / least?</t>
  </si>
  <si>
    <t>Result</t>
  </si>
  <si>
    <t>Team</t>
  </si>
  <si>
    <t>Wins</t>
  </si>
  <si>
    <t>The most</t>
  </si>
  <si>
    <t>Which team scored/ conceded the most/ least goals?</t>
  </si>
  <si>
    <t>Which team has the longest winning/ losing streak?</t>
  </si>
  <si>
    <t>Loss Steak</t>
  </si>
  <si>
    <t>Which team has the longest winless/ unbeaten streak?</t>
  </si>
  <si>
    <t>Unbeaten Steak</t>
  </si>
  <si>
    <t>Rank PTS</t>
  </si>
  <si>
    <t>Rank GD</t>
  </si>
  <si>
    <t>Rank GA</t>
  </si>
  <si>
    <t>Total Rank</t>
  </si>
  <si>
    <t>Rank</t>
  </si>
  <si>
    <t>PTS</t>
  </si>
  <si>
    <t>RANK PTS</t>
  </si>
  <si>
    <t>RANK GD</t>
  </si>
  <si>
    <t>RANK GA</t>
  </si>
  <si>
    <t>TOTAL RANK</t>
  </si>
  <si>
    <t>RANK</t>
  </si>
  <si>
    <t>Qualification or Relegation</t>
  </si>
  <si>
    <t>Qualification for the UEFA Champions League</t>
  </si>
  <si>
    <t>Qualification for the UEFA Europa League</t>
  </si>
  <si>
    <t xml:space="preserve"> Relegation to the Next Lower Division</t>
  </si>
  <si>
    <t>Form</t>
  </si>
  <si>
    <t>Win Steak</t>
  </si>
  <si>
    <t>Winless Steak</t>
  </si>
  <si>
    <t>Row Labels</t>
  </si>
  <si>
    <t>Games</t>
  </si>
  <si>
    <t>Points</t>
  </si>
  <si>
    <t>Average Points</t>
  </si>
  <si>
    <t>2019</t>
  </si>
  <si>
    <t xml:space="preserve">Form </t>
  </si>
  <si>
    <t>Colour</t>
  </si>
  <si>
    <t>Aug</t>
  </si>
  <si>
    <t>Win</t>
  </si>
  <si>
    <t>Sep</t>
  </si>
  <si>
    <t>Draw</t>
  </si>
  <si>
    <t>Oct</t>
  </si>
  <si>
    <t>Loss</t>
  </si>
  <si>
    <t>Nov</t>
  </si>
  <si>
    <t>Dec</t>
  </si>
  <si>
    <t>2020</t>
  </si>
  <si>
    <t>Jan</t>
  </si>
  <si>
    <t>Feb</t>
  </si>
  <si>
    <t>Mar</t>
  </si>
  <si>
    <t>Jun</t>
  </si>
  <si>
    <t>Jul</t>
  </si>
  <si>
    <t>Grand Total</t>
  </si>
  <si>
    <t>Away score</t>
  </si>
  <si>
    <t>SHEET</t>
  </si>
  <si>
    <t>England 1</t>
  </si>
  <si>
    <t>Data Summarization</t>
  </si>
  <si>
    <t>League Table Unsort</t>
  </si>
  <si>
    <t>League Table Sorted</t>
  </si>
  <si>
    <t>Team Summarization</t>
  </si>
  <si>
    <t>WIN STREAK</t>
  </si>
  <si>
    <t>LOSS STREAK</t>
  </si>
  <si>
    <t>GAME STREAK</t>
  </si>
  <si>
    <t>Scored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</si>
</sst>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444444"/>
      <name val="Calibri"/>
      <family val="2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  <font>
      <sz val="11"/>
      <color theme="1"/>
      <name val="Times New Roman"/>
      <family val="1"/>
    </font>
    <font>
      <sz val="12"/>
      <color rgb="FF0A0101"/>
      <name val="Times New Roman"/>
      <family val="1"/>
    </font>
    <font>
      <b/>
      <sz val="11"/>
      <color theme="1"/>
      <name val="Calibri"/>
      <family val="2"/>
      <scheme val="minor"/>
    </font>
    <font>
      <sz val="11"/>
      <name val="Times New Roman"/>
      <family val="1"/>
    </font>
    <font>
      <sz val="14"/>
      <color rgb="FFFFFFFF"/>
      <name val="Calibri"/>
      <family val="2"/>
      <scheme val="minor"/>
    </font>
    <font>
      <sz val="14"/>
      <color rgb="FFFFFFFF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70C0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Arial Black"/>
      <family val="2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rgb="FF444444"/>
      <name val="Calibri"/>
      <family val="2"/>
      <charset val="1"/>
    </font>
    <font>
      <b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3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name val="Arial Black"/>
      <family val="2"/>
    </font>
    <font>
      <b/>
      <sz val="13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sz val="11"/>
      <name val="Calibri Light"/>
      <family val="2"/>
      <scheme val="major"/>
    </font>
    <font>
      <b/>
      <u/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name val="Calibri"/>
      <family val="2"/>
      <scheme val="minor"/>
    </font>
    <font>
      <sz val="24"/>
      <color theme="1"/>
      <name val="Arial Black"/>
      <family val="2"/>
    </font>
  </fonts>
  <fills count="31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E2EFDA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757171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/>
        <bgColor indexed="64"/>
      </patternFill>
    </fill>
    <fill>
      <patternFill patternType="darkTrellis">
        <fgColor theme="5" tint="0.79998168889431442"/>
        <bgColor rgb="FFFFFF00"/>
      </patternFill>
    </fill>
    <fill>
      <patternFill patternType="darkTrellis">
        <fgColor theme="5" tint="0.79998168889431442"/>
        <bgColor theme="5" tint="0.59996337778862885"/>
      </patternFill>
    </fill>
  </fills>
  <borders count="1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 diagonalDown="1">
      <left/>
      <right/>
      <top/>
      <bottom/>
      <diagonal style="thin">
        <color indexed="64"/>
      </diagonal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theme="5"/>
      </bottom>
      <diagonal/>
    </border>
    <border>
      <left/>
      <right/>
      <top style="thick">
        <color theme="5"/>
      </top>
      <bottom style="thick">
        <color theme="5"/>
      </bottom>
      <diagonal/>
    </border>
    <border>
      <left/>
      <right/>
      <top style="thick">
        <color theme="5"/>
      </top>
      <bottom/>
      <diagonal/>
    </border>
  </borders>
  <cellStyleXfs count="5">
    <xf numFmtId="0" fontId="0" fillId="0" borderId="0"/>
    <xf numFmtId="0" fontId="25" fillId="0" borderId="0" applyNumberFormat="0" applyFill="0" applyBorder="0" applyAlignment="0" applyProtection="0"/>
    <xf numFmtId="0" fontId="26" fillId="0" borderId="7" applyNumberFormat="0" applyFill="0" applyAlignment="0" applyProtection="0"/>
    <xf numFmtId="0" fontId="27" fillId="0" borderId="0" applyNumberFormat="0" applyFill="0" applyBorder="0" applyAlignment="0" applyProtection="0"/>
    <xf numFmtId="0" fontId="31" fillId="30" borderId="8"/>
  </cellStyleXfs>
  <cellXfs count="114">
    <xf numFmtId="0" fontId="0" fillId="0" borderId="0" xfId="0"/>
    <xf numFmtId="14" fontId="0" fillId="0" borderId="0" xfId="0" applyNumberFormat="1"/>
    <xf numFmtId="0" fontId="2" fillId="0" borderId="0" xfId="0" applyFont="1"/>
    <xf numFmtId="0" fontId="3" fillId="0" borderId="0" xfId="0" quotePrefix="1" applyFont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1" borderId="0" xfId="0" applyFill="1"/>
    <xf numFmtId="0" fontId="0" fillId="10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4" fillId="12" borderId="0" xfId="0" applyFont="1" applyFill="1" applyAlignment="1">
      <alignment horizontal="center"/>
    </xf>
    <xf numFmtId="0" fontId="0" fillId="13" borderId="0" xfId="0" applyFill="1"/>
    <xf numFmtId="0" fontId="5" fillId="0" borderId="0" xfId="0" applyFont="1"/>
    <xf numFmtId="0" fontId="6" fillId="0" borderId="0" xfId="0" applyFont="1"/>
    <xf numFmtId="0" fontId="8" fillId="0" borderId="0" xfId="0" applyFont="1"/>
    <xf numFmtId="0" fontId="9" fillId="1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2" fillId="13" borderId="0" xfId="0" applyFont="1" applyFill="1"/>
    <xf numFmtId="0" fontId="12" fillId="9" borderId="0" xfId="0" applyFont="1" applyFill="1" applyAlignment="1">
      <alignment horizontal="center"/>
    </xf>
    <xf numFmtId="0" fontId="12" fillId="5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6" borderId="0" xfId="0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7" fillId="11" borderId="0" xfId="0" applyFont="1" applyFill="1"/>
    <xf numFmtId="0" fontId="0" fillId="11" borderId="0" xfId="0" applyFill="1" applyAlignment="1">
      <alignment horizontal="center"/>
    </xf>
    <xf numFmtId="0" fontId="11" fillId="11" borderId="0" xfId="0" applyFont="1" applyFill="1" applyAlignment="1">
      <alignment vertical="center"/>
    </xf>
    <xf numFmtId="0" fontId="11" fillId="20" borderId="0" xfId="0" applyFont="1" applyFill="1" applyAlignment="1">
      <alignment vertical="center"/>
    </xf>
    <xf numFmtId="0" fontId="11" fillId="17" borderId="0" xfId="0" applyFont="1" applyFill="1" applyAlignment="1">
      <alignment vertical="center"/>
    </xf>
    <xf numFmtId="0" fontId="11" fillId="18" borderId="0" xfId="0" applyFont="1" applyFill="1" applyAlignment="1">
      <alignment vertical="center"/>
    </xf>
    <xf numFmtId="0" fontId="11" fillId="21" borderId="0" xfId="0" applyFont="1" applyFill="1" applyAlignment="1">
      <alignment vertical="center"/>
    </xf>
    <xf numFmtId="0" fontId="11" fillId="19" borderId="0" xfId="0" applyFont="1" applyFill="1" applyAlignment="1">
      <alignment vertical="center"/>
    </xf>
    <xf numFmtId="0" fontId="11" fillId="4" borderId="0" xfId="0" applyFont="1" applyFill="1" applyAlignment="1">
      <alignment horizontal="center" vertical="center"/>
    </xf>
    <xf numFmtId="0" fontId="13" fillId="21" borderId="0" xfId="0" applyFont="1" applyFill="1" applyAlignment="1">
      <alignment vertical="center"/>
    </xf>
    <xf numFmtId="0" fontId="11" fillId="20" borderId="0" xfId="0" applyFont="1" applyFill="1" applyAlignment="1">
      <alignment horizontal="center" vertical="center"/>
    </xf>
    <xf numFmtId="0" fontId="11" fillId="17" borderId="0" xfId="0" applyFont="1" applyFill="1" applyAlignment="1">
      <alignment horizontal="center" vertical="center"/>
    </xf>
    <xf numFmtId="0" fontId="11" fillId="18" borderId="0" xfId="0" applyFont="1" applyFill="1" applyAlignment="1">
      <alignment horizontal="center" vertical="center"/>
    </xf>
    <xf numFmtId="0" fontId="11" fillId="21" borderId="0" xfId="0" applyFont="1" applyFill="1" applyAlignment="1">
      <alignment horizontal="center" vertical="center"/>
    </xf>
    <xf numFmtId="0" fontId="11" fillId="19" borderId="0" xfId="0" applyFont="1" applyFill="1" applyAlignment="1">
      <alignment horizontal="center" vertical="center"/>
    </xf>
    <xf numFmtId="0" fontId="11" fillId="14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1" fillId="16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4" fillId="22" borderId="4" xfId="0" applyFont="1" applyFill="1" applyBorder="1"/>
    <xf numFmtId="0" fontId="0" fillId="23" borderId="4" xfId="0" applyFill="1" applyBorder="1"/>
    <xf numFmtId="0" fontId="0" fillId="6" borderId="4" xfId="0" applyFill="1" applyBorder="1"/>
    <xf numFmtId="0" fontId="0" fillId="0" borderId="0" xfId="0" quotePrefix="1"/>
    <xf numFmtId="0" fontId="14" fillId="0" borderId="0" xfId="0" applyFont="1"/>
    <xf numFmtId="0" fontId="15" fillId="10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 indent="1"/>
    </xf>
    <xf numFmtId="0" fontId="0" fillId="0" borderId="0" xfId="0" pivotButton="1"/>
    <xf numFmtId="0" fontId="16" fillId="0" borderId="0" xfId="0" applyFont="1"/>
    <xf numFmtId="2" fontId="0" fillId="0" borderId="0" xfId="0" applyNumberFormat="1"/>
    <xf numFmtId="0" fontId="7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wrapText="1"/>
    </xf>
    <xf numFmtId="0" fontId="3" fillId="0" borderId="6" xfId="0" applyFont="1" applyBorder="1"/>
    <xf numFmtId="0" fontId="9" fillId="12" borderId="0" xfId="0" applyFont="1" applyFill="1" applyAlignment="1">
      <alignment horizontal="center" vertical="center"/>
    </xf>
    <xf numFmtId="0" fontId="17" fillId="0" borderId="0" xfId="0" applyFont="1"/>
    <xf numFmtId="0" fontId="18" fillId="2" borderId="1" xfId="0" applyFont="1" applyFill="1" applyBorder="1"/>
    <xf numFmtId="0" fontId="18" fillId="2" borderId="2" xfId="0" applyFont="1" applyFill="1" applyBorder="1"/>
    <xf numFmtId="0" fontId="18" fillId="2" borderId="3" xfId="0" applyFont="1" applyFill="1" applyBorder="1"/>
    <xf numFmtId="0" fontId="18" fillId="2" borderId="0" xfId="0" applyFont="1" applyFill="1"/>
    <xf numFmtId="14" fontId="18" fillId="2" borderId="2" xfId="0" applyNumberFormat="1" applyFont="1" applyFill="1" applyBorder="1"/>
    <xf numFmtId="0" fontId="0" fillId="10" borderId="0" xfId="0" applyFill="1" applyAlignment="1">
      <alignment horizontal="center" vertical="center"/>
    </xf>
    <xf numFmtId="0" fontId="19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20" fillId="0" borderId="0" xfId="0" quotePrefix="1" applyFont="1"/>
    <xf numFmtId="0" fontId="9" fillId="24" borderId="0" xfId="0" applyFont="1" applyFill="1" applyAlignment="1">
      <alignment horizontal="center" vertical="center"/>
    </xf>
    <xf numFmtId="0" fontId="9" fillId="25" borderId="0" xfId="0" applyFont="1" applyFill="1" applyAlignment="1">
      <alignment horizontal="center" vertical="center"/>
    </xf>
    <xf numFmtId="0" fontId="21" fillId="2" borderId="0" xfId="0" applyFont="1" applyFill="1" applyAlignment="1">
      <alignment wrapText="1"/>
    </xf>
    <xf numFmtId="0" fontId="23" fillId="26" borderId="0" xfId="0" applyFont="1" applyFill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20" fillId="0" borderId="0" xfId="0" applyFont="1"/>
    <xf numFmtId="0" fontId="24" fillId="0" borderId="0" xfId="0" applyFont="1"/>
    <xf numFmtId="0" fontId="24" fillId="0" borderId="0" xfId="0" applyFont="1" applyAlignment="1">
      <alignment horizontal="left" vertical="center"/>
    </xf>
    <xf numFmtId="0" fontId="24" fillId="8" borderId="0" xfId="0" applyFont="1" applyFill="1" applyAlignment="1">
      <alignment horizontal="left" vertical="center"/>
    </xf>
    <xf numFmtId="0" fontId="24" fillId="7" borderId="0" xfId="0" applyFont="1" applyFill="1" applyAlignment="1">
      <alignment horizontal="left" vertical="center"/>
    </xf>
    <xf numFmtId="0" fontId="24" fillId="5" borderId="0" xfId="0" applyFont="1" applyFill="1" applyAlignment="1">
      <alignment horizontal="left" vertical="center"/>
    </xf>
    <xf numFmtId="0" fontId="0" fillId="0" borderId="0" xfId="0" applyProtection="1">
      <protection locked="0"/>
    </xf>
    <xf numFmtId="0" fontId="0" fillId="28" borderId="0" xfId="0" applyFill="1"/>
    <xf numFmtId="0" fontId="16" fillId="28" borderId="0" xfId="0" applyFont="1" applyFill="1"/>
    <xf numFmtId="0" fontId="30" fillId="29" borderId="8" xfId="3" applyFont="1" applyFill="1" applyBorder="1" applyAlignment="1">
      <alignment vertical="center"/>
    </xf>
    <xf numFmtId="0" fontId="33" fillId="28" borderId="0" xfId="3" applyFont="1" applyFill="1" applyAlignment="1" applyProtection="1">
      <alignment horizontal="left" vertical="center"/>
      <protection locked="0"/>
    </xf>
    <xf numFmtId="0" fontId="34" fillId="28" borderId="0" xfId="0" applyFont="1" applyFill="1"/>
    <xf numFmtId="0" fontId="35" fillId="28" borderId="0" xfId="0" applyFont="1" applyFill="1"/>
    <xf numFmtId="0" fontId="30" fillId="28" borderId="0" xfId="3" applyFont="1" applyFill="1" applyAlignment="1" applyProtection="1">
      <alignment horizontal="center" vertical="center"/>
      <protection locked="0"/>
    </xf>
    <xf numFmtId="0" fontId="28" fillId="28" borderId="0" xfId="1" applyFont="1" applyFill="1" applyAlignment="1">
      <alignment horizontal="center"/>
    </xf>
    <xf numFmtId="0" fontId="29" fillId="28" borderId="0" xfId="2" applyFont="1" applyFill="1" applyBorder="1" applyAlignment="1">
      <alignment horizontal="center"/>
    </xf>
    <xf numFmtId="0" fontId="30" fillId="29" borderId="8" xfId="3" applyFont="1" applyFill="1" applyBorder="1" applyAlignment="1" applyProtection="1">
      <alignment horizontal="center" vertical="center"/>
      <protection locked="0"/>
    </xf>
    <xf numFmtId="0" fontId="32" fillId="29" borderId="9" xfId="4" applyFont="1" applyFill="1" applyBorder="1" applyAlignment="1">
      <alignment horizontal="center" vertical="center"/>
    </xf>
    <xf numFmtId="0" fontId="30" fillId="28" borderId="10" xfId="3" applyFont="1" applyFill="1" applyBorder="1" applyAlignment="1" applyProtection="1">
      <alignment horizontal="center" vertical="center"/>
      <protection locked="0"/>
    </xf>
    <xf numFmtId="0" fontId="33" fillId="28" borderId="0" xfId="3" applyFont="1" applyFill="1" applyAlignment="1" applyProtection="1">
      <alignment horizontal="left" vertical="center"/>
      <protection locked="0"/>
    </xf>
    <xf numFmtId="0" fontId="32" fillId="29" borderId="8" xfId="4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24" fillId="15" borderId="0" xfId="0" applyFont="1" applyFill="1" applyAlignment="1">
      <alignment horizontal="left" vertical="center"/>
    </xf>
    <xf numFmtId="0" fontId="24" fillId="27" borderId="0" xfId="0" applyFont="1" applyFill="1" applyAlignment="1">
      <alignment horizontal="left" vertical="center"/>
    </xf>
    <xf numFmtId="0" fontId="24" fillId="8" borderId="0" xfId="0" applyFont="1" applyFill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</cellXfs>
  <cellStyles count="5">
    <cellStyle name="Header" xfId="4" xr:uid="{F651E454-00E6-4A27-9A6E-C86D4947BCDC}"/>
    <cellStyle name="Heading 2" xfId="2" builtinId="17"/>
    <cellStyle name="Hyperlink" xfId="3" builtinId="8"/>
    <cellStyle name="Normal" xfId="0" builtinId="0"/>
    <cellStyle name="Title" xfId="1" builtinId="15"/>
  </cellStyles>
  <dxfs count="123">
    <dxf>
      <alignment wrapText="1"/>
    </dxf>
    <dxf>
      <font>
        <color rgb="FF9C000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wrapText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alignment wrapText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alignment wrapText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alignment wrapText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alignment wrapText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alignment wrapText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alignment wrapText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alignment wrapText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alignment wrapText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alignment wrapText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alignment wrapText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alignment wrapText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alignment wrapText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alignment wrapText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alignment wrapText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alignment wrapText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alignment wrapText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alignment wrapText="1"/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alignment wrapText="1"/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164" formatCode="d/m/yyyy"/>
    </dxf>
  </dxfs>
  <tableStyles count="0" defaultTableStyle="TableStyleMedium2" defaultPivotStyle="PivotStyleLight16"/>
  <colors>
    <mruColors>
      <color rgb="FFFFC7CE"/>
      <color rgb="FFFFEB9C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pivotCacheDefinition" Target="pivotCache/pivotCacheDefinition14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9.xml"/><Relationship Id="rId42" Type="http://schemas.openxmlformats.org/officeDocument/2006/relationships/pivotCacheDefinition" Target="pivotCache/pivotCacheDefinition17.xml"/><Relationship Id="rId47" Type="http://schemas.openxmlformats.org/officeDocument/2006/relationships/connections" Target="connections.xml"/><Relationship Id="rId50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4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7.xml"/><Relationship Id="rId37" Type="http://schemas.openxmlformats.org/officeDocument/2006/relationships/pivotCacheDefinition" Target="pivotCache/pivotCacheDefinition12.xml"/><Relationship Id="rId40" Type="http://schemas.openxmlformats.org/officeDocument/2006/relationships/pivotCacheDefinition" Target="pivotCache/pivotCacheDefinition15.xml"/><Relationship Id="rId45" Type="http://schemas.openxmlformats.org/officeDocument/2006/relationships/pivotCacheDefinition" Target="pivotCache/pivotCacheDefinition20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6.xml"/><Relationship Id="rId44" Type="http://schemas.openxmlformats.org/officeDocument/2006/relationships/pivotCacheDefinition" Target="pivotCache/pivotCacheDefinition19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pivotCacheDefinition" Target="pivotCache/pivotCacheDefinition5.xml"/><Relationship Id="rId35" Type="http://schemas.openxmlformats.org/officeDocument/2006/relationships/pivotCacheDefinition" Target="pivotCache/pivotCacheDefinition10.xml"/><Relationship Id="rId43" Type="http://schemas.openxmlformats.org/officeDocument/2006/relationships/pivotCacheDefinition" Target="pivotCache/pivotCacheDefinition18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17/10/relationships/person" Target="persons/perso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8.xml"/><Relationship Id="rId38" Type="http://schemas.openxmlformats.org/officeDocument/2006/relationships/pivotCacheDefinition" Target="pivotCache/pivotCacheDefinition13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6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openxmlformats.org/officeDocument/2006/relationships/pivotCacheDefinition" Target="pivotCache/pivotCacheDefinition11.xml"/><Relationship Id="rId4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'Team Position by Round'!$B$1</c:f>
          <c:strCache>
            <c:ptCount val="1"/>
            <c:pt idx="0">
              <c:v>Team Position by Round</c:v>
            </c:pt>
          </c:strCache>
        </c:strRef>
      </c:tx>
      <c:layout>
        <c:manualLayout>
          <c:xMode val="edge"/>
          <c:yMode val="edge"/>
          <c:x val="0.46859771888978996"/>
          <c:y val="9.66183452371276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Round 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Round'!$C$3:$C$22</c:f>
              <c:numCache>
                <c:formatCode>General</c:formatCode>
                <c:ptCount val="20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2-46DA-A74C-4109D6BFFC33}"/>
            </c:ext>
          </c:extLst>
        </c:ser>
        <c:ser>
          <c:idx val="1"/>
          <c:order val="1"/>
          <c:tx>
            <c:v>Round 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Round'!$D$3:$D$22</c:f>
              <c:numCache>
                <c:formatCode>General</c:formatCode>
                <c:ptCount val="20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2-46DA-A74C-4109D6BFFC33}"/>
            </c:ext>
          </c:extLst>
        </c:ser>
        <c:ser>
          <c:idx val="2"/>
          <c:order val="2"/>
          <c:tx>
            <c:v>Round 3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Round'!$E$3:$E$22</c:f>
              <c:numCache>
                <c:formatCode>General</c:formatCode>
                <c:ptCount val="20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3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2-46DA-A74C-4109D6BFFC33}"/>
            </c:ext>
          </c:extLst>
        </c:ser>
        <c:ser>
          <c:idx val="3"/>
          <c:order val="3"/>
          <c:tx>
            <c:v>Round 4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Round'!$F$3:$F$22</c:f>
              <c:numCache>
                <c:formatCode>General</c:formatCode>
                <c:ptCount val="20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2-46DA-A74C-4109D6BFFC33}"/>
            </c:ext>
          </c:extLst>
        </c:ser>
        <c:ser>
          <c:idx val="4"/>
          <c:order val="4"/>
          <c:tx>
            <c:v>Round 5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Round'!$G$3:$G$22</c:f>
              <c:numCache>
                <c:formatCode>General</c:formatCode>
                <c:ptCount val="20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2-46DA-A74C-4109D6BFFC33}"/>
            </c:ext>
          </c:extLst>
        </c:ser>
        <c:ser>
          <c:idx val="5"/>
          <c:order val="5"/>
          <c:tx>
            <c:v>Round 6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Round'!$H$3:$H$22</c:f>
              <c:numCache>
                <c:formatCode>General</c:formatCode>
                <c:ptCount val="2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2-46DA-A74C-4109D6BFFC33}"/>
            </c:ext>
          </c:extLst>
        </c:ser>
        <c:ser>
          <c:idx val="6"/>
          <c:order val="6"/>
          <c:tx>
            <c:v>Round 7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Round'!$I$3:$I$22</c:f>
              <c:numCache>
                <c:formatCode>General</c:formatCode>
                <c:ptCount val="20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3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2-46DA-A74C-4109D6BFFC33}"/>
            </c:ext>
          </c:extLst>
        </c:ser>
        <c:ser>
          <c:idx val="7"/>
          <c:order val="7"/>
          <c:tx>
            <c:v>Round 8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Round'!$J$3:$J$22</c:f>
              <c:numCache>
                <c:formatCode>General</c:formatCode>
                <c:ptCount val="20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3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2-46DA-A74C-4109D6BFFC33}"/>
            </c:ext>
          </c:extLst>
        </c:ser>
        <c:ser>
          <c:idx val="8"/>
          <c:order val="8"/>
          <c:tx>
            <c:v>Round 9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Round'!$K$3:$K$22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2-46DA-A74C-4109D6BFFC33}"/>
            </c:ext>
          </c:extLst>
        </c:ser>
        <c:ser>
          <c:idx val="9"/>
          <c:order val="9"/>
          <c:tx>
            <c:v>Round 10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Round'!$L$3:$L$22</c:f>
              <c:numCache>
                <c:formatCode>General</c:formatCode>
                <c:ptCount val="20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1</c:v>
                </c:pt>
                <c:pt idx="18">
                  <c:v>3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2-46DA-A74C-4109D6BFFC33}"/>
            </c:ext>
          </c:extLst>
        </c:ser>
        <c:ser>
          <c:idx val="10"/>
          <c:order val="10"/>
          <c:tx>
            <c:v>Round 11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Round'!$M$3:$M$22</c:f>
              <c:numCache>
                <c:formatCode>General</c:formatCode>
                <c:ptCount val="20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2-46DA-A74C-4109D6BFFC33}"/>
            </c:ext>
          </c:extLst>
        </c:ser>
        <c:ser>
          <c:idx val="11"/>
          <c:order val="11"/>
          <c:tx>
            <c:v>Round 12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Round'!$N$3:$N$22</c:f>
              <c:numCache>
                <c:formatCode>General</c:formatCode>
                <c:ptCount val="20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3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EA2-46DA-A74C-4109D6BFFC33}"/>
            </c:ext>
          </c:extLst>
        </c:ser>
        <c:ser>
          <c:idx val="12"/>
          <c:order val="12"/>
          <c:tx>
            <c:v>Round 13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Round'!$O$3:$O$22</c:f>
              <c:numCache>
                <c:formatCode>General</c:formatCode>
                <c:ptCount val="20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3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2-46DA-A74C-4109D6BFFC33}"/>
            </c:ext>
          </c:extLst>
        </c:ser>
        <c:ser>
          <c:idx val="13"/>
          <c:order val="13"/>
          <c:tx>
            <c:v>Round 14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Round'!$P$3:$P$22</c:f>
              <c:numCache>
                <c:formatCode>General</c:formatCode>
                <c:ptCount val="20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2-46DA-A74C-4109D6BFFC33}"/>
            </c:ext>
          </c:extLst>
        </c:ser>
        <c:ser>
          <c:idx val="14"/>
          <c:order val="14"/>
          <c:tx>
            <c:v>Round 15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Round'!$Q$3:$Q$22</c:f>
              <c:numCache>
                <c:formatCode>General</c:formatCode>
                <c:ptCount val="20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EA2-46DA-A74C-4109D6BFFC33}"/>
            </c:ext>
          </c:extLst>
        </c:ser>
        <c:ser>
          <c:idx val="15"/>
          <c:order val="15"/>
          <c:tx>
            <c:v>Round 16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Round'!$R$3:$R$22</c:f>
              <c:numCache>
                <c:formatCode>General</c:formatCode>
                <c:ptCount val="20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EA2-46DA-A74C-4109D6BFFC33}"/>
            </c:ext>
          </c:extLst>
        </c:ser>
        <c:ser>
          <c:idx val="16"/>
          <c:order val="16"/>
          <c:tx>
            <c:v>Round 17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Round'!$S$3:$S$22</c:f>
              <c:numCache>
                <c:formatCode>General</c:formatCode>
                <c:ptCount val="2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A2-46DA-A74C-4109D6BFFC33}"/>
            </c:ext>
          </c:extLst>
        </c:ser>
        <c:ser>
          <c:idx val="17"/>
          <c:order val="17"/>
          <c:tx>
            <c:v>Round 18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Round'!$T$3:$T$22</c:f>
              <c:numCache>
                <c:formatCode>General</c:formatCode>
                <c:ptCount val="20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EA2-46DA-A74C-4109D6BFFC33}"/>
            </c:ext>
          </c:extLst>
        </c:ser>
        <c:ser>
          <c:idx val="18"/>
          <c:order val="18"/>
          <c:tx>
            <c:v>Round 19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Round'!$U$3:$U$22</c:f>
              <c:numCache>
                <c:formatCode>General</c:formatCode>
                <c:ptCount val="20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EA2-46DA-A74C-4109D6BFFC33}"/>
            </c:ext>
          </c:extLst>
        </c:ser>
        <c:ser>
          <c:idx val="19"/>
          <c:order val="19"/>
          <c:tx>
            <c:v>Round 20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Round'!$V$3:$V$22</c:f>
              <c:numCache>
                <c:formatCode>General</c:formatCode>
                <c:ptCount val="20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3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EA2-46DA-A74C-4109D6BFFC33}"/>
            </c:ext>
          </c:extLst>
        </c:ser>
        <c:ser>
          <c:idx val="20"/>
          <c:order val="20"/>
          <c:tx>
            <c:v>Round 21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Round'!$W$3:$W$22</c:f>
              <c:numCache>
                <c:formatCode>General</c:formatCode>
                <c:ptCount val="20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EA2-46DA-A74C-4109D6BFFC33}"/>
            </c:ext>
          </c:extLst>
        </c:ser>
        <c:ser>
          <c:idx val="21"/>
          <c:order val="21"/>
          <c:tx>
            <c:v>Round 22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Round'!$X$3:$X$22</c:f>
              <c:numCache>
                <c:formatCode>General</c:formatCode>
                <c:ptCount val="20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EA2-46DA-A74C-4109D6BFFC33}"/>
            </c:ext>
          </c:extLst>
        </c:ser>
        <c:ser>
          <c:idx val="22"/>
          <c:order val="22"/>
          <c:tx>
            <c:v>Round 23</c:v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Round'!$Y$3:$Y$22</c:f>
              <c:numCache>
                <c:formatCode>General</c:formatCode>
                <c:ptCount val="20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EA2-46DA-A74C-4109D6BFFC33}"/>
            </c:ext>
          </c:extLst>
        </c:ser>
        <c:ser>
          <c:idx val="23"/>
          <c:order val="23"/>
          <c:tx>
            <c:v>Round 24</c:v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Round'!$Z$3:$Z$22</c:f>
              <c:numCache>
                <c:formatCode>General</c:formatCode>
                <c:ptCount val="20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EA2-46DA-A74C-4109D6BFFC33}"/>
            </c:ext>
          </c:extLst>
        </c:ser>
        <c:ser>
          <c:idx val="24"/>
          <c:order val="24"/>
          <c:tx>
            <c:v>Round 25</c:v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Round'!$AA$3:$AA$22</c:f>
              <c:numCache>
                <c:formatCode>General</c:formatCode>
                <c:ptCount val="20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EA2-46DA-A74C-4109D6BFFC33}"/>
            </c:ext>
          </c:extLst>
        </c:ser>
        <c:ser>
          <c:idx val="25"/>
          <c:order val="25"/>
          <c:tx>
            <c:v>Round 26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Round'!$AB$3:$AB$22</c:f>
              <c:numCache>
                <c:formatCode>General</c:formatCode>
                <c:ptCount val="20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EA2-46DA-A74C-4109D6BFFC33}"/>
            </c:ext>
          </c:extLst>
        </c:ser>
        <c:ser>
          <c:idx val="26"/>
          <c:order val="26"/>
          <c:tx>
            <c:v>Round 27</c:v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Round'!$AC$3:$AC$22</c:f>
              <c:numCache>
                <c:formatCode>General</c:formatCode>
                <c:ptCount val="20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3</c:v>
                </c:pt>
                <c:pt idx="17">
                  <c:v>1</c:v>
                </c:pt>
                <c:pt idx="18">
                  <c:v>3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7EA2-46DA-A74C-4109D6BFFC33}"/>
            </c:ext>
          </c:extLst>
        </c:ser>
        <c:ser>
          <c:idx val="27"/>
          <c:order val="27"/>
          <c:tx>
            <c:v>Round 28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Round'!$AD$3:$AD$22</c:f>
              <c:numCache>
                <c:formatCode>General</c:formatCode>
                <c:ptCount val="20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3</c:v>
                </c:pt>
                <c:pt idx="15">
                  <c:v>0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EA2-46DA-A74C-4109D6BFFC33}"/>
            </c:ext>
          </c:extLst>
        </c:ser>
        <c:ser>
          <c:idx val="28"/>
          <c:order val="28"/>
          <c:tx>
            <c:v>Round 29</c:v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Round'!$AE$3:$AE$22</c:f>
              <c:numCache>
                <c:formatCode>General</c:formatCode>
                <c:ptCount val="20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7EA2-46DA-A74C-4109D6BFFC33}"/>
            </c:ext>
          </c:extLst>
        </c:ser>
        <c:ser>
          <c:idx val="29"/>
          <c:order val="29"/>
          <c:tx>
            <c:v>Round 30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Round'!$AF$3:$AF$22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7EA2-46DA-A74C-4109D6BFFC33}"/>
            </c:ext>
          </c:extLst>
        </c:ser>
        <c:ser>
          <c:idx val="30"/>
          <c:order val="30"/>
          <c:tx>
            <c:v>Round 31</c:v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Round'!$AG$3:$AG$22</c:f>
              <c:numCache>
                <c:formatCode>General</c:formatCode>
                <c:ptCount val="20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7EA2-46DA-A74C-4109D6BFFC33}"/>
            </c:ext>
          </c:extLst>
        </c:ser>
        <c:ser>
          <c:idx val="31"/>
          <c:order val="31"/>
          <c:tx>
            <c:v>Round 32</c:v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Round'!$AH$3:$AH$22</c:f>
              <c:numCache>
                <c:formatCode>General</c:formatCode>
                <c:ptCount val="20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7EA2-46DA-A74C-4109D6BFFC33}"/>
            </c:ext>
          </c:extLst>
        </c:ser>
        <c:ser>
          <c:idx val="32"/>
          <c:order val="32"/>
          <c:tx>
            <c:v>Round 33</c:v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Round'!$AI$3:$AI$22</c:f>
              <c:numCache>
                <c:formatCode>General</c:formatCode>
                <c:ptCount val="20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7EA2-46DA-A74C-4109D6BFFC33}"/>
            </c:ext>
          </c:extLst>
        </c:ser>
        <c:ser>
          <c:idx val="33"/>
          <c:order val="33"/>
          <c:tx>
            <c:v>Round 34</c:v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Round'!$AJ$3:$AJ$22</c:f>
              <c:numCache>
                <c:formatCode>General</c:formatCode>
                <c:ptCount val="20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7EA2-46DA-A74C-4109D6BFFC33}"/>
            </c:ext>
          </c:extLst>
        </c:ser>
        <c:ser>
          <c:idx val="34"/>
          <c:order val="34"/>
          <c:tx>
            <c:v>Round 35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Round'!$AK$3:$AK$22</c:f>
              <c:numCache>
                <c:formatCode>General</c:formatCode>
                <c:ptCount val="20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EA2-46DA-A74C-4109D6BFFC33}"/>
            </c:ext>
          </c:extLst>
        </c:ser>
        <c:ser>
          <c:idx val="35"/>
          <c:order val="35"/>
          <c:tx>
            <c:v>Round 36</c:v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Round'!$AL$3:$AL$22</c:f>
              <c:numCache>
                <c:formatCode>General</c:formatCode>
                <c:ptCount val="20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3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7EA2-46DA-A74C-4109D6BFFC33}"/>
            </c:ext>
          </c:extLst>
        </c:ser>
        <c:ser>
          <c:idx val="36"/>
          <c:order val="36"/>
          <c:tx>
            <c:v>Round 37</c:v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Round'!$AM$3:$AM$22</c:f>
              <c:numCache>
                <c:formatCode>General</c:formatCode>
                <c:ptCount val="20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1</c:v>
                </c:pt>
                <c:pt idx="13">
                  <c:v>3</c:v>
                </c:pt>
                <c:pt idx="14">
                  <c:v>0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7EA2-46DA-A74C-4109D6BFFC33}"/>
            </c:ext>
          </c:extLst>
        </c:ser>
        <c:ser>
          <c:idx val="37"/>
          <c:order val="37"/>
          <c:tx>
            <c:v>Round 38</c:v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'Team Position by Round'!$B$3:$B$22</c:f>
              <c:strCache>
                <c:ptCount val="20"/>
                <c:pt idx="0">
                  <c:v>Liverpool FC</c:v>
                </c:pt>
                <c:pt idx="1">
                  <c:v>West Ham United FC</c:v>
                </c:pt>
                <c:pt idx="2">
                  <c:v>Burnley FC</c:v>
                </c:pt>
                <c:pt idx="3">
                  <c:v>AFC Bournemouth</c:v>
                </c:pt>
                <c:pt idx="4">
                  <c:v>Crystal Palace FC</c:v>
                </c:pt>
                <c:pt idx="5">
                  <c:v>Watford FC</c:v>
                </c:pt>
                <c:pt idx="6">
                  <c:v>Tottenham Hotspur FC</c:v>
                </c:pt>
                <c:pt idx="7">
                  <c:v>Leicester City FC</c:v>
                </c:pt>
                <c:pt idx="8">
                  <c:v>Newcastle United FC</c:v>
                </c:pt>
                <c:pt idx="9">
                  <c:v>Manchester United FC</c:v>
                </c:pt>
                <c:pt idx="10">
                  <c:v>Arsenal FC</c:v>
                </c:pt>
                <c:pt idx="11">
                  <c:v>Everton FC</c:v>
                </c:pt>
                <c:pt idx="12">
                  <c:v>Brighton &amp; Hove Albion FC</c:v>
                </c:pt>
                <c:pt idx="13">
                  <c:v>Aston Villa FC</c:v>
                </c:pt>
                <c:pt idx="14">
                  <c:v>Norwich City FC</c:v>
                </c:pt>
                <c:pt idx="15">
                  <c:v>Southampton FC</c:v>
                </c:pt>
                <c:pt idx="16">
                  <c:v>Manchester City FC</c:v>
                </c:pt>
                <c:pt idx="17">
                  <c:v>Sheffield United FC</c:v>
                </c:pt>
                <c:pt idx="18">
                  <c:v>Chelsea FC</c:v>
                </c:pt>
                <c:pt idx="19">
                  <c:v>Wolverhampton Wanderers FC</c:v>
                </c:pt>
              </c:strCache>
            </c:strRef>
          </c:cat>
          <c:val>
            <c:numRef>
              <c:f>'Team Position by Round'!$AN$3:$AN$22</c:f>
              <c:numCache>
                <c:formatCode>General</c:formatCode>
                <c:ptCount val="20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3</c:v>
                </c:pt>
                <c:pt idx="13">
                  <c:v>1</c:v>
                </c:pt>
                <c:pt idx="14">
                  <c:v>0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3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7EA2-46DA-A74C-4109D6BFF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1784266336"/>
        <c:axId val="1784259264"/>
      </c:barChart>
      <c:catAx>
        <c:axId val="178426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4259264"/>
        <c:crosses val="autoZero"/>
        <c:auto val="1"/>
        <c:lblAlgn val="ctr"/>
        <c:lblOffset val="100"/>
        <c:noMultiLvlLbl val="0"/>
      </c:catAx>
      <c:valAx>
        <c:axId val="178425926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426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396466817720678"/>
          <c:y val="2.2671963854088043E-2"/>
          <c:w val="8.2713078462188741E-2"/>
          <c:h val="0.959961966353231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hyperlink" Target="#'TABLE OF CONTENT'!A1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image" Target="../media/image7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image" Target="../media/image8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image" Target="../media/image9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image" Target="../media/image10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image" Target="../media/image1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image" Target="../media/image12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image" Target="../media/image1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image" Target="../media/image1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image" Target="../media/image15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image" Target="../media/image16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image" Target="../media/image17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image" Target="../media/image18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image" Target="../media/image19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image" Target="../media/image20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'TABLE OF CONTENT'!A1"/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0</xdr:rowOff>
    </xdr:from>
    <xdr:to>
      <xdr:col>16</xdr:col>
      <xdr:colOff>260986</xdr:colOff>
      <xdr:row>23</xdr:row>
      <xdr:rowOff>148379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0DCD36-0A24-4F46-9A04-F3EDD70C1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470"/>
        <a:stretch/>
      </xdr:blipFill>
      <xdr:spPr>
        <a:xfrm>
          <a:off x="3225800" y="0"/>
          <a:ext cx="6414136" cy="6091979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1</xdr:row>
      <xdr:rowOff>388435</xdr:rowOff>
    </xdr:from>
    <xdr:ext cx="3299460" cy="561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A6579FA-F9F7-4F9A-A521-4DC0B36D868F}"/>
            </a:ext>
          </a:extLst>
        </xdr:cNvPr>
        <xdr:cNvSpPr/>
      </xdr:nvSpPr>
      <xdr:spPr>
        <a:xfrm>
          <a:off x="482600" y="572585"/>
          <a:ext cx="3299460" cy="56194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0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TABLE OF CONTENT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2419</xdr:colOff>
      <xdr:row>18</xdr:row>
      <xdr:rowOff>74386</xdr:rowOff>
    </xdr:from>
    <xdr:to>
      <xdr:col>9</xdr:col>
      <xdr:colOff>246214</xdr:colOff>
      <xdr:row>22</xdr:row>
      <xdr:rowOff>86860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09B9E8-F6D2-4591-8996-B71B64F3E954}"/>
            </a:ext>
          </a:extLst>
        </xdr:cNvPr>
        <xdr:cNvSpPr/>
      </xdr:nvSpPr>
      <xdr:spPr>
        <a:xfrm>
          <a:off x="8021562" y="33401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0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12700</xdr:colOff>
      <xdr:row>9</xdr:row>
      <xdr:rowOff>0</xdr:rowOff>
    </xdr:from>
    <xdr:to>
      <xdr:col>9</xdr:col>
      <xdr:colOff>256495</xdr:colOff>
      <xdr:row>13</xdr:row>
      <xdr:rowOff>12474</xdr:rowOff>
    </xdr:to>
    <xdr:sp macro="[0]!RefreshQueryConnect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E948806-F7C3-4D11-93CA-A500FF7D051B}"/>
            </a:ext>
          </a:extLst>
        </xdr:cNvPr>
        <xdr:cNvSpPr/>
      </xdr:nvSpPr>
      <xdr:spPr>
        <a:xfrm>
          <a:off x="8031843" y="1632857"/>
          <a:ext cx="2230438" cy="738188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REFRESH</a:t>
          </a:r>
          <a:r>
            <a:rPr lang="en-US" sz="20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 QUERY CONNECTION</a:t>
          </a:r>
          <a:endParaRPr lang="en-MY" sz="20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13</xdr:row>
      <xdr:rowOff>126396</xdr:rowOff>
    </xdr:from>
    <xdr:to>
      <xdr:col>9</xdr:col>
      <xdr:colOff>243795</xdr:colOff>
      <xdr:row>17</xdr:row>
      <xdr:rowOff>138869</xdr:rowOff>
    </xdr:to>
    <xdr:sp macro="[0]!RefreshAllPivotTabl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9DA64EC-4AD2-49AE-A9EB-A6943660B6D2}"/>
            </a:ext>
          </a:extLst>
        </xdr:cNvPr>
        <xdr:cNvSpPr/>
      </xdr:nvSpPr>
      <xdr:spPr>
        <a:xfrm>
          <a:off x="8019143" y="2484967"/>
          <a:ext cx="2230438" cy="738188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REFRESH</a:t>
          </a:r>
          <a:r>
            <a:rPr lang="en-US" sz="20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 ALL PIVOT TABLE</a:t>
          </a:r>
          <a:endParaRPr lang="en-MY" sz="20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22</xdr:row>
      <xdr:rowOff>152400</xdr:rowOff>
    </xdr:from>
    <xdr:to>
      <xdr:col>40</xdr:col>
      <xdr:colOff>9525</xdr:colOff>
      <xdr:row>64</xdr:row>
      <xdr:rowOff>161925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C434233E-2CDA-4D46-AFBC-1B09D8E418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0</xdr:row>
      <xdr:rowOff>247650</xdr:rowOff>
    </xdr:from>
    <xdr:to>
      <xdr:col>1</xdr:col>
      <xdr:colOff>2076450</xdr:colOff>
      <xdr:row>1</xdr:row>
      <xdr:rowOff>314325</xdr:rowOff>
    </xdr:to>
    <xdr:cxnSp macro="">
      <xdr:nvCxnSpPr>
        <xdr:cNvPr id="26" name="Straight Connector 4">
          <a:extLst>
            <a:ext uri="{FF2B5EF4-FFF2-40B4-BE49-F238E27FC236}">
              <a16:creationId xmlns:a16="http://schemas.microsoft.com/office/drawing/2014/main" id="{E62CE96D-BE1C-4D14-ADB8-F1551BC83B79}"/>
            </a:ext>
            <a:ext uri="{147F2762-F138-4A5C-976F-8EAC2B608ADB}">
              <a16:predDERef xmlns:a16="http://schemas.microsoft.com/office/drawing/2014/main" pred="{C434233E-2CDA-4D46-AFBC-1B09D8E418C3}"/>
            </a:ext>
          </a:extLst>
        </xdr:cNvPr>
        <xdr:cNvCxnSpPr>
          <a:cxnSpLocks/>
        </xdr:cNvCxnSpPr>
      </xdr:nvCxnSpPr>
      <xdr:spPr>
        <a:xfrm>
          <a:off x="609600" y="247650"/>
          <a:ext cx="2076450" cy="323850"/>
        </a:xfrm>
        <a:prstGeom prst="line">
          <a:avLst/>
        </a:prstGeom>
        <a:ln w="12700">
          <a:solidFill>
            <a:srgbClr val="000000"/>
          </a:solidFill>
          <a:prstDash val="soli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42</xdr:row>
      <xdr:rowOff>0</xdr:rowOff>
    </xdr:from>
    <xdr:to>
      <xdr:col>47</xdr:col>
      <xdr:colOff>20638</xdr:colOff>
      <xdr:row>45</xdr:row>
      <xdr:rowOff>166689</xdr:rowOff>
    </xdr:to>
    <xdr:sp macro="" textlink="">
      <xdr:nvSpPr>
        <xdr:cNvPr id="6" name="Rectangle: Rounded Corner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823AAB-C187-48BA-8EA1-0AD1DF3AC0DB}"/>
            </a:ext>
          </a:extLst>
        </xdr:cNvPr>
        <xdr:cNvSpPr/>
      </xdr:nvSpPr>
      <xdr:spPr>
        <a:xfrm>
          <a:off x="21056600" y="94107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0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2</xdr:row>
      <xdr:rowOff>0</xdr:rowOff>
    </xdr:from>
    <xdr:to>
      <xdr:col>1</xdr:col>
      <xdr:colOff>247650</xdr:colOff>
      <xdr:row>2</xdr:row>
      <xdr:rowOff>276225</xdr:rowOff>
    </xdr:to>
    <xdr:pic>
      <xdr:nvPicPr>
        <xdr:cNvPr id="13" name="Picture 6">
          <a:extLst>
            <a:ext uri="{FF2B5EF4-FFF2-40B4-BE49-F238E27FC236}">
              <a16:creationId xmlns:a16="http://schemas.microsoft.com/office/drawing/2014/main" id="{141A1941-B006-4750-9104-B21826341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4375" y="504825"/>
          <a:ext cx="219075" cy="276225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3</xdr:row>
      <xdr:rowOff>38100</xdr:rowOff>
    </xdr:from>
    <xdr:to>
      <xdr:col>1</xdr:col>
      <xdr:colOff>247650</xdr:colOff>
      <xdr:row>3</xdr:row>
      <xdr:rowOff>266700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58F08E6-BB4C-41D8-9460-58FC1B4C1A22}"/>
            </a:ext>
            <a:ext uri="{147F2762-F138-4A5C-976F-8EAC2B608ADB}">
              <a16:predDERef xmlns:a16="http://schemas.microsoft.com/office/drawing/2014/main" pred="{141A1941-B006-4750-9104-B21826341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3900" y="857250"/>
          <a:ext cx="209550" cy="228600"/>
        </a:xfrm>
        <a:prstGeom prst="rect">
          <a:avLst/>
        </a:prstGeom>
      </xdr:spPr>
    </xdr:pic>
    <xdr:clientData/>
  </xdr:twoCellAnchor>
  <xdr:twoCellAnchor>
    <xdr:from>
      <xdr:col>1</xdr:col>
      <xdr:colOff>47625</xdr:colOff>
      <xdr:row>4</xdr:row>
      <xdr:rowOff>9525</xdr:rowOff>
    </xdr:from>
    <xdr:to>
      <xdr:col>1</xdr:col>
      <xdr:colOff>238125</xdr:colOff>
      <xdr:row>4</xdr:row>
      <xdr:rowOff>276225</xdr:rowOff>
    </xdr:to>
    <xdr:pic>
      <xdr:nvPicPr>
        <xdr:cNvPr id="11" name="Picture 9">
          <a:extLst>
            <a:ext uri="{FF2B5EF4-FFF2-40B4-BE49-F238E27FC236}">
              <a16:creationId xmlns:a16="http://schemas.microsoft.com/office/drawing/2014/main" id="{0281BC08-FD5F-46F5-A905-A1BD3614B5A4}"/>
            </a:ext>
            <a:ext uri="{147F2762-F138-4A5C-976F-8EAC2B608ADB}">
              <a16:predDERef xmlns:a16="http://schemas.microsoft.com/office/drawing/2014/main" pred="{058F08E6-BB4C-41D8-9460-58FC1B4C1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3425" y="1143000"/>
          <a:ext cx="190500" cy="266700"/>
        </a:xfrm>
        <a:prstGeom prst="rect">
          <a:avLst/>
        </a:prstGeom>
      </xdr:spPr>
    </xdr:pic>
    <xdr:clientData/>
  </xdr:twoCellAnchor>
  <xdr:twoCellAnchor>
    <xdr:from>
      <xdr:col>1</xdr:col>
      <xdr:colOff>47625</xdr:colOff>
      <xdr:row>5</xdr:row>
      <xdr:rowOff>28575</xdr:rowOff>
    </xdr:from>
    <xdr:to>
      <xdr:col>1</xdr:col>
      <xdr:colOff>238125</xdr:colOff>
      <xdr:row>5</xdr:row>
      <xdr:rowOff>266700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7661173-30EC-413A-8F02-EC344105E0A3}"/>
            </a:ext>
            <a:ext uri="{147F2762-F138-4A5C-976F-8EAC2B608ADB}">
              <a16:predDERef xmlns:a16="http://schemas.microsoft.com/office/drawing/2014/main" pred="{0281BC08-FD5F-46F5-A905-A1BD3614B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" y="1476375"/>
          <a:ext cx="190500" cy="238125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6</xdr:row>
      <xdr:rowOff>9525</xdr:rowOff>
    </xdr:from>
    <xdr:to>
      <xdr:col>1</xdr:col>
      <xdr:colOff>228600</xdr:colOff>
      <xdr:row>6</xdr:row>
      <xdr:rowOff>257175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B4477B4D-D81F-4D07-8720-1938B9CBC604}"/>
            </a:ext>
            <a:ext uri="{147F2762-F138-4A5C-976F-8EAC2B608ADB}">
              <a16:predDERef xmlns:a16="http://schemas.microsoft.com/office/drawing/2014/main" pred="{17661173-30EC-413A-8F02-EC344105E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3900" y="1771650"/>
          <a:ext cx="190500" cy="247650"/>
        </a:xfrm>
        <a:prstGeom prst="rect">
          <a:avLst/>
        </a:prstGeom>
      </xdr:spPr>
    </xdr:pic>
    <xdr:clientData/>
  </xdr:twoCellAnchor>
  <xdr:twoCellAnchor>
    <xdr:from>
      <xdr:col>1</xdr:col>
      <xdr:colOff>28575</xdr:colOff>
      <xdr:row>7</xdr:row>
      <xdr:rowOff>19050</xdr:rowOff>
    </xdr:from>
    <xdr:to>
      <xdr:col>1</xdr:col>
      <xdr:colOff>228600</xdr:colOff>
      <xdr:row>7</xdr:row>
      <xdr:rowOff>257175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D9B42F6-3852-4F3D-9090-319E0A09EBD3}"/>
            </a:ext>
            <a:ext uri="{147F2762-F138-4A5C-976F-8EAC2B608ADB}">
              <a16:predDERef xmlns:a16="http://schemas.microsoft.com/office/drawing/2014/main" pred="{B4477B4D-D81F-4D07-8720-1938B9CBC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5" y="2095500"/>
          <a:ext cx="200025" cy="238125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8</xdr:row>
      <xdr:rowOff>19050</xdr:rowOff>
    </xdr:from>
    <xdr:to>
      <xdr:col>1</xdr:col>
      <xdr:colOff>228600</xdr:colOff>
      <xdr:row>8</xdr:row>
      <xdr:rowOff>257175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E57B945C-B90D-4275-982A-A97837E91EB5}"/>
            </a:ext>
            <a:ext uri="{147F2762-F138-4A5C-976F-8EAC2B608ADB}">
              <a16:predDERef xmlns:a16="http://schemas.microsoft.com/office/drawing/2014/main" pred="{4D9B42F6-3852-4F3D-9090-319E0A09E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3900" y="2409825"/>
          <a:ext cx="190500" cy="238125"/>
        </a:xfrm>
        <a:prstGeom prst="rect">
          <a:avLst/>
        </a:prstGeom>
      </xdr:spPr>
    </xdr:pic>
    <xdr:clientData/>
  </xdr:twoCellAnchor>
  <xdr:twoCellAnchor>
    <xdr:from>
      <xdr:col>1</xdr:col>
      <xdr:colOff>19050</xdr:colOff>
      <xdr:row>9</xdr:row>
      <xdr:rowOff>9525</xdr:rowOff>
    </xdr:from>
    <xdr:to>
      <xdr:col>1</xdr:col>
      <xdr:colOff>257175</xdr:colOff>
      <xdr:row>9</xdr:row>
      <xdr:rowOff>266700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01D610D-F08D-497B-BC1C-A68700CA8485}"/>
            </a:ext>
            <a:ext uri="{147F2762-F138-4A5C-976F-8EAC2B608ADB}">
              <a16:predDERef xmlns:a16="http://schemas.microsoft.com/office/drawing/2014/main" pred="{E57B945C-B90D-4275-982A-A97837E91E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04850" y="2714625"/>
          <a:ext cx="238125" cy="257175"/>
        </a:xfrm>
        <a:prstGeom prst="rect">
          <a:avLst/>
        </a:prstGeom>
      </xdr:spPr>
    </xdr:pic>
    <xdr:clientData/>
  </xdr:twoCellAnchor>
  <xdr:twoCellAnchor>
    <xdr:from>
      <xdr:col>1</xdr:col>
      <xdr:colOff>28575</xdr:colOff>
      <xdr:row>10</xdr:row>
      <xdr:rowOff>9525</xdr:rowOff>
    </xdr:from>
    <xdr:to>
      <xdr:col>1</xdr:col>
      <xdr:colOff>285750</xdr:colOff>
      <xdr:row>10</xdr:row>
      <xdr:rowOff>276225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6CB0FDC-431B-474B-A74E-B7FB29125BA3}"/>
            </a:ext>
            <a:ext uri="{147F2762-F138-4A5C-976F-8EAC2B608ADB}">
              <a16:predDERef xmlns:a16="http://schemas.microsoft.com/office/drawing/2014/main" pred="{E01D610D-F08D-497B-BC1C-A68700CA8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14375" y="3028950"/>
          <a:ext cx="257175" cy="266700"/>
        </a:xfrm>
        <a:prstGeom prst="rect">
          <a:avLst/>
        </a:prstGeom>
      </xdr:spPr>
    </xdr:pic>
    <xdr:clientData/>
  </xdr:twoCellAnchor>
  <xdr:twoCellAnchor>
    <xdr:from>
      <xdr:col>1</xdr:col>
      <xdr:colOff>19050</xdr:colOff>
      <xdr:row>11</xdr:row>
      <xdr:rowOff>0</xdr:rowOff>
    </xdr:from>
    <xdr:to>
      <xdr:col>1</xdr:col>
      <xdr:colOff>285750</xdr:colOff>
      <xdr:row>11</xdr:row>
      <xdr:rowOff>266700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42285C7-F475-443A-8E52-98F37F14C0FF}"/>
            </a:ext>
            <a:ext uri="{147F2762-F138-4A5C-976F-8EAC2B608ADB}">
              <a16:predDERef xmlns:a16="http://schemas.microsoft.com/office/drawing/2014/main" pred="{66CB0FDC-431B-474B-A74E-B7FB29125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04850" y="3333750"/>
          <a:ext cx="266700" cy="2667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12</xdr:row>
      <xdr:rowOff>19050</xdr:rowOff>
    </xdr:from>
    <xdr:to>
      <xdr:col>1</xdr:col>
      <xdr:colOff>238125</xdr:colOff>
      <xdr:row>12</xdr:row>
      <xdr:rowOff>266700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46D5902B-ECA1-425B-9B54-9F03C06088B1}"/>
            </a:ext>
            <a:ext uri="{147F2762-F138-4A5C-976F-8EAC2B608ADB}">
              <a16:predDERef xmlns:a16="http://schemas.microsoft.com/office/drawing/2014/main" pred="{642285C7-F475-443A-8E52-98F37F14C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14375" y="3667125"/>
          <a:ext cx="209550" cy="24765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13</xdr:row>
      <xdr:rowOff>19050</xdr:rowOff>
    </xdr:from>
    <xdr:to>
      <xdr:col>1</xdr:col>
      <xdr:colOff>266700</xdr:colOff>
      <xdr:row>13</xdr:row>
      <xdr:rowOff>266700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6FFB5E96-2464-48AC-A661-B3BFCBB62EDF}"/>
            </a:ext>
            <a:ext uri="{147F2762-F138-4A5C-976F-8EAC2B608ADB}">
              <a16:predDERef xmlns:a16="http://schemas.microsoft.com/office/drawing/2014/main" pred="{46D5902B-ECA1-425B-9B54-9F03C060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04850" y="3981450"/>
          <a:ext cx="247650" cy="2476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14</xdr:row>
      <xdr:rowOff>9525</xdr:rowOff>
    </xdr:from>
    <xdr:to>
      <xdr:col>1</xdr:col>
      <xdr:colOff>285750</xdr:colOff>
      <xdr:row>14</xdr:row>
      <xdr:rowOff>266700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FAEF72D1-0249-4329-ABC8-617EE2E61E19}"/>
            </a:ext>
            <a:ext uri="{147F2762-F138-4A5C-976F-8EAC2B608ADB}">
              <a16:predDERef xmlns:a16="http://schemas.microsoft.com/office/drawing/2014/main" pred="{6FFB5E96-2464-48AC-A661-B3BFCBB62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23900" y="4286250"/>
          <a:ext cx="247650" cy="25717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15</xdr:row>
      <xdr:rowOff>28575</xdr:rowOff>
    </xdr:from>
    <xdr:to>
      <xdr:col>1</xdr:col>
      <xdr:colOff>238125</xdr:colOff>
      <xdr:row>15</xdr:row>
      <xdr:rowOff>276225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64898BAD-30E2-4BAE-ADDC-0A0F8E626EC5}"/>
            </a:ext>
            <a:ext uri="{147F2762-F138-4A5C-976F-8EAC2B608ADB}">
              <a16:predDERef xmlns:a16="http://schemas.microsoft.com/office/drawing/2014/main" pred="{FAEF72D1-0249-4329-ABC8-617EE2E61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33425" y="4619625"/>
          <a:ext cx="190500" cy="2476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16</xdr:row>
      <xdr:rowOff>28575</xdr:rowOff>
    </xdr:from>
    <xdr:to>
      <xdr:col>1</xdr:col>
      <xdr:colOff>238125</xdr:colOff>
      <xdr:row>16</xdr:row>
      <xdr:rowOff>219075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1F73DCA2-6B58-4F6B-8BBE-7E1B80BBBD51}"/>
            </a:ext>
            <a:ext uri="{147F2762-F138-4A5C-976F-8EAC2B608ADB}">
              <a16:predDERef xmlns:a16="http://schemas.microsoft.com/office/drawing/2014/main" pred="{64898BAD-30E2-4BAE-ADDC-0A0F8E626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23900" y="4933950"/>
          <a:ext cx="200025" cy="1905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17</xdr:row>
      <xdr:rowOff>9525</xdr:rowOff>
    </xdr:from>
    <xdr:to>
      <xdr:col>1</xdr:col>
      <xdr:colOff>257175</xdr:colOff>
      <xdr:row>17</xdr:row>
      <xdr:rowOff>276225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9FCD5B3-5621-4669-89B7-0950CF2A2A75}"/>
            </a:ext>
            <a:ext uri="{147F2762-F138-4A5C-976F-8EAC2B608ADB}">
              <a16:predDERef xmlns:a16="http://schemas.microsoft.com/office/drawing/2014/main" pred="{1F73DCA2-6B58-4F6B-8BBE-7E1B80BBB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14375" y="5229225"/>
          <a:ext cx="228600" cy="2667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18</xdr:row>
      <xdr:rowOff>19050</xdr:rowOff>
    </xdr:from>
    <xdr:to>
      <xdr:col>1</xdr:col>
      <xdr:colOff>295275</xdr:colOff>
      <xdr:row>18</xdr:row>
      <xdr:rowOff>285750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3D9C3D7F-FE83-4B3C-A758-77FFFB05D9E2}"/>
            </a:ext>
            <a:ext uri="{147F2762-F138-4A5C-976F-8EAC2B608ADB}">
              <a16:predDERef xmlns:a16="http://schemas.microsoft.com/office/drawing/2014/main" pred="{C9FCD5B3-5621-4669-89B7-0950CF2A2A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04850" y="5553075"/>
          <a:ext cx="276225" cy="2667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19</xdr:row>
      <xdr:rowOff>19050</xdr:rowOff>
    </xdr:from>
    <xdr:to>
      <xdr:col>1</xdr:col>
      <xdr:colOff>295275</xdr:colOff>
      <xdr:row>19</xdr:row>
      <xdr:rowOff>276225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B4C725E-EEBC-4D2E-84E7-1CD01800E72B}"/>
            </a:ext>
            <a:ext uri="{147F2762-F138-4A5C-976F-8EAC2B608ADB}">
              <a16:predDERef xmlns:a16="http://schemas.microsoft.com/office/drawing/2014/main" pred="{3D9C3D7F-FE83-4B3C-A758-77FFFB05D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04850" y="5867400"/>
          <a:ext cx="276225" cy="25717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20</xdr:row>
      <xdr:rowOff>9525</xdr:rowOff>
    </xdr:from>
    <xdr:to>
      <xdr:col>1</xdr:col>
      <xdr:colOff>285750</xdr:colOff>
      <xdr:row>20</xdr:row>
      <xdr:rowOff>266700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19EFC5D5-A9AD-4595-83AE-D4D6D4580D7F}"/>
            </a:ext>
            <a:ext uri="{147F2762-F138-4A5C-976F-8EAC2B608ADB}">
              <a16:predDERef xmlns:a16="http://schemas.microsoft.com/office/drawing/2014/main" pred="{1B4C725E-EEBC-4D2E-84E7-1CD01800E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04850" y="6172200"/>
          <a:ext cx="266700" cy="2571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28575</xdr:rowOff>
    </xdr:from>
    <xdr:to>
      <xdr:col>1</xdr:col>
      <xdr:colOff>304800</xdr:colOff>
      <xdr:row>21</xdr:row>
      <xdr:rowOff>276225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1BA382EF-1715-49CC-9F68-B35BCBC9EAB1}"/>
            </a:ext>
            <a:ext uri="{147F2762-F138-4A5C-976F-8EAC2B608ADB}">
              <a16:predDERef xmlns:a16="http://schemas.microsoft.com/office/drawing/2014/main" pred="{19EFC5D5-A9AD-4595-83AE-D4D6D4580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85800" y="6505575"/>
          <a:ext cx="304800" cy="2476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15</xdr:col>
      <xdr:colOff>506867</xdr:colOff>
      <xdr:row>26</xdr:row>
      <xdr:rowOff>175760</xdr:rowOff>
    </xdr:to>
    <xdr:sp macro="" textlink="">
      <xdr:nvSpPr>
        <xdr:cNvPr id="30" name="Rectangle: Rounded Corners 2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E8380D1A-2068-4FFC-A97A-5E1E23993EC8}"/>
            </a:ext>
          </a:extLst>
        </xdr:cNvPr>
        <xdr:cNvSpPr/>
      </xdr:nvSpPr>
      <xdr:spPr>
        <a:xfrm>
          <a:off x="9815286" y="7139214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0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4837228" cy="642257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9891BFD-1C4E-449B-9957-885A4672E28A}"/>
            </a:ext>
          </a:extLst>
        </xdr:cNvPr>
        <xdr:cNvSpPr/>
      </xdr:nvSpPr>
      <xdr:spPr>
        <a:xfrm>
          <a:off x="603250" y="0"/>
          <a:ext cx="14837228" cy="642257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000" b="1" cap="none" spc="0">
              <a:ln w="12700" cmpd="sng">
                <a:solidFill>
                  <a:schemeClr val="accent4"/>
                </a:solidFill>
                <a:prstDash val="solid"/>
              </a:ln>
              <a:solidFill>
                <a:schemeClr val="tx1"/>
              </a:solidFill>
              <a:effectLst/>
            </a:rPr>
            <a:t>Predicted Premier League Table  2019/20</a:t>
          </a:r>
        </a:p>
      </xdr:txBody>
    </xdr:sp>
    <xdr:clientData/>
  </xdr:oneCellAnchor>
  <xdr:twoCellAnchor>
    <xdr:from>
      <xdr:col>15</xdr:col>
      <xdr:colOff>0</xdr:colOff>
      <xdr:row>23</xdr:row>
      <xdr:rowOff>0</xdr:rowOff>
    </xdr:from>
    <xdr:to>
      <xdr:col>15</xdr:col>
      <xdr:colOff>2230438</xdr:colOff>
      <xdr:row>27</xdr:row>
      <xdr:rowOff>12474</xdr:rowOff>
    </xdr:to>
    <xdr:sp macro="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92959D7-B5CA-4424-B320-4F4A3151EDAF}"/>
            </a:ext>
          </a:extLst>
        </xdr:cNvPr>
        <xdr:cNvSpPr/>
      </xdr:nvSpPr>
      <xdr:spPr>
        <a:xfrm>
          <a:off x="12500429" y="6186714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0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85725</xdr:colOff>
      <xdr:row>11</xdr:row>
      <xdr:rowOff>171450</xdr:rowOff>
    </xdr:from>
    <xdr:to>
      <xdr:col>13</xdr:col>
      <xdr:colOff>771525</xdr:colOff>
      <xdr:row>16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5B6B33D-0704-47E5-8F7E-E39A8E628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1075" y="2362200"/>
          <a:ext cx="685800" cy="87630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15</xdr:col>
      <xdr:colOff>363538</xdr:colOff>
      <xdr:row>26</xdr:row>
      <xdr:rowOff>166689</xdr:rowOff>
    </xdr:to>
    <xdr:sp macro="" textlink="">
      <xdr:nvSpPr>
        <xdr:cNvPr id="6" name="Rectangle: Rounded Corner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F11A475-602A-4218-9183-40F1E0F47F04}"/>
            </a:ext>
          </a:extLst>
        </xdr:cNvPr>
        <xdr:cNvSpPr/>
      </xdr:nvSpPr>
      <xdr:spPr>
        <a:xfrm>
          <a:off x="11836400" y="45593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314325</xdr:colOff>
      <xdr:row>12</xdr:row>
      <xdr:rowOff>66675</xdr:rowOff>
    </xdr:from>
    <xdr:to>
      <xdr:col>13</xdr:col>
      <xdr:colOff>1047750</xdr:colOff>
      <xdr:row>16</xdr:row>
      <xdr:rowOff>85725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9688E747-64AE-44DD-82DA-43EA2484C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0600" y="2438400"/>
          <a:ext cx="733425" cy="7810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465138</xdr:colOff>
      <xdr:row>26</xdr:row>
      <xdr:rowOff>166689</xdr:rowOff>
    </xdr:to>
    <xdr:sp macro="" textlink="">
      <xdr:nvSpPr>
        <xdr:cNvPr id="5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F3E6CA7-ED7E-40C3-BD9E-346C512807C6}"/>
            </a:ext>
          </a:extLst>
        </xdr:cNvPr>
        <xdr:cNvSpPr/>
      </xdr:nvSpPr>
      <xdr:spPr>
        <a:xfrm>
          <a:off x="11798300" y="45593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76200</xdr:colOff>
      <xdr:row>12</xdr:row>
      <xdr:rowOff>28575</xdr:rowOff>
    </xdr:from>
    <xdr:to>
      <xdr:col>13</xdr:col>
      <xdr:colOff>769257</xdr:colOff>
      <xdr:row>16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5DAE2E-8116-49D2-84D8-0AD602CE6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58225" y="2400300"/>
          <a:ext cx="693057" cy="819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15</xdr:col>
      <xdr:colOff>490538</xdr:colOff>
      <xdr:row>26</xdr:row>
      <xdr:rowOff>166689</xdr:rowOff>
    </xdr:to>
    <xdr:sp macro="" textlink="">
      <xdr:nvSpPr>
        <xdr:cNvPr id="5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9D5C9D1-E55A-479C-8CCC-B7CF9E4D5302}"/>
            </a:ext>
          </a:extLst>
        </xdr:cNvPr>
        <xdr:cNvSpPr/>
      </xdr:nvSpPr>
      <xdr:spPr>
        <a:xfrm>
          <a:off x="12534900" y="45593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285750</xdr:colOff>
      <xdr:row>12</xdr:row>
      <xdr:rowOff>28575</xdr:rowOff>
    </xdr:from>
    <xdr:to>
      <xdr:col>13</xdr:col>
      <xdr:colOff>933450</xdr:colOff>
      <xdr:row>16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F785E0-CC9E-4878-828C-1328226A4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72575" y="2400300"/>
          <a:ext cx="647700" cy="847725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668338</xdr:colOff>
      <xdr:row>26</xdr:row>
      <xdr:rowOff>166689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BD0B90-3F66-47E4-9480-EEBCFF298D64}"/>
            </a:ext>
          </a:extLst>
        </xdr:cNvPr>
        <xdr:cNvSpPr/>
      </xdr:nvSpPr>
      <xdr:spPr>
        <a:xfrm>
          <a:off x="11684000" y="45593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209550</xdr:colOff>
      <xdr:row>12</xdr:row>
      <xdr:rowOff>19050</xdr:rowOff>
    </xdr:from>
    <xdr:to>
      <xdr:col>13</xdr:col>
      <xdr:colOff>809625</xdr:colOff>
      <xdr:row>16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C575FFF-F2BA-431F-82FB-7CF4EB250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96325" y="2390775"/>
          <a:ext cx="600075" cy="790575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706438</xdr:colOff>
      <xdr:row>26</xdr:row>
      <xdr:rowOff>166689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942ADE3-82AD-49F5-AEBA-D52785B24038}"/>
            </a:ext>
          </a:extLst>
        </xdr:cNvPr>
        <xdr:cNvSpPr/>
      </xdr:nvSpPr>
      <xdr:spPr>
        <a:xfrm>
          <a:off x="11252200" y="45593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12</xdr:row>
      <xdr:rowOff>76200</xdr:rowOff>
    </xdr:from>
    <xdr:to>
      <xdr:col>13</xdr:col>
      <xdr:colOff>731611</xdr:colOff>
      <xdr:row>16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71B5468-3F45-4CAE-9A78-2053B3D44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00" y="2447925"/>
          <a:ext cx="617311" cy="7429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15</xdr:col>
      <xdr:colOff>477838</xdr:colOff>
      <xdr:row>26</xdr:row>
      <xdr:rowOff>166689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4315BA4-2199-42DC-8CFA-F546ED09EB52}"/>
            </a:ext>
          </a:extLst>
        </xdr:cNvPr>
        <xdr:cNvSpPr/>
      </xdr:nvSpPr>
      <xdr:spPr>
        <a:xfrm>
          <a:off x="11036300" y="45593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371475</xdr:colOff>
      <xdr:row>12</xdr:row>
      <xdr:rowOff>57150</xdr:rowOff>
    </xdr:from>
    <xdr:to>
      <xdr:col>13</xdr:col>
      <xdr:colOff>942975</xdr:colOff>
      <xdr:row>16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38F562-A10C-4DBE-97B4-B05B2D4DD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34375" y="2428875"/>
          <a:ext cx="571500" cy="76200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325438</xdr:colOff>
      <xdr:row>26</xdr:row>
      <xdr:rowOff>166689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76FE693-38E9-46DB-8C01-8602864B26FC}"/>
            </a:ext>
          </a:extLst>
        </xdr:cNvPr>
        <xdr:cNvSpPr/>
      </xdr:nvSpPr>
      <xdr:spPr>
        <a:xfrm>
          <a:off x="10668000" y="45593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104775</xdr:colOff>
      <xdr:row>12</xdr:row>
      <xdr:rowOff>19050</xdr:rowOff>
    </xdr:from>
    <xdr:to>
      <xdr:col>13</xdr:col>
      <xdr:colOff>889000</xdr:colOff>
      <xdr:row>16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60187B8-37A6-4592-B492-0988C3DCB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15350" y="2390775"/>
          <a:ext cx="784225" cy="819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15</xdr:col>
      <xdr:colOff>7938</xdr:colOff>
      <xdr:row>26</xdr:row>
      <xdr:rowOff>166689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4DFAD63-C4FF-49C3-97AE-A50DC211CD27}"/>
            </a:ext>
          </a:extLst>
        </xdr:cNvPr>
        <xdr:cNvSpPr/>
      </xdr:nvSpPr>
      <xdr:spPr>
        <a:xfrm>
          <a:off x="11125200" y="45593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209550</xdr:colOff>
      <xdr:row>11</xdr:row>
      <xdr:rowOff>171450</xdr:rowOff>
    </xdr:from>
    <xdr:to>
      <xdr:col>13</xdr:col>
      <xdr:colOff>1069975</xdr:colOff>
      <xdr:row>16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5B91D84-B921-4451-A549-62EAF0314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7625" y="2162175"/>
          <a:ext cx="895350" cy="8953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484188</xdr:colOff>
      <xdr:row>27</xdr:row>
      <xdr:rowOff>18522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D97607E-7DBE-481F-99D4-023D66C14F1F}"/>
            </a:ext>
          </a:extLst>
        </xdr:cNvPr>
        <xdr:cNvSpPr/>
      </xdr:nvSpPr>
      <xdr:spPr>
        <a:xfrm>
          <a:off x="10805583" y="4328583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276225</xdr:colOff>
      <xdr:row>12</xdr:row>
      <xdr:rowOff>0</xdr:rowOff>
    </xdr:from>
    <xdr:to>
      <xdr:col>13</xdr:col>
      <xdr:colOff>1066800</xdr:colOff>
      <xdr:row>16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3B075C4-A46B-40F1-A757-3C9F8DC0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39100" y="2371725"/>
          <a:ext cx="790575" cy="83820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350838</xdr:colOff>
      <xdr:row>26</xdr:row>
      <xdr:rowOff>166689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DFAF411-D301-43AE-9265-DF614B91FBDE}"/>
            </a:ext>
          </a:extLst>
        </xdr:cNvPr>
        <xdr:cNvSpPr/>
      </xdr:nvSpPr>
      <xdr:spPr>
        <a:xfrm>
          <a:off x="10477500" y="45593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57150</xdr:colOff>
      <xdr:row>12</xdr:row>
      <xdr:rowOff>47625</xdr:rowOff>
    </xdr:from>
    <xdr:to>
      <xdr:col>13</xdr:col>
      <xdr:colOff>714375</xdr:colOff>
      <xdr:row>16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F1A86CF-EA00-440B-B05D-62ADA7562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53300" y="2219325"/>
          <a:ext cx="657225" cy="7810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15</xdr:col>
      <xdr:colOff>503238</xdr:colOff>
      <xdr:row>26</xdr:row>
      <xdr:rowOff>166689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5219848-CE66-4368-8BBB-6330B476567C}"/>
            </a:ext>
          </a:extLst>
        </xdr:cNvPr>
        <xdr:cNvSpPr/>
      </xdr:nvSpPr>
      <xdr:spPr>
        <a:xfrm>
          <a:off x="10629900" y="45593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19050</xdr:colOff>
      <xdr:row>12</xdr:row>
      <xdr:rowOff>38100</xdr:rowOff>
    </xdr:from>
    <xdr:to>
      <xdr:col>13</xdr:col>
      <xdr:colOff>790575</xdr:colOff>
      <xdr:row>16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7EAC9F-B0A2-4FFA-8FD7-1B8BBDA53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0025" y="2228850"/>
          <a:ext cx="771525" cy="790575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15</xdr:col>
      <xdr:colOff>503238</xdr:colOff>
      <xdr:row>26</xdr:row>
      <xdr:rowOff>166689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626726F-600F-4D25-BC1B-1DEF9A5CF14C}"/>
            </a:ext>
          </a:extLst>
        </xdr:cNvPr>
        <xdr:cNvSpPr/>
      </xdr:nvSpPr>
      <xdr:spPr>
        <a:xfrm>
          <a:off x="11176000" y="45593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457200</xdr:colOff>
      <xdr:row>12</xdr:row>
      <xdr:rowOff>0</xdr:rowOff>
    </xdr:from>
    <xdr:to>
      <xdr:col>13</xdr:col>
      <xdr:colOff>1247775</xdr:colOff>
      <xdr:row>16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32F4749-C004-466A-9365-699F4770D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39225" y="2371725"/>
          <a:ext cx="790575" cy="847725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13</xdr:col>
      <xdr:colOff>2230438</xdr:colOff>
      <xdr:row>26</xdr:row>
      <xdr:rowOff>166689</xdr:rowOff>
    </xdr:to>
    <xdr:sp macro="" textlink="">
      <xdr:nvSpPr>
        <xdr:cNvPr id="5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1CC49EC-2941-458D-BBE0-3487AE2B735E}"/>
            </a:ext>
          </a:extLst>
        </xdr:cNvPr>
        <xdr:cNvSpPr/>
      </xdr:nvSpPr>
      <xdr:spPr>
        <a:xfrm>
          <a:off x="11315700" y="45593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190500</xdr:colOff>
      <xdr:row>12</xdr:row>
      <xdr:rowOff>38100</xdr:rowOff>
    </xdr:from>
    <xdr:to>
      <xdr:col>13</xdr:col>
      <xdr:colOff>727075</xdr:colOff>
      <xdr:row>16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72520E-7442-4B1C-97B5-E843291914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72525" y="2409825"/>
          <a:ext cx="536575" cy="80010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15</xdr:col>
      <xdr:colOff>236538</xdr:colOff>
      <xdr:row>26</xdr:row>
      <xdr:rowOff>166689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F30E3D-1E00-489A-8E23-0F1276DDC62B}"/>
            </a:ext>
          </a:extLst>
        </xdr:cNvPr>
        <xdr:cNvSpPr/>
      </xdr:nvSpPr>
      <xdr:spPr>
        <a:xfrm>
          <a:off x="11315700" y="45593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171450</xdr:colOff>
      <xdr:row>12</xdr:row>
      <xdr:rowOff>85725</xdr:rowOff>
    </xdr:from>
    <xdr:to>
      <xdr:col>13</xdr:col>
      <xdr:colOff>819150</xdr:colOff>
      <xdr:row>16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1C78A9-F208-4865-AEDB-16824CAB7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62900" y="2257425"/>
          <a:ext cx="647700" cy="733425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15</xdr:col>
      <xdr:colOff>96838</xdr:colOff>
      <xdr:row>26</xdr:row>
      <xdr:rowOff>166689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B6854C1-5952-4561-814C-08B7C62DA96B}"/>
            </a:ext>
          </a:extLst>
        </xdr:cNvPr>
        <xdr:cNvSpPr/>
      </xdr:nvSpPr>
      <xdr:spPr>
        <a:xfrm>
          <a:off x="11099800" y="45593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171450</xdr:colOff>
      <xdr:row>12</xdr:row>
      <xdr:rowOff>28575</xdr:rowOff>
    </xdr:from>
    <xdr:to>
      <xdr:col>13</xdr:col>
      <xdr:colOff>876300</xdr:colOff>
      <xdr:row>16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D30895E-9B8B-4173-9F6E-6B0ABD955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3475" y="2400300"/>
          <a:ext cx="704850" cy="819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15</xdr:col>
      <xdr:colOff>46038</xdr:colOff>
      <xdr:row>26</xdr:row>
      <xdr:rowOff>166689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5DB63E2-678B-47CC-BE05-37974FDEB8EA}"/>
            </a:ext>
          </a:extLst>
        </xdr:cNvPr>
        <xdr:cNvSpPr/>
      </xdr:nvSpPr>
      <xdr:spPr>
        <a:xfrm>
          <a:off x="11315700" y="45593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219075</xdr:colOff>
      <xdr:row>12</xdr:row>
      <xdr:rowOff>19050</xdr:rowOff>
    </xdr:from>
    <xdr:to>
      <xdr:col>13</xdr:col>
      <xdr:colOff>984250</xdr:colOff>
      <xdr:row>16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AC49751-0048-42AD-9A77-65B593CEBE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82025" y="2390775"/>
          <a:ext cx="765175" cy="80010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554038</xdr:colOff>
      <xdr:row>26</xdr:row>
      <xdr:rowOff>166689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350558-2F47-4727-9CAB-8C7D97C51E5A}"/>
            </a:ext>
          </a:extLst>
        </xdr:cNvPr>
        <xdr:cNvSpPr/>
      </xdr:nvSpPr>
      <xdr:spPr>
        <a:xfrm>
          <a:off x="11150600" y="45593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180975</xdr:colOff>
      <xdr:row>12</xdr:row>
      <xdr:rowOff>9525</xdr:rowOff>
    </xdr:from>
    <xdr:to>
      <xdr:col>13</xdr:col>
      <xdr:colOff>992187</xdr:colOff>
      <xdr:row>16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A41F85-FCA8-4B78-BB07-5AD1FBDF1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4325" y="2181225"/>
          <a:ext cx="809625" cy="80010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528638</xdr:colOff>
      <xdr:row>26</xdr:row>
      <xdr:rowOff>166689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835B5B6-2FEA-40B5-8AB4-874D03166779}"/>
            </a:ext>
          </a:extLst>
        </xdr:cNvPr>
        <xdr:cNvSpPr/>
      </xdr:nvSpPr>
      <xdr:spPr>
        <a:xfrm>
          <a:off x="11150600" y="45593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9525</xdr:colOff>
      <xdr:row>12</xdr:row>
      <xdr:rowOff>28575</xdr:rowOff>
    </xdr:from>
    <xdr:to>
      <xdr:col>13</xdr:col>
      <xdr:colOff>793750</xdr:colOff>
      <xdr:row>16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271B5C-C276-4DFF-99AF-BDDF0B44A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72475" y="2400300"/>
          <a:ext cx="784225" cy="790575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15</xdr:col>
      <xdr:colOff>477838</xdr:colOff>
      <xdr:row>26</xdr:row>
      <xdr:rowOff>166689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A0B7452-5CE3-402D-BD51-E0318A7ECA4D}"/>
            </a:ext>
          </a:extLst>
        </xdr:cNvPr>
        <xdr:cNvSpPr/>
      </xdr:nvSpPr>
      <xdr:spPr>
        <a:xfrm>
          <a:off x="11150600" y="45593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419100</xdr:colOff>
      <xdr:row>12</xdr:row>
      <xdr:rowOff>19050</xdr:rowOff>
    </xdr:from>
    <xdr:to>
      <xdr:col>13</xdr:col>
      <xdr:colOff>1371600</xdr:colOff>
      <xdr:row>16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AF5244F-4927-402F-8897-9EC3B42A9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2050" y="2390775"/>
          <a:ext cx="952500" cy="83820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23</xdr:row>
      <xdr:rowOff>0</xdr:rowOff>
    </xdr:from>
    <xdr:to>
      <xdr:col>13</xdr:col>
      <xdr:colOff>2230438</xdr:colOff>
      <xdr:row>26</xdr:row>
      <xdr:rowOff>166689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6647EBA-2959-4E79-A64F-3CB57D755FEC}"/>
            </a:ext>
          </a:extLst>
        </xdr:cNvPr>
        <xdr:cNvSpPr/>
      </xdr:nvSpPr>
      <xdr:spPr>
        <a:xfrm>
          <a:off x="11150600" y="4559300"/>
          <a:ext cx="2230438" cy="73818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TABLE OF CONTENT</a:t>
          </a:r>
          <a:endParaRPr lang="en-MY" sz="2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570.840630902778" createdVersion="6" refreshedVersion="6" minRefreshableVersion="3" recordCount="38" xr:uid="{A7DC785D-EC23-48FC-AE47-5E94D362772F}">
  <cacheSource type="worksheet">
    <worksheetSource ref="A1:H39" sheet="Liverpool FC"/>
  </cacheSource>
  <cacheFields count="10">
    <cacheField name="Round" numFmtId="0">
      <sharedItems containsSemiMixedTypes="0" containsString="0" containsNumber="1" containsInteger="1" minValue="1" maxValue="38"/>
    </cacheField>
    <cacheField name="Date" numFmtId="14">
      <sharedItems containsSemiMixedTypes="0" containsNonDate="0" containsDate="1" containsString="0" minDate="2019-08-09T00:00:00" maxDate="2020-07-27T00:00:00" count="38">
        <d v="2019-08-09T00:00:00"/>
        <d v="2019-08-17T00:00:00"/>
        <d v="2019-08-24T00:00:00"/>
        <d v="2019-08-31T00:00:00"/>
        <d v="2019-09-14T00:00:00"/>
        <d v="2019-09-22T00:00:00"/>
        <d v="2019-09-28T00:00:00"/>
        <d v="2019-10-05T00:00:00"/>
        <d v="2019-10-20T00:00:00"/>
        <d v="2019-10-27T00:00:00"/>
        <d v="2019-11-02T00:00:00"/>
        <d v="2019-11-10T00:00:00"/>
        <d v="2019-11-23T00:00:00"/>
        <d v="2019-11-30T00:00:00"/>
        <d v="2019-12-04T00:00:00"/>
        <d v="2019-12-07T00:00:00"/>
        <d v="2019-12-14T00:00:00"/>
        <d v="2020-01-29T00:00:00"/>
        <d v="2019-12-26T00:00:00"/>
        <d v="2019-12-29T00:00:00"/>
        <d v="2020-01-02T00:00:00"/>
        <d v="2020-01-11T00:00:00"/>
        <d v="2020-01-19T00:00:00"/>
        <d v="2020-01-23T00:00:00"/>
        <d v="2020-02-01T00:00:00"/>
        <d v="2020-02-15T00:00:00"/>
        <d v="2020-02-24T00:00:00"/>
        <d v="2020-02-29T00:00:00"/>
        <d v="2020-03-07T00:00:00"/>
        <d v="2020-06-21T00:00:00"/>
        <d v="2020-06-24T00:00:00"/>
        <d v="2020-07-02T00:00:00"/>
        <d v="2020-07-05T00:00:00"/>
        <d v="2020-07-08T00:00:00"/>
        <d v="2020-07-11T00:00:00"/>
        <d v="2020-07-15T00:00:00"/>
        <d v="2020-07-22T00:00:00"/>
        <d v="2020-07-26T00:00:00"/>
      </sharedItems>
      <fieldGroup par="9" base="1">
        <rangePr groupBy="months" startDate="2019-08-09T00:00:00" endDate="2020-07-27T00:00:00"/>
        <groupItems count="14">
          <s v="&lt;9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7/2020"/>
        </groupItems>
      </fieldGroup>
    </cacheField>
    <cacheField name="Home" numFmtId="0">
      <sharedItems/>
    </cacheField>
    <cacheField name="Home Score" numFmtId="0">
      <sharedItems containsSemiMixedTypes="0" containsString="0" containsNumber="1" containsInteger="1" minValue="0" maxValue="5"/>
    </cacheField>
    <cacheField name="Away" numFmtId="0">
      <sharedItems/>
    </cacheField>
    <cacheField name="Away Score" numFmtId="0">
      <sharedItems containsSemiMixedTypes="0" containsString="0" containsNumber="1" containsInteger="1" minValue="0" maxValue="4"/>
    </cacheField>
    <cacheField name="Form" numFmtId="0">
      <sharedItems containsNonDate="0" containsString="0" containsBlank="1"/>
    </cacheField>
    <cacheField name="Pts" numFmtId="0">
      <sharedItems containsSemiMixedTypes="0" containsString="0" containsNumber="1" containsInteger="1" minValue="0" maxValue="3" count="3">
        <n v="3"/>
        <n v="1"/>
        <n v="0"/>
      </sharedItems>
    </cacheField>
    <cacheField name="Field1" numFmtId="0" formula=" 0" databaseField="0"/>
    <cacheField name="Years" numFmtId="0" databaseField="0">
      <fieldGroup base="1">
        <rangePr groupBy="years" startDate="2019-08-09T00:00:00" endDate="2020-07-27T00:00:00"/>
        <groupItems count="4">
          <s v="&lt;9/8/2019"/>
          <s v="2019"/>
          <s v="2020"/>
          <s v="&gt;27/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570.92761875" createdVersion="6" refreshedVersion="6" minRefreshableVersion="3" recordCount="38" xr:uid="{6A9F2E7C-84A8-45CB-B19C-D7885551532E}">
  <cacheSource type="worksheet">
    <worksheetSource ref="A1:H39" sheet="Wolverhampton Wanderers FC"/>
  </cacheSource>
  <cacheFields count="9">
    <cacheField name="Round" numFmtId="0">
      <sharedItems containsSemiMixedTypes="0" containsString="0" containsNumber="1" containsInteger="1" minValue="1" maxValue="38"/>
    </cacheField>
    <cacheField name="Date" numFmtId="14">
      <sharedItems containsSemiMixedTypes="0" containsNonDate="0" containsDate="1" containsString="0" minDate="2019-08-11T00:00:00" maxDate="2020-07-27T00:00:00" count="38">
        <d v="2019-08-11T00:00:00"/>
        <d v="2019-08-19T00:00:00"/>
        <d v="2019-08-25T00:00:00"/>
        <d v="2019-09-01T00:00:00"/>
        <d v="2019-09-14T00:00:00"/>
        <d v="2019-09-22T00:00:00"/>
        <d v="2019-09-28T00:00:00"/>
        <d v="2019-10-06T00:00:00"/>
        <d v="2019-10-19T00:00:00"/>
        <d v="2019-10-27T00:00:00"/>
        <d v="2019-11-02T00:00:00"/>
        <d v="2019-11-10T00:00:00"/>
        <d v="2019-11-23T00:00:00"/>
        <d v="2019-12-01T00:00:00"/>
        <d v="2019-12-04T00:00:00"/>
        <d v="2019-12-08T00:00:00"/>
        <d v="2019-12-15T00:00:00"/>
        <d v="2019-12-21T00:00:00"/>
        <d v="2019-12-27T00:00:00"/>
        <d v="2019-12-29T00:00:00"/>
        <d v="2020-01-01T00:00:00"/>
        <d v="2020-01-11T00:00:00"/>
        <d v="2020-01-18T00:00:00"/>
        <d v="2020-01-23T00:00:00"/>
        <d v="2020-02-01T00:00:00"/>
        <d v="2020-02-14T00:00:00"/>
        <d v="2020-02-23T00:00:00"/>
        <d v="2020-03-01T00:00:00"/>
        <d v="2020-03-07T00:00:00"/>
        <d v="2020-06-20T00:00:00"/>
        <d v="2020-06-24T00:00:00"/>
        <d v="2020-06-27T00:00:00"/>
        <d v="2020-07-04T00:00:00"/>
        <d v="2020-07-08T00:00:00"/>
        <d v="2020-07-12T00:00:00"/>
        <d v="2020-07-15T00:00:00"/>
        <d v="2020-07-20T00:00:00"/>
        <d v="2020-07-26T00:00:00"/>
      </sharedItems>
      <fieldGroup par="8" base="1">
        <rangePr groupBy="months" startDate="2019-08-11T00:00:00" endDate="2020-07-27T00:00:00"/>
        <groupItems count="14">
          <s v="&lt;11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7/2020"/>
        </groupItems>
      </fieldGroup>
    </cacheField>
    <cacheField name="Home" numFmtId="0">
      <sharedItems/>
    </cacheField>
    <cacheField name="Home Score" numFmtId="0">
      <sharedItems containsSemiMixedTypes="0" containsString="0" containsNumber="1" containsInteger="1" minValue="0" maxValue="3"/>
    </cacheField>
    <cacheField name="Away" numFmtId="0">
      <sharedItems/>
    </cacheField>
    <cacheField name="Away Score" numFmtId="0">
      <sharedItems containsSemiMixedTypes="0" containsString="0" containsNumber="1" containsInteger="1" minValue="0" maxValue="5"/>
    </cacheField>
    <cacheField name="Form" numFmtId="0">
      <sharedItems containsNonDate="0" containsString="0" containsBlank="1"/>
    </cacheField>
    <cacheField name="Pts" numFmtId="0">
      <sharedItems containsSemiMixedTypes="0" containsString="0" containsNumber="1" containsInteger="1" minValue="0" maxValue="3"/>
    </cacheField>
    <cacheField name="Years" numFmtId="0" databaseField="0">
      <fieldGroup base="1">
        <rangePr groupBy="years" startDate="2019-08-11T00:00:00" endDate="2020-07-27T00:00:00"/>
        <groupItems count="4">
          <s v="&lt;11/8/2019"/>
          <s v="2019"/>
          <s v="2020"/>
          <s v="&gt;27/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570.929070601851" createdVersion="6" refreshedVersion="6" minRefreshableVersion="3" recordCount="38" xr:uid="{E10621C3-790D-4187-807E-8398E19FA2CD}">
  <cacheSource type="worksheet">
    <worksheetSource ref="A1:H39" sheet="Chelsea FC"/>
  </cacheSource>
  <cacheFields count="9">
    <cacheField name="Round" numFmtId="0">
      <sharedItems containsSemiMixedTypes="0" containsString="0" containsNumber="1" containsInteger="1" minValue="1" maxValue="38"/>
    </cacheField>
    <cacheField name="Date" numFmtId="14">
      <sharedItems containsSemiMixedTypes="0" containsNonDate="0" containsDate="1" containsString="0" minDate="2019-08-11T00:00:00" maxDate="2020-07-27T00:00:00" count="38">
        <d v="2019-08-11T00:00:00"/>
        <d v="2019-08-18T00:00:00"/>
        <d v="2019-08-24T00:00:00"/>
        <d v="2019-08-31T00:00:00"/>
        <d v="2019-09-14T00:00:00"/>
        <d v="2019-09-22T00:00:00"/>
        <d v="2019-09-28T00:00:00"/>
        <d v="2019-10-06T00:00:00"/>
        <d v="2019-10-19T00:00:00"/>
        <d v="2019-10-26T00:00:00"/>
        <d v="2019-11-02T00:00:00"/>
        <d v="2019-11-09T00:00:00"/>
        <d v="2019-11-23T00:00:00"/>
        <d v="2019-11-30T00:00:00"/>
        <d v="2019-12-04T00:00:00"/>
        <d v="2019-12-07T00:00:00"/>
        <d v="2019-12-14T00:00:00"/>
        <d v="2019-12-22T00:00:00"/>
        <d v="2019-12-26T00:00:00"/>
        <d v="2019-12-29T00:00:00"/>
        <d v="2020-01-01T00:00:00"/>
        <d v="2020-01-11T00:00:00"/>
        <d v="2020-01-18T00:00:00"/>
        <d v="2020-01-21T00:00:00"/>
        <d v="2020-02-01T00:00:00"/>
        <d v="2020-02-17T00:00:00"/>
        <d v="2020-02-22T00:00:00"/>
        <d v="2020-02-29T00:00:00"/>
        <d v="2020-03-08T00:00:00"/>
        <d v="2020-06-21T00:00:00"/>
        <d v="2020-06-25T00:00:00"/>
        <d v="2020-07-01T00:00:00"/>
        <d v="2020-07-04T00:00:00"/>
        <d v="2020-07-07T00:00:00"/>
        <d v="2020-07-11T00:00:00"/>
        <d v="2020-07-14T00:00:00"/>
        <d v="2020-07-22T00:00:00"/>
        <d v="2020-07-26T00:00:00"/>
      </sharedItems>
      <fieldGroup par="8" base="1">
        <rangePr groupBy="months" startDate="2019-08-11T00:00:00" endDate="2020-07-27T00:00:00"/>
        <groupItems count="14">
          <s v="&lt;11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7/2020"/>
        </groupItems>
      </fieldGroup>
    </cacheField>
    <cacheField name="Home" numFmtId="0">
      <sharedItems/>
    </cacheField>
    <cacheField name="Home Score" numFmtId="0">
      <sharedItems containsSemiMixedTypes="0" containsString="0" containsNumber="1" containsInteger="1" minValue="0" maxValue="5"/>
    </cacheField>
    <cacheField name="Away" numFmtId="0">
      <sharedItems/>
    </cacheField>
    <cacheField name="Away Score" numFmtId="0">
      <sharedItems containsSemiMixedTypes="0" containsString="0" containsNumber="1" containsInteger="1" minValue="0" maxValue="5"/>
    </cacheField>
    <cacheField name="Form" numFmtId="0">
      <sharedItems containsNonDate="0" containsString="0" containsBlank="1"/>
    </cacheField>
    <cacheField name="Pts" numFmtId="0">
      <sharedItems containsSemiMixedTypes="0" containsString="0" containsNumber="1" containsInteger="1" minValue="0" maxValue="3"/>
    </cacheField>
    <cacheField name="Years" numFmtId="0" databaseField="0">
      <fieldGroup base="1">
        <rangePr groupBy="years" startDate="2019-08-11T00:00:00" endDate="2020-07-27T00:00:00"/>
        <groupItems count="4">
          <s v="&lt;11/8/2019"/>
          <s v="2019"/>
          <s v="2020"/>
          <s v="&gt;27/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570.929951388891" createdVersion="6" refreshedVersion="6" minRefreshableVersion="3" recordCount="38" xr:uid="{B8959F5E-5A2A-48B8-AC06-45DFCAB9DA41}">
  <cacheSource type="worksheet">
    <worksheetSource ref="A1:H39" sheet="Sheffield United FC"/>
  </cacheSource>
  <cacheFields count="9">
    <cacheField name="Round" numFmtId="0">
      <sharedItems containsSemiMixedTypes="0" containsString="0" containsNumber="1" containsInteger="1" minValue="1" maxValue="38"/>
    </cacheField>
    <cacheField name="Date" numFmtId="14">
      <sharedItems containsSemiMixedTypes="0" containsNonDate="0" containsDate="1" containsString="0" minDate="2019-08-10T00:00:00" maxDate="2020-07-27T00:00:00" count="38">
        <d v="2019-08-10T00:00:00"/>
        <d v="2019-08-18T00:00:00"/>
        <d v="2019-08-24T00:00:00"/>
        <d v="2019-08-31T00:00:00"/>
        <d v="2019-09-14T00:00:00"/>
        <d v="2019-09-21T00:00:00"/>
        <d v="2019-09-28T00:00:00"/>
        <d v="2019-10-05T00:00:00"/>
        <d v="2019-10-21T00:00:00"/>
        <d v="2019-10-26T00:00:00"/>
        <d v="2019-11-02T00:00:00"/>
        <d v="2019-11-09T00:00:00"/>
        <d v="2019-11-24T00:00:00"/>
        <d v="2019-12-01T00:00:00"/>
        <d v="2019-12-05T00:00:00"/>
        <d v="2019-12-08T00:00:00"/>
        <d v="2019-12-14T00:00:00"/>
        <d v="2019-12-21T00:00:00"/>
        <d v="2019-12-26T00:00:00"/>
        <d v="2019-12-29T00:00:00"/>
        <d v="2020-01-02T00:00:00"/>
        <d v="2020-01-10T00:00:00"/>
        <d v="2020-01-18T00:00:00"/>
        <d v="2020-01-21T00:00:00"/>
        <d v="2020-02-01T00:00:00"/>
        <d v="2020-02-09T00:00:00"/>
        <d v="2020-02-22T00:00:00"/>
        <d v="2020-06-17T00:00:00"/>
        <d v="2020-03-07T00:00:00"/>
        <d v="2020-06-21T00:00:00"/>
        <d v="2020-06-24T00:00:00"/>
        <d v="2020-07-02T00:00:00"/>
        <d v="2020-07-05T00:00:00"/>
        <d v="2020-07-08T00:00:00"/>
        <d v="2020-07-11T00:00:00"/>
        <d v="2020-07-16T00:00:00"/>
        <d v="2020-07-20T00:00:00"/>
        <d v="2020-07-26T00:00:00"/>
      </sharedItems>
      <fieldGroup par="8" base="1">
        <rangePr groupBy="months" startDate="2019-08-10T00:00:00" endDate="2020-07-27T00:00:00"/>
        <groupItems count="14">
          <s v="&lt;10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7/2020"/>
        </groupItems>
      </fieldGroup>
    </cacheField>
    <cacheField name="Home" numFmtId="0">
      <sharedItems/>
    </cacheField>
    <cacheField name="Home Score" numFmtId="0">
      <sharedItems containsSemiMixedTypes="0" containsString="0" containsNumber="1" containsInteger="1" minValue="0" maxValue="3"/>
    </cacheField>
    <cacheField name="Away" numFmtId="0">
      <sharedItems/>
    </cacheField>
    <cacheField name="Away Score" numFmtId="0">
      <sharedItems containsSemiMixedTypes="0" containsString="0" containsNumber="1" containsInteger="1" minValue="0" maxValue="3"/>
    </cacheField>
    <cacheField name="Form" numFmtId="0">
      <sharedItems containsNonDate="0" containsString="0" containsBlank="1"/>
    </cacheField>
    <cacheField name="Pts" numFmtId="0">
      <sharedItems containsSemiMixedTypes="0" containsString="0" containsNumber="1" containsInteger="1" minValue="0" maxValue="3"/>
    </cacheField>
    <cacheField name="Years" numFmtId="0" databaseField="0">
      <fieldGroup base="1">
        <rangePr groupBy="years" startDate="2019-08-10T00:00:00" endDate="2020-07-27T00:00:00"/>
        <groupItems count="4">
          <s v="&lt;10/8/2019"/>
          <s v="2019"/>
          <s v="2020"/>
          <s v="&gt;27/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570.931025694445" createdVersion="6" refreshedVersion="6" minRefreshableVersion="3" recordCount="38" xr:uid="{E2A85FE7-AFBA-4197-8B3B-B4FB95433BAC}">
  <cacheSource type="worksheet">
    <worksheetSource ref="A1:H39" sheet="Manchester City FC"/>
  </cacheSource>
  <cacheFields count="9">
    <cacheField name="Round" numFmtId="0">
      <sharedItems containsSemiMixedTypes="0" containsString="0" containsNumber="1" containsInteger="1" minValue="1" maxValue="38"/>
    </cacheField>
    <cacheField name="Date" numFmtId="14">
      <sharedItems containsSemiMixedTypes="0" containsNonDate="0" containsDate="1" containsString="0" minDate="2019-08-10T00:00:00" maxDate="2020-07-27T00:00:00" count="38">
        <d v="2019-08-10T00:00:00"/>
        <d v="2019-08-17T00:00:00"/>
        <d v="2019-08-25T00:00:00"/>
        <d v="2019-08-31T00:00:00"/>
        <d v="2019-09-14T00:00:00"/>
        <d v="2019-09-21T00:00:00"/>
        <d v="2019-09-28T00:00:00"/>
        <d v="2019-10-06T00:00:00"/>
        <d v="2019-10-19T00:00:00"/>
        <d v="2019-10-26T00:00:00"/>
        <d v="2019-11-02T00:00:00"/>
        <d v="2019-11-10T00:00:00"/>
        <d v="2019-11-23T00:00:00"/>
        <d v="2019-11-30T00:00:00"/>
        <d v="2019-12-03T00:00:00"/>
        <d v="2019-12-07T00:00:00"/>
        <d v="2019-12-15T00:00:00"/>
        <d v="2019-12-21T00:00:00"/>
        <d v="2019-12-27T00:00:00"/>
        <d v="2019-12-29T00:00:00"/>
        <d v="2020-01-01T00:00:00"/>
        <d v="2020-01-12T00:00:00"/>
        <d v="2020-01-18T00:00:00"/>
        <d v="2020-01-21T00:00:00"/>
        <d v="2020-02-02T00:00:00"/>
        <d v="2020-02-19T00:00:00"/>
        <d v="2020-02-22T00:00:00"/>
        <d v="2020-06-17T00:00:00"/>
        <d v="2020-03-08T00:00:00"/>
        <d v="2020-06-22T00:00:00"/>
        <d v="2020-06-25T00:00:00"/>
        <d v="2020-07-02T00:00:00"/>
        <d v="2020-07-05T00:00:00"/>
        <d v="2020-07-08T00:00:00"/>
        <d v="2020-07-11T00:00:00"/>
        <d v="2020-07-15T00:00:00"/>
        <d v="2020-07-21T00:00:00"/>
        <d v="2020-07-26T00:00:00"/>
      </sharedItems>
      <fieldGroup par="8" base="1">
        <rangePr groupBy="months" startDate="2019-08-10T00:00:00" endDate="2020-07-27T00:00:00"/>
        <groupItems count="14">
          <s v="&lt;10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7/2020"/>
        </groupItems>
      </fieldGroup>
    </cacheField>
    <cacheField name="Home" numFmtId="0">
      <sharedItems/>
    </cacheField>
    <cacheField name="Home Score" numFmtId="0">
      <sharedItems containsSemiMixedTypes="0" containsString="0" containsNumber="1" containsInteger="1" minValue="0" maxValue="8"/>
    </cacheField>
    <cacheField name="Away" numFmtId="0">
      <sharedItems/>
    </cacheField>
    <cacheField name="Away Score" numFmtId="0">
      <sharedItems containsSemiMixedTypes="0" containsString="0" containsNumber="1" containsInteger="1" minValue="0" maxValue="6"/>
    </cacheField>
    <cacheField name="Form" numFmtId="0">
      <sharedItems containsNonDate="0" containsString="0" containsBlank="1"/>
    </cacheField>
    <cacheField name="Pts" numFmtId="0">
      <sharedItems containsSemiMixedTypes="0" containsString="0" containsNumber="1" containsInteger="1" minValue="0" maxValue="3"/>
    </cacheField>
    <cacheField name="Years" numFmtId="0" databaseField="0">
      <fieldGroup base="1">
        <rangePr groupBy="years" startDate="2019-08-10T00:00:00" endDate="2020-07-27T00:00:00"/>
        <groupItems count="4">
          <s v="&lt;10/8/2019"/>
          <s v="2019"/>
          <s v="2020"/>
          <s v="&gt;27/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570.941712615742" createdVersion="6" refreshedVersion="6" minRefreshableVersion="3" recordCount="38" xr:uid="{54D5DE09-DF78-4BAA-B3E3-7FE4FCCE8D76}">
  <cacheSource type="worksheet">
    <worksheetSource ref="A1:H39" sheet="Southampton FC"/>
  </cacheSource>
  <cacheFields count="9">
    <cacheField name="Round" numFmtId="0">
      <sharedItems containsSemiMixedTypes="0" containsString="0" containsNumber="1" containsInteger="1" minValue="1" maxValue="38"/>
    </cacheField>
    <cacheField name="Date" numFmtId="14">
      <sharedItems containsSemiMixedTypes="0" containsNonDate="0" containsDate="1" containsString="0" minDate="2019-08-10T00:00:00" maxDate="2020-07-27T00:00:00" count="38">
        <d v="2019-08-10T00:00:00"/>
        <d v="2019-08-17T00:00:00"/>
        <d v="2019-08-24T00:00:00"/>
        <d v="2019-08-31T00:00:00"/>
        <d v="2019-09-14T00:00:00"/>
        <d v="2019-09-20T00:00:00"/>
        <d v="2019-09-28T00:00:00"/>
        <d v="2019-10-06T00:00:00"/>
        <d v="2019-10-19T00:00:00"/>
        <d v="2019-10-25T00:00:00"/>
        <d v="2019-11-02T00:00:00"/>
        <d v="2019-11-09T00:00:00"/>
        <d v="2019-11-23T00:00:00"/>
        <d v="2019-11-30T00:00:00"/>
        <d v="2019-12-04T00:00:00"/>
        <d v="2019-12-08T00:00:00"/>
        <d v="2019-12-14T00:00:00"/>
        <d v="2019-12-21T00:00:00"/>
        <d v="2019-12-26T00:00:00"/>
        <d v="2019-12-28T00:00:00"/>
        <d v="2020-01-01T00:00:00"/>
        <d v="2020-01-11T00:00:00"/>
        <d v="2020-01-18T00:00:00"/>
        <d v="2020-01-21T00:00:00"/>
        <d v="2020-02-01T00:00:00"/>
        <d v="2020-02-15T00:00:00"/>
        <d v="2020-02-22T00:00:00"/>
        <d v="2020-02-29T00:00:00"/>
        <d v="2020-03-07T00:00:00"/>
        <d v="2020-06-19T00:00:00"/>
        <d v="2020-06-25T00:00:00"/>
        <d v="2020-06-28T00:00:00"/>
        <d v="2020-07-05T00:00:00"/>
        <d v="2020-07-09T00:00:00"/>
        <d v="2020-07-13T00:00:00"/>
        <d v="2020-07-16T00:00:00"/>
        <d v="2020-07-19T00:00:00"/>
        <d v="2020-07-26T00:00:00"/>
      </sharedItems>
      <fieldGroup par="8" base="1">
        <rangePr groupBy="months" startDate="2019-08-10T00:00:00" endDate="2020-07-27T00:00:00"/>
        <groupItems count="14">
          <s v="&lt;10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7/2020"/>
        </groupItems>
      </fieldGroup>
    </cacheField>
    <cacheField name="Home" numFmtId="0">
      <sharedItems/>
    </cacheField>
    <cacheField name="Home Score" numFmtId="0">
      <sharedItems containsSemiMixedTypes="0" containsString="0" containsNumber="1" containsInteger="1" minValue="0" maxValue="4"/>
    </cacheField>
    <cacheField name="Away" numFmtId="0">
      <sharedItems/>
    </cacheField>
    <cacheField name="Away Score" numFmtId="0">
      <sharedItems containsSemiMixedTypes="0" containsString="0" containsNumber="1" containsInteger="1" minValue="0" maxValue="9"/>
    </cacheField>
    <cacheField name="Form" numFmtId="0">
      <sharedItems containsNonDate="0" containsString="0" containsBlank="1"/>
    </cacheField>
    <cacheField name="Pts" numFmtId="0">
      <sharedItems containsSemiMixedTypes="0" containsString="0" containsNumber="1" containsInteger="1" minValue="0" maxValue="3"/>
    </cacheField>
    <cacheField name="Years" numFmtId="0" databaseField="0">
      <fieldGroup base="1">
        <rangePr groupBy="years" startDate="2019-08-10T00:00:00" endDate="2020-07-27T00:00:00"/>
        <groupItems count="4">
          <s v="&lt;10/8/2019"/>
          <s v="2019"/>
          <s v="2020"/>
          <s v="&gt;27/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570.942632986109" createdVersion="6" refreshedVersion="6" minRefreshableVersion="3" recordCount="38" xr:uid="{573BF0A0-C774-47C5-8376-0DA0425533B7}">
  <cacheSource type="worksheet">
    <worksheetSource ref="A1:H39" sheet="Norwich City FC"/>
  </cacheSource>
  <cacheFields count="9">
    <cacheField name="Round" numFmtId="0">
      <sharedItems containsSemiMixedTypes="0" containsString="0" containsNumber="1" containsInteger="1" minValue="1" maxValue="38"/>
    </cacheField>
    <cacheField name="Date" numFmtId="14">
      <sharedItems containsSemiMixedTypes="0" containsNonDate="0" containsDate="1" containsString="0" minDate="2019-08-09T00:00:00" maxDate="2020-07-27T00:00:00" count="38">
        <d v="2019-08-09T00:00:00"/>
        <d v="2019-08-17T00:00:00"/>
        <d v="2019-08-24T00:00:00"/>
        <d v="2019-08-31T00:00:00"/>
        <d v="2019-09-14T00:00:00"/>
        <d v="2019-09-21T00:00:00"/>
        <d v="2019-09-28T00:00:00"/>
        <d v="2019-10-05T00:00:00"/>
        <d v="2019-10-19T00:00:00"/>
        <d v="2019-10-27T00:00:00"/>
        <d v="2019-11-02T00:00:00"/>
        <d v="2019-11-08T00:00:00"/>
        <d v="2019-11-23T00:00:00"/>
        <d v="2019-12-01T00:00:00"/>
        <d v="2019-12-04T00:00:00"/>
        <d v="2019-12-08T00:00:00"/>
        <d v="2019-12-14T00:00:00"/>
        <d v="2019-12-21T00:00:00"/>
        <d v="2019-12-26T00:00:00"/>
        <d v="2019-12-28T00:00:00"/>
        <d v="2020-01-01T00:00:00"/>
        <d v="2020-01-11T00:00:00"/>
        <d v="2020-01-18T00:00:00"/>
        <d v="2020-01-22T00:00:00"/>
        <d v="2020-02-01T00:00:00"/>
        <d v="2020-02-15T00:00:00"/>
        <d v="2020-02-23T00:00:00"/>
        <d v="2020-02-28T00:00:00"/>
        <d v="2020-03-07T00:00:00"/>
        <d v="2020-06-19T00:00:00"/>
        <d v="2020-06-24T00:00:00"/>
        <d v="2020-07-01T00:00:00"/>
        <d v="2020-07-04T00:00:00"/>
        <d v="2020-07-07T00:00:00"/>
        <d v="2020-07-11T00:00:00"/>
        <d v="2020-07-14T00:00:00"/>
        <d v="2020-07-18T00:00:00"/>
        <d v="2020-07-26T00:00:00"/>
      </sharedItems>
      <fieldGroup par="8" base="1">
        <rangePr groupBy="months" startDate="2019-08-09T00:00:00" endDate="2020-07-27T00:00:00"/>
        <groupItems count="14">
          <s v="&lt;9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7/2020"/>
        </groupItems>
      </fieldGroup>
    </cacheField>
    <cacheField name="Home" numFmtId="0">
      <sharedItems/>
    </cacheField>
    <cacheField name="Home Score" numFmtId="0">
      <sharedItems containsSemiMixedTypes="0" containsString="0" containsNumber="1" containsInteger="1" minValue="0" maxValue="5"/>
    </cacheField>
    <cacheField name="Away" numFmtId="0">
      <sharedItems/>
    </cacheField>
    <cacheField name="Away Score" numFmtId="0">
      <sharedItems containsSemiMixedTypes="0" containsString="0" containsNumber="1" containsInteger="1" minValue="0" maxValue="5"/>
    </cacheField>
    <cacheField name="Form" numFmtId="0">
      <sharedItems containsNonDate="0" containsString="0" containsBlank="1"/>
    </cacheField>
    <cacheField name="Pts" numFmtId="0">
      <sharedItems containsSemiMixedTypes="0" containsString="0" containsNumber="1" containsInteger="1" minValue="0" maxValue="3"/>
    </cacheField>
    <cacheField name="Years" numFmtId="0" databaseField="0">
      <fieldGroup base="1">
        <rangePr groupBy="years" startDate="2019-08-09T00:00:00" endDate="2020-07-27T00:00:00"/>
        <groupItems count="4">
          <s v="&lt;9/8/2019"/>
          <s v="2019"/>
          <s v="2020"/>
          <s v="&gt;27/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570.943341666665" createdVersion="6" refreshedVersion="6" minRefreshableVersion="3" recordCount="38" xr:uid="{A5FAF5A3-2C5C-426F-A6D8-0E364380F279}">
  <cacheSource type="worksheet">
    <worksheetSource ref="A1:H39" sheet="Aston Villa FC"/>
  </cacheSource>
  <cacheFields count="9">
    <cacheField name="Round" numFmtId="0">
      <sharedItems containsSemiMixedTypes="0" containsString="0" containsNumber="1" containsInteger="1" minValue="1" maxValue="38"/>
    </cacheField>
    <cacheField name="Date" numFmtId="14">
      <sharedItems containsSemiMixedTypes="0" containsNonDate="0" containsDate="1" containsString="0" minDate="2019-08-10T00:00:00" maxDate="2020-07-27T00:00:00" count="38">
        <d v="2019-08-10T00:00:00"/>
        <d v="2019-08-17T00:00:00"/>
        <d v="2019-08-23T00:00:00"/>
        <d v="2019-08-31T00:00:00"/>
        <d v="2019-09-16T00:00:00"/>
        <d v="2019-09-22T00:00:00"/>
        <d v="2019-09-28T00:00:00"/>
        <d v="2019-10-05T00:00:00"/>
        <d v="2019-10-19T00:00:00"/>
        <d v="2019-10-26T00:00:00"/>
        <d v="2019-11-02T00:00:00"/>
        <d v="2019-11-10T00:00:00"/>
        <d v="2019-11-25T00:00:00"/>
        <d v="2019-12-01T00:00:00"/>
        <d v="2019-12-04T00:00:00"/>
        <d v="2019-12-08T00:00:00"/>
        <d v="2019-12-14T00:00:00"/>
        <d v="2019-12-21T00:00:00"/>
        <d v="2019-12-26T00:00:00"/>
        <d v="2019-12-28T00:00:00"/>
        <d v="2020-01-01T00:00:00"/>
        <d v="2020-01-12T00:00:00"/>
        <d v="2020-01-18T00:00:00"/>
        <d v="2020-01-21T00:00:00"/>
        <d v="2020-02-01T00:00:00"/>
        <d v="2020-02-16T00:00:00"/>
        <d v="2020-02-22T00:00:00"/>
        <d v="2020-06-17T00:00:00"/>
        <d v="2020-03-09T00:00:00"/>
        <d v="2020-06-21T00:00:00"/>
        <d v="2020-06-24T00:00:00"/>
        <d v="2020-06-27T00:00:00"/>
        <d v="2020-07-05T00:00:00"/>
        <d v="2020-07-09T00:00:00"/>
        <d v="2020-07-12T00:00:00"/>
        <d v="2020-07-16T00:00:00"/>
        <d v="2020-07-21T00:00:00"/>
        <d v="2020-07-26T00:00:00"/>
      </sharedItems>
      <fieldGroup par="8" base="1">
        <rangePr groupBy="months" startDate="2019-08-10T00:00:00" endDate="2020-07-27T00:00:00"/>
        <groupItems count="14">
          <s v="&lt;10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7/2020"/>
        </groupItems>
      </fieldGroup>
    </cacheField>
    <cacheField name="Home" numFmtId="0">
      <sharedItems/>
    </cacheField>
    <cacheField name="Home Score" numFmtId="0">
      <sharedItems containsSemiMixedTypes="0" containsString="0" containsNumber="1" containsInteger="1" minValue="0" maxValue="4"/>
    </cacheField>
    <cacheField name="Away" numFmtId="0">
      <sharedItems/>
    </cacheField>
    <cacheField name="Away Score" numFmtId="0">
      <sharedItems containsSemiMixedTypes="0" containsString="0" containsNumber="1" containsInteger="1" minValue="0" maxValue="6"/>
    </cacheField>
    <cacheField name="Form" numFmtId="0">
      <sharedItems containsNonDate="0" containsString="0" containsBlank="1"/>
    </cacheField>
    <cacheField name="Pts" numFmtId="0">
      <sharedItems containsSemiMixedTypes="0" containsString="0" containsNumber="1" containsInteger="1" minValue="0" maxValue="3"/>
    </cacheField>
    <cacheField name="Years" numFmtId="0" databaseField="0">
      <fieldGroup base="1">
        <rangePr groupBy="years" startDate="2019-08-10T00:00:00" endDate="2020-07-27T00:00:00"/>
        <groupItems count="4">
          <s v="&lt;10/8/2019"/>
          <s v="2019"/>
          <s v="2020"/>
          <s v="&gt;27/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570.944079166664" createdVersion="6" refreshedVersion="6" minRefreshableVersion="3" recordCount="38" xr:uid="{71926987-6D30-42EC-BD44-F1E8E30CA7B2}">
  <cacheSource type="worksheet">
    <worksheetSource ref="A1:H39" sheet="Brighton &amp; Hove Albion FC"/>
  </cacheSource>
  <cacheFields count="9">
    <cacheField name="Round" numFmtId="0">
      <sharedItems containsSemiMixedTypes="0" containsString="0" containsNumber="1" containsInteger="1" minValue="1" maxValue="38"/>
    </cacheField>
    <cacheField name="Date" numFmtId="14">
      <sharedItems containsSemiMixedTypes="0" containsNonDate="0" containsDate="1" containsString="0" minDate="2019-08-10T00:00:00" maxDate="2020-07-27T00:00:00" count="38">
        <d v="2019-08-10T00:00:00"/>
        <d v="2019-08-17T00:00:00"/>
        <d v="2019-08-24T00:00:00"/>
        <d v="2019-08-31T00:00:00"/>
        <d v="2019-09-14T00:00:00"/>
        <d v="2019-09-21T00:00:00"/>
        <d v="2019-09-28T00:00:00"/>
        <d v="2019-10-05T00:00:00"/>
        <d v="2019-10-19T00:00:00"/>
        <d v="2019-10-26T00:00:00"/>
        <d v="2019-11-02T00:00:00"/>
        <d v="2019-11-10T00:00:00"/>
        <d v="2019-11-23T00:00:00"/>
        <d v="2019-11-30T00:00:00"/>
        <d v="2019-12-05T00:00:00"/>
        <d v="2019-12-08T00:00:00"/>
        <d v="2019-12-16T00:00:00"/>
        <d v="2019-12-21T00:00:00"/>
        <d v="2019-12-26T00:00:00"/>
        <d v="2019-12-28T00:00:00"/>
        <d v="2020-01-01T00:00:00"/>
        <d v="2020-01-11T00:00:00"/>
        <d v="2020-01-18T00:00:00"/>
        <d v="2020-01-21T00:00:00"/>
        <d v="2020-02-01T00:00:00"/>
        <d v="2020-02-08T00:00:00"/>
        <d v="2020-02-22T00:00:00"/>
        <d v="2020-02-29T00:00:00"/>
        <d v="2020-03-07T00:00:00"/>
        <d v="2020-06-20T00:00:00"/>
        <d v="2020-06-23T00:00:00"/>
        <d v="2020-06-30T00:00:00"/>
        <d v="2020-07-04T00:00:00"/>
        <d v="2020-07-08T00:00:00"/>
        <d v="2020-07-11T00:00:00"/>
        <d v="2020-07-16T00:00:00"/>
        <d v="2020-07-20T00:00:00"/>
        <d v="2020-07-26T00:00:00"/>
      </sharedItems>
      <fieldGroup par="8" base="1">
        <rangePr groupBy="months" startDate="2019-08-10T00:00:00" endDate="2020-07-27T00:00:00"/>
        <groupItems count="14">
          <s v="&lt;10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7/2020"/>
        </groupItems>
      </fieldGroup>
    </cacheField>
    <cacheField name="Home" numFmtId="0">
      <sharedItems/>
    </cacheField>
    <cacheField name="Home Score" numFmtId="0">
      <sharedItems containsSemiMixedTypes="0" containsString="0" containsNumber="1" containsInteger="1" minValue="0" maxValue="4"/>
    </cacheField>
    <cacheField name="Away" numFmtId="0">
      <sharedItems/>
    </cacheField>
    <cacheField name="Away Score" numFmtId="0">
      <sharedItems containsSemiMixedTypes="0" containsString="0" containsNumber="1" containsInteger="1" minValue="0" maxValue="5"/>
    </cacheField>
    <cacheField name="Form" numFmtId="0">
      <sharedItems containsNonDate="0" containsString="0" containsBlank="1"/>
    </cacheField>
    <cacheField name="Pts" numFmtId="0">
      <sharedItems containsSemiMixedTypes="0" containsString="0" containsNumber="1" containsInteger="1" minValue="0" maxValue="3"/>
    </cacheField>
    <cacheField name="Years" numFmtId="0" databaseField="0">
      <fieldGroup base="1">
        <rangePr groupBy="years" startDate="2019-08-10T00:00:00" endDate="2020-07-27T00:00:00"/>
        <groupItems count="4">
          <s v="&lt;10/8/2019"/>
          <s v="2019"/>
          <s v="2020"/>
          <s v="&gt;27/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570.951673263888" createdVersion="6" refreshedVersion="6" minRefreshableVersion="3" recordCount="38" xr:uid="{8313186E-02A7-4D69-BF21-3E6101FBCF92}">
  <cacheSource type="worksheet">
    <worksheetSource ref="A1:H39" sheet="Everton FC"/>
  </cacheSource>
  <cacheFields count="9">
    <cacheField name="Round" numFmtId="0">
      <sharedItems containsSemiMixedTypes="0" containsString="0" containsNumber="1" containsInteger="1" minValue="1" maxValue="38"/>
    </cacheField>
    <cacheField name="Date" numFmtId="14">
      <sharedItems containsSemiMixedTypes="0" containsNonDate="0" containsDate="1" containsString="0" minDate="2019-08-10T00:00:00" maxDate="2020-07-27T00:00:00" count="38">
        <d v="2019-08-10T00:00:00"/>
        <d v="2019-08-17T00:00:00"/>
        <d v="2019-08-23T00:00:00"/>
        <d v="2019-09-01T00:00:00"/>
        <d v="2019-09-15T00:00:00"/>
        <d v="2019-09-21T00:00:00"/>
        <d v="2019-09-28T00:00:00"/>
        <d v="2019-10-05T00:00:00"/>
        <d v="2019-10-19T00:00:00"/>
        <d v="2019-10-26T00:00:00"/>
        <d v="2019-11-03T00:00:00"/>
        <d v="2019-11-09T00:00:00"/>
        <d v="2019-11-23T00:00:00"/>
        <d v="2019-12-01T00:00:00"/>
        <d v="2019-12-04T00:00:00"/>
        <d v="2019-12-07T00:00:00"/>
        <d v="2019-12-15T00:00:00"/>
        <d v="2019-12-21T00:00:00"/>
        <d v="2019-12-26T00:00:00"/>
        <d v="2019-12-28T00:00:00"/>
        <d v="2020-01-01T00:00:00"/>
        <d v="2020-01-11T00:00:00"/>
        <d v="2020-01-18T00:00:00"/>
        <d v="2020-01-21T00:00:00"/>
        <d v="2020-02-01T00:00:00"/>
        <d v="2020-02-08T00:00:00"/>
        <d v="2020-02-23T00:00:00"/>
        <d v="2020-03-01T00:00:00"/>
        <d v="2020-03-08T00:00:00"/>
        <d v="2020-06-21T00:00:00"/>
        <d v="2020-06-24T00:00:00"/>
        <d v="2020-07-01T00:00:00"/>
        <d v="2020-07-06T00:00:00"/>
        <d v="2020-07-09T00:00:00"/>
        <d v="2020-07-12T00:00:00"/>
        <d v="2020-07-16T00:00:00"/>
        <d v="2020-07-20T00:00:00"/>
        <d v="2020-07-26T00:00:00"/>
      </sharedItems>
      <fieldGroup par="8" base="1">
        <rangePr groupBy="months" startDate="2019-08-10T00:00:00" endDate="2020-07-27T00:00:00"/>
        <groupItems count="14">
          <s v="&lt;10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7/2020"/>
        </groupItems>
      </fieldGroup>
    </cacheField>
    <cacheField name="Home" numFmtId="0">
      <sharedItems/>
    </cacheField>
    <cacheField name="Home Score" numFmtId="0">
      <sharedItems containsSemiMixedTypes="0" containsString="0" containsNumber="1" containsInteger="1" minValue="0" maxValue="5"/>
    </cacheField>
    <cacheField name="Away" numFmtId="0">
      <sharedItems/>
    </cacheField>
    <cacheField name="Away score" numFmtId="0">
      <sharedItems containsSemiMixedTypes="0" containsString="0" containsNumber="1" containsInteger="1" minValue="0" maxValue="3"/>
    </cacheField>
    <cacheField name="Form" numFmtId="0">
      <sharedItems containsNonDate="0" containsString="0" containsBlank="1"/>
    </cacheField>
    <cacheField name="Pts" numFmtId="0">
      <sharedItems containsSemiMixedTypes="0" containsString="0" containsNumber="1" containsInteger="1" minValue="0" maxValue="3"/>
    </cacheField>
    <cacheField name="Years" numFmtId="0" databaseField="0">
      <fieldGroup base="1">
        <rangePr groupBy="years" startDate="2019-08-10T00:00:00" endDate="2020-07-27T00:00:00"/>
        <groupItems count="4">
          <s v="&lt;10/8/2019"/>
          <s v="2019"/>
          <s v="2020"/>
          <s v="&gt;27/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570.952302777776" createdVersion="6" refreshedVersion="6" minRefreshableVersion="3" recordCount="38" xr:uid="{003F9BFE-ED5E-4A31-AF14-2A631714C487}">
  <cacheSource type="worksheet">
    <worksheetSource ref="A1:H39" sheet="Arsenal FC"/>
  </cacheSource>
  <cacheFields count="9">
    <cacheField name="Round" numFmtId="0">
      <sharedItems containsSemiMixedTypes="0" containsString="0" containsNumber="1" containsInteger="1" minValue="1" maxValue="38"/>
    </cacheField>
    <cacheField name="Date" numFmtId="14">
      <sharedItems containsSemiMixedTypes="0" containsNonDate="0" containsDate="1" containsString="0" minDate="2019-08-11T00:00:00" maxDate="2020-07-27T00:00:00" count="38">
        <d v="2019-08-11T00:00:00"/>
        <d v="2019-08-17T00:00:00"/>
        <d v="2019-08-24T00:00:00"/>
        <d v="2019-09-01T00:00:00"/>
        <d v="2019-09-15T00:00:00"/>
        <d v="2019-09-22T00:00:00"/>
        <d v="2019-09-30T00:00:00"/>
        <d v="2019-10-06T00:00:00"/>
        <d v="2019-10-21T00:00:00"/>
        <d v="2019-10-27T00:00:00"/>
        <d v="2019-11-02T00:00:00"/>
        <d v="2019-11-09T00:00:00"/>
        <d v="2019-11-23T00:00:00"/>
        <d v="2019-12-01T00:00:00"/>
        <d v="2019-12-05T00:00:00"/>
        <d v="2019-12-09T00:00:00"/>
        <d v="2019-12-15T00:00:00"/>
        <d v="2019-12-21T00:00:00"/>
        <d v="2019-12-26T00:00:00"/>
        <d v="2019-12-29T00:00:00"/>
        <d v="2020-01-01T00:00:00"/>
        <d v="2020-01-11T00:00:00"/>
        <d v="2020-01-18T00:00:00"/>
        <d v="2020-01-21T00:00:00"/>
        <d v="2020-02-02T00:00:00"/>
        <d v="2020-02-16T00:00:00"/>
        <d v="2020-02-23T00:00:00"/>
        <d v="2020-06-17T00:00:00"/>
        <d v="2020-03-07T00:00:00"/>
        <d v="2020-06-20T00:00:00"/>
        <d v="2020-06-25T00:00:00"/>
        <d v="2020-07-01T00:00:00"/>
        <d v="2020-07-04T00:00:00"/>
        <d v="2020-07-07T00:00:00"/>
        <d v="2020-07-12T00:00:00"/>
        <d v="2020-07-15T00:00:00"/>
        <d v="2020-07-21T00:00:00"/>
        <d v="2020-07-26T00:00:00"/>
      </sharedItems>
      <fieldGroup par="8" base="1">
        <rangePr groupBy="months" startDate="2019-08-11T00:00:00" endDate="2020-07-27T00:00:00"/>
        <groupItems count="14">
          <s v="&lt;11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7/2020"/>
        </groupItems>
      </fieldGroup>
    </cacheField>
    <cacheField name="Home" numFmtId="0">
      <sharedItems/>
    </cacheField>
    <cacheField name="Home Score" numFmtId="0">
      <sharedItems containsSemiMixedTypes="0" containsString="0" containsNumber="1" containsInteger="1" minValue="0" maxValue="4"/>
    </cacheField>
    <cacheField name="Away" numFmtId="0">
      <sharedItems/>
    </cacheField>
    <cacheField name="Away Score" numFmtId="0">
      <sharedItems containsSemiMixedTypes="0" containsString="0" containsNumber="1" containsInteger="1" minValue="0" maxValue="3"/>
    </cacheField>
    <cacheField name="Form" numFmtId="0">
      <sharedItems containsNonDate="0" containsString="0" containsBlank="1"/>
    </cacheField>
    <cacheField name="Pts" numFmtId="0">
      <sharedItems containsSemiMixedTypes="0" containsString="0" containsNumber="1" containsInteger="1" minValue="0" maxValue="3"/>
    </cacheField>
    <cacheField name="Years" numFmtId="0" databaseField="0">
      <fieldGroup base="1">
        <rangePr groupBy="years" startDate="2019-08-11T00:00:00" endDate="2020-07-27T00:00:00"/>
        <groupItems count="4">
          <s v="&lt;11/8/2019"/>
          <s v="2019"/>
          <s v="2020"/>
          <s v="&gt;27/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570.952924305559" createdVersion="6" refreshedVersion="6" minRefreshableVersion="3" recordCount="38" xr:uid="{180509B5-1015-4226-B2D0-8BC54DE7350C}">
  <cacheSource type="worksheet">
    <worksheetSource ref="A1:H39" sheet="Manchester United FC"/>
  </cacheSource>
  <cacheFields count="9">
    <cacheField name="Round" numFmtId="0">
      <sharedItems containsSemiMixedTypes="0" containsString="0" containsNumber="1" containsInteger="1" minValue="1" maxValue="38"/>
    </cacheField>
    <cacheField name="Date" numFmtId="14">
      <sharedItems containsSemiMixedTypes="0" containsNonDate="0" containsDate="1" containsString="0" minDate="2019-08-11T00:00:00" maxDate="2020-07-27T00:00:00" count="38">
        <d v="2019-08-11T00:00:00"/>
        <d v="2019-08-19T00:00:00"/>
        <d v="2019-08-24T00:00:00"/>
        <d v="2019-08-31T00:00:00"/>
        <d v="2019-09-14T00:00:00"/>
        <d v="2019-09-22T00:00:00"/>
        <d v="2019-09-30T00:00:00"/>
        <d v="2019-10-06T00:00:00"/>
        <d v="2019-10-20T00:00:00"/>
        <d v="2019-10-27T00:00:00"/>
        <d v="2019-11-02T00:00:00"/>
        <d v="2019-11-10T00:00:00"/>
        <d v="2019-11-24T00:00:00"/>
        <d v="2019-12-01T00:00:00"/>
        <d v="2019-12-04T00:00:00"/>
        <d v="2019-12-07T00:00:00"/>
        <d v="2019-12-15T00:00:00"/>
        <d v="2019-12-22T00:00:00"/>
        <d v="2019-12-26T00:00:00"/>
        <d v="2019-12-28T00:00:00"/>
        <d v="2020-01-01T00:00:00"/>
        <d v="2020-01-11T00:00:00"/>
        <d v="2020-01-19T00:00:00"/>
        <d v="2020-01-22T00:00:00"/>
        <d v="2020-02-01T00:00:00"/>
        <d v="2020-02-17T00:00:00"/>
        <d v="2020-02-23T00:00:00"/>
        <d v="2020-03-01T00:00:00"/>
        <d v="2020-03-08T00:00:00"/>
        <d v="2020-06-19T00:00:00"/>
        <d v="2020-06-24T00:00:00"/>
        <d v="2020-06-30T00:00:00"/>
        <d v="2020-07-04T00:00:00"/>
        <d v="2020-07-09T00:00:00"/>
        <d v="2020-07-13T00:00:00"/>
        <d v="2020-07-16T00:00:00"/>
        <d v="2020-07-22T00:00:00"/>
        <d v="2020-07-26T00:00:00"/>
      </sharedItems>
      <fieldGroup par="8" base="1">
        <rangePr groupBy="months" startDate="2019-08-11T00:00:00" endDate="2020-07-27T00:00:00"/>
        <groupItems count="14">
          <s v="&lt;11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7/2020"/>
        </groupItems>
      </fieldGroup>
    </cacheField>
    <cacheField name="Home" numFmtId="0">
      <sharedItems/>
    </cacheField>
    <cacheField name="Home Score" numFmtId="0">
      <sharedItems containsSemiMixedTypes="0" containsString="0" containsNumber="1" containsInteger="1" minValue="0" maxValue="5"/>
    </cacheField>
    <cacheField name="Away" numFmtId="0">
      <sharedItems/>
    </cacheField>
    <cacheField name="Away Score" numFmtId="0">
      <sharedItems containsSemiMixedTypes="0" containsString="0" containsNumber="1" containsInteger="1" minValue="0" maxValue="3"/>
    </cacheField>
    <cacheField name="Form" numFmtId="0">
      <sharedItems containsNonDate="0" containsString="0" containsBlank="1"/>
    </cacheField>
    <cacheField name="Pts" numFmtId="0">
      <sharedItems containsSemiMixedTypes="0" containsString="0" containsNumber="1" containsInteger="1" minValue="0" maxValue="3"/>
    </cacheField>
    <cacheField name="Years" numFmtId="0" databaseField="0">
      <fieldGroup base="1">
        <rangePr groupBy="years" startDate="2019-08-11T00:00:00" endDate="2020-07-27T00:00:00"/>
        <groupItems count="4">
          <s v="&lt;11/8/2019"/>
          <s v="2019"/>
          <s v="2020"/>
          <s v="&gt;27/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570.953873842591" createdVersion="6" refreshedVersion="6" minRefreshableVersion="3" recordCount="38" xr:uid="{D6958232-FFC8-458B-A76B-B2A3078C35CA}">
  <cacheSource type="worksheet">
    <worksheetSource ref="A1:H39" sheet="Newcastle United FC"/>
  </cacheSource>
  <cacheFields count="9">
    <cacheField name="Round" numFmtId="0">
      <sharedItems containsSemiMixedTypes="0" containsString="0" containsNumber="1" containsInteger="1" minValue="1" maxValue="38"/>
    </cacheField>
    <cacheField name="Date" numFmtId="14">
      <sharedItems containsSemiMixedTypes="0" containsNonDate="0" containsDate="1" containsString="0" minDate="2019-08-11T00:00:00" maxDate="2020-07-27T00:00:00" count="38">
        <d v="2019-08-11T00:00:00"/>
        <d v="2019-08-17T00:00:00"/>
        <d v="2019-08-25T00:00:00"/>
        <d v="2019-08-31T00:00:00"/>
        <d v="2019-09-14T00:00:00"/>
        <d v="2019-09-21T00:00:00"/>
        <d v="2019-09-29T00:00:00"/>
        <d v="2019-10-06T00:00:00"/>
        <d v="2019-10-19T00:00:00"/>
        <d v="2019-10-27T00:00:00"/>
        <d v="2019-11-02T00:00:00"/>
        <d v="2019-11-09T00:00:00"/>
        <d v="2019-11-25T00:00:00"/>
        <d v="2019-11-30T00:00:00"/>
        <d v="2019-12-05T00:00:00"/>
        <d v="2019-12-08T00:00:00"/>
        <d v="2019-12-14T00:00:00"/>
        <d v="2019-12-21T00:00:00"/>
        <d v="2019-12-26T00:00:00"/>
        <d v="2019-12-28T00:00:00"/>
        <d v="2020-01-01T00:00:00"/>
        <d v="2020-01-11T00:00:00"/>
        <d v="2020-01-18T00:00:00"/>
        <d v="2020-01-21T00:00:00"/>
        <d v="2020-02-01T00:00:00"/>
        <d v="2020-02-16T00:00:00"/>
        <d v="2020-02-22T00:00:00"/>
        <d v="2020-02-29T00:00:00"/>
        <d v="2020-03-07T00:00:00"/>
        <d v="2020-06-21T00:00:00"/>
        <d v="2020-06-24T00:00:00"/>
        <d v="2020-07-01T00:00:00"/>
        <d v="2020-07-05T00:00:00"/>
        <d v="2020-07-08T00:00:00"/>
        <d v="2020-07-11T00:00:00"/>
        <d v="2020-07-15T00:00:00"/>
        <d v="2020-07-20T00:00:00"/>
        <d v="2020-07-26T00:00:00"/>
      </sharedItems>
      <fieldGroup par="8" base="1">
        <rangePr groupBy="months" startDate="2019-08-11T00:00:00" endDate="2020-07-27T00:00:00"/>
        <groupItems count="14">
          <s v="&lt;11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7/2020"/>
        </groupItems>
      </fieldGroup>
    </cacheField>
    <cacheField name="Home" numFmtId="0">
      <sharedItems/>
    </cacheField>
    <cacheField name="Home Score" numFmtId="0">
      <sharedItems containsSemiMixedTypes="0" containsString="0" containsNumber="1" containsInteger="1" minValue="0" maxValue="5"/>
    </cacheField>
    <cacheField name="Away" numFmtId="0">
      <sharedItems/>
    </cacheField>
    <cacheField name="Away Score" numFmtId="0">
      <sharedItems containsSemiMixedTypes="0" containsString="0" containsNumber="1" containsInteger="1" minValue="0" maxValue="4"/>
    </cacheField>
    <cacheField name="Form" numFmtId="0">
      <sharedItems containsNonDate="0" containsString="0" containsBlank="1"/>
    </cacheField>
    <cacheField name="Pts" numFmtId="0">
      <sharedItems containsSemiMixedTypes="0" containsString="0" containsNumber="1" containsInteger="1" minValue="0" maxValue="3"/>
    </cacheField>
    <cacheField name="Years" numFmtId="0" databaseField="0">
      <fieldGroup base="1">
        <rangePr groupBy="years" startDate="2019-08-11T00:00:00" endDate="2020-07-27T00:00:00"/>
        <groupItems count="4">
          <s v="&lt;11/8/2019"/>
          <s v="2019"/>
          <s v="2020"/>
          <s v="&gt;27/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570.955025115742" createdVersion="6" refreshedVersion="6" minRefreshableVersion="3" recordCount="38" xr:uid="{7DA6AF25-70D4-4265-A31A-0D0528B7558D}">
  <cacheSource type="worksheet">
    <worksheetSource ref="A1:H39" sheet="Leicester City FC"/>
  </cacheSource>
  <cacheFields count="9">
    <cacheField name="Round" numFmtId="0">
      <sharedItems containsSemiMixedTypes="0" containsString="0" containsNumber="1" containsInteger="1" minValue="1" maxValue="38"/>
    </cacheField>
    <cacheField name="Date" numFmtId="14">
      <sharedItems containsSemiMixedTypes="0" containsNonDate="0" containsDate="1" containsString="0" minDate="2019-08-11T00:00:00" maxDate="2020-07-27T00:00:00" count="38">
        <d v="2019-08-11T00:00:00"/>
        <d v="2019-08-18T00:00:00"/>
        <d v="2019-08-24T00:00:00"/>
        <d v="2019-08-31T00:00:00"/>
        <d v="2019-09-14T00:00:00"/>
        <d v="2019-09-21T00:00:00"/>
        <d v="2019-09-29T00:00:00"/>
        <d v="2019-10-05T00:00:00"/>
        <d v="2019-10-19T00:00:00"/>
        <d v="2019-10-25T00:00:00"/>
        <d v="2019-11-03T00:00:00"/>
        <d v="2019-11-09T00:00:00"/>
        <d v="2019-11-23T00:00:00"/>
        <d v="2019-12-01T00:00:00"/>
        <d v="2019-12-04T00:00:00"/>
        <d v="2019-12-08T00:00:00"/>
        <d v="2019-12-14T00:00:00"/>
        <d v="2019-12-21T00:00:00"/>
        <d v="2019-12-26T00:00:00"/>
        <d v="2019-12-28T00:00:00"/>
        <d v="2020-01-01T00:00:00"/>
        <d v="2020-01-11T00:00:00"/>
        <d v="2020-01-19T00:00:00"/>
        <d v="2020-01-22T00:00:00"/>
        <d v="2020-02-01T00:00:00"/>
        <d v="2020-02-14T00:00:00"/>
        <d v="2020-02-22T00:00:00"/>
        <d v="2020-02-28T00:00:00"/>
        <d v="2020-03-09T00:00:00"/>
        <d v="2020-06-20T00:00:00"/>
        <d v="2020-06-23T00:00:00"/>
        <d v="2020-07-01T00:00:00"/>
        <d v="2020-07-04T00:00:00"/>
        <d v="2020-07-07T00:00:00"/>
        <d v="2020-07-12T00:00:00"/>
        <d v="2020-07-16T00:00:00"/>
        <d v="2020-07-19T00:00:00"/>
        <d v="2020-07-26T00:00:00"/>
      </sharedItems>
      <fieldGroup par="8" base="1">
        <rangePr groupBy="months" startDate="2019-08-11T00:00:00" endDate="2020-07-27T00:00:00"/>
        <groupItems count="14">
          <s v="&lt;11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7/2020"/>
        </groupItems>
      </fieldGroup>
    </cacheField>
    <cacheField name="Home" numFmtId="0">
      <sharedItems/>
    </cacheField>
    <cacheField name="Home Score" numFmtId="0">
      <sharedItems containsSemiMixedTypes="0" containsString="0" containsNumber="1" containsInteger="1" minValue="0" maxValue="5"/>
    </cacheField>
    <cacheField name="Away" numFmtId="0">
      <sharedItems/>
    </cacheField>
    <cacheField name="Away score" numFmtId="0">
      <sharedItems containsSemiMixedTypes="0" containsString="0" containsNumber="1" containsInteger="1" minValue="0" maxValue="9"/>
    </cacheField>
    <cacheField name="Form" numFmtId="0">
      <sharedItems containsNonDate="0" containsString="0" containsBlank="1"/>
    </cacheField>
    <cacheField name="Pts" numFmtId="0">
      <sharedItems containsSemiMixedTypes="0" containsString="0" containsNumber="1" containsInteger="1" minValue="0" maxValue="3"/>
    </cacheField>
    <cacheField name="Years" numFmtId="0" databaseField="0">
      <fieldGroup base="1">
        <rangePr groupBy="years" startDate="2019-08-11T00:00:00" endDate="2020-07-27T00:00:00"/>
        <groupItems count="4">
          <s v="&lt;11/8/2019"/>
          <s v="2019"/>
          <s v="2020"/>
          <s v="&gt;27/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570.955748611108" createdVersion="6" refreshedVersion="6" minRefreshableVersion="3" recordCount="38" xr:uid="{6A4E035D-F746-446E-9757-8EE015899D7D}">
  <cacheSource type="worksheet">
    <worksheetSource ref="A1:H39" sheet="Tottenham Hotspur FC"/>
  </cacheSource>
  <cacheFields count="9">
    <cacheField name="Round" numFmtId="0">
      <sharedItems containsSemiMixedTypes="0" containsString="0" containsNumber="1" containsInteger="1" minValue="1" maxValue="38"/>
    </cacheField>
    <cacheField name="Date" numFmtId="14">
      <sharedItems containsSemiMixedTypes="0" containsNonDate="0" containsDate="1" containsString="0" minDate="2019-08-10T00:00:00" maxDate="2020-07-27T00:00:00" count="38">
        <d v="2019-08-10T00:00:00"/>
        <d v="2019-08-17T00:00:00"/>
        <d v="2019-08-25T00:00:00"/>
        <d v="2019-09-01T00:00:00"/>
        <d v="2019-09-14T00:00:00"/>
        <d v="2019-09-21T00:00:00"/>
        <d v="2019-09-28T00:00:00"/>
        <d v="2019-10-05T00:00:00"/>
        <d v="2019-10-19T00:00:00"/>
        <d v="2019-10-27T00:00:00"/>
        <d v="2019-11-03T00:00:00"/>
        <d v="2019-11-09T00:00:00"/>
        <d v="2019-11-23T00:00:00"/>
        <d v="2019-11-30T00:00:00"/>
        <d v="2019-12-04T00:00:00"/>
        <d v="2019-12-07T00:00:00"/>
        <d v="2019-12-15T00:00:00"/>
        <d v="2019-12-22T00:00:00"/>
        <d v="2019-12-26T00:00:00"/>
        <d v="2019-12-28T00:00:00"/>
        <d v="2020-01-01T00:00:00"/>
        <d v="2020-01-11T00:00:00"/>
        <d v="2020-01-18T00:00:00"/>
        <d v="2020-01-22T00:00:00"/>
        <d v="2020-02-02T00:00:00"/>
        <d v="2020-02-16T00:00:00"/>
        <d v="2020-02-22T00:00:00"/>
        <d v="2020-03-01T00:00:00"/>
        <d v="2020-03-07T00:00:00"/>
        <d v="2020-06-19T00:00:00"/>
        <d v="2020-06-23T00:00:00"/>
        <d v="2020-07-02T00:00:00"/>
        <d v="2020-07-06T00:00:00"/>
        <d v="2020-07-09T00:00:00"/>
        <d v="2020-07-12T00:00:00"/>
        <d v="2020-07-15T00:00:00"/>
        <d v="2020-07-19T00:00:00"/>
        <d v="2020-07-26T00:00:00"/>
      </sharedItems>
      <fieldGroup par="8" base="1">
        <rangePr groupBy="months" startDate="2019-08-10T00:00:00" endDate="2020-07-27T00:00:00"/>
        <groupItems count="14">
          <s v="&lt;10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7/2020"/>
        </groupItems>
      </fieldGroup>
    </cacheField>
    <cacheField name="Home" numFmtId="0">
      <sharedItems/>
    </cacheField>
    <cacheField name="Home Score" numFmtId="0">
      <sharedItems containsSemiMixedTypes="0" containsString="0" containsNumber="1" containsInteger="1" minValue="0" maxValue="5"/>
    </cacheField>
    <cacheField name="Away" numFmtId="0">
      <sharedItems/>
    </cacheField>
    <cacheField name="Away Score" numFmtId="0">
      <sharedItems containsSemiMixedTypes="0" containsString="0" containsNumber="1" containsInteger="1" minValue="0" maxValue="3"/>
    </cacheField>
    <cacheField name="Form" numFmtId="0">
      <sharedItems containsNonDate="0" containsString="0" containsBlank="1"/>
    </cacheField>
    <cacheField name="Pts" numFmtId="0">
      <sharedItems containsSemiMixedTypes="0" containsString="0" containsNumber="1" containsInteger="1" minValue="0" maxValue="3"/>
    </cacheField>
    <cacheField name="Years" numFmtId="0" databaseField="0">
      <fieldGroup base="1">
        <rangePr groupBy="years" startDate="2019-08-10T00:00:00" endDate="2020-07-27T00:00:00"/>
        <groupItems count="4">
          <s v="&lt;10/8/2019"/>
          <s v="2019"/>
          <s v="2020"/>
          <s v="&gt;27/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570.959226157407" createdVersion="6" refreshedVersion="6" minRefreshableVersion="3" recordCount="38" xr:uid="{2D1AB276-D9CF-49F7-AF36-E52F9ACEF2AF}">
  <cacheSource type="worksheet">
    <worksheetSource ref="A1:H39" sheet="Watford FC"/>
  </cacheSource>
  <cacheFields count="9">
    <cacheField name="Round" numFmtId="0">
      <sharedItems containsSemiMixedTypes="0" containsString="0" containsNumber="1" containsInteger="1" minValue="1" maxValue="38"/>
    </cacheField>
    <cacheField name="Date" numFmtId="14">
      <sharedItems containsSemiMixedTypes="0" containsNonDate="0" containsDate="1" containsString="0" minDate="2019-08-10T00:00:00" maxDate="2020-07-27T00:00:00" count="38">
        <d v="2019-08-10T00:00:00"/>
        <d v="2019-08-17T00:00:00"/>
        <d v="2019-08-24T00:00:00"/>
        <d v="2019-08-31T00:00:00"/>
        <d v="2019-09-15T00:00:00"/>
        <d v="2019-09-21T00:00:00"/>
        <d v="2019-09-28T00:00:00"/>
        <d v="2019-10-05T00:00:00"/>
        <d v="2019-10-19T00:00:00"/>
        <d v="2019-10-26T00:00:00"/>
        <d v="2019-11-02T00:00:00"/>
        <d v="2019-11-08T00:00:00"/>
        <d v="2019-11-23T00:00:00"/>
        <d v="2019-11-30T00:00:00"/>
        <d v="2019-12-04T00:00:00"/>
        <d v="2019-12-07T00:00:00"/>
        <d v="2019-12-14T00:00:00"/>
        <d v="2019-12-22T00:00:00"/>
        <d v="2019-12-26T00:00:00"/>
        <d v="2019-12-28T00:00:00"/>
        <d v="2020-01-01T00:00:00"/>
        <d v="2020-01-12T00:00:00"/>
        <d v="2020-01-18T00:00:00"/>
        <d v="2020-01-21T00:00:00"/>
        <d v="2020-02-01T00:00:00"/>
        <d v="2020-02-08T00:00:00"/>
        <d v="2020-02-23T00:00:00"/>
        <d v="2020-02-29T00:00:00"/>
        <d v="2020-03-07T00:00:00"/>
        <d v="2020-06-20T00:00:00"/>
        <d v="2020-06-25T00:00:00"/>
        <d v="2020-06-28T00:00:00"/>
        <d v="2020-07-04T00:00:00"/>
        <d v="2020-07-07T00:00:00"/>
        <d v="2020-07-11T00:00:00"/>
        <d v="2020-07-17T00:00:00"/>
        <d v="2020-07-21T00:00:00"/>
        <d v="2020-07-26T00:00:00"/>
      </sharedItems>
      <fieldGroup par="8" base="1">
        <rangePr groupBy="months" startDate="2019-08-10T00:00:00" endDate="2020-07-27T00:00:00"/>
        <groupItems count="14">
          <s v="&lt;10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7/2020"/>
        </groupItems>
      </fieldGroup>
    </cacheField>
    <cacheField name="Home" numFmtId="0">
      <sharedItems/>
    </cacheField>
    <cacheField name="Home Score" numFmtId="0">
      <sharedItems containsSemiMixedTypes="0" containsString="0" containsNumber="1" containsInteger="1" minValue="0" maxValue="8"/>
    </cacheField>
    <cacheField name="Away" numFmtId="0">
      <sharedItems/>
    </cacheField>
    <cacheField name="Away Score" numFmtId="0">
      <sharedItems containsSemiMixedTypes="0" containsString="0" containsNumber="1" containsInteger="1" minValue="0" maxValue="4"/>
    </cacheField>
    <cacheField name="Form" numFmtId="0">
      <sharedItems containsNonDate="0" containsString="0" containsBlank="1"/>
    </cacheField>
    <cacheField name="Pts" numFmtId="0">
      <sharedItems containsSemiMixedTypes="0" containsString="0" containsNumber="1" containsInteger="1" minValue="0" maxValue="3"/>
    </cacheField>
    <cacheField name="Years" numFmtId="0" databaseField="0">
      <fieldGroup base="1">
        <rangePr groupBy="years" startDate="2019-08-10T00:00:00" endDate="2020-07-27T00:00:00"/>
        <groupItems count="4">
          <s v="&lt;10/8/2019"/>
          <s v="2019"/>
          <s v="2020"/>
          <s v="&gt;27/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570.959789351851" createdVersion="6" refreshedVersion="6" minRefreshableVersion="3" recordCount="38" xr:uid="{16753D1A-B1D7-4592-A095-A2E361E2E180}">
  <cacheSource type="worksheet">
    <worksheetSource ref="A1:H39" sheet="Crystal Palace FC"/>
  </cacheSource>
  <cacheFields count="9">
    <cacheField name="Round" numFmtId="0">
      <sharedItems containsSemiMixedTypes="0" containsString="0" containsNumber="1" containsInteger="1" minValue="1" maxValue="38"/>
    </cacheField>
    <cacheField name="Date" numFmtId="14">
      <sharedItems containsSemiMixedTypes="0" containsNonDate="0" containsDate="1" containsString="0" minDate="2019-08-10T00:00:00" maxDate="2020-07-27T00:00:00" count="38">
        <d v="2019-08-10T00:00:00"/>
        <d v="2019-08-18T00:00:00"/>
        <d v="2019-08-24T00:00:00"/>
        <d v="2019-08-31T00:00:00"/>
        <d v="2019-09-14T00:00:00"/>
        <d v="2019-09-22T00:00:00"/>
        <d v="2019-09-28T00:00:00"/>
        <d v="2019-10-05T00:00:00"/>
        <d v="2019-10-19T00:00:00"/>
        <d v="2019-10-27T00:00:00"/>
        <d v="2019-11-03T00:00:00"/>
        <d v="2019-11-09T00:00:00"/>
        <d v="2019-11-23T00:00:00"/>
        <d v="2019-11-30T00:00:00"/>
        <d v="2019-12-03T00:00:00"/>
        <d v="2019-12-07T00:00:00"/>
        <d v="2019-12-16T00:00:00"/>
        <d v="2019-12-21T00:00:00"/>
        <d v="2019-12-26T00:00:00"/>
        <d v="2019-12-28T00:00:00"/>
        <d v="2020-01-01T00:00:00"/>
        <d v="2020-01-11T00:00:00"/>
        <d v="2020-01-18T00:00:00"/>
        <d v="2020-01-21T00:00:00"/>
        <d v="2020-02-01T00:00:00"/>
        <d v="2020-02-08T00:00:00"/>
        <d v="2020-02-22T00:00:00"/>
        <d v="2020-02-29T00:00:00"/>
        <d v="2020-03-07T00:00:00"/>
        <d v="2020-06-20T00:00:00"/>
        <d v="2020-06-24T00:00:00"/>
        <d v="2020-06-29T00:00:00"/>
        <d v="2020-07-04T00:00:00"/>
        <d v="2020-07-07T00:00:00"/>
        <d v="2020-07-12T00:00:00"/>
        <d v="2020-07-16T00:00:00"/>
        <d v="2020-07-20T00:00:00"/>
        <d v="2020-07-26T00:00:00"/>
      </sharedItems>
      <fieldGroup par="8" base="1">
        <rangePr groupBy="months" startDate="2019-08-10T00:00:00" endDate="2020-07-27T00:00:00"/>
        <groupItems count="14">
          <s v="&lt;10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7/2020"/>
        </groupItems>
      </fieldGroup>
    </cacheField>
    <cacheField name="Home" numFmtId="0">
      <sharedItems/>
    </cacheField>
    <cacheField name="Home Score" numFmtId="0">
      <sharedItems containsSemiMixedTypes="0" containsString="0" containsNumber="1" containsInteger="1" minValue="0" maxValue="4"/>
    </cacheField>
    <cacheField name="Away" numFmtId="0">
      <sharedItems/>
    </cacheField>
    <cacheField name="Away Score" numFmtId="0">
      <sharedItems containsSemiMixedTypes="0" containsString="0" containsNumber="1" containsInteger="1" minValue="0" maxValue="3"/>
    </cacheField>
    <cacheField name="Form" numFmtId="0">
      <sharedItems containsNonDate="0" containsString="0" containsBlank="1"/>
    </cacheField>
    <cacheField name="Pts" numFmtId="0">
      <sharedItems containsSemiMixedTypes="0" containsString="0" containsNumber="1" containsInteger="1" minValue="0" maxValue="3"/>
    </cacheField>
    <cacheField name="Years" numFmtId="0" databaseField="0">
      <fieldGroup base="1">
        <rangePr groupBy="years" startDate="2019-08-10T00:00:00" endDate="2020-07-27T00:00:00"/>
        <groupItems count="4">
          <s v="&lt;10/8/2019"/>
          <s v="2019"/>
          <s v="2020"/>
          <s v="&gt;27/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570.96100891204" createdVersion="6" refreshedVersion="6" minRefreshableVersion="3" recordCount="38" xr:uid="{5437E067-19E8-49AC-8747-5C89F7E6534E}">
  <cacheSource type="worksheet">
    <worksheetSource ref="A1:H39" sheet="AFC Bournemouth"/>
  </cacheSource>
  <cacheFields count="9">
    <cacheField name="Round" numFmtId="0">
      <sharedItems containsSemiMixedTypes="0" containsString="0" containsNumber="1" containsInteger="1" minValue="1" maxValue="38"/>
    </cacheField>
    <cacheField name="Date" numFmtId="14">
      <sharedItems containsSemiMixedTypes="0" containsNonDate="0" containsDate="1" containsString="0" minDate="2019-08-10T00:00:00" maxDate="2020-07-27T00:00:00" count="38">
        <d v="2019-08-10T00:00:00"/>
        <d v="2019-08-17T00:00:00"/>
        <d v="2019-08-25T00:00:00"/>
        <d v="2019-08-31T00:00:00"/>
        <d v="2019-09-15T00:00:00"/>
        <d v="2019-09-20T00:00:00"/>
        <d v="2019-09-28T00:00:00"/>
        <d v="2019-10-06T00:00:00"/>
        <d v="2019-10-19T00:00:00"/>
        <d v="2019-10-26T00:00:00"/>
        <d v="2019-11-02T00:00:00"/>
        <d v="2019-11-09T00:00:00"/>
        <d v="2019-11-23T00:00:00"/>
        <d v="2019-11-30T00:00:00"/>
        <d v="2019-12-03T00:00:00"/>
        <d v="2019-12-07T00:00:00"/>
        <d v="2019-12-14T00:00:00"/>
        <d v="2019-12-21T00:00:00"/>
        <d v="2019-12-26T00:00:00"/>
        <d v="2019-12-28T00:00:00"/>
        <d v="2020-01-01T00:00:00"/>
        <d v="2020-01-12T00:00:00"/>
        <d v="2020-01-18T00:00:00"/>
        <d v="2020-01-21T00:00:00"/>
        <d v="2020-02-01T00:00:00"/>
        <d v="2020-02-09T00:00:00"/>
        <d v="2020-02-22T00:00:00"/>
        <d v="2020-02-29T00:00:00"/>
        <d v="2020-03-07T00:00:00"/>
        <d v="2020-06-20T00:00:00"/>
        <d v="2020-06-24T00:00:00"/>
        <d v="2020-07-01T00:00:00"/>
        <d v="2020-07-04T00:00:00"/>
        <d v="2020-07-09T00:00:00"/>
        <d v="2020-07-12T00:00:00"/>
        <d v="2020-07-15T00:00:00"/>
        <d v="2020-07-19T00:00:00"/>
        <d v="2020-07-26T00:00:00"/>
      </sharedItems>
      <fieldGroup par="8" base="1">
        <rangePr groupBy="months" startDate="2019-08-10T00:00:00" endDate="2020-07-27T00:00:00"/>
        <groupItems count="14">
          <s v="&lt;10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7/2020"/>
        </groupItems>
      </fieldGroup>
    </cacheField>
    <cacheField name="Home" numFmtId="0">
      <sharedItems/>
    </cacheField>
    <cacheField name="Home Score" numFmtId="0">
      <sharedItems containsSemiMixedTypes="0" containsString="0" containsNumber="1" containsInteger="1" minValue="0" maxValue="5"/>
    </cacheField>
    <cacheField name="Away" numFmtId="0">
      <sharedItems/>
    </cacheField>
    <cacheField name="Away Score" numFmtId="0">
      <sharedItems containsSemiMixedTypes="0" containsString="0" containsNumber="1" containsInteger="1" minValue="0" maxValue="4"/>
    </cacheField>
    <cacheField name="Form" numFmtId="0">
      <sharedItems containsNonDate="0" containsString="0" containsBlank="1"/>
    </cacheField>
    <cacheField name="Pts" numFmtId="0">
      <sharedItems containsSemiMixedTypes="0" containsString="0" containsNumber="1" containsInteger="1" minValue="0" maxValue="3"/>
    </cacheField>
    <cacheField name="Years" numFmtId="0" databaseField="0">
      <fieldGroup base="1">
        <rangePr groupBy="years" startDate="2019-08-10T00:00:00" endDate="2020-07-27T00:00:00"/>
        <groupItems count="4">
          <s v="&lt;10/8/2019"/>
          <s v="2019"/>
          <s v="2020"/>
          <s v="&gt;27/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570.961676851854" createdVersion="6" refreshedVersion="6" minRefreshableVersion="3" recordCount="38" xr:uid="{8330A959-7593-4098-82CC-A52979F37796}">
  <cacheSource type="worksheet">
    <worksheetSource ref="A1:H39" sheet="Burnley FC"/>
  </cacheSource>
  <cacheFields count="9">
    <cacheField name="Round" numFmtId="0">
      <sharedItems containsSemiMixedTypes="0" containsString="0" containsNumber="1" containsInteger="1" minValue="1" maxValue="38"/>
    </cacheField>
    <cacheField name="Date" numFmtId="14">
      <sharedItems containsSemiMixedTypes="0" containsNonDate="0" containsDate="1" containsString="0" minDate="2019-08-10T00:00:00" maxDate="2020-07-27T00:00:00" count="38">
        <d v="2019-08-10T00:00:00"/>
        <d v="2019-08-17T00:00:00"/>
        <d v="2019-08-25T00:00:00"/>
        <d v="2019-08-31T00:00:00"/>
        <d v="2019-09-14T00:00:00"/>
        <d v="2019-09-21T00:00:00"/>
        <d v="2019-09-28T00:00:00"/>
        <d v="2019-10-05T00:00:00"/>
        <d v="2019-10-19T00:00:00"/>
        <d v="2019-10-26T00:00:00"/>
        <d v="2019-11-02T00:00:00"/>
        <d v="2019-11-09T00:00:00"/>
        <d v="2019-11-23T00:00:00"/>
        <d v="2019-11-30T00:00:00"/>
        <d v="2019-12-03T00:00:00"/>
        <d v="2019-12-07T00:00:00"/>
        <d v="2019-12-14T00:00:00"/>
        <d v="2019-12-21T00:00:00"/>
        <d v="2019-12-26T00:00:00"/>
        <d v="2019-12-28T00:00:00"/>
        <d v="2020-01-01T00:00:00"/>
        <d v="2020-01-11T00:00:00"/>
        <d v="2020-01-19T00:00:00"/>
        <d v="2020-01-22T00:00:00"/>
        <d v="2020-02-02T00:00:00"/>
        <d v="2020-02-15T00:00:00"/>
        <d v="2020-02-22T00:00:00"/>
        <d v="2020-02-29T00:00:00"/>
        <d v="2020-03-07T00:00:00"/>
        <d v="2020-06-22T00:00:00"/>
        <d v="2020-06-25T00:00:00"/>
        <d v="2020-06-29T00:00:00"/>
        <d v="2020-07-05T00:00:00"/>
        <d v="2020-07-08T00:00:00"/>
        <d v="2020-07-11T00:00:00"/>
        <d v="2020-07-15T00:00:00"/>
        <d v="2020-07-18T00:00:00"/>
        <d v="2020-07-26T00:00:00"/>
      </sharedItems>
      <fieldGroup par="8" base="1">
        <rangePr groupBy="months" startDate="2019-08-10T00:00:00" endDate="2020-07-27T00:00:00"/>
        <groupItems count="14">
          <s v="&lt;10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7/2020"/>
        </groupItems>
      </fieldGroup>
    </cacheField>
    <cacheField name="Home" numFmtId="0">
      <sharedItems/>
    </cacheField>
    <cacheField name="Home Score" numFmtId="0">
      <sharedItems containsSemiMixedTypes="0" containsString="0" containsNumber="1" containsInteger="1" minValue="0" maxValue="5"/>
    </cacheField>
    <cacheField name="Away" numFmtId="0">
      <sharedItems/>
    </cacheField>
    <cacheField name="Away Score" numFmtId="0">
      <sharedItems containsSemiMixedTypes="0" containsString="0" containsNumber="1" containsInteger="1" minValue="0" maxValue="4"/>
    </cacheField>
    <cacheField name="Form" numFmtId="0">
      <sharedItems containsNonDate="0" containsString="0" containsBlank="1"/>
    </cacheField>
    <cacheField name="Pts" numFmtId="0">
      <sharedItems containsSemiMixedTypes="0" containsString="0" containsNumber="1" containsInteger="1" minValue="0" maxValue="3"/>
    </cacheField>
    <cacheField name="Years" numFmtId="0" databaseField="0">
      <fieldGroup base="1">
        <rangePr groupBy="years" startDate="2019-08-10T00:00:00" endDate="2020-07-27T00:00:00"/>
        <groupItems count="4">
          <s v="&lt;10/8/2019"/>
          <s v="2019"/>
          <s v="2020"/>
          <s v="&gt;27/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4571.009201736109" createdVersion="6" refreshedVersion="7" minRefreshableVersion="3" recordCount="38" xr:uid="{0BE847F2-E421-45F3-A537-785823EFAD39}">
  <cacheSource type="worksheet">
    <worksheetSource ref="A1:H39" sheet="West Ham United FC"/>
  </cacheSource>
  <cacheFields count="9">
    <cacheField name="Round" numFmtId="0">
      <sharedItems containsSemiMixedTypes="0" containsString="0" containsNumber="1" containsInteger="1" minValue="1" maxValue="38" count="3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</sharedItems>
    </cacheField>
    <cacheField name="Date" numFmtId="14">
      <sharedItems containsSemiMixedTypes="0" containsNonDate="0" containsDate="1" containsString="0" minDate="2019-08-10T00:00:00" maxDate="2020-07-27T00:00:00" count="38">
        <d v="2019-08-10T00:00:00"/>
        <d v="2019-08-17T00:00:00"/>
        <d v="2019-08-24T00:00:00"/>
        <d v="2019-08-31T00:00:00"/>
        <d v="2019-09-16T00:00:00"/>
        <d v="2019-09-22T00:00:00"/>
        <d v="2019-09-28T00:00:00"/>
        <d v="2019-10-05T00:00:00"/>
        <d v="2019-10-19T00:00:00"/>
        <d v="2019-10-26T00:00:00"/>
        <d v="2019-11-02T00:00:00"/>
        <d v="2019-11-09T00:00:00"/>
        <d v="2019-11-23T00:00:00"/>
        <d v="2019-11-30T00:00:00"/>
        <d v="2019-12-04T00:00:00"/>
        <d v="2019-12-09T00:00:00"/>
        <d v="2019-12-14T00:00:00"/>
        <d v="2020-01-29T00:00:00"/>
        <d v="2019-12-26T00:00:00"/>
        <d v="2019-12-28T00:00:00"/>
        <d v="2020-01-01T00:00:00"/>
        <d v="2020-01-10T00:00:00"/>
        <d v="2020-01-18T00:00:00"/>
        <d v="2020-01-22T00:00:00"/>
        <d v="2020-02-01T00:00:00"/>
        <d v="2020-02-19T00:00:00"/>
        <d v="2020-02-24T00:00:00"/>
        <d v="2020-02-29T00:00:00"/>
        <d v="2020-03-07T00:00:00"/>
        <d v="2020-06-20T00:00:00"/>
        <d v="2020-06-23T00:00:00"/>
        <d v="2020-07-01T00:00:00"/>
        <d v="2020-07-05T00:00:00"/>
        <d v="2020-07-08T00:00:00"/>
        <d v="2020-07-11T00:00:00"/>
        <d v="2020-07-17T00:00:00"/>
        <d v="2020-07-22T00:00:00"/>
        <d v="2020-07-26T00:00:00"/>
      </sharedItems>
      <fieldGroup par="8" base="1">
        <rangePr groupBy="months" startDate="2019-08-10T00:00:00" endDate="2020-07-27T00:00:00"/>
        <groupItems count="14">
          <s v="&lt;8/10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7/27/2020"/>
        </groupItems>
      </fieldGroup>
    </cacheField>
    <cacheField name="Home" numFmtId="0">
      <sharedItems count="20">
        <s v="West Ham United FC"/>
        <s v="Brighton &amp; Hove Albion FC"/>
        <s v="Watford FC"/>
        <s v="Aston Villa FC"/>
        <s v="AFC Bournemouth"/>
        <s v="Everton FC"/>
        <s v="Burnley FC"/>
        <s v="Chelsea FC"/>
        <s v="Wolverhampton Wanderers FC"/>
        <s v="Southampton FC"/>
        <s v="Crystal Palace FC"/>
        <s v="Sheffield United FC"/>
        <s v="Leicester City FC"/>
        <s v="Manchester City FC"/>
        <s v="Liverpool FC"/>
        <s v="Arsenal FC"/>
        <s v="Tottenham Hotspur FC"/>
        <s v="Newcastle United FC"/>
        <s v="Norwich City FC"/>
        <s v="Manchester United FC"/>
      </sharedItems>
    </cacheField>
    <cacheField name="Home Score" numFmtId="0">
      <sharedItems containsSemiMixedTypes="0" containsString="0" containsNumber="1" containsInteger="1" minValue="0" maxValue="4"/>
    </cacheField>
    <cacheField name="Away" numFmtId="0">
      <sharedItems/>
    </cacheField>
    <cacheField name="Away Score" numFmtId="0">
      <sharedItems containsSemiMixedTypes="0" containsString="0" containsNumber="1" containsInteger="1" minValue="0" maxValue="5"/>
    </cacheField>
    <cacheField name="Form" numFmtId="0">
      <sharedItems containsNonDate="0" containsString="0" containsBlank="1"/>
    </cacheField>
    <cacheField name="Pts" numFmtId="0">
      <sharedItems containsSemiMixedTypes="0" containsString="0" containsNumber="1" containsInteger="1" minValue="0" maxValue="3" count="3">
        <n v="0"/>
        <n v="1"/>
        <n v="3"/>
      </sharedItems>
    </cacheField>
    <cacheField name="Years" numFmtId="0" databaseField="0">
      <fieldGroup base="1">
        <rangePr groupBy="years" startDate="2019-08-10T00:00:00" endDate="2020-07-27T00:00:00"/>
        <groupItems count="4">
          <s v="&lt;8/10/2019"/>
          <s v="2019"/>
          <s v="2020"/>
          <s v="&gt;7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s v="Liverpool FC"/>
    <n v="4"/>
    <s v="Norwich City FC"/>
    <n v="1"/>
    <m/>
    <x v="0"/>
  </r>
  <r>
    <n v="2"/>
    <x v="1"/>
    <s v="Southampton FC"/>
    <n v="1"/>
    <s v="Liverpool FC"/>
    <n v="2"/>
    <m/>
    <x v="0"/>
  </r>
  <r>
    <n v="3"/>
    <x v="2"/>
    <s v="Liverpool FC"/>
    <n v="3"/>
    <s v="Arsenal FC"/>
    <n v="1"/>
    <m/>
    <x v="0"/>
  </r>
  <r>
    <n v="4"/>
    <x v="3"/>
    <s v="Burnley FC"/>
    <n v="0"/>
    <s v="Liverpool FC"/>
    <n v="3"/>
    <m/>
    <x v="0"/>
  </r>
  <r>
    <n v="5"/>
    <x v="4"/>
    <s v="Liverpool FC"/>
    <n v="3"/>
    <s v="Newcastle United FC"/>
    <n v="1"/>
    <m/>
    <x v="0"/>
  </r>
  <r>
    <n v="6"/>
    <x v="5"/>
    <s v="Chelsea FC"/>
    <n v="1"/>
    <s v="Liverpool FC"/>
    <n v="2"/>
    <m/>
    <x v="0"/>
  </r>
  <r>
    <n v="7"/>
    <x v="6"/>
    <s v="Sheffield United FC"/>
    <n v="0"/>
    <s v="Liverpool FC"/>
    <n v="1"/>
    <m/>
    <x v="0"/>
  </r>
  <r>
    <n v="8"/>
    <x v="7"/>
    <s v="Liverpool FC"/>
    <n v="2"/>
    <s v="Leicester City FC"/>
    <n v="1"/>
    <m/>
    <x v="0"/>
  </r>
  <r>
    <n v="9"/>
    <x v="8"/>
    <s v="Manchester United FC"/>
    <n v="1"/>
    <s v="Liverpool FC"/>
    <n v="1"/>
    <m/>
    <x v="1"/>
  </r>
  <r>
    <n v="10"/>
    <x v="9"/>
    <s v="Liverpool FC"/>
    <n v="2"/>
    <s v="Tottenham Hotspur FC"/>
    <n v="1"/>
    <m/>
    <x v="0"/>
  </r>
  <r>
    <n v="11"/>
    <x v="10"/>
    <s v="Aston Villa FC"/>
    <n v="1"/>
    <s v="Liverpool FC"/>
    <n v="2"/>
    <m/>
    <x v="0"/>
  </r>
  <r>
    <n v="12"/>
    <x v="11"/>
    <s v="Liverpool FC"/>
    <n v="3"/>
    <s v="Manchester City FC"/>
    <n v="1"/>
    <m/>
    <x v="0"/>
  </r>
  <r>
    <n v="13"/>
    <x v="12"/>
    <s v="Crystal Palace FC"/>
    <n v="1"/>
    <s v="Liverpool FC"/>
    <n v="2"/>
    <m/>
    <x v="0"/>
  </r>
  <r>
    <n v="14"/>
    <x v="13"/>
    <s v="Liverpool FC"/>
    <n v="2"/>
    <s v="Brighton &amp; Hove Albion FC"/>
    <n v="1"/>
    <m/>
    <x v="0"/>
  </r>
  <r>
    <n v="15"/>
    <x v="14"/>
    <s v="Liverpool FC"/>
    <n v="5"/>
    <s v="Everton FC"/>
    <n v="2"/>
    <m/>
    <x v="0"/>
  </r>
  <r>
    <n v="16"/>
    <x v="15"/>
    <s v="AFC Bournemouth"/>
    <n v="0"/>
    <s v="Liverpool FC"/>
    <n v="3"/>
    <m/>
    <x v="0"/>
  </r>
  <r>
    <n v="17"/>
    <x v="16"/>
    <s v="Liverpool FC"/>
    <n v="2"/>
    <s v="Watford FC"/>
    <n v="0"/>
    <m/>
    <x v="0"/>
  </r>
  <r>
    <n v="18"/>
    <x v="17"/>
    <s v="West Ham United FC"/>
    <n v="0"/>
    <s v="Liverpool FC"/>
    <n v="2"/>
    <m/>
    <x v="0"/>
  </r>
  <r>
    <n v="19"/>
    <x v="18"/>
    <s v="Leicester City FC"/>
    <n v="0"/>
    <s v="Liverpool FC"/>
    <n v="4"/>
    <m/>
    <x v="0"/>
  </r>
  <r>
    <n v="20"/>
    <x v="19"/>
    <s v="Liverpool FC"/>
    <n v="1"/>
    <s v="Wolverhampton Wanderers FC"/>
    <n v="0"/>
    <m/>
    <x v="0"/>
  </r>
  <r>
    <n v="21"/>
    <x v="20"/>
    <s v="Liverpool FC"/>
    <n v="2"/>
    <s v="Sheffield United FC"/>
    <n v="0"/>
    <m/>
    <x v="0"/>
  </r>
  <r>
    <n v="22"/>
    <x v="21"/>
    <s v="Tottenham Hotspur FC"/>
    <n v="0"/>
    <s v="Liverpool FC"/>
    <n v="1"/>
    <m/>
    <x v="0"/>
  </r>
  <r>
    <n v="23"/>
    <x v="22"/>
    <s v="Liverpool FC"/>
    <n v="2"/>
    <s v="Manchester United FC"/>
    <n v="0"/>
    <m/>
    <x v="0"/>
  </r>
  <r>
    <n v="24"/>
    <x v="23"/>
    <s v="Wolverhampton Wanderers FC"/>
    <n v="1"/>
    <s v="Liverpool FC"/>
    <n v="2"/>
    <m/>
    <x v="0"/>
  </r>
  <r>
    <n v="25"/>
    <x v="24"/>
    <s v="Liverpool FC"/>
    <n v="4"/>
    <s v="Southampton FC"/>
    <n v="0"/>
    <m/>
    <x v="0"/>
  </r>
  <r>
    <n v="26"/>
    <x v="25"/>
    <s v="Norwich City FC"/>
    <n v="0"/>
    <s v="Liverpool FC"/>
    <n v="1"/>
    <m/>
    <x v="0"/>
  </r>
  <r>
    <n v="27"/>
    <x v="26"/>
    <s v="Liverpool FC"/>
    <n v="3"/>
    <s v="West Ham United FC"/>
    <n v="2"/>
    <m/>
    <x v="0"/>
  </r>
  <r>
    <n v="28"/>
    <x v="27"/>
    <s v="Watford FC"/>
    <n v="3"/>
    <s v="Liverpool FC"/>
    <n v="0"/>
    <m/>
    <x v="2"/>
  </r>
  <r>
    <n v="29"/>
    <x v="28"/>
    <s v="Liverpool FC"/>
    <n v="2"/>
    <s v="AFC Bournemouth"/>
    <n v="1"/>
    <m/>
    <x v="0"/>
  </r>
  <r>
    <n v="30"/>
    <x v="29"/>
    <s v="Everton FC"/>
    <n v="0"/>
    <s v="Liverpool FC"/>
    <n v="0"/>
    <m/>
    <x v="1"/>
  </r>
  <r>
    <n v="31"/>
    <x v="30"/>
    <s v="Liverpool FC"/>
    <n v="4"/>
    <s v="Crystal Palace FC"/>
    <n v="0"/>
    <m/>
    <x v="0"/>
  </r>
  <r>
    <n v="32"/>
    <x v="31"/>
    <s v="Manchester City FC"/>
    <n v="4"/>
    <s v="Liverpool FC"/>
    <n v="0"/>
    <m/>
    <x v="2"/>
  </r>
  <r>
    <n v="33"/>
    <x v="32"/>
    <s v="Liverpool FC"/>
    <n v="2"/>
    <s v="Aston Villa FC"/>
    <n v="0"/>
    <m/>
    <x v="0"/>
  </r>
  <r>
    <n v="34"/>
    <x v="33"/>
    <s v="Brighton &amp; Hove Albion FC"/>
    <n v="1"/>
    <s v="Liverpool FC"/>
    <n v="3"/>
    <m/>
    <x v="0"/>
  </r>
  <r>
    <n v="35"/>
    <x v="34"/>
    <s v="Liverpool FC"/>
    <n v="1"/>
    <s v="Burnley FC"/>
    <n v="1"/>
    <m/>
    <x v="1"/>
  </r>
  <r>
    <n v="36"/>
    <x v="35"/>
    <s v="Arsenal FC"/>
    <n v="2"/>
    <s v="Liverpool FC"/>
    <n v="1"/>
    <m/>
    <x v="2"/>
  </r>
  <r>
    <n v="37"/>
    <x v="36"/>
    <s v="Liverpool FC"/>
    <n v="5"/>
    <s v="Chelsea FC"/>
    <n v="3"/>
    <m/>
    <x v="0"/>
  </r>
  <r>
    <n v="38"/>
    <x v="37"/>
    <s v="Newcastle United FC"/>
    <n v="1"/>
    <s v="Liverpool FC"/>
    <n v="3"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s v="Leicester City FC"/>
    <n v="0"/>
    <s v="Wolverhampton Wanderers FC"/>
    <n v="0"/>
    <m/>
    <n v="1"/>
  </r>
  <r>
    <n v="2"/>
    <x v="1"/>
    <s v="Wolverhampton Wanderers FC"/>
    <n v="1"/>
    <s v="Manchester United FC"/>
    <n v="1"/>
    <m/>
    <n v="1"/>
  </r>
  <r>
    <n v="3"/>
    <x v="2"/>
    <s v="Wolverhampton Wanderers FC"/>
    <n v="1"/>
    <s v="Burnley FC"/>
    <n v="1"/>
    <m/>
    <n v="1"/>
  </r>
  <r>
    <n v="4"/>
    <x v="3"/>
    <s v="Everton FC"/>
    <n v="3"/>
    <s v="Wolverhampton Wanderers FC"/>
    <n v="2"/>
    <m/>
    <n v="0"/>
  </r>
  <r>
    <n v="5"/>
    <x v="4"/>
    <s v="Wolverhampton Wanderers FC"/>
    <n v="2"/>
    <s v="Chelsea FC"/>
    <n v="5"/>
    <m/>
    <n v="0"/>
  </r>
  <r>
    <n v="6"/>
    <x v="5"/>
    <s v="Crystal Palace FC"/>
    <n v="1"/>
    <s v="Wolverhampton Wanderers FC"/>
    <n v="1"/>
    <m/>
    <n v="1"/>
  </r>
  <r>
    <n v="7"/>
    <x v="6"/>
    <s v="Wolverhampton Wanderers FC"/>
    <n v="2"/>
    <s v="Watford FC"/>
    <n v="0"/>
    <m/>
    <n v="3"/>
  </r>
  <r>
    <n v="8"/>
    <x v="7"/>
    <s v="Manchester City FC"/>
    <n v="0"/>
    <s v="Wolverhampton Wanderers FC"/>
    <n v="2"/>
    <m/>
    <n v="3"/>
  </r>
  <r>
    <n v="9"/>
    <x v="8"/>
    <s v="Wolverhampton Wanderers FC"/>
    <n v="1"/>
    <s v="Southampton FC"/>
    <n v="1"/>
    <m/>
    <n v="1"/>
  </r>
  <r>
    <n v="10"/>
    <x v="9"/>
    <s v="Newcastle United FC"/>
    <n v="1"/>
    <s v="Wolverhampton Wanderers FC"/>
    <n v="1"/>
    <m/>
    <n v="1"/>
  </r>
  <r>
    <n v="11"/>
    <x v="10"/>
    <s v="Arsenal FC"/>
    <n v="1"/>
    <s v="Wolverhampton Wanderers FC"/>
    <n v="1"/>
    <m/>
    <n v="1"/>
  </r>
  <r>
    <n v="12"/>
    <x v="11"/>
    <s v="Wolverhampton Wanderers FC"/>
    <n v="2"/>
    <s v="Aston Villa FC"/>
    <n v="1"/>
    <m/>
    <n v="3"/>
  </r>
  <r>
    <n v="13"/>
    <x v="12"/>
    <s v="AFC Bournemouth"/>
    <n v="1"/>
    <s v="Wolverhampton Wanderers FC"/>
    <n v="2"/>
    <m/>
    <n v="3"/>
  </r>
  <r>
    <n v="14"/>
    <x v="13"/>
    <s v="Wolverhampton Wanderers FC"/>
    <n v="1"/>
    <s v="Sheffield United FC"/>
    <n v="1"/>
    <m/>
    <n v="1"/>
  </r>
  <r>
    <n v="15"/>
    <x v="14"/>
    <s v="Wolverhampton Wanderers FC"/>
    <n v="2"/>
    <s v="West Ham United FC"/>
    <n v="0"/>
    <m/>
    <n v="3"/>
  </r>
  <r>
    <n v="16"/>
    <x v="15"/>
    <s v="Brighton &amp; Hove Albion FC"/>
    <n v="2"/>
    <s v="Wolverhampton Wanderers FC"/>
    <n v="2"/>
    <m/>
    <n v="1"/>
  </r>
  <r>
    <n v="17"/>
    <x v="16"/>
    <s v="Wolverhampton Wanderers FC"/>
    <n v="1"/>
    <s v="Tottenham Hotspur FC"/>
    <n v="2"/>
    <m/>
    <n v="0"/>
  </r>
  <r>
    <n v="18"/>
    <x v="17"/>
    <s v="Norwich City FC"/>
    <n v="1"/>
    <s v="Wolverhampton Wanderers FC"/>
    <n v="2"/>
    <m/>
    <n v="3"/>
  </r>
  <r>
    <n v="19"/>
    <x v="18"/>
    <s v="Wolverhampton Wanderers FC"/>
    <n v="3"/>
    <s v="Manchester City FC"/>
    <n v="2"/>
    <m/>
    <n v="3"/>
  </r>
  <r>
    <n v="20"/>
    <x v="19"/>
    <s v="Liverpool FC"/>
    <n v="1"/>
    <s v="Wolverhampton Wanderers FC"/>
    <n v="0"/>
    <m/>
    <n v="0"/>
  </r>
  <r>
    <n v="21"/>
    <x v="20"/>
    <s v="Watford FC"/>
    <n v="2"/>
    <s v="Wolverhampton Wanderers FC"/>
    <n v="1"/>
    <m/>
    <n v="0"/>
  </r>
  <r>
    <n v="22"/>
    <x v="21"/>
    <s v="Wolverhampton Wanderers FC"/>
    <n v="1"/>
    <s v="Newcastle United FC"/>
    <n v="1"/>
    <m/>
    <n v="1"/>
  </r>
  <r>
    <n v="23"/>
    <x v="22"/>
    <s v="Southampton FC"/>
    <n v="2"/>
    <s v="Wolverhampton Wanderers FC"/>
    <n v="3"/>
    <m/>
    <n v="3"/>
  </r>
  <r>
    <n v="24"/>
    <x v="23"/>
    <s v="Wolverhampton Wanderers FC"/>
    <n v="1"/>
    <s v="Liverpool FC"/>
    <n v="2"/>
    <m/>
    <n v="0"/>
  </r>
  <r>
    <n v="25"/>
    <x v="24"/>
    <s v="Manchester United FC"/>
    <n v="0"/>
    <s v="Wolverhampton Wanderers FC"/>
    <n v="0"/>
    <m/>
    <n v="1"/>
  </r>
  <r>
    <n v="26"/>
    <x v="25"/>
    <s v="Wolverhampton Wanderers FC"/>
    <n v="0"/>
    <s v="Leicester City FC"/>
    <n v="0"/>
    <m/>
    <n v="1"/>
  </r>
  <r>
    <n v="27"/>
    <x v="26"/>
    <s v="Wolverhampton Wanderers FC"/>
    <n v="3"/>
    <s v="Norwich City FC"/>
    <n v="0"/>
    <m/>
    <n v="3"/>
  </r>
  <r>
    <n v="28"/>
    <x v="27"/>
    <s v="Tottenham Hotspur FC"/>
    <n v="2"/>
    <s v="Wolverhampton Wanderers FC"/>
    <n v="3"/>
    <m/>
    <n v="3"/>
  </r>
  <r>
    <n v="29"/>
    <x v="28"/>
    <s v="Wolverhampton Wanderers FC"/>
    <n v="0"/>
    <s v="Brighton &amp; Hove Albion FC"/>
    <n v="0"/>
    <m/>
    <n v="1"/>
  </r>
  <r>
    <n v="30"/>
    <x v="29"/>
    <s v="West Ham United FC"/>
    <n v="0"/>
    <s v="Wolverhampton Wanderers FC"/>
    <n v="2"/>
    <m/>
    <n v="3"/>
  </r>
  <r>
    <n v="31"/>
    <x v="30"/>
    <s v="Wolverhampton Wanderers FC"/>
    <n v="1"/>
    <s v="AFC Bournemouth"/>
    <n v="0"/>
    <m/>
    <n v="3"/>
  </r>
  <r>
    <n v="32"/>
    <x v="31"/>
    <s v="Aston Villa FC"/>
    <n v="0"/>
    <s v="Wolverhampton Wanderers FC"/>
    <n v="1"/>
    <m/>
    <n v="3"/>
  </r>
  <r>
    <n v="33"/>
    <x v="32"/>
    <s v="Wolverhampton Wanderers FC"/>
    <n v="0"/>
    <s v="Arsenal FC"/>
    <n v="2"/>
    <m/>
    <n v="0"/>
  </r>
  <r>
    <n v="34"/>
    <x v="33"/>
    <s v="Sheffield United FC"/>
    <n v="1"/>
    <s v="Wolverhampton Wanderers FC"/>
    <n v="0"/>
    <m/>
    <n v="0"/>
  </r>
  <r>
    <n v="35"/>
    <x v="34"/>
    <s v="Wolverhampton Wanderers FC"/>
    <n v="3"/>
    <s v="Everton FC"/>
    <n v="0"/>
    <m/>
    <n v="3"/>
  </r>
  <r>
    <n v="36"/>
    <x v="35"/>
    <s v="Burnley FC"/>
    <n v="1"/>
    <s v="Wolverhampton Wanderers FC"/>
    <n v="1"/>
    <m/>
    <n v="1"/>
  </r>
  <r>
    <n v="37"/>
    <x v="36"/>
    <s v="Wolverhampton Wanderers FC"/>
    <n v="2"/>
    <s v="Crystal Palace FC"/>
    <n v="0"/>
    <m/>
    <n v="3"/>
  </r>
  <r>
    <n v="38"/>
    <x v="37"/>
    <s v="Chelsea FC"/>
    <n v="2"/>
    <s v="Wolverhampton Wanderers FC"/>
    <n v="0"/>
    <m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s v="Manchester United FC"/>
    <n v="4"/>
    <s v="Chelsea FC"/>
    <n v="0"/>
    <m/>
    <n v="0"/>
  </r>
  <r>
    <n v="2"/>
    <x v="1"/>
    <s v="Chelsea FC"/>
    <n v="1"/>
    <s v="Leicester City FC"/>
    <n v="1"/>
    <m/>
    <n v="1"/>
  </r>
  <r>
    <n v="3"/>
    <x v="2"/>
    <s v="Norwich City FC"/>
    <n v="2"/>
    <s v="Chelsea FC"/>
    <n v="3"/>
    <m/>
    <n v="3"/>
  </r>
  <r>
    <n v="4"/>
    <x v="3"/>
    <s v="Chelsea FC"/>
    <n v="2"/>
    <s v="Sheffield United FC"/>
    <n v="2"/>
    <m/>
    <n v="1"/>
  </r>
  <r>
    <n v="5"/>
    <x v="4"/>
    <s v="Wolverhampton Wanderers FC"/>
    <n v="2"/>
    <s v="Chelsea FC"/>
    <n v="5"/>
    <m/>
    <n v="3"/>
  </r>
  <r>
    <n v="6"/>
    <x v="5"/>
    <s v="Chelsea FC"/>
    <n v="1"/>
    <s v="Liverpool FC"/>
    <n v="2"/>
    <m/>
    <n v="0"/>
  </r>
  <r>
    <n v="7"/>
    <x v="6"/>
    <s v="Chelsea FC"/>
    <n v="2"/>
    <s v="Brighton &amp; Hove Albion FC"/>
    <n v="0"/>
    <m/>
    <n v="3"/>
  </r>
  <r>
    <n v="8"/>
    <x v="7"/>
    <s v="Southampton FC"/>
    <n v="1"/>
    <s v="Chelsea FC"/>
    <n v="4"/>
    <m/>
    <n v="3"/>
  </r>
  <r>
    <n v="9"/>
    <x v="8"/>
    <s v="Chelsea FC"/>
    <n v="1"/>
    <s v="Newcastle United FC"/>
    <n v="0"/>
    <m/>
    <n v="3"/>
  </r>
  <r>
    <n v="10"/>
    <x v="9"/>
    <s v="Burnley FC"/>
    <n v="2"/>
    <s v="Chelsea FC"/>
    <n v="4"/>
    <m/>
    <n v="3"/>
  </r>
  <r>
    <n v="11"/>
    <x v="10"/>
    <s v="Watford FC"/>
    <n v="1"/>
    <s v="Chelsea FC"/>
    <n v="2"/>
    <m/>
    <n v="3"/>
  </r>
  <r>
    <n v="12"/>
    <x v="11"/>
    <s v="Chelsea FC"/>
    <n v="2"/>
    <s v="Crystal Palace FC"/>
    <n v="0"/>
    <m/>
    <n v="3"/>
  </r>
  <r>
    <n v="13"/>
    <x v="12"/>
    <s v="Manchester City FC"/>
    <n v="2"/>
    <s v="Chelsea FC"/>
    <n v="1"/>
    <m/>
    <n v="0"/>
  </r>
  <r>
    <n v="14"/>
    <x v="13"/>
    <s v="Chelsea FC"/>
    <n v="0"/>
    <s v="West Ham United FC"/>
    <n v="1"/>
    <m/>
    <n v="0"/>
  </r>
  <r>
    <n v="15"/>
    <x v="14"/>
    <s v="Chelsea FC"/>
    <n v="2"/>
    <s v="Aston Villa FC"/>
    <n v="1"/>
    <m/>
    <n v="3"/>
  </r>
  <r>
    <n v="16"/>
    <x v="15"/>
    <s v="Everton FC"/>
    <n v="3"/>
    <s v="Chelsea FC"/>
    <n v="1"/>
    <m/>
    <n v="0"/>
  </r>
  <r>
    <n v="17"/>
    <x v="16"/>
    <s v="Chelsea FC"/>
    <n v="0"/>
    <s v="AFC Bournemouth"/>
    <n v="1"/>
    <m/>
    <n v="0"/>
  </r>
  <r>
    <n v="18"/>
    <x v="17"/>
    <s v="Tottenham Hotspur FC"/>
    <n v="0"/>
    <s v="Chelsea FC"/>
    <n v="2"/>
    <m/>
    <n v="3"/>
  </r>
  <r>
    <n v="19"/>
    <x v="18"/>
    <s v="Chelsea FC"/>
    <n v="0"/>
    <s v="Southampton FC"/>
    <n v="2"/>
    <m/>
    <n v="0"/>
  </r>
  <r>
    <n v="20"/>
    <x v="19"/>
    <s v="Arsenal FC"/>
    <n v="1"/>
    <s v="Chelsea FC"/>
    <n v="2"/>
    <m/>
    <n v="3"/>
  </r>
  <r>
    <n v="21"/>
    <x v="20"/>
    <s v="Brighton &amp; Hove Albion FC"/>
    <n v="1"/>
    <s v="Chelsea FC"/>
    <n v="1"/>
    <m/>
    <n v="1"/>
  </r>
  <r>
    <n v="22"/>
    <x v="21"/>
    <s v="Chelsea FC"/>
    <n v="3"/>
    <s v="Burnley FC"/>
    <n v="0"/>
    <m/>
    <n v="3"/>
  </r>
  <r>
    <n v="23"/>
    <x v="22"/>
    <s v="Newcastle United FC"/>
    <n v="1"/>
    <s v="Chelsea FC"/>
    <n v="0"/>
    <m/>
    <n v="0"/>
  </r>
  <r>
    <n v="24"/>
    <x v="23"/>
    <s v="Chelsea FC"/>
    <n v="2"/>
    <s v="Arsenal FC"/>
    <n v="2"/>
    <m/>
    <n v="1"/>
  </r>
  <r>
    <n v="25"/>
    <x v="24"/>
    <s v="Leicester City FC"/>
    <n v="2"/>
    <s v="Chelsea FC"/>
    <n v="2"/>
    <m/>
    <n v="1"/>
  </r>
  <r>
    <n v="26"/>
    <x v="25"/>
    <s v="Chelsea FC"/>
    <n v="0"/>
    <s v="Manchester United FC"/>
    <n v="2"/>
    <m/>
    <n v="0"/>
  </r>
  <r>
    <n v="27"/>
    <x v="26"/>
    <s v="Chelsea FC"/>
    <n v="2"/>
    <s v="Tottenham Hotspur FC"/>
    <n v="1"/>
    <m/>
    <n v="3"/>
  </r>
  <r>
    <n v="28"/>
    <x v="27"/>
    <s v="AFC Bournemouth"/>
    <n v="2"/>
    <s v="Chelsea FC"/>
    <n v="2"/>
    <m/>
    <n v="1"/>
  </r>
  <r>
    <n v="29"/>
    <x v="28"/>
    <s v="Chelsea FC"/>
    <n v="4"/>
    <s v="Everton FC"/>
    <n v="0"/>
    <m/>
    <n v="3"/>
  </r>
  <r>
    <n v="30"/>
    <x v="29"/>
    <s v="Aston Villa FC"/>
    <n v="1"/>
    <s v="Chelsea FC"/>
    <n v="2"/>
    <m/>
    <n v="3"/>
  </r>
  <r>
    <n v="31"/>
    <x v="30"/>
    <s v="Chelsea FC"/>
    <n v="2"/>
    <s v="Manchester City FC"/>
    <n v="1"/>
    <m/>
    <n v="3"/>
  </r>
  <r>
    <n v="32"/>
    <x v="31"/>
    <s v="West Ham United FC"/>
    <n v="3"/>
    <s v="Chelsea FC"/>
    <n v="2"/>
    <m/>
    <n v="0"/>
  </r>
  <r>
    <n v="33"/>
    <x v="32"/>
    <s v="Chelsea FC"/>
    <n v="3"/>
    <s v="Watford FC"/>
    <n v="0"/>
    <m/>
    <n v="3"/>
  </r>
  <r>
    <n v="34"/>
    <x v="33"/>
    <s v="Crystal Palace FC"/>
    <n v="2"/>
    <s v="Chelsea FC"/>
    <n v="3"/>
    <m/>
    <n v="3"/>
  </r>
  <r>
    <n v="35"/>
    <x v="34"/>
    <s v="Sheffield United FC"/>
    <n v="3"/>
    <s v="Chelsea FC"/>
    <n v="0"/>
    <m/>
    <n v="0"/>
  </r>
  <r>
    <n v="36"/>
    <x v="35"/>
    <s v="Chelsea FC"/>
    <n v="1"/>
    <s v="Norwich City FC"/>
    <n v="0"/>
    <m/>
    <n v="3"/>
  </r>
  <r>
    <n v="37"/>
    <x v="36"/>
    <s v="Liverpool FC"/>
    <n v="5"/>
    <s v="Chelsea FC"/>
    <n v="3"/>
    <m/>
    <n v="0"/>
  </r>
  <r>
    <n v="38"/>
    <x v="37"/>
    <s v="Chelsea FC"/>
    <n v="2"/>
    <s v="Wolverhampton Wanderers FC"/>
    <n v="0"/>
    <m/>
    <n v="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s v="AFC Bournemouth"/>
    <n v="1"/>
    <s v="Sheffield United FC"/>
    <n v="1"/>
    <m/>
    <n v="1"/>
  </r>
  <r>
    <n v="2"/>
    <x v="1"/>
    <s v="Sheffield United FC"/>
    <n v="1"/>
    <s v="Crystal Palace FC"/>
    <n v="0"/>
    <m/>
    <n v="3"/>
  </r>
  <r>
    <n v="3"/>
    <x v="2"/>
    <s v="Sheffield United FC"/>
    <n v="1"/>
    <s v="Leicester City FC"/>
    <n v="2"/>
    <m/>
    <n v="0"/>
  </r>
  <r>
    <n v="4"/>
    <x v="3"/>
    <s v="Chelsea FC"/>
    <n v="2"/>
    <s v="Sheffield United FC"/>
    <n v="2"/>
    <m/>
    <n v="1"/>
  </r>
  <r>
    <n v="5"/>
    <x v="4"/>
    <s v="Sheffield United FC"/>
    <n v="0"/>
    <s v="Southampton FC"/>
    <n v="1"/>
    <m/>
    <n v="0"/>
  </r>
  <r>
    <n v="6"/>
    <x v="5"/>
    <s v="Everton FC"/>
    <n v="0"/>
    <s v="Sheffield United FC"/>
    <n v="2"/>
    <m/>
    <n v="3"/>
  </r>
  <r>
    <n v="7"/>
    <x v="6"/>
    <s v="Sheffield United FC"/>
    <n v="0"/>
    <s v="Liverpool FC"/>
    <n v="1"/>
    <m/>
    <n v="0"/>
  </r>
  <r>
    <n v="8"/>
    <x v="7"/>
    <s v="Watford FC"/>
    <n v="0"/>
    <s v="Sheffield United FC"/>
    <n v="0"/>
    <m/>
    <n v="1"/>
  </r>
  <r>
    <n v="9"/>
    <x v="8"/>
    <s v="Sheffield United FC"/>
    <n v="1"/>
    <s v="Arsenal FC"/>
    <n v="0"/>
    <m/>
    <n v="3"/>
  </r>
  <r>
    <n v="10"/>
    <x v="9"/>
    <s v="West Ham United FC"/>
    <n v="1"/>
    <s v="Sheffield United FC"/>
    <n v="1"/>
    <m/>
    <n v="1"/>
  </r>
  <r>
    <n v="11"/>
    <x v="10"/>
    <s v="Sheffield United FC"/>
    <n v="3"/>
    <s v="Burnley FC"/>
    <n v="0"/>
    <m/>
    <n v="3"/>
  </r>
  <r>
    <n v="12"/>
    <x v="11"/>
    <s v="Tottenham Hotspur FC"/>
    <n v="1"/>
    <s v="Sheffield United FC"/>
    <n v="1"/>
    <m/>
    <n v="1"/>
  </r>
  <r>
    <n v="13"/>
    <x v="12"/>
    <s v="Sheffield United FC"/>
    <n v="3"/>
    <s v="Manchester United FC"/>
    <n v="3"/>
    <m/>
    <n v="1"/>
  </r>
  <r>
    <n v="14"/>
    <x v="13"/>
    <s v="Wolverhampton Wanderers FC"/>
    <n v="1"/>
    <s v="Sheffield United FC"/>
    <n v="1"/>
    <m/>
    <n v="1"/>
  </r>
  <r>
    <n v="15"/>
    <x v="14"/>
    <s v="Sheffield United FC"/>
    <n v="0"/>
    <s v="Newcastle United FC"/>
    <n v="2"/>
    <m/>
    <n v="0"/>
  </r>
  <r>
    <n v="16"/>
    <x v="15"/>
    <s v="Norwich City FC"/>
    <n v="1"/>
    <s v="Sheffield United FC"/>
    <n v="2"/>
    <m/>
    <n v="3"/>
  </r>
  <r>
    <n v="17"/>
    <x v="16"/>
    <s v="Sheffield United FC"/>
    <n v="2"/>
    <s v="Aston Villa FC"/>
    <n v="0"/>
    <m/>
    <n v="3"/>
  </r>
  <r>
    <n v="18"/>
    <x v="17"/>
    <s v="Brighton &amp; Hove Albion FC"/>
    <n v="0"/>
    <s v="Sheffield United FC"/>
    <n v="1"/>
    <m/>
    <n v="3"/>
  </r>
  <r>
    <n v="19"/>
    <x v="18"/>
    <s v="Sheffield United FC"/>
    <n v="1"/>
    <s v="Watford FC"/>
    <n v="1"/>
    <m/>
    <n v="1"/>
  </r>
  <r>
    <n v="20"/>
    <x v="19"/>
    <s v="Manchester City FC"/>
    <n v="2"/>
    <s v="Sheffield United FC"/>
    <n v="0"/>
    <m/>
    <n v="0"/>
  </r>
  <r>
    <n v="21"/>
    <x v="20"/>
    <s v="Liverpool FC"/>
    <n v="2"/>
    <s v="Sheffield United FC"/>
    <n v="0"/>
    <m/>
    <n v="0"/>
  </r>
  <r>
    <n v="22"/>
    <x v="21"/>
    <s v="Sheffield United FC"/>
    <n v="1"/>
    <s v="West Ham United FC"/>
    <n v="0"/>
    <m/>
    <n v="3"/>
  </r>
  <r>
    <n v="23"/>
    <x v="22"/>
    <s v="Arsenal FC"/>
    <n v="1"/>
    <s v="Sheffield United FC"/>
    <n v="1"/>
    <m/>
    <n v="1"/>
  </r>
  <r>
    <n v="24"/>
    <x v="23"/>
    <s v="Sheffield United FC"/>
    <n v="0"/>
    <s v="Manchester City FC"/>
    <n v="1"/>
    <m/>
    <n v="0"/>
  </r>
  <r>
    <n v="25"/>
    <x v="24"/>
    <s v="Crystal Palace FC"/>
    <n v="0"/>
    <s v="Sheffield United FC"/>
    <n v="1"/>
    <m/>
    <n v="3"/>
  </r>
  <r>
    <n v="26"/>
    <x v="25"/>
    <s v="Sheffield United FC"/>
    <n v="2"/>
    <s v="AFC Bournemouth"/>
    <n v="1"/>
    <m/>
    <n v="3"/>
  </r>
  <r>
    <n v="27"/>
    <x v="26"/>
    <s v="Sheffield United FC"/>
    <n v="1"/>
    <s v="Brighton &amp; Hove Albion FC"/>
    <n v="1"/>
    <m/>
    <n v="1"/>
  </r>
  <r>
    <n v="28"/>
    <x v="27"/>
    <s v="Aston Villa FC"/>
    <n v="0"/>
    <s v="Sheffield United FC"/>
    <n v="0"/>
    <m/>
    <n v="1"/>
  </r>
  <r>
    <n v="29"/>
    <x v="28"/>
    <s v="Sheffield United FC"/>
    <n v="1"/>
    <s v="Norwich City FC"/>
    <n v="0"/>
    <m/>
    <n v="3"/>
  </r>
  <r>
    <n v="30"/>
    <x v="29"/>
    <s v="Newcastle United FC"/>
    <n v="3"/>
    <s v="Sheffield United FC"/>
    <n v="0"/>
    <m/>
    <n v="0"/>
  </r>
  <r>
    <n v="31"/>
    <x v="30"/>
    <s v="Manchester United FC"/>
    <n v="3"/>
    <s v="Sheffield United FC"/>
    <n v="0"/>
    <m/>
    <n v="0"/>
  </r>
  <r>
    <n v="32"/>
    <x v="31"/>
    <s v="Sheffield United FC"/>
    <n v="3"/>
    <s v="Tottenham Hotspur FC"/>
    <n v="1"/>
    <m/>
    <n v="3"/>
  </r>
  <r>
    <n v="33"/>
    <x v="32"/>
    <s v="Burnley FC"/>
    <n v="1"/>
    <s v="Sheffield United FC"/>
    <n v="1"/>
    <m/>
    <n v="1"/>
  </r>
  <r>
    <n v="34"/>
    <x v="33"/>
    <s v="Sheffield United FC"/>
    <n v="1"/>
    <s v="Wolverhampton Wanderers FC"/>
    <n v="0"/>
    <m/>
    <n v="3"/>
  </r>
  <r>
    <n v="35"/>
    <x v="34"/>
    <s v="Sheffield United FC"/>
    <n v="3"/>
    <s v="Chelsea FC"/>
    <n v="0"/>
    <m/>
    <n v="3"/>
  </r>
  <r>
    <n v="36"/>
    <x v="35"/>
    <s v="Leicester City FC"/>
    <n v="2"/>
    <s v="Sheffield United FC"/>
    <n v="0"/>
    <m/>
    <n v="0"/>
  </r>
  <r>
    <n v="37"/>
    <x v="36"/>
    <s v="Sheffield United FC"/>
    <n v="0"/>
    <s v="Everton FC"/>
    <n v="1"/>
    <m/>
    <n v="0"/>
  </r>
  <r>
    <n v="38"/>
    <x v="37"/>
    <s v="Southampton FC"/>
    <n v="3"/>
    <s v="Sheffield United FC"/>
    <n v="1"/>
    <m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s v="West Ham United FC"/>
    <n v="0"/>
    <s v="Manchester City FC"/>
    <n v="5"/>
    <m/>
    <n v="3"/>
  </r>
  <r>
    <n v="2"/>
    <x v="1"/>
    <s v="Manchester City FC"/>
    <n v="2"/>
    <s v="Tottenham Hotspur FC"/>
    <n v="2"/>
    <m/>
    <n v="1"/>
  </r>
  <r>
    <n v="3"/>
    <x v="2"/>
    <s v="AFC Bournemouth"/>
    <n v="1"/>
    <s v="Manchester City FC"/>
    <n v="3"/>
    <m/>
    <n v="3"/>
  </r>
  <r>
    <n v="4"/>
    <x v="3"/>
    <s v="Manchester City FC"/>
    <n v="4"/>
    <s v="Brighton &amp; Hove Albion FC"/>
    <n v="0"/>
    <m/>
    <n v="3"/>
  </r>
  <r>
    <n v="5"/>
    <x v="4"/>
    <s v="Norwich City FC"/>
    <n v="3"/>
    <s v="Manchester City FC"/>
    <n v="2"/>
    <m/>
    <n v="0"/>
  </r>
  <r>
    <n v="6"/>
    <x v="5"/>
    <s v="Manchester City FC"/>
    <n v="8"/>
    <s v="Watford FC"/>
    <n v="0"/>
    <m/>
    <n v="3"/>
  </r>
  <r>
    <n v="7"/>
    <x v="6"/>
    <s v="Everton FC"/>
    <n v="1"/>
    <s v="Manchester City FC"/>
    <n v="3"/>
    <m/>
    <n v="3"/>
  </r>
  <r>
    <n v="8"/>
    <x v="7"/>
    <s v="Manchester City FC"/>
    <n v="0"/>
    <s v="Wolverhampton Wanderers FC"/>
    <n v="2"/>
    <m/>
    <n v="0"/>
  </r>
  <r>
    <n v="9"/>
    <x v="8"/>
    <s v="Crystal Palace FC"/>
    <n v="0"/>
    <s v="Manchester City FC"/>
    <n v="2"/>
    <m/>
    <n v="3"/>
  </r>
  <r>
    <n v="10"/>
    <x v="9"/>
    <s v="Manchester City FC"/>
    <n v="3"/>
    <s v="Aston Villa FC"/>
    <n v="0"/>
    <m/>
    <n v="3"/>
  </r>
  <r>
    <n v="11"/>
    <x v="10"/>
    <s v="Manchester City FC"/>
    <n v="2"/>
    <s v="Southampton FC"/>
    <n v="1"/>
    <m/>
    <n v="3"/>
  </r>
  <r>
    <n v="12"/>
    <x v="11"/>
    <s v="Liverpool FC"/>
    <n v="3"/>
    <s v="Manchester City FC"/>
    <n v="1"/>
    <m/>
    <n v="0"/>
  </r>
  <r>
    <n v="13"/>
    <x v="12"/>
    <s v="Manchester City FC"/>
    <n v="2"/>
    <s v="Chelsea FC"/>
    <n v="1"/>
    <m/>
    <n v="3"/>
  </r>
  <r>
    <n v="14"/>
    <x v="13"/>
    <s v="Newcastle United FC"/>
    <n v="2"/>
    <s v="Manchester City FC"/>
    <n v="2"/>
    <m/>
    <n v="1"/>
  </r>
  <r>
    <n v="15"/>
    <x v="14"/>
    <s v="Burnley FC"/>
    <n v="1"/>
    <s v="Manchester City FC"/>
    <n v="4"/>
    <m/>
    <n v="3"/>
  </r>
  <r>
    <n v="16"/>
    <x v="15"/>
    <s v="Manchester City FC"/>
    <n v="1"/>
    <s v="Manchester United FC"/>
    <n v="2"/>
    <m/>
    <n v="0"/>
  </r>
  <r>
    <n v="17"/>
    <x v="16"/>
    <s v="Arsenal FC"/>
    <n v="0"/>
    <s v="Manchester City FC"/>
    <n v="3"/>
    <m/>
    <n v="3"/>
  </r>
  <r>
    <n v="18"/>
    <x v="17"/>
    <s v="Manchester City FC"/>
    <n v="3"/>
    <s v="Leicester City FC"/>
    <n v="1"/>
    <m/>
    <n v="3"/>
  </r>
  <r>
    <n v="19"/>
    <x v="18"/>
    <s v="Wolverhampton Wanderers FC"/>
    <n v="3"/>
    <s v="Manchester City FC"/>
    <n v="2"/>
    <m/>
    <n v="0"/>
  </r>
  <r>
    <n v="20"/>
    <x v="19"/>
    <s v="Manchester City FC"/>
    <n v="2"/>
    <s v="Sheffield United FC"/>
    <n v="0"/>
    <m/>
    <n v="3"/>
  </r>
  <r>
    <n v="21"/>
    <x v="20"/>
    <s v="Manchester City FC"/>
    <n v="2"/>
    <s v="Everton FC"/>
    <n v="1"/>
    <m/>
    <n v="3"/>
  </r>
  <r>
    <n v="22"/>
    <x v="21"/>
    <s v="Aston Villa FC"/>
    <n v="1"/>
    <s v="Manchester City FC"/>
    <n v="6"/>
    <m/>
    <n v="3"/>
  </r>
  <r>
    <n v="23"/>
    <x v="22"/>
    <s v="Manchester City FC"/>
    <n v="2"/>
    <s v="Crystal Palace FC"/>
    <n v="2"/>
    <m/>
    <n v="1"/>
  </r>
  <r>
    <n v="24"/>
    <x v="23"/>
    <s v="Sheffield United FC"/>
    <n v="0"/>
    <s v="Manchester City FC"/>
    <n v="1"/>
    <m/>
    <n v="3"/>
  </r>
  <r>
    <n v="25"/>
    <x v="24"/>
    <s v="Tottenham Hotspur FC"/>
    <n v="2"/>
    <s v="Manchester City FC"/>
    <n v="0"/>
    <m/>
    <n v="0"/>
  </r>
  <r>
    <n v="26"/>
    <x v="25"/>
    <s v="Manchester City FC"/>
    <n v="2"/>
    <s v="West Ham United FC"/>
    <n v="0"/>
    <m/>
    <n v="3"/>
  </r>
  <r>
    <n v="27"/>
    <x v="26"/>
    <s v="Leicester City FC"/>
    <n v="0"/>
    <s v="Manchester City FC"/>
    <n v="1"/>
    <m/>
    <n v="3"/>
  </r>
  <r>
    <n v="28"/>
    <x v="27"/>
    <s v="Manchester City FC"/>
    <n v="3"/>
    <s v="Arsenal FC"/>
    <n v="0"/>
    <m/>
    <n v="3"/>
  </r>
  <r>
    <n v="29"/>
    <x v="28"/>
    <s v="Manchester United FC"/>
    <n v="2"/>
    <s v="Manchester City FC"/>
    <n v="0"/>
    <m/>
    <n v="0"/>
  </r>
  <r>
    <n v="30"/>
    <x v="29"/>
    <s v="Manchester City FC"/>
    <n v="5"/>
    <s v="Burnley FC"/>
    <n v="0"/>
    <m/>
    <n v="3"/>
  </r>
  <r>
    <n v="31"/>
    <x v="30"/>
    <s v="Chelsea FC"/>
    <n v="2"/>
    <s v="Manchester City FC"/>
    <n v="1"/>
    <m/>
    <n v="0"/>
  </r>
  <r>
    <n v="32"/>
    <x v="31"/>
    <s v="Manchester City FC"/>
    <n v="4"/>
    <s v="Liverpool FC"/>
    <n v="0"/>
    <m/>
    <n v="3"/>
  </r>
  <r>
    <n v="33"/>
    <x v="32"/>
    <s v="Southampton FC"/>
    <n v="1"/>
    <s v="Manchester City FC"/>
    <n v="0"/>
    <m/>
    <n v="0"/>
  </r>
  <r>
    <n v="34"/>
    <x v="33"/>
    <s v="Manchester City FC"/>
    <n v="5"/>
    <s v="Newcastle United FC"/>
    <n v="0"/>
    <m/>
    <n v="3"/>
  </r>
  <r>
    <n v="35"/>
    <x v="34"/>
    <s v="Brighton &amp; Hove Albion FC"/>
    <n v="0"/>
    <s v="Manchester City FC"/>
    <n v="5"/>
    <m/>
    <n v="3"/>
  </r>
  <r>
    <n v="36"/>
    <x v="35"/>
    <s v="Manchester City FC"/>
    <n v="2"/>
    <s v="AFC Bournemouth"/>
    <n v="1"/>
    <m/>
    <n v="3"/>
  </r>
  <r>
    <n v="37"/>
    <x v="36"/>
    <s v="Watford FC"/>
    <n v="0"/>
    <s v="Manchester City FC"/>
    <n v="4"/>
    <m/>
    <n v="3"/>
  </r>
  <r>
    <n v="38"/>
    <x v="37"/>
    <s v="Manchester City FC"/>
    <n v="5"/>
    <s v="Norwich City FC"/>
    <n v="0"/>
    <m/>
    <n v="3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s v="Burnley FC"/>
    <n v="3"/>
    <s v="Southampton FC"/>
    <n v="0"/>
    <m/>
    <n v="0"/>
  </r>
  <r>
    <n v="2"/>
    <x v="1"/>
    <s v="Southampton FC"/>
    <n v="1"/>
    <s v="Liverpool FC"/>
    <n v="2"/>
    <m/>
    <n v="0"/>
  </r>
  <r>
    <n v="3"/>
    <x v="2"/>
    <s v="Brighton &amp; Hove Albion FC"/>
    <n v="0"/>
    <s v="Southampton FC"/>
    <n v="2"/>
    <m/>
    <n v="3"/>
  </r>
  <r>
    <n v="4"/>
    <x v="3"/>
    <s v="Southampton FC"/>
    <n v="1"/>
    <s v="Manchester United FC"/>
    <n v="1"/>
    <m/>
    <n v="1"/>
  </r>
  <r>
    <n v="5"/>
    <x v="4"/>
    <s v="Sheffield United FC"/>
    <n v="0"/>
    <s v="Southampton FC"/>
    <n v="1"/>
    <m/>
    <n v="3"/>
  </r>
  <r>
    <n v="6"/>
    <x v="5"/>
    <s v="Southampton FC"/>
    <n v="1"/>
    <s v="AFC Bournemouth"/>
    <n v="3"/>
    <m/>
    <n v="0"/>
  </r>
  <r>
    <n v="7"/>
    <x v="6"/>
    <s v="Tottenham Hotspur FC"/>
    <n v="2"/>
    <s v="Southampton FC"/>
    <n v="1"/>
    <m/>
    <n v="0"/>
  </r>
  <r>
    <n v="8"/>
    <x v="7"/>
    <s v="Southampton FC"/>
    <n v="1"/>
    <s v="Chelsea FC"/>
    <n v="4"/>
    <m/>
    <n v="0"/>
  </r>
  <r>
    <n v="9"/>
    <x v="8"/>
    <s v="Wolverhampton Wanderers FC"/>
    <n v="1"/>
    <s v="Southampton FC"/>
    <n v="1"/>
    <m/>
    <n v="1"/>
  </r>
  <r>
    <n v="10"/>
    <x v="9"/>
    <s v="Southampton FC"/>
    <n v="0"/>
    <s v="Leicester City FC"/>
    <n v="9"/>
    <m/>
    <n v="0"/>
  </r>
  <r>
    <n v="11"/>
    <x v="10"/>
    <s v="Manchester City FC"/>
    <n v="2"/>
    <s v="Southampton FC"/>
    <n v="1"/>
    <m/>
    <n v="0"/>
  </r>
  <r>
    <n v="12"/>
    <x v="11"/>
    <s v="Southampton FC"/>
    <n v="1"/>
    <s v="Everton FC"/>
    <n v="2"/>
    <m/>
    <n v="0"/>
  </r>
  <r>
    <n v="13"/>
    <x v="12"/>
    <s v="Arsenal FC"/>
    <n v="2"/>
    <s v="Southampton FC"/>
    <n v="2"/>
    <m/>
    <n v="1"/>
  </r>
  <r>
    <n v="14"/>
    <x v="13"/>
    <s v="Southampton FC"/>
    <n v="2"/>
    <s v="Watford FC"/>
    <n v="1"/>
    <m/>
    <n v="3"/>
  </r>
  <r>
    <n v="15"/>
    <x v="14"/>
    <s v="Southampton FC"/>
    <n v="2"/>
    <s v="Norwich City FC"/>
    <n v="1"/>
    <m/>
    <n v="3"/>
  </r>
  <r>
    <n v="16"/>
    <x v="15"/>
    <s v="Newcastle United FC"/>
    <n v="2"/>
    <s v="Southampton FC"/>
    <n v="1"/>
    <m/>
    <n v="0"/>
  </r>
  <r>
    <n v="17"/>
    <x v="16"/>
    <s v="Southampton FC"/>
    <n v="0"/>
    <s v="West Ham United FC"/>
    <n v="1"/>
    <m/>
    <n v="0"/>
  </r>
  <r>
    <n v="18"/>
    <x v="17"/>
    <s v="Aston Villa FC"/>
    <n v="1"/>
    <s v="Southampton FC"/>
    <n v="3"/>
    <m/>
    <n v="3"/>
  </r>
  <r>
    <n v="19"/>
    <x v="18"/>
    <s v="Chelsea FC"/>
    <n v="0"/>
    <s v="Southampton FC"/>
    <n v="2"/>
    <m/>
    <n v="3"/>
  </r>
  <r>
    <n v="20"/>
    <x v="19"/>
    <s v="Southampton FC"/>
    <n v="1"/>
    <s v="Crystal Palace FC"/>
    <n v="1"/>
    <m/>
    <n v="1"/>
  </r>
  <r>
    <n v="21"/>
    <x v="20"/>
    <s v="Southampton FC"/>
    <n v="1"/>
    <s v="Tottenham Hotspur FC"/>
    <n v="0"/>
    <m/>
    <n v="3"/>
  </r>
  <r>
    <n v="22"/>
    <x v="21"/>
    <s v="Leicester City FC"/>
    <n v="1"/>
    <s v="Southampton FC"/>
    <n v="2"/>
    <m/>
    <n v="3"/>
  </r>
  <r>
    <n v="23"/>
    <x v="22"/>
    <s v="Southampton FC"/>
    <n v="2"/>
    <s v="Wolverhampton Wanderers FC"/>
    <n v="3"/>
    <m/>
    <n v="0"/>
  </r>
  <r>
    <n v="24"/>
    <x v="23"/>
    <s v="Crystal Palace FC"/>
    <n v="0"/>
    <s v="Southampton FC"/>
    <n v="2"/>
    <m/>
    <n v="3"/>
  </r>
  <r>
    <n v="25"/>
    <x v="24"/>
    <s v="Liverpool FC"/>
    <n v="4"/>
    <s v="Southampton FC"/>
    <n v="0"/>
    <m/>
    <n v="0"/>
  </r>
  <r>
    <n v="26"/>
    <x v="25"/>
    <s v="Southampton FC"/>
    <n v="1"/>
    <s v="Burnley FC"/>
    <n v="2"/>
    <m/>
    <n v="0"/>
  </r>
  <r>
    <n v="27"/>
    <x v="26"/>
    <s v="Southampton FC"/>
    <n v="2"/>
    <s v="Aston Villa FC"/>
    <n v="0"/>
    <m/>
    <n v="3"/>
  </r>
  <r>
    <n v="28"/>
    <x v="27"/>
    <s v="West Ham United FC"/>
    <n v="3"/>
    <s v="Southampton FC"/>
    <n v="1"/>
    <m/>
    <n v="0"/>
  </r>
  <r>
    <n v="29"/>
    <x v="28"/>
    <s v="Southampton FC"/>
    <n v="0"/>
    <s v="Newcastle United FC"/>
    <n v="1"/>
    <m/>
    <n v="0"/>
  </r>
  <r>
    <n v="30"/>
    <x v="29"/>
    <s v="Norwich City FC"/>
    <n v="0"/>
    <s v="Southampton FC"/>
    <n v="3"/>
    <m/>
    <n v="3"/>
  </r>
  <r>
    <n v="31"/>
    <x v="30"/>
    <s v="Southampton FC"/>
    <n v="0"/>
    <s v="Arsenal FC"/>
    <n v="2"/>
    <m/>
    <n v="0"/>
  </r>
  <r>
    <n v="32"/>
    <x v="31"/>
    <s v="Watford FC"/>
    <n v="1"/>
    <s v="Southampton FC"/>
    <n v="3"/>
    <m/>
    <n v="3"/>
  </r>
  <r>
    <n v="33"/>
    <x v="32"/>
    <s v="Southampton FC"/>
    <n v="1"/>
    <s v="Manchester City FC"/>
    <n v="0"/>
    <m/>
    <n v="3"/>
  </r>
  <r>
    <n v="34"/>
    <x v="33"/>
    <s v="Everton FC"/>
    <n v="1"/>
    <s v="Southampton FC"/>
    <n v="1"/>
    <m/>
    <n v="1"/>
  </r>
  <r>
    <n v="35"/>
    <x v="34"/>
    <s v="Manchester United FC"/>
    <n v="2"/>
    <s v="Southampton FC"/>
    <n v="2"/>
    <m/>
    <n v="1"/>
  </r>
  <r>
    <n v="36"/>
    <x v="35"/>
    <s v="Southampton FC"/>
    <n v="1"/>
    <s v="Brighton &amp; Hove Albion FC"/>
    <n v="1"/>
    <m/>
    <n v="1"/>
  </r>
  <r>
    <n v="37"/>
    <x v="36"/>
    <s v="AFC Bournemouth"/>
    <n v="0"/>
    <s v="Southampton FC"/>
    <n v="2"/>
    <m/>
    <n v="3"/>
  </r>
  <r>
    <n v="38"/>
    <x v="37"/>
    <s v="Southampton FC"/>
    <n v="3"/>
    <s v="Sheffield United FC"/>
    <n v="1"/>
    <m/>
    <n v="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s v="Liverpool FC"/>
    <n v="4"/>
    <s v="Norwich City FC"/>
    <n v="1"/>
    <m/>
    <n v="0"/>
  </r>
  <r>
    <n v="2"/>
    <x v="1"/>
    <s v="Norwich City FC"/>
    <n v="3"/>
    <s v="Newcastle United FC"/>
    <n v="1"/>
    <m/>
    <n v="3"/>
  </r>
  <r>
    <n v="3"/>
    <x v="2"/>
    <s v="Norwich City FC"/>
    <n v="2"/>
    <s v="Chelsea FC"/>
    <n v="3"/>
    <m/>
    <n v="0"/>
  </r>
  <r>
    <n v="4"/>
    <x v="3"/>
    <s v="West Ham United FC"/>
    <n v="2"/>
    <s v="Norwich City FC"/>
    <n v="0"/>
    <m/>
    <n v="0"/>
  </r>
  <r>
    <n v="5"/>
    <x v="4"/>
    <s v="Norwich City FC"/>
    <n v="3"/>
    <s v="Manchester City FC"/>
    <n v="2"/>
    <m/>
    <n v="3"/>
  </r>
  <r>
    <n v="6"/>
    <x v="5"/>
    <s v="Burnley FC"/>
    <n v="2"/>
    <s v="Norwich City FC"/>
    <n v="0"/>
    <m/>
    <n v="0"/>
  </r>
  <r>
    <n v="7"/>
    <x v="6"/>
    <s v="Crystal Palace FC"/>
    <n v="2"/>
    <s v="Norwich City FC"/>
    <n v="0"/>
    <m/>
    <n v="0"/>
  </r>
  <r>
    <n v="8"/>
    <x v="7"/>
    <s v="Norwich City FC"/>
    <n v="1"/>
    <s v="Aston Villa FC"/>
    <n v="5"/>
    <m/>
    <n v="0"/>
  </r>
  <r>
    <n v="9"/>
    <x v="8"/>
    <s v="AFC Bournemouth"/>
    <n v="0"/>
    <s v="Norwich City FC"/>
    <n v="0"/>
    <m/>
    <n v="1"/>
  </r>
  <r>
    <n v="10"/>
    <x v="9"/>
    <s v="Norwich City FC"/>
    <n v="1"/>
    <s v="Manchester United FC"/>
    <n v="3"/>
    <m/>
    <n v="0"/>
  </r>
  <r>
    <n v="11"/>
    <x v="10"/>
    <s v="Brighton &amp; Hove Albion FC"/>
    <n v="2"/>
    <s v="Norwich City FC"/>
    <n v="0"/>
    <m/>
    <n v="0"/>
  </r>
  <r>
    <n v="12"/>
    <x v="11"/>
    <s v="Norwich City FC"/>
    <n v="0"/>
    <s v="Watford FC"/>
    <n v="2"/>
    <m/>
    <n v="0"/>
  </r>
  <r>
    <n v="13"/>
    <x v="12"/>
    <s v="Everton FC"/>
    <n v="0"/>
    <s v="Norwich City FC"/>
    <n v="2"/>
    <m/>
    <n v="3"/>
  </r>
  <r>
    <n v="14"/>
    <x v="13"/>
    <s v="Norwich City FC"/>
    <n v="2"/>
    <s v="Arsenal FC"/>
    <n v="2"/>
    <m/>
    <n v="1"/>
  </r>
  <r>
    <n v="15"/>
    <x v="14"/>
    <s v="Southampton FC"/>
    <n v="2"/>
    <s v="Norwich City FC"/>
    <n v="1"/>
    <m/>
    <n v="0"/>
  </r>
  <r>
    <n v="16"/>
    <x v="15"/>
    <s v="Norwich City FC"/>
    <n v="1"/>
    <s v="Sheffield United FC"/>
    <n v="2"/>
    <m/>
    <n v="0"/>
  </r>
  <r>
    <n v="17"/>
    <x v="16"/>
    <s v="Leicester City FC"/>
    <n v="1"/>
    <s v="Norwich City FC"/>
    <n v="1"/>
    <m/>
    <n v="1"/>
  </r>
  <r>
    <n v="18"/>
    <x v="17"/>
    <s v="Norwich City FC"/>
    <n v="1"/>
    <s v="Wolverhampton Wanderers FC"/>
    <n v="2"/>
    <m/>
    <n v="0"/>
  </r>
  <r>
    <n v="19"/>
    <x v="18"/>
    <s v="Aston Villa FC"/>
    <n v="1"/>
    <s v="Norwich City FC"/>
    <n v="0"/>
    <m/>
    <n v="0"/>
  </r>
  <r>
    <n v="20"/>
    <x v="19"/>
    <s v="Norwich City FC"/>
    <n v="2"/>
    <s v="Tottenham Hotspur FC"/>
    <n v="2"/>
    <m/>
    <n v="1"/>
  </r>
  <r>
    <n v="21"/>
    <x v="20"/>
    <s v="Norwich City FC"/>
    <n v="1"/>
    <s v="Crystal Palace FC"/>
    <n v="1"/>
    <m/>
    <n v="1"/>
  </r>
  <r>
    <n v="22"/>
    <x v="21"/>
    <s v="Manchester United FC"/>
    <n v="4"/>
    <s v="Norwich City FC"/>
    <n v="0"/>
    <m/>
    <n v="0"/>
  </r>
  <r>
    <n v="23"/>
    <x v="22"/>
    <s v="Norwich City FC"/>
    <n v="1"/>
    <s v="AFC Bournemouth"/>
    <n v="0"/>
    <m/>
    <n v="3"/>
  </r>
  <r>
    <n v="24"/>
    <x v="23"/>
    <s v="Tottenham Hotspur FC"/>
    <n v="2"/>
    <s v="Norwich City FC"/>
    <n v="1"/>
    <m/>
    <n v="0"/>
  </r>
  <r>
    <n v="25"/>
    <x v="24"/>
    <s v="Newcastle United FC"/>
    <n v="0"/>
    <s v="Norwich City FC"/>
    <n v="0"/>
    <m/>
    <n v="1"/>
  </r>
  <r>
    <n v="26"/>
    <x v="25"/>
    <s v="Norwich City FC"/>
    <n v="0"/>
    <s v="Liverpool FC"/>
    <n v="1"/>
    <m/>
    <n v="0"/>
  </r>
  <r>
    <n v="27"/>
    <x v="26"/>
    <s v="Wolverhampton Wanderers FC"/>
    <n v="3"/>
    <s v="Norwich City FC"/>
    <n v="0"/>
    <m/>
    <n v="0"/>
  </r>
  <r>
    <n v="28"/>
    <x v="27"/>
    <s v="Norwich City FC"/>
    <n v="1"/>
    <s v="Leicester City FC"/>
    <n v="0"/>
    <m/>
    <n v="3"/>
  </r>
  <r>
    <n v="29"/>
    <x v="28"/>
    <s v="Sheffield United FC"/>
    <n v="1"/>
    <s v="Norwich City FC"/>
    <n v="0"/>
    <m/>
    <n v="0"/>
  </r>
  <r>
    <n v="30"/>
    <x v="29"/>
    <s v="Norwich City FC"/>
    <n v="0"/>
    <s v="Southampton FC"/>
    <n v="3"/>
    <m/>
    <n v="0"/>
  </r>
  <r>
    <n v="31"/>
    <x v="30"/>
    <s v="Norwich City FC"/>
    <n v="0"/>
    <s v="Everton FC"/>
    <n v="1"/>
    <m/>
    <n v="0"/>
  </r>
  <r>
    <n v="32"/>
    <x v="31"/>
    <s v="Arsenal FC"/>
    <n v="4"/>
    <s v="Norwich City FC"/>
    <n v="0"/>
    <m/>
    <n v="0"/>
  </r>
  <r>
    <n v="33"/>
    <x v="32"/>
    <s v="Norwich City FC"/>
    <n v="0"/>
    <s v="Brighton &amp; Hove Albion FC"/>
    <n v="1"/>
    <m/>
    <n v="0"/>
  </r>
  <r>
    <n v="34"/>
    <x v="33"/>
    <s v="Watford FC"/>
    <n v="2"/>
    <s v="Norwich City FC"/>
    <n v="1"/>
    <m/>
    <n v="0"/>
  </r>
  <r>
    <n v="35"/>
    <x v="34"/>
    <s v="Norwich City FC"/>
    <n v="0"/>
    <s v="West Ham United FC"/>
    <n v="4"/>
    <m/>
    <n v="0"/>
  </r>
  <r>
    <n v="36"/>
    <x v="35"/>
    <s v="Chelsea FC"/>
    <n v="1"/>
    <s v="Norwich City FC"/>
    <n v="0"/>
    <m/>
    <n v="0"/>
  </r>
  <r>
    <n v="37"/>
    <x v="36"/>
    <s v="Norwich City FC"/>
    <n v="0"/>
    <s v="Burnley FC"/>
    <n v="2"/>
    <m/>
    <n v="0"/>
  </r>
  <r>
    <n v="38"/>
    <x v="37"/>
    <s v="Manchester City FC"/>
    <n v="5"/>
    <s v="Norwich City FC"/>
    <n v="0"/>
    <m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s v="Tottenham Hotspur FC"/>
    <n v="3"/>
    <s v="Aston Villa FC"/>
    <n v="1"/>
    <m/>
    <n v="0"/>
  </r>
  <r>
    <n v="2"/>
    <x v="1"/>
    <s v="Aston Villa FC"/>
    <n v="1"/>
    <s v="AFC Bournemouth"/>
    <n v="2"/>
    <m/>
    <n v="0"/>
  </r>
  <r>
    <n v="3"/>
    <x v="2"/>
    <s v="Aston Villa FC"/>
    <n v="2"/>
    <s v="Everton FC"/>
    <n v="0"/>
    <m/>
    <n v="3"/>
  </r>
  <r>
    <n v="4"/>
    <x v="3"/>
    <s v="Crystal Palace FC"/>
    <n v="1"/>
    <s v="Aston Villa FC"/>
    <n v="0"/>
    <m/>
    <n v="0"/>
  </r>
  <r>
    <n v="5"/>
    <x v="4"/>
    <s v="Aston Villa FC"/>
    <n v="0"/>
    <s v="West Ham United FC"/>
    <n v="0"/>
    <m/>
    <n v="1"/>
  </r>
  <r>
    <n v="6"/>
    <x v="5"/>
    <s v="Arsenal FC"/>
    <n v="3"/>
    <s v="Aston Villa FC"/>
    <n v="2"/>
    <m/>
    <n v="0"/>
  </r>
  <r>
    <n v="7"/>
    <x v="6"/>
    <s v="Aston Villa FC"/>
    <n v="2"/>
    <s v="Burnley FC"/>
    <n v="2"/>
    <m/>
    <n v="1"/>
  </r>
  <r>
    <n v="8"/>
    <x v="7"/>
    <s v="Norwich City FC"/>
    <n v="1"/>
    <s v="Aston Villa FC"/>
    <n v="5"/>
    <m/>
    <n v="3"/>
  </r>
  <r>
    <n v="9"/>
    <x v="8"/>
    <s v="Aston Villa FC"/>
    <n v="2"/>
    <s v="Brighton &amp; Hove Albion FC"/>
    <n v="1"/>
    <m/>
    <n v="3"/>
  </r>
  <r>
    <n v="10"/>
    <x v="9"/>
    <s v="Manchester City FC"/>
    <n v="3"/>
    <s v="Aston Villa FC"/>
    <n v="0"/>
    <m/>
    <n v="0"/>
  </r>
  <r>
    <n v="11"/>
    <x v="10"/>
    <s v="Aston Villa FC"/>
    <n v="1"/>
    <s v="Liverpool FC"/>
    <n v="2"/>
    <m/>
    <n v="0"/>
  </r>
  <r>
    <n v="12"/>
    <x v="11"/>
    <s v="Wolverhampton Wanderers FC"/>
    <n v="2"/>
    <s v="Aston Villa FC"/>
    <n v="1"/>
    <m/>
    <n v="0"/>
  </r>
  <r>
    <n v="13"/>
    <x v="12"/>
    <s v="Aston Villa FC"/>
    <n v="2"/>
    <s v="Newcastle United FC"/>
    <n v="0"/>
    <m/>
    <n v="3"/>
  </r>
  <r>
    <n v="14"/>
    <x v="13"/>
    <s v="Manchester United FC"/>
    <n v="2"/>
    <s v="Aston Villa FC"/>
    <n v="2"/>
    <m/>
    <n v="1"/>
  </r>
  <r>
    <n v="15"/>
    <x v="14"/>
    <s v="Chelsea FC"/>
    <n v="2"/>
    <s v="Aston Villa FC"/>
    <n v="1"/>
    <m/>
    <n v="0"/>
  </r>
  <r>
    <n v="16"/>
    <x v="15"/>
    <s v="Aston Villa FC"/>
    <n v="1"/>
    <s v="Leicester City FC"/>
    <n v="4"/>
    <m/>
    <n v="0"/>
  </r>
  <r>
    <n v="17"/>
    <x v="16"/>
    <s v="Sheffield United FC"/>
    <n v="2"/>
    <s v="Aston Villa FC"/>
    <n v="0"/>
    <m/>
    <n v="0"/>
  </r>
  <r>
    <n v="18"/>
    <x v="17"/>
    <s v="Aston Villa FC"/>
    <n v="1"/>
    <s v="Southampton FC"/>
    <n v="3"/>
    <m/>
    <n v="0"/>
  </r>
  <r>
    <n v="19"/>
    <x v="18"/>
    <s v="Aston Villa FC"/>
    <n v="1"/>
    <s v="Norwich City FC"/>
    <n v="0"/>
    <m/>
    <n v="3"/>
  </r>
  <r>
    <n v="20"/>
    <x v="19"/>
    <s v="Watford FC"/>
    <n v="3"/>
    <s v="Aston Villa FC"/>
    <n v="0"/>
    <m/>
    <n v="0"/>
  </r>
  <r>
    <n v="21"/>
    <x v="20"/>
    <s v="Burnley FC"/>
    <n v="1"/>
    <s v="Aston Villa FC"/>
    <n v="2"/>
    <m/>
    <n v="3"/>
  </r>
  <r>
    <n v="22"/>
    <x v="21"/>
    <s v="Aston Villa FC"/>
    <n v="1"/>
    <s v="Manchester City FC"/>
    <n v="6"/>
    <m/>
    <n v="0"/>
  </r>
  <r>
    <n v="23"/>
    <x v="22"/>
    <s v="Brighton &amp; Hove Albion FC"/>
    <n v="1"/>
    <s v="Aston Villa FC"/>
    <n v="1"/>
    <m/>
    <n v="1"/>
  </r>
  <r>
    <n v="24"/>
    <x v="23"/>
    <s v="Aston Villa FC"/>
    <n v="2"/>
    <s v="Watford FC"/>
    <n v="1"/>
    <m/>
    <n v="3"/>
  </r>
  <r>
    <n v="25"/>
    <x v="24"/>
    <s v="AFC Bournemouth"/>
    <n v="2"/>
    <s v="Aston Villa FC"/>
    <n v="1"/>
    <m/>
    <n v="0"/>
  </r>
  <r>
    <n v="26"/>
    <x v="25"/>
    <s v="Aston Villa FC"/>
    <n v="2"/>
    <s v="Tottenham Hotspur FC"/>
    <n v="3"/>
    <m/>
    <n v="0"/>
  </r>
  <r>
    <n v="27"/>
    <x v="26"/>
    <s v="Southampton FC"/>
    <n v="2"/>
    <s v="Aston Villa FC"/>
    <n v="0"/>
    <m/>
    <n v="0"/>
  </r>
  <r>
    <n v="28"/>
    <x v="27"/>
    <s v="Aston Villa FC"/>
    <n v="0"/>
    <s v="Sheffield United FC"/>
    <n v="0"/>
    <m/>
    <n v="1"/>
  </r>
  <r>
    <n v="29"/>
    <x v="28"/>
    <s v="Leicester City FC"/>
    <n v="4"/>
    <s v="Aston Villa FC"/>
    <n v="0"/>
    <m/>
    <n v="0"/>
  </r>
  <r>
    <n v="30"/>
    <x v="29"/>
    <s v="Aston Villa FC"/>
    <n v="1"/>
    <s v="Chelsea FC"/>
    <n v="2"/>
    <m/>
    <n v="0"/>
  </r>
  <r>
    <n v="31"/>
    <x v="30"/>
    <s v="Newcastle United FC"/>
    <n v="1"/>
    <s v="Aston Villa FC"/>
    <n v="1"/>
    <m/>
    <n v="1"/>
  </r>
  <r>
    <n v="32"/>
    <x v="31"/>
    <s v="Aston Villa FC"/>
    <n v="0"/>
    <s v="Wolverhampton Wanderers FC"/>
    <n v="1"/>
    <m/>
    <n v="0"/>
  </r>
  <r>
    <n v="33"/>
    <x v="32"/>
    <s v="Liverpool FC"/>
    <n v="2"/>
    <s v="Aston Villa FC"/>
    <n v="0"/>
    <m/>
    <n v="0"/>
  </r>
  <r>
    <n v="34"/>
    <x v="33"/>
    <s v="Aston Villa FC"/>
    <n v="0"/>
    <s v="Manchester United FC"/>
    <n v="3"/>
    <m/>
    <n v="0"/>
  </r>
  <r>
    <n v="35"/>
    <x v="34"/>
    <s v="Aston Villa FC"/>
    <n v="2"/>
    <s v="Crystal Palace FC"/>
    <n v="0"/>
    <m/>
    <n v="3"/>
  </r>
  <r>
    <n v="36"/>
    <x v="35"/>
    <s v="Everton FC"/>
    <n v="1"/>
    <s v="Aston Villa FC"/>
    <n v="1"/>
    <m/>
    <n v="1"/>
  </r>
  <r>
    <n v="37"/>
    <x v="36"/>
    <s v="Aston Villa FC"/>
    <n v="1"/>
    <s v="Arsenal FC"/>
    <n v="0"/>
    <m/>
    <n v="3"/>
  </r>
  <r>
    <n v="38"/>
    <x v="37"/>
    <s v="West Ham United FC"/>
    <n v="1"/>
    <s v="Aston Villa FC"/>
    <n v="1"/>
    <m/>
    <n v="1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s v="Watford FC"/>
    <n v="0"/>
    <s v="Brighton &amp; Hove Albion FC"/>
    <n v="3"/>
    <m/>
    <n v="3"/>
  </r>
  <r>
    <n v="2"/>
    <x v="1"/>
    <s v="Brighton &amp; Hove Albion FC"/>
    <n v="1"/>
    <s v="West Ham United FC"/>
    <n v="1"/>
    <m/>
    <n v="1"/>
  </r>
  <r>
    <n v="3"/>
    <x v="2"/>
    <s v="Brighton &amp; Hove Albion FC"/>
    <n v="0"/>
    <s v="Southampton FC"/>
    <n v="2"/>
    <m/>
    <n v="0"/>
  </r>
  <r>
    <n v="4"/>
    <x v="3"/>
    <s v="Manchester City FC"/>
    <n v="4"/>
    <s v="Brighton &amp; Hove Albion FC"/>
    <n v="0"/>
    <m/>
    <n v="0"/>
  </r>
  <r>
    <n v="5"/>
    <x v="4"/>
    <s v="Brighton &amp; Hove Albion FC"/>
    <n v="1"/>
    <s v="Burnley FC"/>
    <n v="1"/>
    <m/>
    <n v="1"/>
  </r>
  <r>
    <n v="6"/>
    <x v="5"/>
    <s v="Newcastle United FC"/>
    <n v="0"/>
    <s v="Brighton &amp; Hove Albion FC"/>
    <n v="0"/>
    <m/>
    <n v="1"/>
  </r>
  <r>
    <n v="7"/>
    <x v="6"/>
    <s v="Chelsea FC"/>
    <n v="2"/>
    <s v="Brighton &amp; Hove Albion FC"/>
    <n v="0"/>
    <m/>
    <n v="0"/>
  </r>
  <r>
    <n v="8"/>
    <x v="7"/>
    <s v="Brighton &amp; Hove Albion FC"/>
    <n v="3"/>
    <s v="Tottenham Hotspur FC"/>
    <n v="0"/>
    <m/>
    <n v="3"/>
  </r>
  <r>
    <n v="9"/>
    <x v="8"/>
    <s v="Aston Villa FC"/>
    <n v="2"/>
    <s v="Brighton &amp; Hove Albion FC"/>
    <n v="1"/>
    <m/>
    <n v="0"/>
  </r>
  <r>
    <n v="10"/>
    <x v="9"/>
    <s v="Brighton &amp; Hove Albion FC"/>
    <n v="3"/>
    <s v="Everton FC"/>
    <n v="2"/>
    <m/>
    <n v="3"/>
  </r>
  <r>
    <n v="11"/>
    <x v="10"/>
    <s v="Brighton &amp; Hove Albion FC"/>
    <n v="2"/>
    <s v="Norwich City FC"/>
    <n v="0"/>
    <m/>
    <n v="3"/>
  </r>
  <r>
    <n v="12"/>
    <x v="11"/>
    <s v="Manchester United FC"/>
    <n v="3"/>
    <s v="Brighton &amp; Hove Albion FC"/>
    <n v="1"/>
    <m/>
    <n v="0"/>
  </r>
  <r>
    <n v="13"/>
    <x v="12"/>
    <s v="Brighton &amp; Hove Albion FC"/>
    <n v="0"/>
    <s v="Leicester City FC"/>
    <n v="2"/>
    <m/>
    <n v="0"/>
  </r>
  <r>
    <n v="14"/>
    <x v="13"/>
    <s v="Liverpool FC"/>
    <n v="2"/>
    <s v="Brighton &amp; Hove Albion FC"/>
    <n v="1"/>
    <m/>
    <n v="0"/>
  </r>
  <r>
    <n v="15"/>
    <x v="14"/>
    <s v="Arsenal FC"/>
    <n v="1"/>
    <s v="Brighton &amp; Hove Albion FC"/>
    <n v="2"/>
    <m/>
    <n v="3"/>
  </r>
  <r>
    <n v="16"/>
    <x v="15"/>
    <s v="Brighton &amp; Hove Albion FC"/>
    <n v="2"/>
    <s v="Wolverhampton Wanderers FC"/>
    <n v="2"/>
    <m/>
    <n v="1"/>
  </r>
  <r>
    <n v="17"/>
    <x v="16"/>
    <s v="Crystal Palace FC"/>
    <n v="1"/>
    <s v="Brighton &amp; Hove Albion FC"/>
    <n v="1"/>
    <m/>
    <n v="1"/>
  </r>
  <r>
    <n v="18"/>
    <x v="17"/>
    <s v="Brighton &amp; Hove Albion FC"/>
    <n v="0"/>
    <s v="Sheffield United FC"/>
    <n v="1"/>
    <m/>
    <n v="0"/>
  </r>
  <r>
    <n v="19"/>
    <x v="18"/>
    <s v="Tottenham Hotspur FC"/>
    <n v="2"/>
    <s v="Brighton &amp; Hove Albion FC"/>
    <n v="1"/>
    <m/>
    <n v="0"/>
  </r>
  <r>
    <n v="20"/>
    <x v="19"/>
    <s v="Brighton &amp; Hove Albion FC"/>
    <n v="2"/>
    <s v="AFC Bournemouth"/>
    <n v="0"/>
    <m/>
    <n v="3"/>
  </r>
  <r>
    <n v="21"/>
    <x v="20"/>
    <s v="Brighton &amp; Hove Albion FC"/>
    <n v="1"/>
    <s v="Chelsea FC"/>
    <n v="1"/>
    <m/>
    <n v="1"/>
  </r>
  <r>
    <n v="22"/>
    <x v="21"/>
    <s v="Everton FC"/>
    <n v="1"/>
    <s v="Brighton &amp; Hove Albion FC"/>
    <n v="0"/>
    <m/>
    <n v="0"/>
  </r>
  <r>
    <n v="23"/>
    <x v="22"/>
    <s v="Brighton &amp; Hove Albion FC"/>
    <n v="1"/>
    <s v="Aston Villa FC"/>
    <n v="1"/>
    <m/>
    <n v="1"/>
  </r>
  <r>
    <n v="24"/>
    <x v="23"/>
    <s v="AFC Bournemouth"/>
    <n v="3"/>
    <s v="Brighton &amp; Hove Albion FC"/>
    <n v="1"/>
    <m/>
    <n v="0"/>
  </r>
  <r>
    <n v="25"/>
    <x v="24"/>
    <s v="West Ham United FC"/>
    <n v="3"/>
    <s v="Brighton &amp; Hove Albion FC"/>
    <n v="3"/>
    <m/>
    <n v="1"/>
  </r>
  <r>
    <n v="26"/>
    <x v="25"/>
    <s v="Brighton &amp; Hove Albion FC"/>
    <n v="1"/>
    <s v="Watford FC"/>
    <n v="1"/>
    <m/>
    <n v="1"/>
  </r>
  <r>
    <n v="27"/>
    <x v="26"/>
    <s v="Sheffield United FC"/>
    <n v="1"/>
    <s v="Brighton &amp; Hove Albion FC"/>
    <n v="1"/>
    <m/>
    <n v="1"/>
  </r>
  <r>
    <n v="28"/>
    <x v="27"/>
    <s v="Brighton &amp; Hove Albion FC"/>
    <n v="0"/>
    <s v="Crystal Palace FC"/>
    <n v="1"/>
    <m/>
    <n v="0"/>
  </r>
  <r>
    <n v="29"/>
    <x v="28"/>
    <s v="Wolverhampton Wanderers FC"/>
    <n v="0"/>
    <s v="Brighton &amp; Hove Albion FC"/>
    <n v="0"/>
    <m/>
    <n v="1"/>
  </r>
  <r>
    <n v="30"/>
    <x v="29"/>
    <s v="Brighton &amp; Hove Albion FC"/>
    <n v="2"/>
    <s v="Arsenal FC"/>
    <n v="1"/>
    <m/>
    <n v="3"/>
  </r>
  <r>
    <n v="31"/>
    <x v="30"/>
    <s v="Leicester City FC"/>
    <n v="0"/>
    <s v="Brighton &amp; Hove Albion FC"/>
    <n v="0"/>
    <m/>
    <n v="1"/>
  </r>
  <r>
    <n v="32"/>
    <x v="31"/>
    <s v="Brighton &amp; Hove Albion FC"/>
    <n v="0"/>
    <s v="Manchester United FC"/>
    <n v="3"/>
    <m/>
    <n v="0"/>
  </r>
  <r>
    <n v="33"/>
    <x v="32"/>
    <s v="Norwich City FC"/>
    <n v="0"/>
    <s v="Brighton &amp; Hove Albion FC"/>
    <n v="1"/>
    <m/>
    <n v="3"/>
  </r>
  <r>
    <n v="34"/>
    <x v="33"/>
    <s v="Brighton &amp; Hove Albion FC"/>
    <n v="1"/>
    <s v="Liverpool FC"/>
    <n v="3"/>
    <m/>
    <n v="0"/>
  </r>
  <r>
    <n v="35"/>
    <x v="34"/>
    <s v="Brighton &amp; Hove Albion FC"/>
    <n v="0"/>
    <s v="Manchester City FC"/>
    <n v="5"/>
    <m/>
    <n v="0"/>
  </r>
  <r>
    <n v="36"/>
    <x v="35"/>
    <s v="Southampton FC"/>
    <n v="1"/>
    <s v="Brighton &amp; Hove Albion FC"/>
    <n v="1"/>
    <m/>
    <n v="1"/>
  </r>
  <r>
    <n v="37"/>
    <x v="36"/>
    <s v="Brighton &amp; Hove Albion FC"/>
    <n v="0"/>
    <s v="Newcastle United FC"/>
    <n v="0"/>
    <m/>
    <n v="1"/>
  </r>
  <r>
    <n v="38"/>
    <x v="37"/>
    <s v="Burnley FC"/>
    <n v="1"/>
    <s v="Brighton &amp; Hove Albion FC"/>
    <n v="2"/>
    <m/>
    <n v="3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s v="Crystal Palace FC"/>
    <n v="0"/>
    <s v="Everton FC"/>
    <n v="0"/>
    <m/>
    <n v="1"/>
  </r>
  <r>
    <n v="2"/>
    <x v="1"/>
    <s v="Everton FC"/>
    <n v="1"/>
    <s v="Watford FC"/>
    <n v="0"/>
    <m/>
    <n v="3"/>
  </r>
  <r>
    <n v="3"/>
    <x v="2"/>
    <s v="Aston Villa FC"/>
    <n v="2"/>
    <s v="Everton FC"/>
    <n v="0"/>
    <m/>
    <n v="0"/>
  </r>
  <r>
    <n v="4"/>
    <x v="3"/>
    <s v="Everton FC"/>
    <n v="3"/>
    <s v="Wolverhampton Wanderers FC"/>
    <n v="2"/>
    <m/>
    <n v="3"/>
  </r>
  <r>
    <n v="5"/>
    <x v="4"/>
    <s v="AFC Bournemouth"/>
    <n v="3"/>
    <s v="Everton FC"/>
    <n v="1"/>
    <m/>
    <n v="0"/>
  </r>
  <r>
    <n v="6"/>
    <x v="5"/>
    <s v="Everton FC"/>
    <n v="0"/>
    <s v="Sheffield United FC"/>
    <n v="2"/>
    <m/>
    <n v="0"/>
  </r>
  <r>
    <n v="7"/>
    <x v="6"/>
    <s v="Everton FC"/>
    <n v="1"/>
    <s v="Manchester City FC"/>
    <n v="3"/>
    <m/>
    <n v="0"/>
  </r>
  <r>
    <n v="8"/>
    <x v="7"/>
    <s v="Burnley FC"/>
    <n v="1"/>
    <s v="Everton FC"/>
    <n v="0"/>
    <m/>
    <n v="0"/>
  </r>
  <r>
    <n v="9"/>
    <x v="8"/>
    <s v="Everton FC"/>
    <n v="2"/>
    <s v="West Ham United FC"/>
    <n v="0"/>
    <m/>
    <n v="3"/>
  </r>
  <r>
    <n v="10"/>
    <x v="9"/>
    <s v="Brighton &amp; Hove Albion FC"/>
    <n v="3"/>
    <s v="Everton FC"/>
    <n v="2"/>
    <m/>
    <n v="0"/>
  </r>
  <r>
    <n v="11"/>
    <x v="10"/>
    <s v="Everton FC"/>
    <n v="1"/>
    <s v="Tottenham Hotspur FC"/>
    <n v="1"/>
    <m/>
    <n v="1"/>
  </r>
  <r>
    <n v="12"/>
    <x v="11"/>
    <s v="Southampton FC"/>
    <n v="1"/>
    <s v="Everton FC"/>
    <n v="2"/>
    <m/>
    <n v="3"/>
  </r>
  <r>
    <n v="13"/>
    <x v="12"/>
    <s v="Everton FC"/>
    <n v="0"/>
    <s v="Norwich City FC"/>
    <n v="2"/>
    <m/>
    <n v="0"/>
  </r>
  <r>
    <n v="14"/>
    <x v="13"/>
    <s v="Leicester City FC"/>
    <n v="2"/>
    <s v="Everton FC"/>
    <n v="1"/>
    <m/>
    <n v="0"/>
  </r>
  <r>
    <n v="15"/>
    <x v="14"/>
    <s v="Liverpool FC"/>
    <n v="5"/>
    <s v="Everton FC"/>
    <n v="2"/>
    <m/>
    <n v="0"/>
  </r>
  <r>
    <n v="16"/>
    <x v="15"/>
    <s v="Everton FC"/>
    <n v="3"/>
    <s v="Chelsea FC"/>
    <n v="1"/>
    <m/>
    <n v="3"/>
  </r>
  <r>
    <n v="17"/>
    <x v="16"/>
    <s v="Manchester United FC"/>
    <n v="1"/>
    <s v="Everton FC"/>
    <n v="1"/>
    <m/>
    <n v="1"/>
  </r>
  <r>
    <n v="18"/>
    <x v="17"/>
    <s v="Everton FC"/>
    <n v="0"/>
    <s v="Arsenal FC"/>
    <n v="0"/>
    <m/>
    <n v="1"/>
  </r>
  <r>
    <n v="19"/>
    <x v="18"/>
    <s v="Everton FC"/>
    <n v="1"/>
    <s v="Burnley FC"/>
    <n v="0"/>
    <m/>
    <n v="3"/>
  </r>
  <r>
    <n v="20"/>
    <x v="19"/>
    <s v="Newcastle United FC"/>
    <n v="1"/>
    <s v="Everton FC"/>
    <n v="2"/>
    <m/>
    <n v="3"/>
  </r>
  <r>
    <n v="21"/>
    <x v="20"/>
    <s v="Manchester City FC"/>
    <n v="2"/>
    <s v="Everton FC"/>
    <n v="1"/>
    <m/>
    <n v="0"/>
  </r>
  <r>
    <n v="22"/>
    <x v="21"/>
    <s v="Everton FC"/>
    <n v="1"/>
    <s v="Brighton &amp; Hove Albion FC"/>
    <n v="0"/>
    <m/>
    <n v="3"/>
  </r>
  <r>
    <n v="23"/>
    <x v="22"/>
    <s v="West Ham United FC"/>
    <n v="1"/>
    <s v="Everton FC"/>
    <n v="1"/>
    <m/>
    <n v="1"/>
  </r>
  <r>
    <n v="24"/>
    <x v="23"/>
    <s v="Everton FC"/>
    <n v="2"/>
    <s v="Newcastle United FC"/>
    <n v="2"/>
    <m/>
    <n v="1"/>
  </r>
  <r>
    <n v="25"/>
    <x v="24"/>
    <s v="Watford FC"/>
    <n v="2"/>
    <s v="Everton FC"/>
    <n v="3"/>
    <m/>
    <n v="3"/>
  </r>
  <r>
    <n v="26"/>
    <x v="25"/>
    <s v="Everton FC"/>
    <n v="3"/>
    <s v="Crystal Palace FC"/>
    <n v="1"/>
    <m/>
    <n v="3"/>
  </r>
  <r>
    <n v="27"/>
    <x v="26"/>
    <s v="Arsenal FC"/>
    <n v="3"/>
    <s v="Everton FC"/>
    <n v="2"/>
    <m/>
    <n v="0"/>
  </r>
  <r>
    <n v="28"/>
    <x v="27"/>
    <s v="Everton FC"/>
    <n v="1"/>
    <s v="Manchester United FC"/>
    <n v="1"/>
    <m/>
    <n v="1"/>
  </r>
  <r>
    <n v="29"/>
    <x v="28"/>
    <s v="Chelsea FC"/>
    <n v="4"/>
    <s v="Everton FC"/>
    <n v="0"/>
    <m/>
    <n v="0"/>
  </r>
  <r>
    <n v="30"/>
    <x v="29"/>
    <s v="Everton FC"/>
    <n v="0"/>
    <s v="Liverpool FC"/>
    <n v="0"/>
    <m/>
    <n v="1"/>
  </r>
  <r>
    <n v="31"/>
    <x v="30"/>
    <s v="Norwich City FC"/>
    <n v="0"/>
    <s v="Everton FC"/>
    <n v="1"/>
    <m/>
    <n v="3"/>
  </r>
  <r>
    <n v="32"/>
    <x v="31"/>
    <s v="Everton FC"/>
    <n v="2"/>
    <s v="Leicester City FC"/>
    <n v="1"/>
    <m/>
    <n v="3"/>
  </r>
  <r>
    <n v="33"/>
    <x v="32"/>
    <s v="Tottenham Hotspur FC"/>
    <n v="1"/>
    <s v="Everton FC"/>
    <n v="0"/>
    <m/>
    <n v="0"/>
  </r>
  <r>
    <n v="34"/>
    <x v="33"/>
    <s v="Everton FC"/>
    <n v="1"/>
    <s v="Southampton FC"/>
    <n v="1"/>
    <m/>
    <n v="1"/>
  </r>
  <r>
    <n v="35"/>
    <x v="34"/>
    <s v="Wolverhampton Wanderers FC"/>
    <n v="3"/>
    <s v="Everton FC"/>
    <n v="0"/>
    <m/>
    <n v="0"/>
  </r>
  <r>
    <n v="36"/>
    <x v="35"/>
    <s v="Everton FC"/>
    <n v="1"/>
    <s v="Aston Villa FC"/>
    <n v="1"/>
    <m/>
    <n v="1"/>
  </r>
  <r>
    <n v="37"/>
    <x v="36"/>
    <s v="Sheffield United FC"/>
    <n v="0"/>
    <s v="Everton FC"/>
    <n v="1"/>
    <m/>
    <n v="3"/>
  </r>
  <r>
    <n v="38"/>
    <x v="37"/>
    <s v="Everton FC"/>
    <n v="1"/>
    <s v="AFC Bournemouth"/>
    <n v="3"/>
    <m/>
    <n v="0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s v="Newcastle United FC"/>
    <n v="0"/>
    <s v="Arsenal FC"/>
    <n v="1"/>
    <m/>
    <n v="3"/>
  </r>
  <r>
    <n v="2"/>
    <x v="1"/>
    <s v="Arsenal FC"/>
    <n v="2"/>
    <s v="Burnley FC"/>
    <n v="1"/>
    <m/>
    <n v="3"/>
  </r>
  <r>
    <n v="3"/>
    <x v="2"/>
    <s v="Liverpool FC"/>
    <n v="3"/>
    <s v="Arsenal FC"/>
    <n v="1"/>
    <m/>
    <n v="0"/>
  </r>
  <r>
    <n v="4"/>
    <x v="3"/>
    <s v="Arsenal FC"/>
    <n v="2"/>
    <s v="Tottenham Hotspur FC"/>
    <n v="2"/>
    <m/>
    <n v="1"/>
  </r>
  <r>
    <n v="5"/>
    <x v="4"/>
    <s v="Watford FC"/>
    <n v="2"/>
    <s v="Arsenal FC"/>
    <n v="2"/>
    <m/>
    <n v="1"/>
  </r>
  <r>
    <n v="6"/>
    <x v="5"/>
    <s v="Arsenal FC"/>
    <n v="3"/>
    <s v="Aston Villa FC"/>
    <n v="2"/>
    <m/>
    <n v="3"/>
  </r>
  <r>
    <n v="7"/>
    <x v="6"/>
    <s v="Manchester United FC"/>
    <n v="1"/>
    <s v="Arsenal FC"/>
    <n v="1"/>
    <m/>
    <n v="1"/>
  </r>
  <r>
    <n v="8"/>
    <x v="7"/>
    <s v="Arsenal FC"/>
    <n v="1"/>
    <s v="AFC Bournemouth"/>
    <n v="0"/>
    <m/>
    <n v="3"/>
  </r>
  <r>
    <n v="9"/>
    <x v="8"/>
    <s v="Sheffield United FC"/>
    <n v="1"/>
    <s v="Arsenal FC"/>
    <n v="0"/>
    <m/>
    <n v="0"/>
  </r>
  <r>
    <n v="10"/>
    <x v="9"/>
    <s v="Arsenal FC"/>
    <n v="2"/>
    <s v="Crystal Palace FC"/>
    <n v="2"/>
    <m/>
    <n v="1"/>
  </r>
  <r>
    <n v="11"/>
    <x v="10"/>
    <s v="Arsenal FC"/>
    <n v="1"/>
    <s v="Wolverhampton Wanderers FC"/>
    <n v="1"/>
    <m/>
    <n v="1"/>
  </r>
  <r>
    <n v="12"/>
    <x v="11"/>
    <s v="Leicester City FC"/>
    <n v="2"/>
    <s v="Arsenal FC"/>
    <n v="0"/>
    <m/>
    <n v="0"/>
  </r>
  <r>
    <n v="13"/>
    <x v="12"/>
    <s v="Arsenal FC"/>
    <n v="2"/>
    <s v="Southampton FC"/>
    <n v="2"/>
    <m/>
    <n v="1"/>
  </r>
  <r>
    <n v="14"/>
    <x v="13"/>
    <s v="Norwich City FC"/>
    <n v="2"/>
    <s v="Arsenal FC"/>
    <n v="2"/>
    <m/>
    <n v="1"/>
  </r>
  <r>
    <n v="15"/>
    <x v="14"/>
    <s v="Arsenal FC"/>
    <n v="1"/>
    <s v="Brighton &amp; Hove Albion FC"/>
    <n v="2"/>
    <m/>
    <n v="0"/>
  </r>
  <r>
    <n v="16"/>
    <x v="15"/>
    <s v="West Ham United FC"/>
    <n v="1"/>
    <s v="Arsenal FC"/>
    <n v="3"/>
    <m/>
    <n v="3"/>
  </r>
  <r>
    <n v="17"/>
    <x v="16"/>
    <s v="Arsenal FC"/>
    <n v="0"/>
    <s v="Manchester City FC"/>
    <n v="3"/>
    <m/>
    <n v="0"/>
  </r>
  <r>
    <n v="18"/>
    <x v="17"/>
    <s v="Everton FC"/>
    <n v="0"/>
    <s v="Arsenal FC"/>
    <n v="0"/>
    <m/>
    <n v="1"/>
  </r>
  <r>
    <n v="19"/>
    <x v="18"/>
    <s v="AFC Bournemouth"/>
    <n v="1"/>
    <s v="Arsenal FC"/>
    <n v="1"/>
    <m/>
    <n v="1"/>
  </r>
  <r>
    <n v="20"/>
    <x v="19"/>
    <s v="Arsenal FC"/>
    <n v="1"/>
    <s v="Chelsea FC"/>
    <n v="2"/>
    <m/>
    <n v="0"/>
  </r>
  <r>
    <n v="21"/>
    <x v="20"/>
    <s v="Arsenal FC"/>
    <n v="2"/>
    <s v="Manchester United FC"/>
    <n v="0"/>
    <m/>
    <n v="3"/>
  </r>
  <r>
    <n v="22"/>
    <x v="21"/>
    <s v="Crystal Palace FC"/>
    <n v="1"/>
    <s v="Arsenal FC"/>
    <n v="1"/>
    <m/>
    <n v="1"/>
  </r>
  <r>
    <n v="23"/>
    <x v="22"/>
    <s v="Arsenal FC"/>
    <n v="1"/>
    <s v="Sheffield United FC"/>
    <n v="1"/>
    <m/>
    <n v="1"/>
  </r>
  <r>
    <n v="24"/>
    <x v="23"/>
    <s v="Chelsea FC"/>
    <n v="2"/>
    <s v="Arsenal FC"/>
    <n v="2"/>
    <m/>
    <n v="1"/>
  </r>
  <r>
    <n v="25"/>
    <x v="24"/>
    <s v="Burnley FC"/>
    <n v="0"/>
    <s v="Arsenal FC"/>
    <n v="0"/>
    <m/>
    <n v="1"/>
  </r>
  <r>
    <n v="26"/>
    <x v="25"/>
    <s v="Arsenal FC"/>
    <n v="4"/>
    <s v="Newcastle United FC"/>
    <n v="0"/>
    <m/>
    <n v="3"/>
  </r>
  <r>
    <n v="27"/>
    <x v="26"/>
    <s v="Arsenal FC"/>
    <n v="3"/>
    <s v="Everton FC"/>
    <n v="2"/>
    <m/>
    <n v="3"/>
  </r>
  <r>
    <n v="28"/>
    <x v="27"/>
    <s v="Manchester City FC"/>
    <n v="3"/>
    <s v="Arsenal FC"/>
    <n v="0"/>
    <m/>
    <n v="0"/>
  </r>
  <r>
    <n v="29"/>
    <x v="28"/>
    <s v="Arsenal FC"/>
    <n v="1"/>
    <s v="West Ham United FC"/>
    <n v="0"/>
    <m/>
    <n v="3"/>
  </r>
  <r>
    <n v="30"/>
    <x v="29"/>
    <s v="Brighton &amp; Hove Albion FC"/>
    <n v="2"/>
    <s v="Arsenal FC"/>
    <n v="1"/>
    <m/>
    <n v="0"/>
  </r>
  <r>
    <n v="31"/>
    <x v="30"/>
    <s v="Southampton FC"/>
    <n v="0"/>
    <s v="Arsenal FC"/>
    <n v="2"/>
    <m/>
    <n v="3"/>
  </r>
  <r>
    <n v="32"/>
    <x v="31"/>
    <s v="Arsenal FC"/>
    <n v="4"/>
    <s v="Norwich City FC"/>
    <n v="0"/>
    <m/>
    <n v="3"/>
  </r>
  <r>
    <n v="33"/>
    <x v="32"/>
    <s v="Wolverhampton Wanderers FC"/>
    <n v="0"/>
    <s v="Arsenal FC"/>
    <n v="2"/>
    <m/>
    <n v="3"/>
  </r>
  <r>
    <n v="34"/>
    <x v="33"/>
    <s v="Arsenal FC"/>
    <n v="1"/>
    <s v="Leicester City FC"/>
    <n v="1"/>
    <m/>
    <n v="1"/>
  </r>
  <r>
    <n v="35"/>
    <x v="34"/>
    <s v="Tottenham Hotspur FC"/>
    <n v="2"/>
    <s v="Arsenal FC"/>
    <n v="1"/>
    <m/>
    <n v="0"/>
  </r>
  <r>
    <n v="36"/>
    <x v="35"/>
    <s v="Arsenal FC"/>
    <n v="2"/>
    <s v="Liverpool FC"/>
    <n v="1"/>
    <m/>
    <n v="3"/>
  </r>
  <r>
    <n v="37"/>
    <x v="36"/>
    <s v="Aston Villa FC"/>
    <n v="1"/>
    <s v="Arsenal FC"/>
    <n v="0"/>
    <m/>
    <n v="0"/>
  </r>
  <r>
    <n v="38"/>
    <x v="37"/>
    <s v="Arsenal FC"/>
    <n v="3"/>
    <s v="Watford FC"/>
    <n v="2"/>
    <m/>
    <n v="3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s v="Manchester United FC"/>
    <n v="4"/>
    <s v="Chelsea FC"/>
    <n v="0"/>
    <m/>
    <n v="3"/>
  </r>
  <r>
    <n v="2"/>
    <x v="1"/>
    <s v="Wolverhampton Wanderers FC"/>
    <n v="1"/>
    <s v="Manchester United FC"/>
    <n v="1"/>
    <m/>
    <n v="1"/>
  </r>
  <r>
    <n v="3"/>
    <x v="2"/>
    <s v="Manchester United FC"/>
    <n v="1"/>
    <s v="Crystal Palace FC"/>
    <n v="2"/>
    <m/>
    <n v="0"/>
  </r>
  <r>
    <n v="4"/>
    <x v="3"/>
    <s v="Southampton FC"/>
    <n v="1"/>
    <s v="Manchester United FC"/>
    <n v="1"/>
    <m/>
    <n v="1"/>
  </r>
  <r>
    <n v="5"/>
    <x v="4"/>
    <s v="Manchester United FC"/>
    <n v="1"/>
    <s v="Leicester City FC"/>
    <n v="0"/>
    <m/>
    <n v="3"/>
  </r>
  <r>
    <n v="6"/>
    <x v="5"/>
    <s v="West Ham United FC"/>
    <n v="2"/>
    <s v="Manchester United FC"/>
    <n v="0"/>
    <m/>
    <n v="0"/>
  </r>
  <r>
    <n v="7"/>
    <x v="6"/>
    <s v="Manchester United FC"/>
    <n v="1"/>
    <s v="Arsenal FC"/>
    <n v="1"/>
    <m/>
    <n v="1"/>
  </r>
  <r>
    <n v="8"/>
    <x v="7"/>
    <s v="Newcastle United FC"/>
    <n v="1"/>
    <s v="Manchester United FC"/>
    <n v="0"/>
    <m/>
    <n v="0"/>
  </r>
  <r>
    <n v="9"/>
    <x v="8"/>
    <s v="Manchester United FC"/>
    <n v="1"/>
    <s v="Liverpool FC"/>
    <n v="1"/>
    <m/>
    <n v="1"/>
  </r>
  <r>
    <n v="10"/>
    <x v="9"/>
    <s v="Norwich City FC"/>
    <n v="1"/>
    <s v="Manchester United FC"/>
    <n v="3"/>
    <m/>
    <n v="3"/>
  </r>
  <r>
    <n v="11"/>
    <x v="10"/>
    <s v="AFC Bournemouth"/>
    <n v="1"/>
    <s v="Manchester United FC"/>
    <n v="0"/>
    <m/>
    <n v="0"/>
  </r>
  <r>
    <n v="12"/>
    <x v="11"/>
    <s v="Manchester United FC"/>
    <n v="3"/>
    <s v="Brighton &amp; Hove Albion FC"/>
    <n v="1"/>
    <m/>
    <n v="3"/>
  </r>
  <r>
    <n v="13"/>
    <x v="12"/>
    <s v="Sheffield United FC"/>
    <n v="3"/>
    <s v="Manchester United FC"/>
    <n v="3"/>
    <m/>
    <n v="1"/>
  </r>
  <r>
    <n v="14"/>
    <x v="13"/>
    <s v="Manchester United FC"/>
    <n v="2"/>
    <s v="Aston Villa FC"/>
    <n v="2"/>
    <m/>
    <n v="1"/>
  </r>
  <r>
    <n v="15"/>
    <x v="14"/>
    <s v="Manchester United FC"/>
    <n v="2"/>
    <s v="Tottenham Hotspur FC"/>
    <n v="1"/>
    <m/>
    <n v="3"/>
  </r>
  <r>
    <n v="16"/>
    <x v="15"/>
    <s v="Manchester City FC"/>
    <n v="1"/>
    <s v="Manchester United FC"/>
    <n v="2"/>
    <m/>
    <n v="3"/>
  </r>
  <r>
    <n v="17"/>
    <x v="16"/>
    <s v="Manchester United FC"/>
    <n v="1"/>
    <s v="Everton FC"/>
    <n v="1"/>
    <m/>
    <n v="1"/>
  </r>
  <r>
    <n v="18"/>
    <x v="17"/>
    <s v="Watford FC"/>
    <n v="2"/>
    <s v="Manchester United FC"/>
    <n v="0"/>
    <m/>
    <n v="0"/>
  </r>
  <r>
    <n v="19"/>
    <x v="18"/>
    <s v="Manchester United FC"/>
    <n v="4"/>
    <s v="Newcastle United FC"/>
    <n v="1"/>
    <m/>
    <n v="3"/>
  </r>
  <r>
    <n v="20"/>
    <x v="19"/>
    <s v="Burnley FC"/>
    <n v="0"/>
    <s v="Manchester United FC"/>
    <n v="2"/>
    <m/>
    <n v="3"/>
  </r>
  <r>
    <n v="21"/>
    <x v="20"/>
    <s v="Arsenal FC"/>
    <n v="2"/>
    <s v="Manchester United FC"/>
    <n v="0"/>
    <m/>
    <n v="0"/>
  </r>
  <r>
    <n v="22"/>
    <x v="21"/>
    <s v="Manchester United FC"/>
    <n v="4"/>
    <s v="Norwich City FC"/>
    <n v="0"/>
    <m/>
    <n v="3"/>
  </r>
  <r>
    <n v="23"/>
    <x v="22"/>
    <s v="Liverpool FC"/>
    <n v="2"/>
    <s v="Manchester United FC"/>
    <n v="0"/>
    <m/>
    <n v="0"/>
  </r>
  <r>
    <n v="24"/>
    <x v="23"/>
    <s v="Manchester United FC"/>
    <n v="0"/>
    <s v="Burnley FC"/>
    <n v="2"/>
    <m/>
    <n v="0"/>
  </r>
  <r>
    <n v="25"/>
    <x v="24"/>
    <s v="Manchester United FC"/>
    <n v="0"/>
    <s v="Wolverhampton Wanderers FC"/>
    <n v="0"/>
    <m/>
    <n v="1"/>
  </r>
  <r>
    <n v="26"/>
    <x v="25"/>
    <s v="Chelsea FC"/>
    <n v="0"/>
    <s v="Manchester United FC"/>
    <n v="2"/>
    <m/>
    <n v="3"/>
  </r>
  <r>
    <n v="27"/>
    <x v="26"/>
    <s v="Manchester United FC"/>
    <n v="3"/>
    <s v="Watford FC"/>
    <n v="0"/>
    <m/>
    <n v="3"/>
  </r>
  <r>
    <n v="28"/>
    <x v="27"/>
    <s v="Everton FC"/>
    <n v="1"/>
    <s v="Manchester United FC"/>
    <n v="1"/>
    <m/>
    <n v="1"/>
  </r>
  <r>
    <n v="29"/>
    <x v="28"/>
    <s v="Manchester United FC"/>
    <n v="2"/>
    <s v="Manchester City FC"/>
    <n v="0"/>
    <m/>
    <n v="3"/>
  </r>
  <r>
    <n v="30"/>
    <x v="29"/>
    <s v="Tottenham Hotspur FC"/>
    <n v="1"/>
    <s v="Manchester United FC"/>
    <n v="1"/>
    <m/>
    <n v="1"/>
  </r>
  <r>
    <n v="31"/>
    <x v="30"/>
    <s v="Manchester United FC"/>
    <n v="3"/>
    <s v="Sheffield United FC"/>
    <n v="0"/>
    <m/>
    <n v="3"/>
  </r>
  <r>
    <n v="32"/>
    <x v="31"/>
    <s v="Brighton &amp; Hove Albion FC"/>
    <n v="0"/>
    <s v="Manchester United FC"/>
    <n v="3"/>
    <m/>
    <n v="3"/>
  </r>
  <r>
    <n v="33"/>
    <x v="32"/>
    <s v="Manchester United FC"/>
    <n v="5"/>
    <s v="AFC Bournemouth"/>
    <n v="2"/>
    <m/>
    <n v="3"/>
  </r>
  <r>
    <n v="34"/>
    <x v="33"/>
    <s v="Aston Villa FC"/>
    <n v="0"/>
    <s v="Manchester United FC"/>
    <n v="3"/>
    <m/>
    <n v="3"/>
  </r>
  <r>
    <n v="35"/>
    <x v="34"/>
    <s v="Manchester United FC"/>
    <n v="2"/>
    <s v="Southampton FC"/>
    <n v="2"/>
    <m/>
    <n v="1"/>
  </r>
  <r>
    <n v="36"/>
    <x v="35"/>
    <s v="Crystal Palace FC"/>
    <n v="0"/>
    <s v="Manchester United FC"/>
    <n v="2"/>
    <m/>
    <n v="3"/>
  </r>
  <r>
    <n v="37"/>
    <x v="36"/>
    <s v="Manchester United FC"/>
    <n v="1"/>
    <s v="West Ham United FC"/>
    <n v="1"/>
    <m/>
    <n v="1"/>
  </r>
  <r>
    <n v="38"/>
    <x v="37"/>
    <s v="Leicester City FC"/>
    <n v="0"/>
    <s v="Manchester United FC"/>
    <n v="2"/>
    <m/>
    <n v="3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s v="Newcastle United FC"/>
    <n v="0"/>
    <s v="Arsenal FC"/>
    <n v="1"/>
    <m/>
    <n v="0"/>
  </r>
  <r>
    <n v="2"/>
    <x v="1"/>
    <s v="Norwich City FC"/>
    <n v="3"/>
    <s v="Newcastle United FC"/>
    <n v="1"/>
    <m/>
    <n v="0"/>
  </r>
  <r>
    <n v="3"/>
    <x v="2"/>
    <s v="Tottenham Hotspur FC"/>
    <n v="0"/>
    <s v="Newcastle United FC"/>
    <n v="1"/>
    <m/>
    <n v="3"/>
  </r>
  <r>
    <n v="4"/>
    <x v="3"/>
    <s v="Newcastle United FC"/>
    <n v="1"/>
    <s v="Watford FC"/>
    <n v="1"/>
    <m/>
    <n v="1"/>
  </r>
  <r>
    <n v="5"/>
    <x v="4"/>
    <s v="Liverpool FC"/>
    <n v="3"/>
    <s v="Newcastle United FC"/>
    <n v="1"/>
    <m/>
    <n v="0"/>
  </r>
  <r>
    <n v="6"/>
    <x v="5"/>
    <s v="Newcastle United FC"/>
    <n v="0"/>
    <s v="Brighton &amp; Hove Albion FC"/>
    <n v="0"/>
    <m/>
    <n v="1"/>
  </r>
  <r>
    <n v="7"/>
    <x v="6"/>
    <s v="Leicester City FC"/>
    <n v="5"/>
    <s v="Newcastle United FC"/>
    <n v="0"/>
    <m/>
    <n v="0"/>
  </r>
  <r>
    <n v="8"/>
    <x v="7"/>
    <s v="Newcastle United FC"/>
    <n v="1"/>
    <s v="Manchester United FC"/>
    <n v="0"/>
    <m/>
    <n v="3"/>
  </r>
  <r>
    <n v="9"/>
    <x v="8"/>
    <s v="Chelsea FC"/>
    <n v="1"/>
    <s v="Newcastle United FC"/>
    <n v="0"/>
    <m/>
    <n v="0"/>
  </r>
  <r>
    <n v="10"/>
    <x v="9"/>
    <s v="Newcastle United FC"/>
    <n v="1"/>
    <s v="Wolverhampton Wanderers FC"/>
    <n v="1"/>
    <m/>
    <n v="1"/>
  </r>
  <r>
    <n v="11"/>
    <x v="10"/>
    <s v="West Ham United FC"/>
    <n v="2"/>
    <s v="Newcastle United FC"/>
    <n v="3"/>
    <m/>
    <n v="3"/>
  </r>
  <r>
    <n v="12"/>
    <x v="11"/>
    <s v="Newcastle United FC"/>
    <n v="2"/>
    <s v="AFC Bournemouth"/>
    <n v="1"/>
    <m/>
    <n v="3"/>
  </r>
  <r>
    <n v="13"/>
    <x v="12"/>
    <s v="Aston Villa FC"/>
    <n v="2"/>
    <s v="Newcastle United FC"/>
    <n v="0"/>
    <m/>
    <n v="0"/>
  </r>
  <r>
    <n v="14"/>
    <x v="13"/>
    <s v="Newcastle United FC"/>
    <n v="2"/>
    <s v="Manchester City FC"/>
    <n v="2"/>
    <m/>
    <n v="1"/>
  </r>
  <r>
    <n v="15"/>
    <x v="14"/>
    <s v="Sheffield United FC"/>
    <n v="0"/>
    <s v="Newcastle United FC"/>
    <n v="2"/>
    <m/>
    <n v="3"/>
  </r>
  <r>
    <n v="16"/>
    <x v="15"/>
    <s v="Newcastle United FC"/>
    <n v="2"/>
    <s v="Southampton FC"/>
    <n v="1"/>
    <m/>
    <n v="3"/>
  </r>
  <r>
    <n v="17"/>
    <x v="16"/>
    <s v="Burnley FC"/>
    <n v="1"/>
    <s v="Newcastle United FC"/>
    <n v="0"/>
    <m/>
    <n v="0"/>
  </r>
  <r>
    <n v="18"/>
    <x v="17"/>
    <s v="Newcastle United FC"/>
    <n v="1"/>
    <s v="Crystal Palace FC"/>
    <n v="0"/>
    <m/>
    <n v="3"/>
  </r>
  <r>
    <n v="19"/>
    <x v="18"/>
    <s v="Manchester United FC"/>
    <n v="4"/>
    <s v="Newcastle United FC"/>
    <n v="1"/>
    <m/>
    <n v="0"/>
  </r>
  <r>
    <n v="20"/>
    <x v="19"/>
    <s v="Newcastle United FC"/>
    <n v="1"/>
    <s v="Everton FC"/>
    <n v="2"/>
    <m/>
    <n v="0"/>
  </r>
  <r>
    <n v="21"/>
    <x v="20"/>
    <s v="Newcastle United FC"/>
    <n v="0"/>
    <s v="Leicester City FC"/>
    <n v="3"/>
    <m/>
    <n v="0"/>
  </r>
  <r>
    <n v="22"/>
    <x v="21"/>
    <s v="Wolverhampton Wanderers FC"/>
    <n v="1"/>
    <s v="Newcastle United FC"/>
    <n v="1"/>
    <m/>
    <n v="1"/>
  </r>
  <r>
    <n v="23"/>
    <x v="22"/>
    <s v="Newcastle United FC"/>
    <n v="1"/>
    <s v="Chelsea FC"/>
    <n v="0"/>
    <m/>
    <n v="3"/>
  </r>
  <r>
    <n v="24"/>
    <x v="23"/>
    <s v="Everton FC"/>
    <n v="2"/>
    <s v="Newcastle United FC"/>
    <n v="2"/>
    <m/>
    <n v="1"/>
  </r>
  <r>
    <n v="25"/>
    <x v="24"/>
    <s v="Newcastle United FC"/>
    <n v="0"/>
    <s v="Norwich City FC"/>
    <n v="0"/>
    <m/>
    <n v="1"/>
  </r>
  <r>
    <n v="26"/>
    <x v="25"/>
    <s v="Arsenal FC"/>
    <n v="4"/>
    <s v="Newcastle United FC"/>
    <n v="0"/>
    <m/>
    <n v="0"/>
  </r>
  <r>
    <n v="27"/>
    <x v="26"/>
    <s v="Crystal Palace FC"/>
    <n v="1"/>
    <s v="Newcastle United FC"/>
    <n v="0"/>
    <m/>
    <n v="0"/>
  </r>
  <r>
    <n v="28"/>
    <x v="27"/>
    <s v="Newcastle United FC"/>
    <n v="0"/>
    <s v="Burnley FC"/>
    <n v="0"/>
    <m/>
    <n v="1"/>
  </r>
  <r>
    <n v="29"/>
    <x v="28"/>
    <s v="Southampton FC"/>
    <n v="0"/>
    <s v="Newcastle United FC"/>
    <n v="1"/>
    <m/>
    <n v="3"/>
  </r>
  <r>
    <n v="30"/>
    <x v="29"/>
    <s v="Newcastle United FC"/>
    <n v="3"/>
    <s v="Sheffield United FC"/>
    <n v="0"/>
    <m/>
    <n v="3"/>
  </r>
  <r>
    <n v="31"/>
    <x v="30"/>
    <s v="Newcastle United FC"/>
    <n v="1"/>
    <s v="Aston Villa FC"/>
    <n v="1"/>
    <m/>
    <n v="1"/>
  </r>
  <r>
    <n v="32"/>
    <x v="31"/>
    <s v="AFC Bournemouth"/>
    <n v="1"/>
    <s v="Newcastle United FC"/>
    <n v="4"/>
    <m/>
    <n v="3"/>
  </r>
  <r>
    <n v="33"/>
    <x v="32"/>
    <s v="Newcastle United FC"/>
    <n v="2"/>
    <s v="West Ham United FC"/>
    <n v="2"/>
    <m/>
    <n v="1"/>
  </r>
  <r>
    <n v="34"/>
    <x v="33"/>
    <s v="Manchester City FC"/>
    <n v="5"/>
    <s v="Newcastle United FC"/>
    <n v="0"/>
    <m/>
    <n v="0"/>
  </r>
  <r>
    <n v="35"/>
    <x v="34"/>
    <s v="Watford FC"/>
    <n v="2"/>
    <s v="Newcastle United FC"/>
    <n v="1"/>
    <m/>
    <n v="0"/>
  </r>
  <r>
    <n v="36"/>
    <x v="35"/>
    <s v="Newcastle United FC"/>
    <n v="1"/>
    <s v="Tottenham Hotspur FC"/>
    <n v="3"/>
    <m/>
    <n v="0"/>
  </r>
  <r>
    <n v="37"/>
    <x v="36"/>
    <s v="Brighton &amp; Hove Albion FC"/>
    <n v="0"/>
    <s v="Newcastle United FC"/>
    <n v="0"/>
    <m/>
    <n v="1"/>
  </r>
  <r>
    <n v="38"/>
    <x v="37"/>
    <s v="Newcastle United FC"/>
    <n v="1"/>
    <s v="Liverpool FC"/>
    <n v="3"/>
    <m/>
    <n v="0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s v="Leicester City FC"/>
    <n v="0"/>
    <s v="Wolverhampton Wanderers FC"/>
    <n v="0"/>
    <m/>
    <n v="1"/>
  </r>
  <r>
    <n v="2"/>
    <x v="1"/>
    <s v="Chelsea FC"/>
    <n v="1"/>
    <s v="Leicester City FC"/>
    <n v="1"/>
    <m/>
    <n v="1"/>
  </r>
  <r>
    <n v="3"/>
    <x v="2"/>
    <s v="Sheffield United FC"/>
    <n v="1"/>
    <s v="Leicester City FC"/>
    <n v="2"/>
    <m/>
    <n v="3"/>
  </r>
  <r>
    <n v="4"/>
    <x v="3"/>
    <s v="Leicester City FC"/>
    <n v="3"/>
    <s v="AFC Bournemouth"/>
    <n v="1"/>
    <m/>
    <n v="3"/>
  </r>
  <r>
    <n v="5"/>
    <x v="4"/>
    <s v="Manchester United FC"/>
    <n v="1"/>
    <s v="Leicester City FC"/>
    <n v="0"/>
    <m/>
    <n v="0"/>
  </r>
  <r>
    <n v="6"/>
    <x v="5"/>
    <s v="Leicester City FC"/>
    <n v="2"/>
    <s v="Tottenham Hotspur FC"/>
    <n v="1"/>
    <m/>
    <n v="3"/>
  </r>
  <r>
    <n v="7"/>
    <x v="6"/>
    <s v="Leicester City FC"/>
    <n v="5"/>
    <s v="Newcastle United FC"/>
    <n v="0"/>
    <m/>
    <n v="3"/>
  </r>
  <r>
    <n v="8"/>
    <x v="7"/>
    <s v="Liverpool FC"/>
    <n v="2"/>
    <s v="Leicester City FC"/>
    <n v="1"/>
    <m/>
    <n v="0"/>
  </r>
  <r>
    <n v="9"/>
    <x v="8"/>
    <s v="Leicester City FC"/>
    <n v="2"/>
    <s v="Burnley FC"/>
    <n v="1"/>
    <m/>
    <n v="3"/>
  </r>
  <r>
    <n v="10"/>
    <x v="9"/>
    <s v="Southampton FC"/>
    <n v="0"/>
    <s v="Leicester City FC"/>
    <n v="9"/>
    <m/>
    <n v="3"/>
  </r>
  <r>
    <n v="11"/>
    <x v="10"/>
    <s v="Crystal Palace FC"/>
    <n v="0"/>
    <s v="Leicester City FC"/>
    <n v="2"/>
    <m/>
    <n v="3"/>
  </r>
  <r>
    <n v="12"/>
    <x v="11"/>
    <s v="Leicester City FC"/>
    <n v="2"/>
    <s v="Arsenal FC"/>
    <n v="0"/>
    <m/>
    <n v="3"/>
  </r>
  <r>
    <n v="13"/>
    <x v="12"/>
    <s v="Brighton &amp; Hove Albion FC"/>
    <n v="0"/>
    <s v="Leicester City FC"/>
    <n v="2"/>
    <m/>
    <n v="3"/>
  </r>
  <r>
    <n v="14"/>
    <x v="13"/>
    <s v="Leicester City FC"/>
    <n v="2"/>
    <s v="Everton FC"/>
    <n v="1"/>
    <m/>
    <n v="3"/>
  </r>
  <r>
    <n v="15"/>
    <x v="14"/>
    <s v="Leicester City FC"/>
    <n v="2"/>
    <s v="Watford FC"/>
    <n v="0"/>
    <m/>
    <n v="3"/>
  </r>
  <r>
    <n v="16"/>
    <x v="15"/>
    <s v="Aston Villa FC"/>
    <n v="1"/>
    <s v="Leicester City FC"/>
    <n v="4"/>
    <m/>
    <n v="3"/>
  </r>
  <r>
    <n v="17"/>
    <x v="16"/>
    <s v="Leicester City FC"/>
    <n v="1"/>
    <s v="Norwich City FC"/>
    <n v="1"/>
    <m/>
    <n v="1"/>
  </r>
  <r>
    <n v="18"/>
    <x v="17"/>
    <s v="Manchester City FC"/>
    <n v="3"/>
    <s v="Leicester City FC"/>
    <n v="1"/>
    <m/>
    <n v="0"/>
  </r>
  <r>
    <n v="19"/>
    <x v="18"/>
    <s v="Leicester City FC"/>
    <n v="0"/>
    <s v="Liverpool FC"/>
    <n v="4"/>
    <m/>
    <n v="0"/>
  </r>
  <r>
    <n v="20"/>
    <x v="19"/>
    <s v="West Ham United FC"/>
    <n v="1"/>
    <s v="Leicester City FC"/>
    <n v="2"/>
    <m/>
    <n v="3"/>
  </r>
  <r>
    <n v="21"/>
    <x v="20"/>
    <s v="Newcastle United FC"/>
    <n v="0"/>
    <s v="Leicester City FC"/>
    <n v="3"/>
    <m/>
    <n v="3"/>
  </r>
  <r>
    <n v="22"/>
    <x v="21"/>
    <s v="Leicester City FC"/>
    <n v="1"/>
    <s v="Southampton FC"/>
    <n v="2"/>
    <m/>
    <n v="0"/>
  </r>
  <r>
    <n v="23"/>
    <x v="22"/>
    <s v="Burnley FC"/>
    <n v="2"/>
    <s v="Leicester City FC"/>
    <n v="1"/>
    <m/>
    <n v="0"/>
  </r>
  <r>
    <n v="24"/>
    <x v="23"/>
    <s v="Leicester City FC"/>
    <n v="4"/>
    <s v="West Ham United FC"/>
    <n v="1"/>
    <m/>
    <n v="3"/>
  </r>
  <r>
    <n v="25"/>
    <x v="24"/>
    <s v="Leicester City FC"/>
    <n v="2"/>
    <s v="Chelsea FC"/>
    <n v="2"/>
    <m/>
    <n v="1"/>
  </r>
  <r>
    <n v="26"/>
    <x v="25"/>
    <s v="Wolverhampton Wanderers FC"/>
    <n v="0"/>
    <s v="Leicester City FC"/>
    <n v="0"/>
    <m/>
    <n v="1"/>
  </r>
  <r>
    <n v="27"/>
    <x v="26"/>
    <s v="Leicester City FC"/>
    <n v="0"/>
    <s v="Manchester City FC"/>
    <n v="1"/>
    <m/>
    <n v="0"/>
  </r>
  <r>
    <n v="28"/>
    <x v="27"/>
    <s v="Norwich City FC"/>
    <n v="1"/>
    <s v="Leicester City FC"/>
    <n v="0"/>
    <m/>
    <n v="0"/>
  </r>
  <r>
    <n v="29"/>
    <x v="28"/>
    <s v="Leicester City FC"/>
    <n v="4"/>
    <s v="Aston Villa FC"/>
    <n v="0"/>
    <m/>
    <n v="3"/>
  </r>
  <r>
    <n v="30"/>
    <x v="29"/>
    <s v="Watford FC"/>
    <n v="1"/>
    <s v="Leicester City FC"/>
    <n v="1"/>
    <m/>
    <n v="1"/>
  </r>
  <r>
    <n v="31"/>
    <x v="30"/>
    <s v="Leicester City FC"/>
    <n v="0"/>
    <s v="Brighton &amp; Hove Albion FC"/>
    <n v="0"/>
    <m/>
    <n v="1"/>
  </r>
  <r>
    <n v="32"/>
    <x v="31"/>
    <s v="Everton FC"/>
    <n v="2"/>
    <s v="Leicester City FC"/>
    <n v="1"/>
    <m/>
    <n v="0"/>
  </r>
  <r>
    <n v="33"/>
    <x v="32"/>
    <s v="Leicester City FC"/>
    <n v="3"/>
    <s v="Crystal Palace FC"/>
    <n v="0"/>
    <m/>
    <n v="3"/>
  </r>
  <r>
    <n v="34"/>
    <x v="33"/>
    <s v="Arsenal FC"/>
    <n v="1"/>
    <s v="Leicester City FC"/>
    <n v="1"/>
    <m/>
    <n v="1"/>
  </r>
  <r>
    <n v="35"/>
    <x v="34"/>
    <s v="AFC Bournemouth"/>
    <n v="4"/>
    <s v="Leicester City FC"/>
    <n v="1"/>
    <m/>
    <n v="0"/>
  </r>
  <r>
    <n v="36"/>
    <x v="35"/>
    <s v="Leicester City FC"/>
    <n v="2"/>
    <s v="Sheffield United FC"/>
    <n v="0"/>
    <m/>
    <n v="3"/>
  </r>
  <r>
    <n v="37"/>
    <x v="36"/>
    <s v="Tottenham Hotspur FC"/>
    <n v="3"/>
    <s v="Leicester City FC"/>
    <n v="0"/>
    <m/>
    <n v="0"/>
  </r>
  <r>
    <n v="38"/>
    <x v="37"/>
    <s v="Leicester City FC"/>
    <n v="0"/>
    <s v="Manchester United FC"/>
    <n v="2"/>
    <m/>
    <n v="0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s v="Tottenham Hotspur FC"/>
    <n v="3"/>
    <s v="Aston Villa FC"/>
    <n v="1"/>
    <m/>
    <n v="3"/>
  </r>
  <r>
    <n v="2"/>
    <x v="1"/>
    <s v="Manchester City FC"/>
    <n v="2"/>
    <s v="Tottenham Hotspur FC"/>
    <n v="2"/>
    <m/>
    <n v="1"/>
  </r>
  <r>
    <n v="3"/>
    <x v="2"/>
    <s v="Tottenham Hotspur FC"/>
    <n v="0"/>
    <s v="Newcastle United FC"/>
    <n v="1"/>
    <m/>
    <n v="0"/>
  </r>
  <r>
    <n v="4"/>
    <x v="3"/>
    <s v="Arsenal FC"/>
    <n v="2"/>
    <s v="Tottenham Hotspur FC"/>
    <n v="2"/>
    <m/>
    <n v="1"/>
  </r>
  <r>
    <n v="5"/>
    <x v="4"/>
    <s v="Tottenham Hotspur FC"/>
    <n v="4"/>
    <s v="Crystal Palace FC"/>
    <n v="0"/>
    <m/>
    <n v="3"/>
  </r>
  <r>
    <n v="6"/>
    <x v="5"/>
    <s v="Leicester City FC"/>
    <n v="2"/>
    <s v="Tottenham Hotspur FC"/>
    <n v="1"/>
    <m/>
    <n v="0"/>
  </r>
  <r>
    <n v="7"/>
    <x v="6"/>
    <s v="Tottenham Hotspur FC"/>
    <n v="2"/>
    <s v="Southampton FC"/>
    <n v="1"/>
    <m/>
    <n v="3"/>
  </r>
  <r>
    <n v="8"/>
    <x v="7"/>
    <s v="Brighton &amp; Hove Albion FC"/>
    <n v="3"/>
    <s v="Tottenham Hotspur FC"/>
    <n v="0"/>
    <m/>
    <n v="0"/>
  </r>
  <r>
    <n v="9"/>
    <x v="8"/>
    <s v="Tottenham Hotspur FC"/>
    <n v="1"/>
    <s v="Watford FC"/>
    <n v="1"/>
    <m/>
    <n v="1"/>
  </r>
  <r>
    <n v="10"/>
    <x v="9"/>
    <s v="Liverpool FC"/>
    <n v="2"/>
    <s v="Tottenham Hotspur FC"/>
    <n v="1"/>
    <m/>
    <n v="0"/>
  </r>
  <r>
    <n v="11"/>
    <x v="10"/>
    <s v="Everton FC"/>
    <n v="1"/>
    <s v="Tottenham Hotspur FC"/>
    <n v="1"/>
    <m/>
    <n v="1"/>
  </r>
  <r>
    <n v="12"/>
    <x v="11"/>
    <s v="Tottenham Hotspur FC"/>
    <n v="1"/>
    <s v="Sheffield United FC"/>
    <n v="1"/>
    <m/>
    <n v="1"/>
  </r>
  <r>
    <n v="13"/>
    <x v="12"/>
    <s v="West Ham United FC"/>
    <n v="2"/>
    <s v="Tottenham Hotspur FC"/>
    <n v="3"/>
    <m/>
    <n v="3"/>
  </r>
  <r>
    <n v="14"/>
    <x v="13"/>
    <s v="Tottenham Hotspur FC"/>
    <n v="3"/>
    <s v="AFC Bournemouth"/>
    <n v="2"/>
    <m/>
    <n v="3"/>
  </r>
  <r>
    <n v="15"/>
    <x v="14"/>
    <s v="Manchester United FC"/>
    <n v="2"/>
    <s v="Tottenham Hotspur FC"/>
    <n v="1"/>
    <m/>
    <n v="0"/>
  </r>
  <r>
    <n v="16"/>
    <x v="15"/>
    <s v="Tottenham Hotspur FC"/>
    <n v="5"/>
    <s v="Burnley FC"/>
    <n v="0"/>
    <m/>
    <n v="3"/>
  </r>
  <r>
    <n v="17"/>
    <x v="16"/>
    <s v="Wolverhampton Wanderers FC"/>
    <n v="1"/>
    <s v="Tottenham Hotspur FC"/>
    <n v="2"/>
    <m/>
    <n v="3"/>
  </r>
  <r>
    <n v="18"/>
    <x v="17"/>
    <s v="Tottenham Hotspur FC"/>
    <n v="0"/>
    <s v="Chelsea FC"/>
    <n v="2"/>
    <m/>
    <n v="0"/>
  </r>
  <r>
    <n v="19"/>
    <x v="18"/>
    <s v="Tottenham Hotspur FC"/>
    <n v="2"/>
    <s v="Brighton &amp; Hove Albion FC"/>
    <n v="1"/>
    <m/>
    <n v="3"/>
  </r>
  <r>
    <n v="20"/>
    <x v="19"/>
    <s v="Norwich City FC"/>
    <n v="2"/>
    <s v="Tottenham Hotspur FC"/>
    <n v="2"/>
    <m/>
    <n v="1"/>
  </r>
  <r>
    <n v="21"/>
    <x v="20"/>
    <s v="Southampton FC"/>
    <n v="1"/>
    <s v="Tottenham Hotspur FC"/>
    <n v="0"/>
    <m/>
    <n v="0"/>
  </r>
  <r>
    <n v="22"/>
    <x v="21"/>
    <s v="Tottenham Hotspur FC"/>
    <n v="0"/>
    <s v="Liverpool FC"/>
    <n v="1"/>
    <m/>
    <n v="0"/>
  </r>
  <r>
    <n v="23"/>
    <x v="22"/>
    <s v="Watford FC"/>
    <n v="0"/>
    <s v="Tottenham Hotspur FC"/>
    <n v="0"/>
    <m/>
    <n v="1"/>
  </r>
  <r>
    <n v="24"/>
    <x v="23"/>
    <s v="Tottenham Hotspur FC"/>
    <n v="2"/>
    <s v="Norwich City FC"/>
    <n v="1"/>
    <m/>
    <n v="3"/>
  </r>
  <r>
    <n v="25"/>
    <x v="24"/>
    <s v="Tottenham Hotspur FC"/>
    <n v="2"/>
    <s v="Manchester City FC"/>
    <n v="0"/>
    <m/>
    <n v="3"/>
  </r>
  <r>
    <n v="26"/>
    <x v="25"/>
    <s v="Aston Villa FC"/>
    <n v="2"/>
    <s v="Tottenham Hotspur FC"/>
    <n v="3"/>
    <m/>
    <n v="3"/>
  </r>
  <r>
    <n v="27"/>
    <x v="26"/>
    <s v="Chelsea FC"/>
    <n v="2"/>
    <s v="Tottenham Hotspur FC"/>
    <n v="1"/>
    <m/>
    <n v="0"/>
  </r>
  <r>
    <n v="28"/>
    <x v="27"/>
    <s v="Tottenham Hotspur FC"/>
    <n v="2"/>
    <s v="Wolverhampton Wanderers FC"/>
    <n v="3"/>
    <m/>
    <n v="0"/>
  </r>
  <r>
    <n v="29"/>
    <x v="28"/>
    <s v="Burnley FC"/>
    <n v="1"/>
    <s v="Tottenham Hotspur FC"/>
    <n v="1"/>
    <m/>
    <n v="1"/>
  </r>
  <r>
    <n v="30"/>
    <x v="29"/>
    <s v="Tottenham Hotspur FC"/>
    <n v="1"/>
    <s v="Manchester United FC"/>
    <n v="1"/>
    <m/>
    <n v="1"/>
  </r>
  <r>
    <n v="31"/>
    <x v="30"/>
    <s v="Tottenham Hotspur FC"/>
    <n v="2"/>
    <s v="West Ham United FC"/>
    <n v="0"/>
    <m/>
    <n v="3"/>
  </r>
  <r>
    <n v="32"/>
    <x v="31"/>
    <s v="Sheffield United FC"/>
    <n v="3"/>
    <s v="Tottenham Hotspur FC"/>
    <n v="1"/>
    <m/>
    <n v="0"/>
  </r>
  <r>
    <n v="33"/>
    <x v="32"/>
    <s v="Tottenham Hotspur FC"/>
    <n v="1"/>
    <s v="Everton FC"/>
    <n v="0"/>
    <m/>
    <n v="3"/>
  </r>
  <r>
    <n v="34"/>
    <x v="33"/>
    <s v="AFC Bournemouth"/>
    <n v="0"/>
    <s v="Tottenham Hotspur FC"/>
    <n v="0"/>
    <m/>
    <n v="1"/>
  </r>
  <r>
    <n v="35"/>
    <x v="34"/>
    <s v="Tottenham Hotspur FC"/>
    <n v="2"/>
    <s v="Arsenal FC"/>
    <n v="1"/>
    <m/>
    <n v="3"/>
  </r>
  <r>
    <n v="36"/>
    <x v="35"/>
    <s v="Newcastle United FC"/>
    <n v="1"/>
    <s v="Tottenham Hotspur FC"/>
    <n v="3"/>
    <m/>
    <n v="3"/>
  </r>
  <r>
    <n v="37"/>
    <x v="36"/>
    <s v="Tottenham Hotspur FC"/>
    <n v="3"/>
    <s v="Leicester City FC"/>
    <n v="0"/>
    <m/>
    <n v="3"/>
  </r>
  <r>
    <n v="38"/>
    <x v="37"/>
    <s v="Crystal Palace FC"/>
    <n v="1"/>
    <s v="Tottenham Hotspur FC"/>
    <n v="1"/>
    <m/>
    <n v="1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s v="Watford FC"/>
    <n v="0"/>
    <s v="Brighton &amp; Hove Albion FC"/>
    <n v="3"/>
    <m/>
    <n v="0"/>
  </r>
  <r>
    <n v="2"/>
    <x v="1"/>
    <s v="Everton FC"/>
    <n v="1"/>
    <s v="Watford FC"/>
    <n v="0"/>
    <m/>
    <n v="0"/>
  </r>
  <r>
    <n v="3"/>
    <x v="2"/>
    <s v="Watford FC"/>
    <n v="1"/>
    <s v="West Ham United FC"/>
    <n v="3"/>
    <m/>
    <n v="0"/>
  </r>
  <r>
    <n v="4"/>
    <x v="3"/>
    <s v="Newcastle United FC"/>
    <n v="1"/>
    <s v="Watford FC"/>
    <n v="1"/>
    <m/>
    <n v="1"/>
  </r>
  <r>
    <n v="5"/>
    <x v="4"/>
    <s v="Watford FC"/>
    <n v="2"/>
    <s v="Arsenal FC"/>
    <n v="2"/>
    <m/>
    <n v="1"/>
  </r>
  <r>
    <n v="6"/>
    <x v="5"/>
    <s v="Manchester City FC"/>
    <n v="8"/>
    <s v="Watford FC"/>
    <n v="0"/>
    <m/>
    <n v="0"/>
  </r>
  <r>
    <n v="7"/>
    <x v="6"/>
    <s v="Wolverhampton Wanderers FC"/>
    <n v="2"/>
    <s v="Watford FC"/>
    <n v="0"/>
    <m/>
    <n v="0"/>
  </r>
  <r>
    <n v="8"/>
    <x v="7"/>
    <s v="Watford FC"/>
    <n v="0"/>
    <s v="Sheffield United FC"/>
    <n v="0"/>
    <m/>
    <n v="1"/>
  </r>
  <r>
    <n v="9"/>
    <x v="8"/>
    <s v="Tottenham Hotspur FC"/>
    <n v="1"/>
    <s v="Watford FC"/>
    <n v="1"/>
    <m/>
    <n v="1"/>
  </r>
  <r>
    <n v="10"/>
    <x v="9"/>
    <s v="Watford FC"/>
    <n v="0"/>
    <s v="AFC Bournemouth"/>
    <n v="0"/>
    <m/>
    <n v="1"/>
  </r>
  <r>
    <n v="11"/>
    <x v="10"/>
    <s v="Watford FC"/>
    <n v="1"/>
    <s v="Chelsea FC"/>
    <n v="2"/>
    <m/>
    <n v="0"/>
  </r>
  <r>
    <n v="12"/>
    <x v="11"/>
    <s v="Norwich City FC"/>
    <n v="0"/>
    <s v="Watford FC"/>
    <n v="2"/>
    <m/>
    <n v="3"/>
  </r>
  <r>
    <n v="13"/>
    <x v="12"/>
    <s v="Watford FC"/>
    <n v="0"/>
    <s v="Burnley FC"/>
    <n v="3"/>
    <m/>
    <n v="0"/>
  </r>
  <r>
    <n v="14"/>
    <x v="13"/>
    <s v="Southampton FC"/>
    <n v="2"/>
    <s v="Watford FC"/>
    <n v="1"/>
    <m/>
    <n v="0"/>
  </r>
  <r>
    <n v="15"/>
    <x v="14"/>
    <s v="Leicester City FC"/>
    <n v="2"/>
    <s v="Watford FC"/>
    <n v="0"/>
    <m/>
    <n v="0"/>
  </r>
  <r>
    <n v="16"/>
    <x v="15"/>
    <s v="Watford FC"/>
    <n v="0"/>
    <s v="Crystal Palace FC"/>
    <n v="0"/>
    <m/>
    <n v="1"/>
  </r>
  <r>
    <n v="17"/>
    <x v="16"/>
    <s v="Liverpool FC"/>
    <n v="2"/>
    <s v="Watford FC"/>
    <n v="0"/>
    <m/>
    <n v="0"/>
  </r>
  <r>
    <n v="18"/>
    <x v="17"/>
    <s v="Watford FC"/>
    <n v="2"/>
    <s v="Manchester United FC"/>
    <n v="0"/>
    <m/>
    <n v="3"/>
  </r>
  <r>
    <n v="19"/>
    <x v="18"/>
    <s v="Sheffield United FC"/>
    <n v="1"/>
    <s v="Watford FC"/>
    <n v="1"/>
    <m/>
    <n v="1"/>
  </r>
  <r>
    <n v="20"/>
    <x v="19"/>
    <s v="Watford FC"/>
    <n v="3"/>
    <s v="Aston Villa FC"/>
    <n v="0"/>
    <m/>
    <n v="3"/>
  </r>
  <r>
    <n v="21"/>
    <x v="20"/>
    <s v="Watford FC"/>
    <n v="2"/>
    <s v="Wolverhampton Wanderers FC"/>
    <n v="1"/>
    <m/>
    <n v="3"/>
  </r>
  <r>
    <n v="22"/>
    <x v="21"/>
    <s v="AFC Bournemouth"/>
    <n v="0"/>
    <s v="Watford FC"/>
    <n v="3"/>
    <m/>
    <n v="3"/>
  </r>
  <r>
    <n v="23"/>
    <x v="22"/>
    <s v="Watford FC"/>
    <n v="0"/>
    <s v="Tottenham Hotspur FC"/>
    <n v="0"/>
    <m/>
    <n v="1"/>
  </r>
  <r>
    <n v="24"/>
    <x v="23"/>
    <s v="Aston Villa FC"/>
    <n v="2"/>
    <s v="Watford FC"/>
    <n v="1"/>
    <m/>
    <n v="0"/>
  </r>
  <r>
    <n v="25"/>
    <x v="24"/>
    <s v="Watford FC"/>
    <n v="2"/>
    <s v="Everton FC"/>
    <n v="3"/>
    <m/>
    <n v="0"/>
  </r>
  <r>
    <n v="26"/>
    <x v="25"/>
    <s v="Brighton &amp; Hove Albion FC"/>
    <n v="1"/>
    <s v="Watford FC"/>
    <n v="1"/>
    <m/>
    <n v="1"/>
  </r>
  <r>
    <n v="27"/>
    <x v="26"/>
    <s v="Manchester United FC"/>
    <n v="3"/>
    <s v="Watford FC"/>
    <n v="0"/>
    <m/>
    <n v="0"/>
  </r>
  <r>
    <n v="28"/>
    <x v="27"/>
    <s v="Watford FC"/>
    <n v="3"/>
    <s v="Liverpool FC"/>
    <n v="0"/>
    <m/>
    <n v="3"/>
  </r>
  <r>
    <n v="29"/>
    <x v="28"/>
    <s v="Crystal Palace FC"/>
    <n v="1"/>
    <s v="Watford FC"/>
    <n v="0"/>
    <m/>
    <n v="0"/>
  </r>
  <r>
    <n v="30"/>
    <x v="29"/>
    <s v="Watford FC"/>
    <n v="1"/>
    <s v="Leicester City FC"/>
    <n v="1"/>
    <m/>
    <n v="1"/>
  </r>
  <r>
    <n v="31"/>
    <x v="30"/>
    <s v="Burnley FC"/>
    <n v="1"/>
    <s v="Watford FC"/>
    <n v="0"/>
    <m/>
    <n v="0"/>
  </r>
  <r>
    <n v="32"/>
    <x v="31"/>
    <s v="Watford FC"/>
    <n v="1"/>
    <s v="Southampton FC"/>
    <n v="3"/>
    <m/>
    <n v="0"/>
  </r>
  <r>
    <n v="33"/>
    <x v="32"/>
    <s v="Chelsea FC"/>
    <n v="3"/>
    <s v="Watford FC"/>
    <n v="0"/>
    <m/>
    <n v="0"/>
  </r>
  <r>
    <n v="34"/>
    <x v="33"/>
    <s v="Watford FC"/>
    <n v="2"/>
    <s v="Norwich City FC"/>
    <n v="1"/>
    <m/>
    <n v="3"/>
  </r>
  <r>
    <n v="35"/>
    <x v="34"/>
    <s v="Watford FC"/>
    <n v="2"/>
    <s v="Newcastle United FC"/>
    <n v="1"/>
    <m/>
    <n v="3"/>
  </r>
  <r>
    <n v="36"/>
    <x v="35"/>
    <s v="West Ham United FC"/>
    <n v="3"/>
    <s v="Watford FC"/>
    <n v="1"/>
    <m/>
    <n v="0"/>
  </r>
  <r>
    <n v="37"/>
    <x v="36"/>
    <s v="Watford FC"/>
    <n v="0"/>
    <s v="Manchester City FC"/>
    <n v="4"/>
    <m/>
    <n v="0"/>
  </r>
  <r>
    <n v="38"/>
    <x v="37"/>
    <s v="Arsenal FC"/>
    <n v="3"/>
    <s v="Watford FC"/>
    <n v="2"/>
    <m/>
    <n v="0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s v="Crystal Palace FC"/>
    <n v="0"/>
    <s v="Everton FC"/>
    <n v="0"/>
    <m/>
    <n v="1"/>
  </r>
  <r>
    <n v="2"/>
    <x v="1"/>
    <s v="Sheffield United FC"/>
    <n v="1"/>
    <s v="Crystal Palace FC"/>
    <n v="0"/>
    <m/>
    <n v="0"/>
  </r>
  <r>
    <n v="3"/>
    <x v="2"/>
    <s v="Manchester United FC"/>
    <n v="1"/>
    <s v="Crystal Palace FC"/>
    <n v="2"/>
    <m/>
    <n v="3"/>
  </r>
  <r>
    <n v="4"/>
    <x v="3"/>
    <s v="Crystal Palace FC"/>
    <n v="1"/>
    <s v="Aston Villa FC"/>
    <n v="0"/>
    <m/>
    <n v="3"/>
  </r>
  <r>
    <n v="5"/>
    <x v="4"/>
    <s v="Tottenham Hotspur FC"/>
    <n v="4"/>
    <s v="Crystal Palace FC"/>
    <n v="0"/>
    <m/>
    <n v="0"/>
  </r>
  <r>
    <n v="6"/>
    <x v="5"/>
    <s v="Crystal Palace FC"/>
    <n v="1"/>
    <s v="Wolverhampton Wanderers FC"/>
    <n v="1"/>
    <m/>
    <n v="1"/>
  </r>
  <r>
    <n v="7"/>
    <x v="6"/>
    <s v="Crystal Palace FC"/>
    <n v="2"/>
    <s v="Norwich City FC"/>
    <n v="0"/>
    <m/>
    <n v="3"/>
  </r>
  <r>
    <n v="8"/>
    <x v="7"/>
    <s v="West Ham United FC"/>
    <n v="1"/>
    <s v="Crystal Palace FC"/>
    <n v="2"/>
    <m/>
    <n v="3"/>
  </r>
  <r>
    <n v="9"/>
    <x v="8"/>
    <s v="Crystal Palace FC"/>
    <n v="0"/>
    <s v="Manchester City FC"/>
    <n v="2"/>
    <m/>
    <n v="0"/>
  </r>
  <r>
    <n v="10"/>
    <x v="9"/>
    <s v="Arsenal FC"/>
    <n v="2"/>
    <s v="Crystal Palace FC"/>
    <n v="2"/>
    <m/>
    <n v="1"/>
  </r>
  <r>
    <n v="11"/>
    <x v="10"/>
    <s v="Crystal Palace FC"/>
    <n v="0"/>
    <s v="Leicester City FC"/>
    <n v="2"/>
    <m/>
    <n v="0"/>
  </r>
  <r>
    <n v="12"/>
    <x v="11"/>
    <s v="Chelsea FC"/>
    <n v="2"/>
    <s v="Crystal Palace FC"/>
    <n v="0"/>
    <m/>
    <n v="0"/>
  </r>
  <r>
    <n v="13"/>
    <x v="12"/>
    <s v="Crystal Palace FC"/>
    <n v="1"/>
    <s v="Liverpool FC"/>
    <n v="2"/>
    <m/>
    <n v="0"/>
  </r>
  <r>
    <n v="14"/>
    <x v="13"/>
    <s v="Burnley FC"/>
    <n v="0"/>
    <s v="Crystal Palace FC"/>
    <n v="2"/>
    <m/>
    <n v="3"/>
  </r>
  <r>
    <n v="15"/>
    <x v="14"/>
    <s v="Crystal Palace FC"/>
    <n v="1"/>
    <s v="AFC Bournemouth"/>
    <n v="0"/>
    <m/>
    <n v="3"/>
  </r>
  <r>
    <n v="16"/>
    <x v="15"/>
    <s v="Watford FC"/>
    <n v="0"/>
    <s v="Crystal Palace FC"/>
    <n v="0"/>
    <m/>
    <n v="1"/>
  </r>
  <r>
    <n v="17"/>
    <x v="16"/>
    <s v="Crystal Palace FC"/>
    <n v="1"/>
    <s v="Brighton &amp; Hove Albion FC"/>
    <n v="1"/>
    <m/>
    <n v="1"/>
  </r>
  <r>
    <n v="18"/>
    <x v="17"/>
    <s v="Newcastle United FC"/>
    <n v="1"/>
    <s v="Crystal Palace FC"/>
    <n v="0"/>
    <m/>
    <n v="0"/>
  </r>
  <r>
    <n v="19"/>
    <x v="18"/>
    <s v="Crystal Palace FC"/>
    <n v="2"/>
    <s v="West Ham United FC"/>
    <n v="1"/>
    <m/>
    <n v="3"/>
  </r>
  <r>
    <n v="20"/>
    <x v="19"/>
    <s v="Southampton FC"/>
    <n v="1"/>
    <s v="Crystal Palace FC"/>
    <n v="1"/>
    <m/>
    <n v="1"/>
  </r>
  <r>
    <n v="21"/>
    <x v="20"/>
    <s v="Norwich City FC"/>
    <n v="1"/>
    <s v="Crystal Palace FC"/>
    <n v="1"/>
    <m/>
    <n v="1"/>
  </r>
  <r>
    <n v="22"/>
    <x v="21"/>
    <s v="Crystal Palace FC"/>
    <n v="1"/>
    <s v="Arsenal FC"/>
    <n v="1"/>
    <m/>
    <n v="1"/>
  </r>
  <r>
    <n v="23"/>
    <x v="22"/>
    <s v="Manchester City FC"/>
    <n v="2"/>
    <s v="Crystal Palace FC"/>
    <n v="2"/>
    <m/>
    <n v="1"/>
  </r>
  <r>
    <n v="24"/>
    <x v="23"/>
    <s v="Crystal Palace FC"/>
    <n v="0"/>
    <s v="Southampton FC"/>
    <n v="2"/>
    <m/>
    <n v="0"/>
  </r>
  <r>
    <n v="25"/>
    <x v="24"/>
    <s v="Crystal Palace FC"/>
    <n v="0"/>
    <s v="Sheffield United FC"/>
    <n v="1"/>
    <m/>
    <n v="0"/>
  </r>
  <r>
    <n v="26"/>
    <x v="25"/>
    <s v="Everton FC"/>
    <n v="3"/>
    <s v="Crystal Palace FC"/>
    <n v="1"/>
    <m/>
    <n v="0"/>
  </r>
  <r>
    <n v="27"/>
    <x v="26"/>
    <s v="Crystal Palace FC"/>
    <n v="1"/>
    <s v="Newcastle United FC"/>
    <n v="0"/>
    <m/>
    <n v="3"/>
  </r>
  <r>
    <n v="28"/>
    <x v="27"/>
    <s v="Brighton &amp; Hove Albion FC"/>
    <n v="0"/>
    <s v="Crystal Palace FC"/>
    <n v="1"/>
    <m/>
    <n v="3"/>
  </r>
  <r>
    <n v="29"/>
    <x v="28"/>
    <s v="Crystal Palace FC"/>
    <n v="1"/>
    <s v="Watford FC"/>
    <n v="0"/>
    <m/>
    <n v="3"/>
  </r>
  <r>
    <n v="30"/>
    <x v="29"/>
    <s v="AFC Bournemouth"/>
    <n v="0"/>
    <s v="Crystal Palace FC"/>
    <n v="2"/>
    <m/>
    <n v="3"/>
  </r>
  <r>
    <n v="31"/>
    <x v="30"/>
    <s v="Liverpool FC"/>
    <n v="4"/>
    <s v="Crystal Palace FC"/>
    <n v="0"/>
    <m/>
    <n v="0"/>
  </r>
  <r>
    <n v="32"/>
    <x v="31"/>
    <s v="Crystal Palace FC"/>
    <n v="0"/>
    <s v="Burnley FC"/>
    <n v="1"/>
    <m/>
    <n v="0"/>
  </r>
  <r>
    <n v="33"/>
    <x v="32"/>
    <s v="Leicester City FC"/>
    <n v="3"/>
    <s v="Crystal Palace FC"/>
    <n v="0"/>
    <m/>
    <n v="0"/>
  </r>
  <r>
    <n v="34"/>
    <x v="33"/>
    <s v="Crystal Palace FC"/>
    <n v="2"/>
    <s v="Chelsea FC"/>
    <n v="3"/>
    <m/>
    <n v="0"/>
  </r>
  <r>
    <n v="35"/>
    <x v="34"/>
    <s v="Aston Villa FC"/>
    <n v="2"/>
    <s v="Crystal Palace FC"/>
    <n v="0"/>
    <m/>
    <n v="0"/>
  </r>
  <r>
    <n v="36"/>
    <x v="35"/>
    <s v="Crystal Palace FC"/>
    <n v="0"/>
    <s v="Manchester United FC"/>
    <n v="2"/>
    <m/>
    <n v="0"/>
  </r>
  <r>
    <n v="37"/>
    <x v="36"/>
    <s v="Wolverhampton Wanderers FC"/>
    <n v="2"/>
    <s v="Crystal Palace FC"/>
    <n v="0"/>
    <m/>
    <n v="0"/>
  </r>
  <r>
    <n v="38"/>
    <x v="37"/>
    <s v="Crystal Palace FC"/>
    <n v="1"/>
    <s v="Tottenham Hotspur FC"/>
    <n v="1"/>
    <m/>
    <n v="1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s v="AFC Bournemouth"/>
    <n v="1"/>
    <s v="Sheffield United FC"/>
    <n v="1"/>
    <m/>
    <n v="1"/>
  </r>
  <r>
    <n v="2"/>
    <x v="1"/>
    <s v="Aston Villa FC"/>
    <n v="1"/>
    <s v="AFC Bournemouth"/>
    <n v="2"/>
    <m/>
    <n v="3"/>
  </r>
  <r>
    <n v="3"/>
    <x v="2"/>
    <s v="AFC Bournemouth"/>
    <n v="1"/>
    <s v="Manchester City FC"/>
    <n v="3"/>
    <m/>
    <n v="0"/>
  </r>
  <r>
    <n v="4"/>
    <x v="3"/>
    <s v="Leicester City FC"/>
    <n v="3"/>
    <s v="AFC Bournemouth"/>
    <n v="1"/>
    <m/>
    <n v="0"/>
  </r>
  <r>
    <n v="5"/>
    <x v="4"/>
    <s v="AFC Bournemouth"/>
    <n v="3"/>
    <s v="Everton FC"/>
    <n v="1"/>
    <m/>
    <n v="3"/>
  </r>
  <r>
    <n v="6"/>
    <x v="5"/>
    <s v="Southampton FC"/>
    <n v="1"/>
    <s v="AFC Bournemouth"/>
    <n v="3"/>
    <m/>
    <n v="3"/>
  </r>
  <r>
    <n v="7"/>
    <x v="6"/>
    <s v="AFC Bournemouth"/>
    <n v="2"/>
    <s v="West Ham United FC"/>
    <n v="2"/>
    <m/>
    <n v="1"/>
  </r>
  <r>
    <n v="8"/>
    <x v="7"/>
    <s v="Arsenal FC"/>
    <n v="1"/>
    <s v="AFC Bournemouth"/>
    <n v="0"/>
    <m/>
    <n v="0"/>
  </r>
  <r>
    <n v="9"/>
    <x v="8"/>
    <s v="AFC Bournemouth"/>
    <n v="0"/>
    <s v="Norwich City FC"/>
    <n v="0"/>
    <m/>
    <n v="1"/>
  </r>
  <r>
    <n v="10"/>
    <x v="9"/>
    <s v="Watford FC"/>
    <n v="0"/>
    <s v="AFC Bournemouth"/>
    <n v="0"/>
    <m/>
    <n v="1"/>
  </r>
  <r>
    <n v="11"/>
    <x v="10"/>
    <s v="AFC Bournemouth"/>
    <n v="1"/>
    <s v="Manchester United FC"/>
    <n v="0"/>
    <m/>
    <n v="3"/>
  </r>
  <r>
    <n v="12"/>
    <x v="11"/>
    <s v="Newcastle United FC"/>
    <n v="2"/>
    <s v="AFC Bournemouth"/>
    <n v="1"/>
    <m/>
    <n v="0"/>
  </r>
  <r>
    <n v="13"/>
    <x v="12"/>
    <s v="AFC Bournemouth"/>
    <n v="1"/>
    <s v="Wolverhampton Wanderers FC"/>
    <n v="2"/>
    <m/>
    <n v="0"/>
  </r>
  <r>
    <n v="14"/>
    <x v="13"/>
    <s v="Tottenham Hotspur FC"/>
    <n v="3"/>
    <s v="AFC Bournemouth"/>
    <n v="2"/>
    <m/>
    <n v="0"/>
  </r>
  <r>
    <n v="15"/>
    <x v="14"/>
    <s v="Crystal Palace FC"/>
    <n v="1"/>
    <s v="AFC Bournemouth"/>
    <n v="0"/>
    <m/>
    <n v="0"/>
  </r>
  <r>
    <n v="16"/>
    <x v="15"/>
    <s v="AFC Bournemouth"/>
    <n v="0"/>
    <s v="Liverpool FC"/>
    <n v="3"/>
    <m/>
    <n v="0"/>
  </r>
  <r>
    <n v="17"/>
    <x v="16"/>
    <s v="Chelsea FC"/>
    <n v="0"/>
    <s v="AFC Bournemouth"/>
    <n v="1"/>
    <m/>
    <n v="3"/>
  </r>
  <r>
    <n v="18"/>
    <x v="17"/>
    <s v="AFC Bournemouth"/>
    <n v="0"/>
    <s v="Burnley FC"/>
    <n v="1"/>
    <m/>
    <n v="0"/>
  </r>
  <r>
    <n v="19"/>
    <x v="18"/>
    <s v="AFC Bournemouth"/>
    <n v="1"/>
    <s v="Arsenal FC"/>
    <n v="1"/>
    <m/>
    <n v="1"/>
  </r>
  <r>
    <n v="20"/>
    <x v="19"/>
    <s v="Brighton &amp; Hove Albion FC"/>
    <n v="2"/>
    <s v="AFC Bournemouth"/>
    <n v="0"/>
    <m/>
    <n v="0"/>
  </r>
  <r>
    <n v="21"/>
    <x v="20"/>
    <s v="West Ham United FC"/>
    <n v="4"/>
    <s v="AFC Bournemouth"/>
    <n v="0"/>
    <m/>
    <n v="0"/>
  </r>
  <r>
    <n v="22"/>
    <x v="21"/>
    <s v="AFC Bournemouth"/>
    <n v="0"/>
    <s v="Watford FC"/>
    <n v="3"/>
    <m/>
    <n v="0"/>
  </r>
  <r>
    <n v="23"/>
    <x v="22"/>
    <s v="Norwich City FC"/>
    <n v="1"/>
    <s v="AFC Bournemouth"/>
    <n v="0"/>
    <m/>
    <n v="0"/>
  </r>
  <r>
    <n v="24"/>
    <x v="23"/>
    <s v="AFC Bournemouth"/>
    <n v="3"/>
    <s v="Brighton &amp; Hove Albion FC"/>
    <n v="1"/>
    <m/>
    <n v="3"/>
  </r>
  <r>
    <n v="25"/>
    <x v="24"/>
    <s v="AFC Bournemouth"/>
    <n v="2"/>
    <s v="Aston Villa FC"/>
    <n v="1"/>
    <m/>
    <n v="3"/>
  </r>
  <r>
    <n v="26"/>
    <x v="25"/>
    <s v="Sheffield United FC"/>
    <n v="2"/>
    <s v="AFC Bournemouth"/>
    <n v="1"/>
    <m/>
    <n v="0"/>
  </r>
  <r>
    <n v="27"/>
    <x v="26"/>
    <s v="Burnley FC"/>
    <n v="3"/>
    <s v="AFC Bournemouth"/>
    <n v="0"/>
    <m/>
    <n v="0"/>
  </r>
  <r>
    <n v="28"/>
    <x v="27"/>
    <s v="AFC Bournemouth"/>
    <n v="2"/>
    <s v="Chelsea FC"/>
    <n v="2"/>
    <m/>
    <n v="1"/>
  </r>
  <r>
    <n v="29"/>
    <x v="28"/>
    <s v="Liverpool FC"/>
    <n v="2"/>
    <s v="AFC Bournemouth"/>
    <n v="1"/>
    <m/>
    <n v="0"/>
  </r>
  <r>
    <n v="30"/>
    <x v="29"/>
    <s v="AFC Bournemouth"/>
    <n v="0"/>
    <s v="Crystal Palace FC"/>
    <n v="2"/>
    <m/>
    <n v="0"/>
  </r>
  <r>
    <n v="31"/>
    <x v="30"/>
    <s v="Wolverhampton Wanderers FC"/>
    <n v="1"/>
    <s v="AFC Bournemouth"/>
    <n v="0"/>
    <m/>
    <n v="0"/>
  </r>
  <r>
    <n v="32"/>
    <x v="31"/>
    <s v="AFC Bournemouth"/>
    <n v="1"/>
    <s v="Newcastle United FC"/>
    <n v="4"/>
    <m/>
    <n v="0"/>
  </r>
  <r>
    <n v="33"/>
    <x v="32"/>
    <s v="Manchester United FC"/>
    <n v="5"/>
    <s v="AFC Bournemouth"/>
    <n v="2"/>
    <m/>
    <n v="0"/>
  </r>
  <r>
    <n v="34"/>
    <x v="33"/>
    <s v="AFC Bournemouth"/>
    <n v="0"/>
    <s v="Tottenham Hotspur FC"/>
    <n v="0"/>
    <m/>
    <n v="1"/>
  </r>
  <r>
    <n v="35"/>
    <x v="34"/>
    <s v="AFC Bournemouth"/>
    <n v="4"/>
    <s v="Leicester City FC"/>
    <n v="1"/>
    <m/>
    <n v="3"/>
  </r>
  <r>
    <n v="36"/>
    <x v="35"/>
    <s v="Manchester City FC"/>
    <n v="2"/>
    <s v="AFC Bournemouth"/>
    <n v="1"/>
    <m/>
    <n v="0"/>
  </r>
  <r>
    <n v="37"/>
    <x v="36"/>
    <s v="AFC Bournemouth"/>
    <n v="0"/>
    <s v="Southampton FC"/>
    <n v="2"/>
    <m/>
    <n v="0"/>
  </r>
  <r>
    <n v="38"/>
    <x v="37"/>
    <s v="Everton FC"/>
    <n v="1"/>
    <s v="AFC Bournemouth"/>
    <n v="3"/>
    <m/>
    <n v="3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n v="1"/>
    <x v="0"/>
    <s v="Burnley FC"/>
    <n v="3"/>
    <s v="Southampton FC"/>
    <n v="0"/>
    <m/>
    <n v="3"/>
  </r>
  <r>
    <n v="2"/>
    <x v="1"/>
    <s v="Arsenal FC"/>
    <n v="2"/>
    <s v="Burnley FC"/>
    <n v="1"/>
    <m/>
    <n v="0"/>
  </r>
  <r>
    <n v="3"/>
    <x v="2"/>
    <s v="Wolverhampton Wanderers FC"/>
    <n v="1"/>
    <s v="Burnley FC"/>
    <n v="1"/>
    <m/>
    <n v="1"/>
  </r>
  <r>
    <n v="4"/>
    <x v="3"/>
    <s v="Burnley FC"/>
    <n v="0"/>
    <s v="Liverpool FC"/>
    <n v="3"/>
    <m/>
    <n v="0"/>
  </r>
  <r>
    <n v="5"/>
    <x v="4"/>
    <s v="Brighton &amp; Hove Albion FC"/>
    <n v="1"/>
    <s v="Burnley FC"/>
    <n v="1"/>
    <m/>
    <n v="1"/>
  </r>
  <r>
    <n v="6"/>
    <x v="5"/>
    <s v="Burnley FC"/>
    <n v="2"/>
    <s v="Norwich City FC"/>
    <n v="0"/>
    <m/>
    <n v="3"/>
  </r>
  <r>
    <n v="7"/>
    <x v="6"/>
    <s v="Aston Villa FC"/>
    <n v="2"/>
    <s v="Burnley FC"/>
    <n v="2"/>
    <m/>
    <n v="1"/>
  </r>
  <r>
    <n v="8"/>
    <x v="7"/>
    <s v="Burnley FC"/>
    <n v="1"/>
    <s v="Everton FC"/>
    <n v="0"/>
    <m/>
    <n v="3"/>
  </r>
  <r>
    <n v="9"/>
    <x v="8"/>
    <s v="Leicester City FC"/>
    <n v="2"/>
    <s v="Burnley FC"/>
    <n v="1"/>
    <m/>
    <n v="0"/>
  </r>
  <r>
    <n v="10"/>
    <x v="9"/>
    <s v="Burnley FC"/>
    <n v="2"/>
    <s v="Chelsea FC"/>
    <n v="4"/>
    <m/>
    <n v="0"/>
  </r>
  <r>
    <n v="11"/>
    <x v="10"/>
    <s v="Sheffield United FC"/>
    <n v="3"/>
    <s v="Burnley FC"/>
    <n v="0"/>
    <m/>
    <n v="0"/>
  </r>
  <r>
    <n v="12"/>
    <x v="11"/>
    <s v="Burnley FC"/>
    <n v="3"/>
    <s v="West Ham United FC"/>
    <n v="0"/>
    <m/>
    <n v="3"/>
  </r>
  <r>
    <n v="13"/>
    <x v="12"/>
    <s v="Watford FC"/>
    <n v="0"/>
    <s v="Burnley FC"/>
    <n v="3"/>
    <m/>
    <n v="3"/>
  </r>
  <r>
    <n v="14"/>
    <x v="13"/>
    <s v="Burnley FC"/>
    <n v="0"/>
    <s v="Crystal Palace FC"/>
    <n v="2"/>
    <m/>
    <n v="0"/>
  </r>
  <r>
    <n v="15"/>
    <x v="14"/>
    <s v="Burnley FC"/>
    <n v="1"/>
    <s v="Manchester City FC"/>
    <n v="4"/>
    <m/>
    <n v="0"/>
  </r>
  <r>
    <n v="16"/>
    <x v="15"/>
    <s v="Tottenham Hotspur FC"/>
    <n v="5"/>
    <s v="Burnley FC"/>
    <n v="0"/>
    <m/>
    <n v="0"/>
  </r>
  <r>
    <n v="17"/>
    <x v="16"/>
    <s v="Burnley FC"/>
    <n v="1"/>
    <s v="Newcastle United FC"/>
    <n v="0"/>
    <m/>
    <n v="3"/>
  </r>
  <r>
    <n v="18"/>
    <x v="17"/>
    <s v="AFC Bournemouth"/>
    <n v="0"/>
    <s v="Burnley FC"/>
    <n v="1"/>
    <m/>
    <n v="3"/>
  </r>
  <r>
    <n v="19"/>
    <x v="18"/>
    <s v="Everton FC"/>
    <n v="1"/>
    <s v="Burnley FC"/>
    <n v="0"/>
    <m/>
    <n v="0"/>
  </r>
  <r>
    <n v="20"/>
    <x v="19"/>
    <s v="Burnley FC"/>
    <n v="0"/>
    <s v="Manchester United FC"/>
    <n v="2"/>
    <m/>
    <n v="0"/>
  </r>
  <r>
    <n v="21"/>
    <x v="20"/>
    <s v="Burnley FC"/>
    <n v="1"/>
    <s v="Aston Villa FC"/>
    <n v="2"/>
    <m/>
    <n v="0"/>
  </r>
  <r>
    <n v="22"/>
    <x v="21"/>
    <s v="Chelsea FC"/>
    <n v="3"/>
    <s v="Burnley FC"/>
    <n v="0"/>
    <m/>
    <n v="0"/>
  </r>
  <r>
    <n v="23"/>
    <x v="22"/>
    <s v="Burnley FC"/>
    <n v="2"/>
    <s v="Leicester City FC"/>
    <n v="1"/>
    <m/>
    <n v="3"/>
  </r>
  <r>
    <n v="24"/>
    <x v="23"/>
    <s v="Manchester United FC"/>
    <n v="0"/>
    <s v="Burnley FC"/>
    <n v="2"/>
    <m/>
    <n v="3"/>
  </r>
  <r>
    <n v="25"/>
    <x v="24"/>
    <s v="Burnley FC"/>
    <n v="0"/>
    <s v="Arsenal FC"/>
    <n v="0"/>
    <m/>
    <n v="1"/>
  </r>
  <r>
    <n v="26"/>
    <x v="25"/>
    <s v="Southampton FC"/>
    <n v="1"/>
    <s v="Burnley FC"/>
    <n v="2"/>
    <m/>
    <n v="3"/>
  </r>
  <r>
    <n v="27"/>
    <x v="26"/>
    <s v="Burnley FC"/>
    <n v="3"/>
    <s v="AFC Bournemouth"/>
    <n v="0"/>
    <m/>
    <n v="3"/>
  </r>
  <r>
    <n v="28"/>
    <x v="27"/>
    <s v="Newcastle United FC"/>
    <n v="0"/>
    <s v="Burnley FC"/>
    <n v="0"/>
    <m/>
    <n v="1"/>
  </r>
  <r>
    <n v="29"/>
    <x v="28"/>
    <s v="Burnley FC"/>
    <n v="1"/>
    <s v="Tottenham Hotspur FC"/>
    <n v="1"/>
    <m/>
    <n v="1"/>
  </r>
  <r>
    <n v="30"/>
    <x v="29"/>
    <s v="Manchester City FC"/>
    <n v="5"/>
    <s v="Burnley FC"/>
    <n v="0"/>
    <m/>
    <n v="0"/>
  </r>
  <r>
    <n v="31"/>
    <x v="30"/>
    <s v="Burnley FC"/>
    <n v="1"/>
    <s v="Watford FC"/>
    <n v="0"/>
    <m/>
    <n v="3"/>
  </r>
  <r>
    <n v="32"/>
    <x v="31"/>
    <s v="Crystal Palace FC"/>
    <n v="0"/>
    <s v="Burnley FC"/>
    <n v="1"/>
    <m/>
    <n v="3"/>
  </r>
  <r>
    <n v="33"/>
    <x v="32"/>
    <s v="Burnley FC"/>
    <n v="1"/>
    <s v="Sheffield United FC"/>
    <n v="1"/>
    <m/>
    <n v="1"/>
  </r>
  <r>
    <n v="34"/>
    <x v="33"/>
    <s v="West Ham United FC"/>
    <n v="0"/>
    <s v="Burnley FC"/>
    <n v="1"/>
    <m/>
    <n v="3"/>
  </r>
  <r>
    <n v="35"/>
    <x v="34"/>
    <s v="Liverpool FC"/>
    <n v="1"/>
    <s v="Burnley FC"/>
    <n v="1"/>
    <m/>
    <n v="1"/>
  </r>
  <r>
    <n v="36"/>
    <x v="35"/>
    <s v="Burnley FC"/>
    <n v="1"/>
    <s v="Wolverhampton Wanderers FC"/>
    <n v="1"/>
    <m/>
    <n v="1"/>
  </r>
  <r>
    <n v="37"/>
    <x v="36"/>
    <s v="Norwich City FC"/>
    <n v="0"/>
    <s v="Burnley FC"/>
    <n v="2"/>
    <m/>
    <n v="3"/>
  </r>
  <r>
    <n v="38"/>
    <x v="37"/>
    <s v="Burnley FC"/>
    <n v="1"/>
    <s v="Brighton &amp; Hove Albion FC"/>
    <n v="2"/>
    <m/>
    <n v="0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x v="0"/>
    <x v="0"/>
    <n v="0"/>
    <s v="Manchester City FC"/>
    <n v="5"/>
    <m/>
    <x v="0"/>
  </r>
  <r>
    <x v="1"/>
    <x v="1"/>
    <x v="1"/>
    <n v="1"/>
    <s v="West Ham United FC"/>
    <n v="1"/>
    <m/>
    <x v="1"/>
  </r>
  <r>
    <x v="2"/>
    <x v="2"/>
    <x v="2"/>
    <n v="1"/>
    <s v="West Ham United FC"/>
    <n v="3"/>
    <m/>
    <x v="2"/>
  </r>
  <r>
    <x v="3"/>
    <x v="3"/>
    <x v="0"/>
    <n v="2"/>
    <s v="Norwich City FC"/>
    <n v="0"/>
    <m/>
    <x v="2"/>
  </r>
  <r>
    <x v="4"/>
    <x v="4"/>
    <x v="3"/>
    <n v="0"/>
    <s v="West Ham United FC"/>
    <n v="0"/>
    <m/>
    <x v="1"/>
  </r>
  <r>
    <x v="5"/>
    <x v="5"/>
    <x v="0"/>
    <n v="2"/>
    <s v="Manchester United FC"/>
    <n v="0"/>
    <m/>
    <x v="2"/>
  </r>
  <r>
    <x v="6"/>
    <x v="6"/>
    <x v="4"/>
    <n v="2"/>
    <s v="West Ham United FC"/>
    <n v="2"/>
    <m/>
    <x v="1"/>
  </r>
  <r>
    <x v="7"/>
    <x v="7"/>
    <x v="0"/>
    <n v="1"/>
    <s v="Crystal Palace FC"/>
    <n v="2"/>
    <m/>
    <x v="0"/>
  </r>
  <r>
    <x v="8"/>
    <x v="8"/>
    <x v="5"/>
    <n v="2"/>
    <s v="West Ham United FC"/>
    <n v="0"/>
    <m/>
    <x v="0"/>
  </r>
  <r>
    <x v="9"/>
    <x v="9"/>
    <x v="0"/>
    <n v="1"/>
    <s v="Sheffield United FC"/>
    <n v="1"/>
    <m/>
    <x v="1"/>
  </r>
  <r>
    <x v="10"/>
    <x v="10"/>
    <x v="0"/>
    <n v="2"/>
    <s v="Newcastle United FC"/>
    <n v="3"/>
    <m/>
    <x v="0"/>
  </r>
  <r>
    <x v="11"/>
    <x v="11"/>
    <x v="6"/>
    <n v="3"/>
    <s v="West Ham United FC"/>
    <n v="0"/>
    <m/>
    <x v="0"/>
  </r>
  <r>
    <x v="12"/>
    <x v="12"/>
    <x v="0"/>
    <n v="2"/>
    <s v="Tottenham Hotspur FC"/>
    <n v="3"/>
    <m/>
    <x v="0"/>
  </r>
  <r>
    <x v="13"/>
    <x v="13"/>
    <x v="7"/>
    <n v="0"/>
    <s v="West Ham United FC"/>
    <n v="1"/>
    <m/>
    <x v="2"/>
  </r>
  <r>
    <x v="14"/>
    <x v="14"/>
    <x v="8"/>
    <n v="2"/>
    <s v="West Ham United FC"/>
    <n v="0"/>
    <m/>
    <x v="0"/>
  </r>
  <r>
    <x v="15"/>
    <x v="15"/>
    <x v="0"/>
    <n v="1"/>
    <s v="Arsenal FC"/>
    <n v="3"/>
    <m/>
    <x v="0"/>
  </r>
  <r>
    <x v="16"/>
    <x v="16"/>
    <x v="9"/>
    <n v="0"/>
    <s v="West Ham United FC"/>
    <n v="1"/>
    <m/>
    <x v="2"/>
  </r>
  <r>
    <x v="17"/>
    <x v="17"/>
    <x v="0"/>
    <n v="0"/>
    <s v="Liverpool FC"/>
    <n v="2"/>
    <m/>
    <x v="0"/>
  </r>
  <r>
    <x v="18"/>
    <x v="18"/>
    <x v="10"/>
    <n v="2"/>
    <s v="West Ham United FC"/>
    <n v="1"/>
    <m/>
    <x v="0"/>
  </r>
  <r>
    <x v="19"/>
    <x v="19"/>
    <x v="0"/>
    <n v="1"/>
    <s v="Leicester City FC"/>
    <n v="2"/>
    <m/>
    <x v="0"/>
  </r>
  <r>
    <x v="20"/>
    <x v="20"/>
    <x v="0"/>
    <n v="4"/>
    <s v="AFC Bournemouth"/>
    <n v="0"/>
    <m/>
    <x v="2"/>
  </r>
  <r>
    <x v="21"/>
    <x v="21"/>
    <x v="11"/>
    <n v="1"/>
    <s v="West Ham United FC"/>
    <n v="0"/>
    <m/>
    <x v="0"/>
  </r>
  <r>
    <x v="22"/>
    <x v="22"/>
    <x v="0"/>
    <n v="1"/>
    <s v="Everton FC"/>
    <n v="1"/>
    <m/>
    <x v="1"/>
  </r>
  <r>
    <x v="23"/>
    <x v="23"/>
    <x v="12"/>
    <n v="4"/>
    <s v="West Ham United FC"/>
    <n v="1"/>
    <m/>
    <x v="0"/>
  </r>
  <r>
    <x v="24"/>
    <x v="24"/>
    <x v="0"/>
    <n v="3"/>
    <s v="Brighton &amp; Hove Albion FC"/>
    <n v="3"/>
    <m/>
    <x v="1"/>
  </r>
  <r>
    <x v="25"/>
    <x v="25"/>
    <x v="13"/>
    <n v="2"/>
    <s v="West Ham United FC"/>
    <n v="0"/>
    <m/>
    <x v="0"/>
  </r>
  <r>
    <x v="26"/>
    <x v="26"/>
    <x v="14"/>
    <n v="3"/>
    <s v="West Ham United FC"/>
    <n v="2"/>
    <m/>
    <x v="0"/>
  </r>
  <r>
    <x v="27"/>
    <x v="27"/>
    <x v="0"/>
    <n v="3"/>
    <s v="Southampton FC"/>
    <n v="1"/>
    <m/>
    <x v="2"/>
  </r>
  <r>
    <x v="28"/>
    <x v="28"/>
    <x v="15"/>
    <n v="1"/>
    <s v="West Ham United FC"/>
    <n v="0"/>
    <m/>
    <x v="0"/>
  </r>
  <r>
    <x v="29"/>
    <x v="29"/>
    <x v="0"/>
    <n v="0"/>
    <s v="Wolverhampton Wanderers FC"/>
    <n v="2"/>
    <m/>
    <x v="0"/>
  </r>
  <r>
    <x v="30"/>
    <x v="30"/>
    <x v="16"/>
    <n v="2"/>
    <s v="West Ham United FC"/>
    <n v="0"/>
    <m/>
    <x v="0"/>
  </r>
  <r>
    <x v="31"/>
    <x v="31"/>
    <x v="0"/>
    <n v="3"/>
    <s v="Chelsea FC"/>
    <n v="2"/>
    <m/>
    <x v="2"/>
  </r>
  <r>
    <x v="32"/>
    <x v="32"/>
    <x v="17"/>
    <n v="2"/>
    <s v="West Ham United FC"/>
    <n v="2"/>
    <m/>
    <x v="1"/>
  </r>
  <r>
    <x v="33"/>
    <x v="33"/>
    <x v="0"/>
    <n v="0"/>
    <s v="Burnley FC"/>
    <n v="1"/>
    <m/>
    <x v="0"/>
  </r>
  <r>
    <x v="34"/>
    <x v="34"/>
    <x v="18"/>
    <n v="0"/>
    <s v="West Ham United FC"/>
    <n v="4"/>
    <m/>
    <x v="2"/>
  </r>
  <r>
    <x v="35"/>
    <x v="35"/>
    <x v="0"/>
    <n v="3"/>
    <s v="Watford FC"/>
    <n v="1"/>
    <m/>
    <x v="2"/>
  </r>
  <r>
    <x v="36"/>
    <x v="36"/>
    <x v="19"/>
    <n v="1"/>
    <s v="West Ham United FC"/>
    <n v="1"/>
    <m/>
    <x v="1"/>
  </r>
  <r>
    <x v="37"/>
    <x v="37"/>
    <x v="0"/>
    <n v="1"/>
    <s v="Aston Villa FC"/>
    <n v="1"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641582-93E2-4AAC-83FF-C7618D529DDD}" name="PivotTable16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1:T14" firstHeaderRow="0" firstDataRow="1" firstDataCol="1"/>
  <pivotFields count="10"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>
      <items count="4">
        <item x="2"/>
        <item x="1"/>
        <item x="0"/>
        <item t="default"/>
      </items>
    </pivotField>
    <pivotField dragToRow="0" dragToCol="0" dragToPage="0" showAll="0" defaultSubtota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9"/>
    <field x="1"/>
  </rowFields>
  <rowItems count="13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6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8" baseItem="1"/>
    <dataField name="Points" fld="7" baseField="8" baseItem="1"/>
    <dataField name="Average Points" fld="7" subtotal="average" baseField="8" baseItem="1" numFmtId="2"/>
  </dataFields>
  <formats count="1">
    <format dxfId="114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72C6CD-185E-4189-AFDF-3B1FB38F7E1D}" name="PivotTable20" cacheId="3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Q1:T14" firstHeaderRow="0" firstDataRow="1" firstDataCol="1"/>
  <pivotFields count="9"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1"/>
        <item x="2"/>
        <item x="0"/>
        <item x="3"/>
        <item t="default"/>
      </items>
    </pivotField>
  </pivotFields>
  <rowFields count="2">
    <field x="8"/>
    <field x="1"/>
  </rowFields>
  <rowItems count="13">
    <i>
      <x/>
    </i>
    <i r="1">
      <x v="8"/>
    </i>
    <i r="1">
      <x v="9"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6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0" baseItem="0"/>
    <dataField name="Points" fld="7" baseField="0" baseItem="0"/>
    <dataField name="Average Points" fld="7" subtotal="average" baseField="0" baseItem="0" numFmtId="2"/>
  </dataFields>
  <formats count="1">
    <format dxfId="108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FBD2E7-8C1D-4031-9806-182FA0FAB080}" name="PivotTable19" cacheId="3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1:T14" firstHeaderRow="0" firstDataRow="1" firstDataCol="1"/>
  <pivotFields count="9"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8"/>
    <field x="1"/>
  </rowFields>
  <rowItems count="13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6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0" baseItem="0"/>
    <dataField name="Points" fld="7" baseField="0" baseItem="0"/>
    <dataField name="Average Points" fld="7" subtotal="average" baseField="0" baseItem="0" numFmtId="2"/>
  </dataFields>
  <formats count="1">
    <format dxfId="102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9F0B70-87DE-4EB5-9CFD-0EFB814AA332}" name="PivotTable1" cacheId="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1:T14" firstHeaderRow="0" firstDataRow="1" firstDataCol="1"/>
  <pivotFields count="9"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8"/>
    <field x="1"/>
  </rowFields>
  <rowItems count="13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6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0" baseItem="0"/>
    <dataField name="Points" fld="7" baseField="0" baseItem="0"/>
    <dataField name="Average Points" fld="7" subtotal="average" baseField="0" baseItem="0" numFmtId="2"/>
  </dataFields>
  <formats count="1">
    <format dxfId="96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8B1EB0-D391-4C42-B3C5-7D4F9295D2E0}" name="PivotTable17" cacheId="3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1:T14" firstHeaderRow="0" firstDataRow="1" firstDataCol="1"/>
  <pivotFields count="9"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8"/>
    <field x="1"/>
  </rowFields>
  <rowItems count="13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6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0" baseItem="0"/>
    <dataField name="Points" fld="7" baseField="0" baseItem="0"/>
    <dataField name="Average Points" fld="7" subtotal="average" baseField="1" baseItem="8" numFmtId="2"/>
  </dataFields>
  <formats count="1">
    <format dxfId="90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2D68C3-E4BE-4FEC-9BBA-B709A6B9656C}" name="PivotTable16" cacheId="3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1:T14" firstHeaderRow="0" firstDataRow="1" firstDataCol="1"/>
  <pivotFields count="9"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8"/>
    <field x="1"/>
  </rowFields>
  <rowItems count="13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6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0" baseItem="0"/>
    <dataField name="Points" fld="7" baseField="0" baseItem="0"/>
    <dataField name="Average Points" fld="7" subtotal="average" baseField="0" baseItem="0" numFmtId="2"/>
  </dataFields>
  <formats count="1">
    <format dxfId="84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366158-0333-4AEB-822F-E3C6C45D76EB}" name="PivotTable15" cacheId="3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1:T14" firstHeaderRow="0" firstDataRow="1" firstDataCol="1"/>
  <pivotFields count="9"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8"/>
    <field x="1"/>
  </rowFields>
  <rowItems count="13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6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0" baseItem="0"/>
    <dataField name="Points" fld="7" baseField="0" baseItem="0"/>
    <dataField name="Average Points" fld="7" subtotal="average" baseField="0" baseItem="0" numFmtId="2"/>
  </dataFields>
  <formats count="1">
    <format dxfId="78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697B21-5948-4453-A050-917AD123CE55}" name="PivotTable14" cacheId="3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1:T14" firstHeaderRow="0" firstDataRow="1" firstDataCol="1"/>
  <pivotFields count="9"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8"/>
    <field x="1"/>
  </rowFields>
  <rowItems count="13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6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0" baseItem="0"/>
    <dataField name="Points" fld="7" baseField="0" baseItem="0"/>
    <dataField name="Average Points" fld="7" subtotal="average" baseField="0" baseItem="0" numFmtId="2"/>
  </dataFields>
  <formats count="1">
    <format dxfId="72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56620-BC49-49F7-BBC6-9D7C26159174}" name="PivotTable13" cacheId="3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1:T14" firstHeaderRow="0" firstDataRow="1" firstDataCol="1"/>
  <pivotFields count="9"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8"/>
    <field x="1"/>
  </rowFields>
  <rowItems count="13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6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0" baseItem="0"/>
    <dataField name="Points" fld="7" baseField="0" baseItem="0"/>
    <dataField name="Average Points" fld="7" subtotal="average" baseField="0" baseItem="0" numFmtId="2"/>
  </dataFields>
  <formats count="1">
    <format dxfId="66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B227F3-7D66-4F59-B6C9-F10793C50854}" name="PivotTable12" cacheId="3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1:T14" firstHeaderRow="0" firstDataRow="1" firstDataCol="1"/>
  <pivotFields count="9"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8"/>
    <field x="1"/>
  </rowFields>
  <rowItems count="13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6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0" baseItem="0"/>
    <dataField name="Points" fld="7" baseField="0" baseItem="0"/>
    <dataField name="Average Points" fld="7" subtotal="average" baseField="0" baseItem="0" numFmtId="2"/>
  </dataFields>
  <formats count="1">
    <format dxfId="60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ED103A-DAFE-4D96-88F6-DC43D7CD9FA3}" name="PivotTable11" cacheId="3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1:T14" firstHeaderRow="0" firstDataRow="1" firstDataCol="1"/>
  <pivotFields count="9"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8"/>
    <field x="1"/>
  </rowFields>
  <rowItems count="13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6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0" baseItem="0"/>
    <dataField name="Points" fld="7" baseField="0" baseItem="0"/>
    <dataField name="Average Points" fld="7" subtotal="average" baseField="0" baseItem="0" numFmtId="2"/>
  </dataFields>
  <formats count="1">
    <format dxfId="54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3C5DF0-52A2-41E9-84B4-5906380513CF}" name="PivotTable2" cacheId="2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1:T14" firstHeaderRow="0" firstDataRow="1" firstDataCol="1"/>
  <pivotFields count="9"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8"/>
    <field x="1"/>
  </rowFields>
  <rowItems count="13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6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0" baseItem="0"/>
    <dataField name="Points" fld="7" baseField="0" baseItem="0"/>
    <dataField name="Average Points" fld="7" subtotal="average" baseField="1" baseItem="8" numFmtId="2"/>
  </dataFields>
  <formats count="1">
    <format dxfId="48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116C1A-6EE0-4FC3-98CA-3CF2422A821C}" name="PivotTable9" cacheId="2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1:T14" firstHeaderRow="0" firstDataRow="1" firstDataCol="1"/>
  <pivotFields count="9"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8"/>
    <field x="1"/>
  </rowFields>
  <rowItems count="13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6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8" baseItem="1"/>
    <dataField name="Points" fld="7" baseField="8" baseItem="1"/>
    <dataField name="Average Points" fld="7" subtotal="average" baseField="8" baseItem="1" numFmtId="2"/>
  </dataFields>
  <formats count="1">
    <format dxfId="42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B12FFE-F9FD-42F3-8F93-D0E16F589EC4}" name="PivotTable8" cacheId="2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1:T14" firstHeaderRow="0" firstDataRow="1" firstDataCol="1"/>
  <pivotFields count="9"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8"/>
    <field x="1"/>
  </rowFields>
  <rowItems count="13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6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0" baseItem="0"/>
    <dataField name="Points" fld="7" baseField="0" baseItem="0"/>
    <dataField name="Average Points" fld="7" subtotal="average" baseField="0" baseItem="0" numFmtId="2"/>
  </dataFields>
  <formats count="1">
    <format dxfId="36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E4E70E-F296-4BF0-A690-FF011BF63279}" name="PivotTable7" cacheId="2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1:T14" firstHeaderRow="0" firstDataRow="1" firstDataCol="1"/>
  <pivotFields count="9"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8"/>
    <field x="1"/>
  </rowFields>
  <rowItems count="13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6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0" baseItem="0"/>
    <dataField name="Points" fld="7" baseField="0" baseItem="0"/>
    <dataField name="Average Points" fld="7" subtotal="average" baseField="0" baseItem="0" numFmtId="2"/>
  </dataFields>
  <formats count="1">
    <format dxfId="30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E33397-9AF3-48F0-A363-22DBD9386CE5}" name="PivotTable6" cacheId="2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1:T14" firstHeaderRow="0" firstDataRow="1" firstDataCol="1"/>
  <pivotFields count="9"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8"/>
    <field x="1"/>
  </rowFields>
  <rowItems count="13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6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8" baseItem="1"/>
    <dataField name="Points" fld="7" baseField="8" baseItem="1"/>
    <dataField name="Average Points" fld="7" subtotal="average" baseField="8" baseItem="1" numFmtId="2"/>
  </dataFields>
  <formats count="1">
    <format dxfId="24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9D3167-F023-488C-A8C6-CD4A259323ED}" name="PivotTable5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1:T14" firstHeaderRow="0" firstDataRow="1" firstDataCol="1"/>
  <pivotFields count="9"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8"/>
    <field x="1"/>
  </rowFields>
  <rowItems count="13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6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0" baseItem="0"/>
    <dataField name="Points" fld="7" baseField="0" baseItem="0"/>
    <dataField name="Average Points" fld="7" subtotal="average" baseField="0" baseItem="0" numFmtId="2"/>
  </dataFields>
  <formats count="1">
    <format dxfId="18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93AFE3-B325-4969-89B9-5072FEE1DA47}" name="PivotTable4" cacheId="2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1:T14" firstHeaderRow="0" firstDataRow="1" firstDataCol="1"/>
  <pivotFields count="9"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8"/>
    <field x="1"/>
  </rowFields>
  <rowItems count="13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6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0" baseItem="0"/>
    <dataField name="Points" fld="7" baseField="0" baseItem="0"/>
    <dataField name="Average Points" fld="7" subtotal="average" baseField="0" baseItem="0" numFmtId="2"/>
  </dataFields>
  <formats count="1">
    <format dxfId="12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D78EC0-049E-4BC0-8B31-EAAD33B0DF9B}" name="PivotTable3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1:T14" firstHeaderRow="0" firstDataRow="1" firstDataCol="1"/>
  <pivotFields count="9"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8"/>
    <field x="1"/>
  </rowFields>
  <rowItems count="13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6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0" baseItem="0"/>
    <dataField name="Points" fld="7" baseField="0" baseItem="0"/>
    <dataField name="Average Points" fld="7" subtotal="average" baseField="0" baseItem="0" numFmtId="2"/>
  </dataFields>
  <formats count="1">
    <format dxfId="6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AD820D-F652-42CE-BBF0-9569B28ECECB}" name="PivotTable1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Q1:T14" firstHeaderRow="0" firstDataRow="1" firstDataCol="1"/>
  <pivotFields count="9">
    <pivotField dataField="1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8"/>
    <field x="1"/>
  </rowFields>
  <rowItems count="13">
    <i>
      <x v="1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6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0" baseItem="0"/>
    <dataField name="Points" fld="7" baseField="8" baseItem="1"/>
    <dataField name="Average Points" fld="7" subtotal="average" baseField="8" baseItem="1" numFmtId="2"/>
  </dataFields>
  <formats count="1">
    <format dxfId="0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635BC8D4-33CF-4347-8D7E-7CE576F312DB}" autoFormatId="16" applyNumberFormats="0" applyBorderFormats="0" applyFontFormats="0" applyPatternFormats="0" applyAlignmentFormats="0" applyWidthHeightFormats="0">
  <queryTableRefresh nextId="10">
    <queryTableFields count="6">
      <queryTableField id="1" name="Round" tableColumnId="1"/>
      <queryTableField id="2" name="Date" tableColumnId="2"/>
      <queryTableField id="6" name="Home" tableColumnId="3"/>
      <queryTableField id="7" name="Home Score" tableColumnId="4"/>
      <queryTableField id="8" name="Away" tableColumnId="5"/>
      <queryTableField id="9" name="Away Scor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75FFB5-1084-42FE-A2A6-30453022C596}" name="eng_1" displayName="eng_1" ref="A1:F381" tableType="queryTable" totalsRowShown="0">
  <autoFilter ref="A1:F381" xr:uid="{5A75FFB5-1084-42FE-A2A6-30453022C59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A2:F381">
    <sortCondition ref="A2:A381"/>
    <sortCondition ref="B2:B381"/>
  </sortState>
  <tableColumns count="6">
    <tableColumn id="1" xr3:uid="{EB3E7699-3DA9-4365-9F00-779DE1061FEB}" uniqueName="1" name="Round" queryTableFieldId="1"/>
    <tableColumn id="2" xr3:uid="{6272DF1D-7129-447E-9291-E3310D02D7F8}" uniqueName="2" name="Date" queryTableFieldId="2" dataDxfId="122"/>
    <tableColumn id="3" xr3:uid="{CC9085DF-06DD-41DC-BE55-122062EC5C35}" uniqueName="3" name="Home" queryTableFieldId="6" dataDxfId="121"/>
    <tableColumn id="4" xr3:uid="{68781253-8BD3-4231-BB73-696B98710985}" uniqueName="4" name="Home Score" queryTableFieldId="7"/>
    <tableColumn id="5" xr3:uid="{D256FA13-4644-4E39-AD56-707CC69B638D}" uniqueName="5" name="Away" queryTableFieldId="8" dataDxfId="120"/>
    <tableColumn id="6" xr3:uid="{22E83824-3F40-4604-98E3-F2C7D8217B72}" uniqueName="6" name="Away Score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9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12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1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1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ivotTable" Target="../pivotTables/pivotTable1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ivotTable" Target="../pivotTables/pivotTable1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ivotTable" Target="../pivotTables/pivotTable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ivotTable" Target="../pivotTables/pivotTable18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ivotTable" Target="../pivotTables/pivotTable1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ivotTable" Target="../pivotTables/pivot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C8629-98FD-4EAA-A60A-C81BD2E25AAF}">
  <sheetPr codeName="Sheet25"/>
  <dimension ref="A1:H32"/>
  <sheetViews>
    <sheetView showGridLines="0" zoomScaleNormal="100" workbookViewId="0">
      <selection activeCell="B7" sqref="B7:G7"/>
    </sheetView>
  </sheetViews>
  <sheetFormatPr baseColWidth="10" defaultColWidth="8.83203125" defaultRowHeight="15" x14ac:dyDescent="0.2"/>
  <cols>
    <col min="1" max="1" width="6.83203125" customWidth="1"/>
    <col min="4" max="4" width="5.1640625" customWidth="1"/>
  </cols>
  <sheetData>
    <row r="1" spans="1:8" x14ac:dyDescent="0.2">
      <c r="A1" s="90"/>
      <c r="B1" s="91"/>
      <c r="C1" s="91"/>
      <c r="D1" s="91"/>
      <c r="E1" s="91"/>
      <c r="F1" s="91"/>
      <c r="G1" s="91"/>
      <c r="H1" s="91"/>
    </row>
    <row r="2" spans="1:8" ht="42" customHeight="1" x14ac:dyDescent="0.2">
      <c r="B2" s="91"/>
      <c r="C2" s="91"/>
      <c r="D2" s="91"/>
      <c r="E2" s="91"/>
      <c r="F2" s="91"/>
      <c r="G2" s="91"/>
      <c r="H2" s="91"/>
    </row>
    <row r="3" spans="1:8" ht="29" x14ac:dyDescent="0.45">
      <c r="B3" s="98"/>
      <c r="C3" s="98"/>
      <c r="D3" s="98"/>
      <c r="E3" s="98"/>
      <c r="F3" s="98"/>
      <c r="G3" s="98"/>
      <c r="H3" s="92"/>
    </row>
    <row r="4" spans="1:8" ht="20" customHeight="1" x14ac:dyDescent="0.2">
      <c r="B4" s="99" t="s">
        <v>97</v>
      </c>
      <c r="C4" s="99"/>
      <c r="D4" s="99"/>
      <c r="E4" s="99"/>
      <c r="F4" s="99"/>
      <c r="G4" s="99"/>
      <c r="H4" s="92"/>
    </row>
    <row r="5" spans="1:8" ht="20" customHeight="1" thickBot="1" x14ac:dyDescent="0.25">
      <c r="B5" s="100" t="s">
        <v>98</v>
      </c>
      <c r="C5" s="100"/>
      <c r="D5" s="100"/>
      <c r="E5" s="100"/>
      <c r="F5" s="100"/>
      <c r="G5" s="100"/>
      <c r="H5" s="93"/>
    </row>
    <row r="6" spans="1:8" ht="20" customHeight="1" thickTop="1" thickBot="1" x14ac:dyDescent="0.25">
      <c r="B6" s="101" t="s">
        <v>99</v>
      </c>
      <c r="C6" s="101"/>
      <c r="D6" s="101"/>
      <c r="E6" s="101"/>
      <c r="F6" s="101"/>
      <c r="G6" s="101"/>
      <c r="H6" s="93"/>
    </row>
    <row r="7" spans="1:8" ht="20" customHeight="1" thickTop="1" x14ac:dyDescent="0.2">
      <c r="B7" s="102" t="s">
        <v>35</v>
      </c>
      <c r="C7" s="102"/>
      <c r="D7" s="102"/>
      <c r="E7" s="102"/>
      <c r="F7" s="102"/>
      <c r="G7" s="102"/>
      <c r="H7" s="92"/>
    </row>
    <row r="8" spans="1:8" ht="20" customHeight="1" x14ac:dyDescent="0.2">
      <c r="B8" s="97" t="s">
        <v>100</v>
      </c>
      <c r="C8" s="97"/>
      <c r="D8" s="97"/>
      <c r="E8" s="97"/>
      <c r="F8" s="97"/>
      <c r="G8" s="97"/>
      <c r="H8" s="92"/>
    </row>
    <row r="9" spans="1:8" ht="20" customHeight="1" x14ac:dyDescent="0.2">
      <c r="B9" s="97" t="s">
        <v>101</v>
      </c>
      <c r="C9" s="97"/>
      <c r="D9" s="97"/>
      <c r="E9" s="97"/>
      <c r="F9" s="97"/>
      <c r="G9" s="97"/>
      <c r="H9" s="92"/>
    </row>
    <row r="10" spans="1:8" ht="20" customHeight="1" thickBot="1" x14ac:dyDescent="0.25">
      <c r="B10" s="104" t="s">
        <v>102</v>
      </c>
      <c r="C10" s="104"/>
      <c r="D10" s="104"/>
      <c r="E10" s="104"/>
      <c r="F10" s="104"/>
      <c r="G10" s="104"/>
      <c r="H10" s="93"/>
    </row>
    <row r="11" spans="1:8" ht="20" customHeight="1" thickTop="1" x14ac:dyDescent="0.2">
      <c r="B11" s="94" t="s">
        <v>6</v>
      </c>
      <c r="C11" s="94"/>
      <c r="D11" s="94"/>
      <c r="E11" s="94" t="s">
        <v>32</v>
      </c>
      <c r="F11" s="94"/>
      <c r="G11" s="94"/>
      <c r="H11" s="94"/>
    </row>
    <row r="12" spans="1:8" ht="20" customHeight="1" x14ac:dyDescent="0.2">
      <c r="B12" s="94" t="s">
        <v>8</v>
      </c>
      <c r="C12" s="94"/>
      <c r="D12" s="94"/>
      <c r="E12" s="94" t="s">
        <v>24</v>
      </c>
      <c r="F12" s="94"/>
      <c r="G12" s="94"/>
      <c r="H12" s="94"/>
    </row>
    <row r="13" spans="1:8" ht="20" customHeight="1" x14ac:dyDescent="0.2">
      <c r="B13" s="94" t="s">
        <v>10</v>
      </c>
      <c r="C13" s="94"/>
      <c r="D13" s="94"/>
      <c r="E13" s="103" t="s">
        <v>26</v>
      </c>
      <c r="F13" s="103"/>
      <c r="G13" s="103"/>
      <c r="H13" s="103"/>
    </row>
    <row r="14" spans="1:8" ht="20" customHeight="1" x14ac:dyDescent="0.2">
      <c r="B14" s="94" t="s">
        <v>20</v>
      </c>
      <c r="C14" s="94"/>
      <c r="D14" s="94"/>
      <c r="E14" s="103" t="s">
        <v>28</v>
      </c>
      <c r="F14" s="103"/>
      <c r="G14" s="103"/>
      <c r="H14" s="103"/>
    </row>
    <row r="15" spans="1:8" ht="20" customHeight="1" x14ac:dyDescent="0.2">
      <c r="B15" s="94" t="s">
        <v>23</v>
      </c>
      <c r="C15" s="94"/>
      <c r="D15" s="94"/>
      <c r="E15" s="103" t="s">
        <v>7</v>
      </c>
      <c r="F15" s="103"/>
      <c r="G15" s="103"/>
      <c r="H15" s="103"/>
    </row>
    <row r="16" spans="1:8" ht="20" customHeight="1" x14ac:dyDescent="0.2">
      <c r="B16" s="94" t="s">
        <v>25</v>
      </c>
      <c r="C16" s="94"/>
      <c r="D16" s="94"/>
      <c r="E16" s="103" t="s">
        <v>11</v>
      </c>
      <c r="F16" s="103"/>
      <c r="G16" s="103"/>
      <c r="H16" s="103"/>
    </row>
    <row r="17" spans="2:8" ht="20" customHeight="1" x14ac:dyDescent="0.2">
      <c r="B17" s="94" t="s">
        <v>27</v>
      </c>
      <c r="C17" s="94"/>
      <c r="D17" s="94"/>
      <c r="E17" s="103" t="s">
        <v>9</v>
      </c>
      <c r="F17" s="103"/>
      <c r="G17" s="103"/>
      <c r="H17" s="103"/>
    </row>
    <row r="18" spans="2:8" ht="20" customHeight="1" x14ac:dyDescent="0.2">
      <c r="B18" s="94" t="s">
        <v>29</v>
      </c>
      <c r="C18" s="94"/>
      <c r="D18" s="94"/>
      <c r="E18" s="103" t="s">
        <v>21</v>
      </c>
      <c r="F18" s="103"/>
      <c r="G18" s="103"/>
      <c r="H18" s="103"/>
    </row>
    <row r="19" spans="2:8" ht="20" customHeight="1" x14ac:dyDescent="0.2">
      <c r="B19" s="94" t="s">
        <v>31</v>
      </c>
      <c r="C19" s="94"/>
      <c r="D19" s="94"/>
      <c r="E19" s="103" t="s">
        <v>34</v>
      </c>
      <c r="F19" s="103"/>
      <c r="G19" s="103"/>
      <c r="H19" s="103"/>
    </row>
    <row r="20" spans="2:8" ht="20" customHeight="1" x14ac:dyDescent="0.2">
      <c r="B20" s="94" t="s">
        <v>33</v>
      </c>
      <c r="C20" s="94"/>
      <c r="D20" s="94"/>
      <c r="E20" s="103" t="s">
        <v>30</v>
      </c>
      <c r="F20" s="103"/>
      <c r="G20" s="103"/>
      <c r="H20" s="103"/>
    </row>
    <row r="21" spans="2:8" x14ac:dyDescent="0.2">
      <c r="B21" s="95"/>
      <c r="C21" s="95"/>
      <c r="D21" s="95"/>
      <c r="E21" s="95"/>
      <c r="F21" s="95"/>
      <c r="G21" s="95"/>
      <c r="H21" s="95"/>
    </row>
    <row r="22" spans="2:8" x14ac:dyDescent="0.2">
      <c r="B22" s="96"/>
      <c r="C22" s="96"/>
      <c r="D22" s="96"/>
      <c r="E22" s="96"/>
      <c r="F22" s="96"/>
      <c r="G22" s="96"/>
      <c r="H22" s="96"/>
    </row>
    <row r="23" spans="2:8" x14ac:dyDescent="0.2">
      <c r="B23" s="92"/>
      <c r="C23" s="92"/>
      <c r="D23" s="92"/>
      <c r="E23" s="92"/>
      <c r="F23" s="92"/>
      <c r="G23" s="92"/>
      <c r="H23" s="92"/>
    </row>
    <row r="24" spans="2:8" x14ac:dyDescent="0.2">
      <c r="B24" s="92"/>
      <c r="C24" s="92"/>
      <c r="D24" s="92"/>
      <c r="E24" s="92"/>
      <c r="F24" s="92"/>
      <c r="G24" s="92"/>
      <c r="H24" s="92"/>
    </row>
    <row r="25" spans="2:8" x14ac:dyDescent="0.2">
      <c r="B25" s="92"/>
      <c r="C25" s="92"/>
      <c r="D25" s="92"/>
      <c r="E25" s="92"/>
      <c r="F25" s="92"/>
      <c r="G25" s="92"/>
      <c r="H25" s="92"/>
    </row>
    <row r="26" spans="2:8" x14ac:dyDescent="0.2">
      <c r="B26" s="92"/>
      <c r="C26" s="92"/>
      <c r="D26" s="92"/>
      <c r="E26" s="92"/>
      <c r="F26" s="92"/>
      <c r="G26" s="92"/>
      <c r="H26" s="92"/>
    </row>
    <row r="27" spans="2:8" x14ac:dyDescent="0.2">
      <c r="B27" s="92"/>
      <c r="C27" s="92"/>
      <c r="D27" s="92"/>
      <c r="E27" s="92"/>
      <c r="F27" s="92"/>
      <c r="G27" s="92"/>
      <c r="H27" s="92"/>
    </row>
    <row r="28" spans="2:8" x14ac:dyDescent="0.2">
      <c r="B28" s="92"/>
      <c r="C28" s="92"/>
      <c r="D28" s="92"/>
      <c r="E28" s="92"/>
      <c r="F28" s="92"/>
      <c r="G28" s="92"/>
      <c r="H28" s="92"/>
    </row>
    <row r="29" spans="2:8" x14ac:dyDescent="0.2">
      <c r="B29" s="92"/>
      <c r="C29" s="92"/>
      <c r="D29" s="92"/>
      <c r="E29" s="92"/>
      <c r="F29" s="92"/>
      <c r="G29" s="92"/>
      <c r="H29" s="92"/>
    </row>
    <row r="30" spans="2:8" x14ac:dyDescent="0.2">
      <c r="B30" s="92"/>
      <c r="C30" s="92"/>
      <c r="D30" s="92"/>
      <c r="E30" s="92"/>
      <c r="F30" s="92"/>
      <c r="G30" s="92"/>
      <c r="H30" s="92"/>
    </row>
    <row r="31" spans="2:8" x14ac:dyDescent="0.2">
      <c r="B31" s="92"/>
      <c r="C31" s="92"/>
      <c r="D31" s="92"/>
      <c r="E31" s="92"/>
      <c r="F31" s="92"/>
      <c r="G31" s="92"/>
      <c r="H31" s="92"/>
    </row>
    <row r="32" spans="2:8" x14ac:dyDescent="0.2">
      <c r="B32" s="92"/>
      <c r="C32" s="92"/>
      <c r="D32" s="92"/>
      <c r="E32" s="92"/>
      <c r="F32" s="92"/>
      <c r="G32" s="92"/>
      <c r="H32" s="92"/>
    </row>
  </sheetData>
  <sheetProtection sheet="1" objects="1" scenarios="1" selectLockedCells="1"/>
  <mergeCells count="16">
    <mergeCell ref="E17:H17"/>
    <mergeCell ref="E18:H18"/>
    <mergeCell ref="E19:H19"/>
    <mergeCell ref="E20:H20"/>
    <mergeCell ref="B9:G9"/>
    <mergeCell ref="B10:G10"/>
    <mergeCell ref="E13:H13"/>
    <mergeCell ref="E14:H14"/>
    <mergeCell ref="E15:H15"/>
    <mergeCell ref="E16:H16"/>
    <mergeCell ref="B8:G8"/>
    <mergeCell ref="B3:G3"/>
    <mergeCell ref="B4:G4"/>
    <mergeCell ref="B5:G5"/>
    <mergeCell ref="B6:G6"/>
    <mergeCell ref="B7:G7"/>
  </mergeCells>
  <hyperlinks>
    <hyperlink ref="B7:E7" location="'Team Position by Round'!A1" display="Team Position by Round" xr:uid="{5E3B9753-69BC-4668-A2F6-521443181AB7}"/>
    <hyperlink ref="B8:E8" location="'League Table Unsort'!A1" display="League Table Unsort" xr:uid="{6900799A-F6D7-4FDE-83C0-CF2C3EDB66E7}"/>
    <hyperlink ref="B9:E9" location="'League Table Sorted'!A1" display="League Table Sorted" xr:uid="{B642D2A8-0251-411C-AE7C-8100329B9B90}"/>
    <hyperlink ref="B14:D14" location="'AFC Bournemouth'!A1" display="AFC Bournemouth" xr:uid="{17C26EE5-78D8-46B1-96B3-B4F2BB6861BC}"/>
    <hyperlink ref="B15:D15" location="'Crystal Palace FC'!A1" display="Crystal Palace FC" xr:uid="{ABDA293D-A33C-4487-A85A-1F5DA116A59E}"/>
    <hyperlink ref="B16:D16" location="'Watford FC'!A1" display="Watford FC" xr:uid="{8D5BC46B-A5E2-40C6-861A-762DE60DE676}"/>
    <hyperlink ref="B17:D17" location="'Tottenham Hotspur FC'!A1" display="Tottenham Hotspur FC" xr:uid="{1A578A09-D2AC-4015-96A3-1429B8E16E21}"/>
    <hyperlink ref="B18:D18" location="'Leicester City FC'!A1" display="Leicester City FC" xr:uid="{703AEC4C-03A2-46EB-8BE8-6FBF38AE839D}"/>
    <hyperlink ref="B19:D19" location="'Newcastle United FC'!A1" display="Newcastle United FC" xr:uid="{408AD22E-9AFA-4F8B-A20E-EDDA67DEC39A}"/>
    <hyperlink ref="B20:D20" location="'Manchester United FC'!A1" display="Manchester United FC" xr:uid="{D1199940-E0EE-42CE-A23F-938EE94FDB01}"/>
    <hyperlink ref="E11:H11" location="'Arsenal FC'!A1" display="Arsenal FC" xr:uid="{6F951E7E-BF4E-465A-8268-D4530C04601B}"/>
    <hyperlink ref="E12:H12" location="'Everton FC'!A1" display="Everton FC" xr:uid="{08FBF7CF-13CC-4A0D-BDF3-05A3C512261C}"/>
    <hyperlink ref="E13:H13" location="'Brighton &amp; Hove Albion FC'!A1" display="Brighton &amp; Hove Albion FC" xr:uid="{05364089-31ED-4516-AAD1-55476DFA3967}"/>
    <hyperlink ref="E14:H14" location="'Aston Villa FC'!A1" display="Aston Villa FC" xr:uid="{815AA28B-7441-4A6E-874C-80344BA86DD8}"/>
    <hyperlink ref="E15:H15" location="'Norwich City FC'!A1" display="Norwich City FC" xr:uid="{8F5E5511-1A28-4F32-9B7C-29C80A2EDA31}"/>
    <hyperlink ref="E16:H16" location="'Southampton FC'!A1" display="Southampton FC" xr:uid="{AE30AC3E-E05F-4CE7-8538-F1E028E1C3F8}"/>
    <hyperlink ref="E17:H17" location="'Manchester City FC'!A1" display="Manchester City FC" xr:uid="{A0F75F3B-A4D8-42D9-A65A-3F444E02A631}"/>
    <hyperlink ref="E18:H18" location="'Sheffield United FC'!A1" display="Sheffield United FC" xr:uid="{3D469A91-10CE-4209-8ECE-EC6FBE63586D}"/>
    <hyperlink ref="E19:H19" location="'Chelsea FC'!A1" display="Chelsea FC" xr:uid="{D547B89B-5003-4DB7-948C-7C2CB4A9BEC7}"/>
    <hyperlink ref="E20:H20" location="'Wolverhampton Wanderers FC'!A1" display="Wolverhampton Wanderers FC" xr:uid="{B4DFCA56-1156-4531-AA6A-77EBE7FB88A5}"/>
    <hyperlink ref="B5:E5" location="'England 1'!A1" display="England 1" xr:uid="{9EF24DC0-18B4-43BA-8BFD-8C42C4090660}"/>
    <hyperlink ref="B13:D13" location="'Burnley FC'!A1" display="Burnley FC" xr:uid="{241767AC-AFD7-4077-9FE8-0D8CA629233E}"/>
    <hyperlink ref="B12:D12" location="'West Ham United FC'!A1" display="West Ham United FC" xr:uid="{12E5EF1D-7E36-4585-895B-6B03B3FBBB0E}"/>
    <hyperlink ref="B11:D11" location="'Liverpool FC'!A1" display="Liverpool FC" xr:uid="{A8A82230-0FDA-4470-95B7-8E5F6F10FF87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AC920-85D8-44C5-B349-4EDED9DF6F12}">
  <sheetPr codeName="Sheet1"/>
  <dimension ref="A1:Q381"/>
  <sheetViews>
    <sheetView zoomScale="60" zoomScaleNormal="60" workbookViewId="0">
      <selection activeCell="E27" sqref="E27"/>
    </sheetView>
  </sheetViews>
  <sheetFormatPr baseColWidth="10" defaultColWidth="8.83203125" defaultRowHeight="15" x14ac:dyDescent="0.2"/>
  <cols>
    <col min="1" max="1" width="10.1640625" bestFit="1" customWidth="1"/>
    <col min="2" max="2" width="11.83203125" bestFit="1" customWidth="1"/>
    <col min="3" max="3" width="27.1640625" bestFit="1" customWidth="1"/>
    <col min="4" max="4" width="14.83203125" bestFit="1" customWidth="1"/>
    <col min="5" max="5" width="27.1640625" bestFit="1" customWidth="1"/>
    <col min="6" max="6" width="14.33203125" bestFit="1" customWidth="1"/>
    <col min="7" max="7" width="8.5" customWidth="1"/>
    <col min="8" max="8" width="5.33203125" customWidth="1"/>
    <col min="9" max="9" width="28.5" customWidth="1"/>
    <col min="18" max="18" width="12.33203125" bestFit="1" customWidth="1"/>
  </cols>
  <sheetData>
    <row r="1" spans="1:1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7" x14ac:dyDescent="0.2">
      <c r="A2">
        <v>1</v>
      </c>
      <c r="B2" s="1">
        <v>43686</v>
      </c>
      <c r="C2" t="s">
        <v>6</v>
      </c>
      <c r="D2">
        <v>4</v>
      </c>
      <c r="E2" t="s">
        <v>7</v>
      </c>
      <c r="F2">
        <v>1</v>
      </c>
    </row>
    <row r="3" spans="1:17" x14ac:dyDescent="0.2">
      <c r="A3">
        <v>1</v>
      </c>
      <c r="B3" s="1">
        <v>43687</v>
      </c>
      <c r="C3" t="s">
        <v>8</v>
      </c>
      <c r="D3">
        <v>0</v>
      </c>
      <c r="E3" t="s">
        <v>9</v>
      </c>
      <c r="F3">
        <v>5</v>
      </c>
    </row>
    <row r="4" spans="1:17" x14ac:dyDescent="0.2">
      <c r="A4">
        <v>1</v>
      </c>
      <c r="B4" s="1">
        <v>43687</v>
      </c>
      <c r="C4" t="s">
        <v>10</v>
      </c>
      <c r="D4">
        <v>3</v>
      </c>
      <c r="E4" t="s">
        <v>11</v>
      </c>
      <c r="F4">
        <v>0</v>
      </c>
      <c r="I4" s="14" t="s">
        <v>6</v>
      </c>
      <c r="J4" s="9" t="s">
        <v>12</v>
      </c>
      <c r="K4" s="7" t="s">
        <v>13</v>
      </c>
      <c r="L4" s="6" t="s">
        <v>14</v>
      </c>
      <c r="M4" s="8" t="s">
        <v>15</v>
      </c>
      <c r="N4" s="9" t="s">
        <v>16</v>
      </c>
      <c r="O4" s="9" t="s">
        <v>17</v>
      </c>
      <c r="P4" s="9" t="s">
        <v>18</v>
      </c>
      <c r="Q4" s="9" t="s">
        <v>19</v>
      </c>
    </row>
    <row r="5" spans="1:17" x14ac:dyDescent="0.2">
      <c r="A5">
        <v>1</v>
      </c>
      <c r="B5" s="1">
        <v>43687</v>
      </c>
      <c r="C5" t="s">
        <v>20</v>
      </c>
      <c r="D5">
        <v>1</v>
      </c>
      <c r="E5" t="s">
        <v>21</v>
      </c>
      <c r="F5">
        <v>1</v>
      </c>
      <c r="I5" s="10" t="s">
        <v>22</v>
      </c>
      <c r="J5" s="11" cm="1">
        <f t="array" aca="1" ref="J5" ca="1">INDIRECT("'"&amp;$I$4&amp;"'!"&amp;"O19")</f>
        <v>38</v>
      </c>
      <c r="K5" s="5" cm="1">
        <f t="array" aca="1" ref="K5" ca="1">INDIRECT("'"&amp;$I$4&amp;"'!"&amp;"P19")</f>
        <v>32</v>
      </c>
      <c r="L5" s="12" cm="1">
        <f t="array" aca="1" ref="L5" ca="1">INDIRECT("'"&amp;$I$4&amp;"'!"&amp;"Q19")</f>
        <v>3</v>
      </c>
      <c r="M5" s="13" cm="1">
        <f t="array" aca="1" ref="M5" ca="1">INDIRECT("'"&amp;$I$4&amp;"'!"&amp;"R19")</f>
        <v>3</v>
      </c>
      <c r="N5" s="11" cm="1">
        <f t="array" aca="1" ref="N5" ca="1">INDIRECT("'"&amp;$I$4&amp;"'!"&amp;"S19")</f>
        <v>85</v>
      </c>
      <c r="O5" s="11" cm="1">
        <f t="array" aca="1" ref="O5" ca="1">INDIRECT("'"&amp;$I$4&amp;"'!"&amp;"T19")</f>
        <v>33</v>
      </c>
      <c r="P5" s="11" cm="1">
        <f t="array" aca="1" ref="P5" ca="1">INDIRECT("'"&amp;$I$4&amp;"'!"&amp;"U19")</f>
        <v>52</v>
      </c>
      <c r="Q5" s="72" cm="1">
        <f t="array" aca="1" ref="Q5" ca="1">INDIRECT("'"&amp;$I$4&amp;"'!"&amp;"V19")</f>
        <v>99</v>
      </c>
    </row>
    <row r="6" spans="1:17" x14ac:dyDescent="0.2">
      <c r="A6">
        <v>1</v>
      </c>
      <c r="B6" s="1">
        <v>43687</v>
      </c>
      <c r="C6" t="s">
        <v>23</v>
      </c>
      <c r="D6">
        <v>0</v>
      </c>
      <c r="E6" t="s">
        <v>24</v>
      </c>
      <c r="F6">
        <v>0</v>
      </c>
      <c r="I6" s="10" t="s">
        <v>2</v>
      </c>
      <c r="J6" s="11" cm="1">
        <f t="array" aca="1" ref="J6" ca="1">INDIRECT("'"&amp;$I$4&amp;"'!"&amp;"O20")</f>
        <v>19</v>
      </c>
      <c r="K6" s="5" cm="1">
        <f t="array" aca="1" ref="K6" ca="1">INDIRECT("'"&amp;$I$4&amp;"'!"&amp;"P20")</f>
        <v>18</v>
      </c>
      <c r="L6" s="12" cm="1">
        <f t="array" aca="1" ref="L6" ca="1">INDIRECT("'"&amp;$I$4&amp;"'!"&amp;"Q20")</f>
        <v>1</v>
      </c>
      <c r="M6" s="13" cm="1">
        <f t="array" aca="1" ref="M6" ca="1">INDIRECT("'"&amp;$I$4&amp;"'!"&amp;"R20")</f>
        <v>0</v>
      </c>
      <c r="N6" s="11" cm="1">
        <f t="array" aca="1" ref="N6" ca="1">INDIRECT("'"&amp;$I$4&amp;"'!"&amp;"S20")</f>
        <v>52</v>
      </c>
      <c r="O6" s="55" cm="1">
        <f t="array" aca="1" ref="O6" ca="1">INDIRECT("'"&amp;$I$4&amp;"'!"&amp;"T20")</f>
        <v>16</v>
      </c>
      <c r="P6" s="11" cm="1">
        <f t="array" aca="1" ref="P6" ca="1">INDIRECT("'"&amp;$I$4&amp;"'!"&amp;"U20")</f>
        <v>36</v>
      </c>
      <c r="Q6" s="72" cm="1">
        <f t="array" aca="1" ref="Q6" ca="1">INDIRECT("'"&amp;$I$4&amp;"'!"&amp;"V20")</f>
        <v>55</v>
      </c>
    </row>
    <row r="7" spans="1:17" x14ac:dyDescent="0.2">
      <c r="A7">
        <v>1</v>
      </c>
      <c r="B7" s="1">
        <v>43687</v>
      </c>
      <c r="C7" t="s">
        <v>25</v>
      </c>
      <c r="D7">
        <v>0</v>
      </c>
      <c r="E7" t="s">
        <v>26</v>
      </c>
      <c r="F7">
        <v>3</v>
      </c>
      <c r="I7" s="10" t="s">
        <v>4</v>
      </c>
      <c r="J7" s="11" cm="1">
        <f t="array" aca="1" ref="J7" ca="1">INDIRECT("'"&amp;$I$4&amp;"'!"&amp;"O21")</f>
        <v>19</v>
      </c>
      <c r="K7" s="5" cm="1">
        <f t="array" aca="1" ref="K7" ca="1">INDIRECT("'"&amp;$I$4&amp;"'!"&amp;"P21")</f>
        <v>14</v>
      </c>
      <c r="L7" s="12" cm="1">
        <f t="array" aca="1" ref="L7" ca="1">INDIRECT("'"&amp;$I$4&amp;"'!"&amp;"Q21")</f>
        <v>2</v>
      </c>
      <c r="M7" s="13" cm="1">
        <f t="array" aca="1" ref="M7" ca="1">INDIRECT("'"&amp;$I$4&amp;"'!"&amp;"R21")</f>
        <v>3</v>
      </c>
      <c r="N7" s="11" cm="1">
        <f t="array" aca="1" ref="N7" ca="1">INDIRECT("'"&amp;$I$4&amp;"'!"&amp;"S21")</f>
        <v>33</v>
      </c>
      <c r="O7" s="11" cm="1">
        <f t="array" aca="1" ref="O7" ca="1">INDIRECT("'"&amp;$I$4&amp;"'!"&amp;"T21")</f>
        <v>17</v>
      </c>
      <c r="P7" s="11" cm="1">
        <f t="array" aca="1" ref="P7" ca="1">INDIRECT("'"&amp;$I$4&amp;"'!"&amp;"U21")</f>
        <v>16</v>
      </c>
      <c r="Q7" s="72" cm="1">
        <f t="array" aca="1" ref="Q7" ca="1">INDIRECT("'"&amp;$I$4&amp;"'!"&amp;"V21")</f>
        <v>44</v>
      </c>
    </row>
    <row r="8" spans="1:17" x14ac:dyDescent="0.2">
      <c r="A8">
        <v>1</v>
      </c>
      <c r="B8" s="1">
        <v>43687</v>
      </c>
      <c r="C8" t="s">
        <v>27</v>
      </c>
      <c r="D8">
        <v>3</v>
      </c>
      <c r="E8" t="s">
        <v>28</v>
      </c>
      <c r="F8">
        <v>1</v>
      </c>
    </row>
    <row r="9" spans="1:17" x14ac:dyDescent="0.2">
      <c r="A9">
        <v>1</v>
      </c>
      <c r="B9" s="1">
        <v>43688</v>
      </c>
      <c r="C9" t="s">
        <v>29</v>
      </c>
      <c r="D9">
        <v>0</v>
      </c>
      <c r="E9" t="s">
        <v>30</v>
      </c>
      <c r="F9">
        <v>0</v>
      </c>
    </row>
    <row r="10" spans="1:17" x14ac:dyDescent="0.2">
      <c r="A10">
        <v>1</v>
      </c>
      <c r="B10" s="1">
        <v>43688</v>
      </c>
      <c r="C10" t="s">
        <v>31</v>
      </c>
      <c r="D10">
        <v>0</v>
      </c>
      <c r="E10" t="s">
        <v>32</v>
      </c>
      <c r="F10">
        <v>1</v>
      </c>
    </row>
    <row r="11" spans="1:17" x14ac:dyDescent="0.2">
      <c r="A11">
        <v>1</v>
      </c>
      <c r="B11" s="1">
        <v>43688</v>
      </c>
      <c r="C11" t="s">
        <v>33</v>
      </c>
      <c r="D11">
        <v>4</v>
      </c>
      <c r="E11" t="s">
        <v>34</v>
      </c>
      <c r="F11">
        <v>0</v>
      </c>
    </row>
    <row r="12" spans="1:17" x14ac:dyDescent="0.2">
      <c r="A12">
        <v>2</v>
      </c>
      <c r="B12" s="1">
        <v>43694</v>
      </c>
      <c r="C12" t="s">
        <v>32</v>
      </c>
      <c r="D12">
        <v>2</v>
      </c>
      <c r="E12" t="s">
        <v>10</v>
      </c>
      <c r="F12">
        <v>1</v>
      </c>
    </row>
    <row r="13" spans="1:17" x14ac:dyDescent="0.2">
      <c r="A13">
        <v>2</v>
      </c>
      <c r="B13" s="1">
        <v>43694</v>
      </c>
      <c r="C13" t="s">
        <v>24</v>
      </c>
      <c r="D13">
        <v>1</v>
      </c>
      <c r="E13" t="s">
        <v>25</v>
      </c>
      <c r="F13">
        <v>0</v>
      </c>
    </row>
    <row r="14" spans="1:17" x14ac:dyDescent="0.2">
      <c r="A14">
        <v>2</v>
      </c>
      <c r="B14" s="1">
        <v>43694</v>
      </c>
      <c r="C14" t="s">
        <v>26</v>
      </c>
      <c r="D14">
        <v>1</v>
      </c>
      <c r="E14" t="s">
        <v>8</v>
      </c>
      <c r="F14">
        <v>1</v>
      </c>
    </row>
    <row r="15" spans="1:17" x14ac:dyDescent="0.2">
      <c r="A15">
        <v>2</v>
      </c>
      <c r="B15" s="1">
        <v>43694</v>
      </c>
      <c r="C15" t="s">
        <v>28</v>
      </c>
      <c r="D15">
        <v>1</v>
      </c>
      <c r="E15" t="s">
        <v>20</v>
      </c>
      <c r="F15">
        <v>2</v>
      </c>
    </row>
    <row r="16" spans="1:17" x14ac:dyDescent="0.2">
      <c r="A16">
        <v>2</v>
      </c>
      <c r="B16" s="1">
        <v>43694</v>
      </c>
      <c r="C16" t="s">
        <v>7</v>
      </c>
      <c r="D16">
        <v>3</v>
      </c>
      <c r="E16" t="s">
        <v>31</v>
      </c>
      <c r="F16">
        <v>1</v>
      </c>
    </row>
    <row r="17" spans="1:9" x14ac:dyDescent="0.2">
      <c r="A17">
        <v>2</v>
      </c>
      <c r="B17" s="1">
        <v>43694</v>
      </c>
      <c r="C17" t="s">
        <v>11</v>
      </c>
      <c r="D17">
        <v>1</v>
      </c>
      <c r="E17" t="s">
        <v>6</v>
      </c>
      <c r="F17">
        <v>2</v>
      </c>
    </row>
    <row r="18" spans="1:9" x14ac:dyDescent="0.2">
      <c r="A18">
        <v>2</v>
      </c>
      <c r="B18" s="1">
        <v>43694</v>
      </c>
      <c r="C18" t="s">
        <v>9</v>
      </c>
      <c r="D18">
        <v>2</v>
      </c>
      <c r="E18" t="s">
        <v>27</v>
      </c>
      <c r="F18">
        <v>2</v>
      </c>
    </row>
    <row r="19" spans="1:9" x14ac:dyDescent="0.2">
      <c r="A19">
        <v>2</v>
      </c>
      <c r="B19" s="1">
        <v>43695</v>
      </c>
      <c r="C19" t="s">
        <v>21</v>
      </c>
      <c r="D19">
        <v>1</v>
      </c>
      <c r="E19" t="s">
        <v>23</v>
      </c>
      <c r="F19">
        <v>0</v>
      </c>
    </row>
    <row r="20" spans="1:9" x14ac:dyDescent="0.2">
      <c r="A20">
        <v>2</v>
      </c>
      <c r="B20" s="1">
        <v>43695</v>
      </c>
      <c r="C20" t="s">
        <v>34</v>
      </c>
      <c r="D20">
        <v>1</v>
      </c>
      <c r="E20" t="s">
        <v>29</v>
      </c>
      <c r="F20">
        <v>1</v>
      </c>
    </row>
    <row r="21" spans="1:9" x14ac:dyDescent="0.2">
      <c r="A21">
        <v>2</v>
      </c>
      <c r="B21" s="1">
        <v>43696</v>
      </c>
      <c r="C21" t="s">
        <v>30</v>
      </c>
      <c r="D21">
        <v>1</v>
      </c>
      <c r="E21" t="s">
        <v>33</v>
      </c>
      <c r="F21">
        <v>1</v>
      </c>
    </row>
    <row r="22" spans="1:9" x14ac:dyDescent="0.2">
      <c r="A22">
        <v>3</v>
      </c>
      <c r="B22" s="1">
        <v>43700</v>
      </c>
      <c r="C22" t="s">
        <v>28</v>
      </c>
      <c r="D22">
        <v>2</v>
      </c>
      <c r="E22" t="s">
        <v>24</v>
      </c>
      <c r="F22">
        <v>0</v>
      </c>
    </row>
    <row r="23" spans="1:9" x14ac:dyDescent="0.2">
      <c r="A23">
        <v>3</v>
      </c>
      <c r="B23" s="1">
        <v>43701</v>
      </c>
      <c r="C23" t="s">
        <v>7</v>
      </c>
      <c r="D23">
        <v>2</v>
      </c>
      <c r="E23" t="s">
        <v>34</v>
      </c>
      <c r="F23">
        <v>3</v>
      </c>
      <c r="I23" s="54"/>
    </row>
    <row r="24" spans="1:9" x14ac:dyDescent="0.2">
      <c r="A24">
        <v>3</v>
      </c>
      <c r="B24" s="1">
        <v>43701</v>
      </c>
      <c r="C24" t="s">
        <v>26</v>
      </c>
      <c r="D24">
        <v>0</v>
      </c>
      <c r="E24" t="s">
        <v>11</v>
      </c>
      <c r="F24">
        <v>2</v>
      </c>
    </row>
    <row r="25" spans="1:9" x14ac:dyDescent="0.2">
      <c r="A25">
        <v>3</v>
      </c>
      <c r="B25" s="1">
        <v>43701</v>
      </c>
      <c r="C25" t="s">
        <v>33</v>
      </c>
      <c r="D25">
        <v>1</v>
      </c>
      <c r="E25" t="s">
        <v>23</v>
      </c>
      <c r="F25">
        <v>2</v>
      </c>
    </row>
    <row r="26" spans="1:9" x14ac:dyDescent="0.2">
      <c r="A26">
        <v>3</v>
      </c>
      <c r="B26" s="1">
        <v>43701</v>
      </c>
      <c r="C26" t="s">
        <v>21</v>
      </c>
      <c r="D26">
        <v>1</v>
      </c>
      <c r="E26" t="s">
        <v>29</v>
      </c>
      <c r="F26">
        <v>2</v>
      </c>
    </row>
    <row r="27" spans="1:9" x14ac:dyDescent="0.2">
      <c r="A27">
        <v>3</v>
      </c>
      <c r="B27" s="1">
        <v>43701</v>
      </c>
      <c r="C27" t="s">
        <v>25</v>
      </c>
      <c r="D27">
        <v>1</v>
      </c>
      <c r="E27" t="s">
        <v>8</v>
      </c>
      <c r="F27">
        <v>3</v>
      </c>
    </row>
    <row r="28" spans="1:9" x14ac:dyDescent="0.2">
      <c r="A28">
        <v>3</v>
      </c>
      <c r="B28" s="1">
        <v>43701</v>
      </c>
      <c r="C28" t="s">
        <v>6</v>
      </c>
      <c r="D28">
        <v>3</v>
      </c>
      <c r="E28" t="s">
        <v>32</v>
      </c>
      <c r="F28">
        <v>1</v>
      </c>
    </row>
    <row r="29" spans="1:9" x14ac:dyDescent="0.2">
      <c r="A29">
        <v>3</v>
      </c>
      <c r="B29" s="1">
        <v>43702</v>
      </c>
      <c r="C29" t="s">
        <v>20</v>
      </c>
      <c r="D29">
        <v>1</v>
      </c>
      <c r="E29" t="s">
        <v>9</v>
      </c>
      <c r="F29">
        <v>3</v>
      </c>
    </row>
    <row r="30" spans="1:9" x14ac:dyDescent="0.2">
      <c r="A30">
        <v>3</v>
      </c>
      <c r="B30" s="1">
        <v>43702</v>
      </c>
      <c r="C30" t="s">
        <v>27</v>
      </c>
      <c r="D30">
        <v>0</v>
      </c>
      <c r="E30" t="s">
        <v>31</v>
      </c>
      <c r="F30">
        <v>1</v>
      </c>
    </row>
    <row r="31" spans="1:9" x14ac:dyDescent="0.2">
      <c r="A31">
        <v>3</v>
      </c>
      <c r="B31" s="1">
        <v>43702</v>
      </c>
      <c r="C31" t="s">
        <v>30</v>
      </c>
      <c r="D31">
        <v>1</v>
      </c>
      <c r="E31" t="s">
        <v>10</v>
      </c>
      <c r="F31">
        <v>1</v>
      </c>
    </row>
    <row r="32" spans="1:9" x14ac:dyDescent="0.2">
      <c r="A32">
        <v>4</v>
      </c>
      <c r="B32" s="1">
        <v>43708</v>
      </c>
      <c r="C32" t="s">
        <v>11</v>
      </c>
      <c r="D32">
        <v>1</v>
      </c>
      <c r="E32" t="s">
        <v>33</v>
      </c>
      <c r="F32">
        <v>1</v>
      </c>
    </row>
    <row r="33" spans="1:6" x14ac:dyDescent="0.2">
      <c r="A33">
        <v>4</v>
      </c>
      <c r="B33" s="1">
        <v>43708</v>
      </c>
      <c r="C33" t="s">
        <v>34</v>
      </c>
      <c r="D33">
        <v>2</v>
      </c>
      <c r="E33" t="s">
        <v>21</v>
      </c>
      <c r="F33">
        <v>2</v>
      </c>
    </row>
    <row r="34" spans="1:6" x14ac:dyDescent="0.2">
      <c r="A34">
        <v>4</v>
      </c>
      <c r="B34" s="1">
        <v>43708</v>
      </c>
      <c r="C34" t="s">
        <v>23</v>
      </c>
      <c r="D34">
        <v>1</v>
      </c>
      <c r="E34" t="s">
        <v>28</v>
      </c>
      <c r="F34">
        <v>0</v>
      </c>
    </row>
    <row r="35" spans="1:6" x14ac:dyDescent="0.2">
      <c r="A35">
        <v>4</v>
      </c>
      <c r="B35" s="1">
        <v>43708</v>
      </c>
      <c r="C35" t="s">
        <v>29</v>
      </c>
      <c r="D35">
        <v>3</v>
      </c>
      <c r="E35" t="s">
        <v>20</v>
      </c>
      <c r="F35">
        <v>1</v>
      </c>
    </row>
    <row r="36" spans="1:6" x14ac:dyDescent="0.2">
      <c r="A36">
        <v>4</v>
      </c>
      <c r="B36" s="1">
        <v>43708</v>
      </c>
      <c r="C36" t="s">
        <v>9</v>
      </c>
      <c r="D36">
        <v>4</v>
      </c>
      <c r="E36" t="s">
        <v>26</v>
      </c>
      <c r="F36">
        <v>0</v>
      </c>
    </row>
    <row r="37" spans="1:6" x14ac:dyDescent="0.2">
      <c r="A37">
        <v>4</v>
      </c>
      <c r="B37" s="1">
        <v>43708</v>
      </c>
      <c r="C37" t="s">
        <v>31</v>
      </c>
      <c r="D37">
        <v>1</v>
      </c>
      <c r="E37" t="s">
        <v>25</v>
      </c>
      <c r="F37">
        <v>1</v>
      </c>
    </row>
    <row r="38" spans="1:6" x14ac:dyDescent="0.2">
      <c r="A38">
        <v>4</v>
      </c>
      <c r="B38" s="1">
        <v>43708</v>
      </c>
      <c r="C38" t="s">
        <v>8</v>
      </c>
      <c r="D38">
        <v>2</v>
      </c>
      <c r="E38" t="s">
        <v>7</v>
      </c>
      <c r="F38">
        <v>0</v>
      </c>
    </row>
    <row r="39" spans="1:6" x14ac:dyDescent="0.2">
      <c r="A39">
        <v>4</v>
      </c>
      <c r="B39" s="1">
        <v>43708</v>
      </c>
      <c r="C39" t="s">
        <v>10</v>
      </c>
      <c r="D39">
        <v>0</v>
      </c>
      <c r="E39" t="s">
        <v>6</v>
      </c>
      <c r="F39">
        <v>3</v>
      </c>
    </row>
    <row r="40" spans="1:6" x14ac:dyDescent="0.2">
      <c r="A40">
        <v>4</v>
      </c>
      <c r="B40" s="1">
        <v>43709</v>
      </c>
      <c r="C40" t="s">
        <v>24</v>
      </c>
      <c r="D40">
        <v>3</v>
      </c>
      <c r="E40" t="s">
        <v>30</v>
      </c>
      <c r="F40">
        <v>2</v>
      </c>
    </row>
    <row r="41" spans="1:6" x14ac:dyDescent="0.2">
      <c r="A41">
        <v>4</v>
      </c>
      <c r="B41" s="1">
        <v>43709</v>
      </c>
      <c r="C41" t="s">
        <v>32</v>
      </c>
      <c r="D41">
        <v>2</v>
      </c>
      <c r="E41" t="s">
        <v>27</v>
      </c>
      <c r="F41">
        <v>2</v>
      </c>
    </row>
    <row r="42" spans="1:6" x14ac:dyDescent="0.2">
      <c r="A42">
        <v>5</v>
      </c>
      <c r="B42" s="1">
        <v>43722</v>
      </c>
      <c r="C42" t="s">
        <v>6</v>
      </c>
      <c r="D42">
        <v>3</v>
      </c>
      <c r="E42" t="s">
        <v>31</v>
      </c>
      <c r="F42">
        <v>1</v>
      </c>
    </row>
    <row r="43" spans="1:6" x14ac:dyDescent="0.2">
      <c r="A43">
        <v>5</v>
      </c>
      <c r="B43" s="1">
        <v>43722</v>
      </c>
      <c r="C43" t="s">
        <v>21</v>
      </c>
      <c r="D43">
        <v>0</v>
      </c>
      <c r="E43" t="s">
        <v>11</v>
      </c>
      <c r="F43">
        <v>1</v>
      </c>
    </row>
    <row r="44" spans="1:6" x14ac:dyDescent="0.2">
      <c r="A44">
        <v>5</v>
      </c>
      <c r="B44" s="1">
        <v>43722</v>
      </c>
      <c r="C44" t="s">
        <v>33</v>
      </c>
      <c r="D44">
        <v>1</v>
      </c>
      <c r="E44" t="s">
        <v>29</v>
      </c>
      <c r="F44">
        <v>0</v>
      </c>
    </row>
    <row r="45" spans="1:6" x14ac:dyDescent="0.2">
      <c r="A45">
        <v>5</v>
      </c>
      <c r="B45" s="1">
        <v>43722</v>
      </c>
      <c r="C45" t="s">
        <v>26</v>
      </c>
      <c r="D45">
        <v>1</v>
      </c>
      <c r="E45" t="s">
        <v>10</v>
      </c>
      <c r="F45">
        <v>1</v>
      </c>
    </row>
    <row r="46" spans="1:6" x14ac:dyDescent="0.2">
      <c r="A46">
        <v>5</v>
      </c>
      <c r="B46" s="1">
        <v>43722</v>
      </c>
      <c r="C46" t="s">
        <v>27</v>
      </c>
      <c r="D46">
        <v>4</v>
      </c>
      <c r="E46" t="s">
        <v>23</v>
      </c>
      <c r="F46">
        <v>0</v>
      </c>
    </row>
    <row r="47" spans="1:6" x14ac:dyDescent="0.2">
      <c r="A47">
        <v>5</v>
      </c>
      <c r="B47" s="1">
        <v>43722</v>
      </c>
      <c r="C47" t="s">
        <v>30</v>
      </c>
      <c r="D47">
        <v>2</v>
      </c>
      <c r="E47" t="s">
        <v>34</v>
      </c>
      <c r="F47">
        <v>5</v>
      </c>
    </row>
    <row r="48" spans="1:6" x14ac:dyDescent="0.2">
      <c r="A48">
        <v>5</v>
      </c>
      <c r="B48" s="1">
        <v>43722</v>
      </c>
      <c r="C48" t="s">
        <v>7</v>
      </c>
      <c r="D48">
        <v>3</v>
      </c>
      <c r="E48" t="s">
        <v>9</v>
      </c>
      <c r="F48">
        <v>2</v>
      </c>
    </row>
    <row r="49" spans="1:6" x14ac:dyDescent="0.2">
      <c r="A49">
        <v>5</v>
      </c>
      <c r="B49" s="1">
        <v>43723</v>
      </c>
      <c r="C49" t="s">
        <v>20</v>
      </c>
      <c r="D49">
        <v>3</v>
      </c>
      <c r="E49" t="s">
        <v>24</v>
      </c>
      <c r="F49">
        <v>1</v>
      </c>
    </row>
    <row r="50" spans="1:6" x14ac:dyDescent="0.2">
      <c r="A50">
        <v>5</v>
      </c>
      <c r="B50" s="1">
        <v>43723</v>
      </c>
      <c r="C50" t="s">
        <v>25</v>
      </c>
      <c r="D50">
        <v>2</v>
      </c>
      <c r="E50" t="s">
        <v>32</v>
      </c>
      <c r="F50">
        <v>2</v>
      </c>
    </row>
    <row r="51" spans="1:6" x14ac:dyDescent="0.2">
      <c r="A51">
        <v>5</v>
      </c>
      <c r="B51" s="1">
        <v>43724</v>
      </c>
      <c r="C51" t="s">
        <v>28</v>
      </c>
      <c r="D51">
        <v>0</v>
      </c>
      <c r="E51" t="s">
        <v>8</v>
      </c>
      <c r="F51">
        <v>0</v>
      </c>
    </row>
    <row r="52" spans="1:6" x14ac:dyDescent="0.2">
      <c r="A52">
        <v>6</v>
      </c>
      <c r="B52" s="1">
        <v>43728</v>
      </c>
      <c r="C52" t="s">
        <v>11</v>
      </c>
      <c r="D52">
        <v>1</v>
      </c>
      <c r="E52" t="s">
        <v>20</v>
      </c>
      <c r="F52">
        <v>3</v>
      </c>
    </row>
    <row r="53" spans="1:6" x14ac:dyDescent="0.2">
      <c r="A53">
        <v>6</v>
      </c>
      <c r="B53" s="1">
        <v>43729</v>
      </c>
      <c r="C53" t="s">
        <v>29</v>
      </c>
      <c r="D53">
        <v>2</v>
      </c>
      <c r="E53" t="s">
        <v>27</v>
      </c>
      <c r="F53">
        <v>1</v>
      </c>
    </row>
    <row r="54" spans="1:6" x14ac:dyDescent="0.2">
      <c r="A54">
        <v>6</v>
      </c>
      <c r="B54" s="1">
        <v>43729</v>
      </c>
      <c r="C54" t="s">
        <v>10</v>
      </c>
      <c r="D54">
        <v>2</v>
      </c>
      <c r="E54" t="s">
        <v>7</v>
      </c>
      <c r="F54">
        <v>0</v>
      </c>
    </row>
    <row r="55" spans="1:6" x14ac:dyDescent="0.2">
      <c r="A55">
        <v>6</v>
      </c>
      <c r="B55" s="1">
        <v>43729</v>
      </c>
      <c r="C55" t="s">
        <v>24</v>
      </c>
      <c r="D55">
        <v>0</v>
      </c>
      <c r="E55" t="s">
        <v>21</v>
      </c>
      <c r="F55">
        <v>2</v>
      </c>
    </row>
    <row r="56" spans="1:6" x14ac:dyDescent="0.2">
      <c r="A56">
        <v>6</v>
      </c>
      <c r="B56" s="1">
        <v>43729</v>
      </c>
      <c r="C56" t="s">
        <v>9</v>
      </c>
      <c r="D56">
        <v>8</v>
      </c>
      <c r="E56" t="s">
        <v>25</v>
      </c>
      <c r="F56">
        <v>0</v>
      </c>
    </row>
    <row r="57" spans="1:6" x14ac:dyDescent="0.2">
      <c r="A57">
        <v>6</v>
      </c>
      <c r="B57" s="1">
        <v>43729</v>
      </c>
      <c r="C57" t="s">
        <v>31</v>
      </c>
      <c r="D57">
        <v>0</v>
      </c>
      <c r="E57" t="s">
        <v>26</v>
      </c>
      <c r="F57">
        <v>0</v>
      </c>
    </row>
    <row r="58" spans="1:6" x14ac:dyDescent="0.2">
      <c r="A58">
        <v>6</v>
      </c>
      <c r="B58" s="1">
        <v>43730</v>
      </c>
      <c r="C58" t="s">
        <v>23</v>
      </c>
      <c r="D58">
        <v>1</v>
      </c>
      <c r="E58" t="s">
        <v>30</v>
      </c>
      <c r="F58">
        <v>1</v>
      </c>
    </row>
    <row r="59" spans="1:6" x14ac:dyDescent="0.2">
      <c r="A59">
        <v>6</v>
      </c>
      <c r="B59" s="1">
        <v>43730</v>
      </c>
      <c r="C59" t="s">
        <v>8</v>
      </c>
      <c r="D59">
        <v>2</v>
      </c>
      <c r="E59" t="s">
        <v>33</v>
      </c>
      <c r="F59">
        <v>0</v>
      </c>
    </row>
    <row r="60" spans="1:6" x14ac:dyDescent="0.2">
      <c r="A60">
        <v>6</v>
      </c>
      <c r="B60" s="1">
        <v>43730</v>
      </c>
      <c r="C60" t="s">
        <v>32</v>
      </c>
      <c r="D60">
        <v>3</v>
      </c>
      <c r="E60" t="s">
        <v>28</v>
      </c>
      <c r="F60">
        <v>2</v>
      </c>
    </row>
    <row r="61" spans="1:6" x14ac:dyDescent="0.2">
      <c r="A61">
        <v>6</v>
      </c>
      <c r="B61" s="1">
        <v>43730</v>
      </c>
      <c r="C61" t="s">
        <v>34</v>
      </c>
      <c r="D61">
        <v>1</v>
      </c>
      <c r="E61" t="s">
        <v>6</v>
      </c>
      <c r="F61">
        <v>2</v>
      </c>
    </row>
    <row r="62" spans="1:6" x14ac:dyDescent="0.2">
      <c r="A62">
        <v>7</v>
      </c>
      <c r="B62" s="1">
        <v>43736</v>
      </c>
      <c r="C62" t="s">
        <v>21</v>
      </c>
      <c r="D62">
        <v>0</v>
      </c>
      <c r="E62" t="s">
        <v>6</v>
      </c>
      <c r="F62">
        <v>1</v>
      </c>
    </row>
    <row r="63" spans="1:6" x14ac:dyDescent="0.2">
      <c r="A63">
        <v>7</v>
      </c>
      <c r="B63" s="1">
        <v>43736</v>
      </c>
      <c r="C63" t="s">
        <v>34</v>
      </c>
      <c r="D63">
        <v>2</v>
      </c>
      <c r="E63" t="s">
        <v>26</v>
      </c>
      <c r="F63">
        <v>0</v>
      </c>
    </row>
    <row r="64" spans="1:6" x14ac:dyDescent="0.2">
      <c r="A64">
        <v>7</v>
      </c>
      <c r="B64" s="1">
        <v>43736</v>
      </c>
      <c r="C64" t="s">
        <v>28</v>
      </c>
      <c r="D64">
        <v>2</v>
      </c>
      <c r="E64" t="s">
        <v>10</v>
      </c>
      <c r="F64">
        <v>2</v>
      </c>
    </row>
    <row r="65" spans="1:6" x14ac:dyDescent="0.2">
      <c r="A65">
        <v>7</v>
      </c>
      <c r="B65" s="1">
        <v>43736</v>
      </c>
      <c r="C65" t="s">
        <v>20</v>
      </c>
      <c r="D65">
        <v>2</v>
      </c>
      <c r="E65" t="s">
        <v>8</v>
      </c>
      <c r="F65">
        <v>2</v>
      </c>
    </row>
    <row r="66" spans="1:6" x14ac:dyDescent="0.2">
      <c r="A66">
        <v>7</v>
      </c>
      <c r="B66" s="1">
        <v>43736</v>
      </c>
      <c r="C66" t="s">
        <v>23</v>
      </c>
      <c r="D66">
        <v>2</v>
      </c>
      <c r="E66" t="s">
        <v>7</v>
      </c>
      <c r="F66">
        <v>0</v>
      </c>
    </row>
    <row r="67" spans="1:6" x14ac:dyDescent="0.2">
      <c r="A67">
        <v>7</v>
      </c>
      <c r="B67" s="1">
        <v>43736</v>
      </c>
      <c r="C67" t="s">
        <v>27</v>
      </c>
      <c r="D67">
        <v>2</v>
      </c>
      <c r="E67" t="s">
        <v>11</v>
      </c>
      <c r="F67">
        <v>1</v>
      </c>
    </row>
    <row r="68" spans="1:6" x14ac:dyDescent="0.2">
      <c r="A68">
        <v>7</v>
      </c>
      <c r="B68" s="1">
        <v>43736</v>
      </c>
      <c r="C68" t="s">
        <v>30</v>
      </c>
      <c r="D68">
        <v>2</v>
      </c>
      <c r="E68" t="s">
        <v>25</v>
      </c>
      <c r="F68">
        <v>0</v>
      </c>
    </row>
    <row r="69" spans="1:6" x14ac:dyDescent="0.2">
      <c r="A69">
        <v>7</v>
      </c>
      <c r="B69" s="1">
        <v>43736</v>
      </c>
      <c r="C69" t="s">
        <v>24</v>
      </c>
      <c r="D69">
        <v>1</v>
      </c>
      <c r="E69" t="s">
        <v>9</v>
      </c>
      <c r="F69">
        <v>3</v>
      </c>
    </row>
    <row r="70" spans="1:6" x14ac:dyDescent="0.2">
      <c r="A70">
        <v>7</v>
      </c>
      <c r="B70" s="1">
        <v>43737</v>
      </c>
      <c r="C70" t="s">
        <v>29</v>
      </c>
      <c r="D70">
        <v>5</v>
      </c>
      <c r="E70" t="s">
        <v>31</v>
      </c>
      <c r="F70">
        <v>0</v>
      </c>
    </row>
    <row r="71" spans="1:6" x14ac:dyDescent="0.2">
      <c r="A71">
        <v>7</v>
      </c>
      <c r="B71" s="1">
        <v>43738</v>
      </c>
      <c r="C71" t="s">
        <v>33</v>
      </c>
      <c r="D71">
        <v>1</v>
      </c>
      <c r="E71" t="s">
        <v>32</v>
      </c>
      <c r="F71">
        <v>1</v>
      </c>
    </row>
    <row r="72" spans="1:6" x14ac:dyDescent="0.2">
      <c r="A72">
        <v>8</v>
      </c>
      <c r="B72" s="1">
        <v>43743</v>
      </c>
      <c r="C72" t="s">
        <v>26</v>
      </c>
      <c r="D72">
        <v>3</v>
      </c>
      <c r="E72" t="s">
        <v>27</v>
      </c>
      <c r="F72">
        <v>0</v>
      </c>
    </row>
    <row r="73" spans="1:6" x14ac:dyDescent="0.2">
      <c r="A73">
        <v>8</v>
      </c>
      <c r="B73" s="1">
        <v>43743</v>
      </c>
      <c r="C73" t="s">
        <v>10</v>
      </c>
      <c r="D73">
        <v>1</v>
      </c>
      <c r="E73" t="s">
        <v>24</v>
      </c>
      <c r="F73">
        <v>0</v>
      </c>
    </row>
    <row r="74" spans="1:6" x14ac:dyDescent="0.2">
      <c r="A74">
        <v>8</v>
      </c>
      <c r="B74" s="1">
        <v>43743</v>
      </c>
      <c r="C74" t="s">
        <v>6</v>
      </c>
      <c r="D74">
        <v>2</v>
      </c>
      <c r="E74" t="s">
        <v>29</v>
      </c>
      <c r="F74">
        <v>1</v>
      </c>
    </row>
    <row r="75" spans="1:6" x14ac:dyDescent="0.2">
      <c r="A75">
        <v>8</v>
      </c>
      <c r="B75" s="1">
        <v>43743</v>
      </c>
      <c r="C75" t="s">
        <v>7</v>
      </c>
      <c r="D75">
        <v>1</v>
      </c>
      <c r="E75" t="s">
        <v>28</v>
      </c>
      <c r="F75">
        <v>5</v>
      </c>
    </row>
    <row r="76" spans="1:6" x14ac:dyDescent="0.2">
      <c r="A76">
        <v>8</v>
      </c>
      <c r="B76" s="1">
        <v>43743</v>
      </c>
      <c r="C76" t="s">
        <v>25</v>
      </c>
      <c r="D76">
        <v>0</v>
      </c>
      <c r="E76" t="s">
        <v>21</v>
      </c>
      <c r="F76">
        <v>0</v>
      </c>
    </row>
    <row r="77" spans="1:6" x14ac:dyDescent="0.2">
      <c r="A77">
        <v>8</v>
      </c>
      <c r="B77" s="1">
        <v>43743</v>
      </c>
      <c r="C77" t="s">
        <v>8</v>
      </c>
      <c r="D77">
        <v>1</v>
      </c>
      <c r="E77" t="s">
        <v>23</v>
      </c>
      <c r="F77">
        <v>2</v>
      </c>
    </row>
    <row r="78" spans="1:6" x14ac:dyDescent="0.2">
      <c r="A78">
        <v>8</v>
      </c>
      <c r="B78" s="1">
        <v>43744</v>
      </c>
      <c r="C78" t="s">
        <v>32</v>
      </c>
      <c r="D78">
        <v>1</v>
      </c>
      <c r="E78" t="s">
        <v>20</v>
      </c>
      <c r="F78">
        <v>0</v>
      </c>
    </row>
    <row r="79" spans="1:6" x14ac:dyDescent="0.2">
      <c r="A79">
        <v>8</v>
      </c>
      <c r="B79" s="1">
        <v>43744</v>
      </c>
      <c r="C79" t="s">
        <v>9</v>
      </c>
      <c r="D79">
        <v>0</v>
      </c>
      <c r="E79" t="s">
        <v>30</v>
      </c>
      <c r="F79">
        <v>2</v>
      </c>
    </row>
    <row r="80" spans="1:6" x14ac:dyDescent="0.2">
      <c r="A80">
        <v>8</v>
      </c>
      <c r="B80" s="1">
        <v>43744</v>
      </c>
      <c r="C80" t="s">
        <v>11</v>
      </c>
      <c r="D80">
        <v>1</v>
      </c>
      <c r="E80" t="s">
        <v>34</v>
      </c>
      <c r="F80">
        <v>4</v>
      </c>
    </row>
    <row r="81" spans="1:6" x14ac:dyDescent="0.2">
      <c r="A81">
        <v>8</v>
      </c>
      <c r="B81" s="1">
        <v>43744</v>
      </c>
      <c r="C81" t="s">
        <v>31</v>
      </c>
      <c r="D81">
        <v>1</v>
      </c>
      <c r="E81" t="s">
        <v>33</v>
      </c>
      <c r="F81">
        <v>0</v>
      </c>
    </row>
    <row r="82" spans="1:6" x14ac:dyDescent="0.2">
      <c r="A82">
        <v>9</v>
      </c>
      <c r="B82" s="1">
        <v>43757</v>
      </c>
      <c r="C82" t="s">
        <v>24</v>
      </c>
      <c r="D82">
        <v>2</v>
      </c>
      <c r="E82" t="s">
        <v>8</v>
      </c>
      <c r="F82">
        <v>0</v>
      </c>
    </row>
    <row r="83" spans="1:6" x14ac:dyDescent="0.2">
      <c r="A83">
        <v>9</v>
      </c>
      <c r="B83" s="1">
        <v>43757</v>
      </c>
      <c r="C83" t="s">
        <v>20</v>
      </c>
      <c r="D83">
        <v>0</v>
      </c>
      <c r="E83" t="s">
        <v>7</v>
      </c>
      <c r="F83">
        <v>0</v>
      </c>
    </row>
    <row r="84" spans="1:6" x14ac:dyDescent="0.2">
      <c r="A84">
        <v>9</v>
      </c>
      <c r="B84" s="1">
        <v>43757</v>
      </c>
      <c r="C84" t="s">
        <v>28</v>
      </c>
      <c r="D84">
        <v>2</v>
      </c>
      <c r="E84" t="s">
        <v>26</v>
      </c>
      <c r="F84">
        <v>1</v>
      </c>
    </row>
    <row r="85" spans="1:6" x14ac:dyDescent="0.2">
      <c r="A85">
        <v>9</v>
      </c>
      <c r="B85" s="1">
        <v>43757</v>
      </c>
      <c r="C85" t="s">
        <v>34</v>
      </c>
      <c r="D85">
        <v>1</v>
      </c>
      <c r="E85" t="s">
        <v>31</v>
      </c>
      <c r="F85">
        <v>0</v>
      </c>
    </row>
    <row r="86" spans="1:6" x14ac:dyDescent="0.2">
      <c r="A86">
        <v>9</v>
      </c>
      <c r="B86" s="1">
        <v>43757</v>
      </c>
      <c r="C86" t="s">
        <v>29</v>
      </c>
      <c r="D86">
        <v>2</v>
      </c>
      <c r="E86" t="s">
        <v>10</v>
      </c>
      <c r="F86">
        <v>1</v>
      </c>
    </row>
    <row r="87" spans="1:6" x14ac:dyDescent="0.2">
      <c r="A87">
        <v>9</v>
      </c>
      <c r="B87" s="1">
        <v>43757</v>
      </c>
      <c r="C87" t="s">
        <v>27</v>
      </c>
      <c r="D87">
        <v>1</v>
      </c>
      <c r="E87" t="s">
        <v>25</v>
      </c>
      <c r="F87">
        <v>1</v>
      </c>
    </row>
    <row r="88" spans="1:6" x14ac:dyDescent="0.2">
      <c r="A88">
        <v>9</v>
      </c>
      <c r="B88" s="1">
        <v>43757</v>
      </c>
      <c r="C88" t="s">
        <v>30</v>
      </c>
      <c r="D88">
        <v>1</v>
      </c>
      <c r="E88" t="s">
        <v>11</v>
      </c>
      <c r="F88">
        <v>1</v>
      </c>
    </row>
    <row r="89" spans="1:6" x14ac:dyDescent="0.2">
      <c r="A89">
        <v>9</v>
      </c>
      <c r="B89" s="1">
        <v>43757</v>
      </c>
      <c r="C89" t="s">
        <v>23</v>
      </c>
      <c r="D89">
        <v>0</v>
      </c>
      <c r="E89" t="s">
        <v>9</v>
      </c>
      <c r="F89">
        <v>2</v>
      </c>
    </row>
    <row r="90" spans="1:6" x14ac:dyDescent="0.2">
      <c r="A90">
        <v>9</v>
      </c>
      <c r="B90" s="1">
        <v>43758</v>
      </c>
      <c r="C90" t="s">
        <v>33</v>
      </c>
      <c r="D90">
        <v>1</v>
      </c>
      <c r="E90" t="s">
        <v>6</v>
      </c>
      <c r="F90">
        <v>1</v>
      </c>
    </row>
    <row r="91" spans="1:6" x14ac:dyDescent="0.2">
      <c r="A91">
        <v>9</v>
      </c>
      <c r="B91" s="1">
        <v>43759</v>
      </c>
      <c r="C91" t="s">
        <v>21</v>
      </c>
      <c r="D91">
        <v>1</v>
      </c>
      <c r="E91" t="s">
        <v>32</v>
      </c>
      <c r="F91">
        <v>0</v>
      </c>
    </row>
    <row r="92" spans="1:6" x14ac:dyDescent="0.2">
      <c r="A92">
        <v>10</v>
      </c>
      <c r="B92" s="1">
        <v>43763</v>
      </c>
      <c r="C92" t="s">
        <v>11</v>
      </c>
      <c r="D92">
        <v>0</v>
      </c>
      <c r="E92" t="s">
        <v>29</v>
      </c>
      <c r="F92">
        <v>9</v>
      </c>
    </row>
    <row r="93" spans="1:6" x14ac:dyDescent="0.2">
      <c r="A93">
        <v>10</v>
      </c>
      <c r="B93" s="1">
        <v>43764</v>
      </c>
      <c r="C93" t="s">
        <v>9</v>
      </c>
      <c r="D93">
        <v>3</v>
      </c>
      <c r="E93" t="s">
        <v>28</v>
      </c>
      <c r="F93">
        <v>0</v>
      </c>
    </row>
    <row r="94" spans="1:6" x14ac:dyDescent="0.2">
      <c r="A94">
        <v>10</v>
      </c>
      <c r="B94" s="1">
        <v>43764</v>
      </c>
      <c r="C94" t="s">
        <v>26</v>
      </c>
      <c r="D94">
        <v>3</v>
      </c>
      <c r="E94" t="s">
        <v>24</v>
      </c>
      <c r="F94">
        <v>2</v>
      </c>
    </row>
    <row r="95" spans="1:6" x14ac:dyDescent="0.2">
      <c r="A95">
        <v>10</v>
      </c>
      <c r="B95" s="1">
        <v>43764</v>
      </c>
      <c r="C95" t="s">
        <v>25</v>
      </c>
      <c r="D95">
        <v>0</v>
      </c>
      <c r="E95" t="s">
        <v>20</v>
      </c>
      <c r="F95">
        <v>0</v>
      </c>
    </row>
    <row r="96" spans="1:6" x14ac:dyDescent="0.2">
      <c r="A96">
        <v>10</v>
      </c>
      <c r="B96" s="1">
        <v>43764</v>
      </c>
      <c r="C96" t="s">
        <v>8</v>
      </c>
      <c r="D96">
        <v>1</v>
      </c>
      <c r="E96" t="s">
        <v>21</v>
      </c>
      <c r="F96">
        <v>1</v>
      </c>
    </row>
    <row r="97" spans="1:6" x14ac:dyDescent="0.2">
      <c r="A97">
        <v>10</v>
      </c>
      <c r="B97" s="1">
        <v>43764</v>
      </c>
      <c r="C97" t="s">
        <v>10</v>
      </c>
      <c r="D97">
        <v>2</v>
      </c>
      <c r="E97" t="s">
        <v>34</v>
      </c>
      <c r="F97">
        <v>4</v>
      </c>
    </row>
    <row r="98" spans="1:6" x14ac:dyDescent="0.2">
      <c r="A98">
        <v>10</v>
      </c>
      <c r="B98" s="1">
        <v>43765</v>
      </c>
      <c r="C98" t="s">
        <v>31</v>
      </c>
      <c r="D98">
        <v>1</v>
      </c>
      <c r="E98" t="s">
        <v>30</v>
      </c>
      <c r="F98">
        <v>1</v>
      </c>
    </row>
    <row r="99" spans="1:6" x14ac:dyDescent="0.2">
      <c r="A99">
        <v>10</v>
      </c>
      <c r="B99" s="1">
        <v>43765</v>
      </c>
      <c r="C99" t="s">
        <v>32</v>
      </c>
      <c r="D99">
        <v>2</v>
      </c>
      <c r="E99" t="s">
        <v>23</v>
      </c>
      <c r="F99">
        <v>2</v>
      </c>
    </row>
    <row r="100" spans="1:6" x14ac:dyDescent="0.2">
      <c r="A100">
        <v>10</v>
      </c>
      <c r="B100" s="1">
        <v>43765</v>
      </c>
      <c r="C100" t="s">
        <v>6</v>
      </c>
      <c r="D100">
        <v>2</v>
      </c>
      <c r="E100" t="s">
        <v>27</v>
      </c>
      <c r="F100">
        <v>1</v>
      </c>
    </row>
    <row r="101" spans="1:6" x14ac:dyDescent="0.2">
      <c r="A101">
        <v>10</v>
      </c>
      <c r="B101" s="1">
        <v>43765</v>
      </c>
      <c r="C101" t="s">
        <v>7</v>
      </c>
      <c r="D101">
        <v>1</v>
      </c>
      <c r="E101" t="s">
        <v>33</v>
      </c>
      <c r="F101">
        <v>3</v>
      </c>
    </row>
    <row r="102" spans="1:6" x14ac:dyDescent="0.2">
      <c r="A102">
        <v>11</v>
      </c>
      <c r="B102" s="1">
        <v>43771</v>
      </c>
      <c r="C102" t="s">
        <v>20</v>
      </c>
      <c r="D102">
        <v>1</v>
      </c>
      <c r="E102" t="s">
        <v>33</v>
      </c>
      <c r="F102">
        <v>0</v>
      </c>
    </row>
    <row r="103" spans="1:6" x14ac:dyDescent="0.2">
      <c r="A103">
        <v>11</v>
      </c>
      <c r="B103" s="1">
        <v>43771</v>
      </c>
      <c r="C103" t="s">
        <v>32</v>
      </c>
      <c r="D103">
        <v>1</v>
      </c>
      <c r="E103" t="s">
        <v>30</v>
      </c>
      <c r="F103">
        <v>1</v>
      </c>
    </row>
    <row r="104" spans="1:6" x14ac:dyDescent="0.2">
      <c r="A104">
        <v>11</v>
      </c>
      <c r="B104" s="1">
        <v>43771</v>
      </c>
      <c r="C104" t="s">
        <v>28</v>
      </c>
      <c r="D104">
        <v>1</v>
      </c>
      <c r="E104" t="s">
        <v>6</v>
      </c>
      <c r="F104">
        <v>2</v>
      </c>
    </row>
    <row r="105" spans="1:6" x14ac:dyDescent="0.2">
      <c r="A105">
        <v>11</v>
      </c>
      <c r="B105" s="1">
        <v>43771</v>
      </c>
      <c r="C105" t="s">
        <v>26</v>
      </c>
      <c r="D105">
        <v>2</v>
      </c>
      <c r="E105" t="s">
        <v>7</v>
      </c>
      <c r="F105">
        <v>0</v>
      </c>
    </row>
    <row r="106" spans="1:6" x14ac:dyDescent="0.2">
      <c r="A106">
        <v>11</v>
      </c>
      <c r="B106" s="1">
        <v>43771</v>
      </c>
      <c r="C106" t="s">
        <v>9</v>
      </c>
      <c r="D106">
        <v>2</v>
      </c>
      <c r="E106" t="s">
        <v>11</v>
      </c>
      <c r="F106">
        <v>1</v>
      </c>
    </row>
    <row r="107" spans="1:6" x14ac:dyDescent="0.2">
      <c r="A107">
        <v>11</v>
      </c>
      <c r="B107" s="1">
        <v>43771</v>
      </c>
      <c r="C107" t="s">
        <v>8</v>
      </c>
      <c r="D107">
        <v>2</v>
      </c>
      <c r="E107" t="s">
        <v>31</v>
      </c>
      <c r="F107">
        <v>3</v>
      </c>
    </row>
    <row r="108" spans="1:6" x14ac:dyDescent="0.2">
      <c r="A108">
        <v>11</v>
      </c>
      <c r="B108" s="1">
        <v>43771</v>
      </c>
      <c r="C108" t="s">
        <v>21</v>
      </c>
      <c r="D108">
        <v>3</v>
      </c>
      <c r="E108" t="s">
        <v>10</v>
      </c>
      <c r="F108">
        <v>0</v>
      </c>
    </row>
    <row r="109" spans="1:6" x14ac:dyDescent="0.2">
      <c r="A109">
        <v>11</v>
      </c>
      <c r="B109" s="1">
        <v>43771</v>
      </c>
      <c r="C109" t="s">
        <v>25</v>
      </c>
      <c r="D109">
        <v>1</v>
      </c>
      <c r="E109" t="s">
        <v>34</v>
      </c>
      <c r="F109">
        <v>2</v>
      </c>
    </row>
    <row r="110" spans="1:6" x14ac:dyDescent="0.2">
      <c r="A110">
        <v>11</v>
      </c>
      <c r="B110" s="1">
        <v>43772</v>
      </c>
      <c r="C110" t="s">
        <v>23</v>
      </c>
      <c r="D110">
        <v>0</v>
      </c>
      <c r="E110" t="s">
        <v>29</v>
      </c>
      <c r="F110">
        <v>2</v>
      </c>
    </row>
    <row r="111" spans="1:6" x14ac:dyDescent="0.2">
      <c r="A111">
        <v>11</v>
      </c>
      <c r="B111" s="1">
        <v>43772</v>
      </c>
      <c r="C111" t="s">
        <v>24</v>
      </c>
      <c r="D111">
        <v>1</v>
      </c>
      <c r="E111" t="s">
        <v>27</v>
      </c>
      <c r="F111">
        <v>1</v>
      </c>
    </row>
    <row r="112" spans="1:6" x14ac:dyDescent="0.2">
      <c r="A112">
        <v>12</v>
      </c>
      <c r="B112" s="1">
        <v>43777</v>
      </c>
      <c r="C112" t="s">
        <v>7</v>
      </c>
      <c r="D112">
        <v>0</v>
      </c>
      <c r="E112" t="s">
        <v>25</v>
      </c>
      <c r="F112">
        <v>2</v>
      </c>
    </row>
    <row r="113" spans="1:6" x14ac:dyDescent="0.2">
      <c r="A113">
        <v>12</v>
      </c>
      <c r="B113" s="1">
        <v>43778</v>
      </c>
      <c r="C113" t="s">
        <v>34</v>
      </c>
      <c r="D113">
        <v>2</v>
      </c>
      <c r="E113" t="s">
        <v>23</v>
      </c>
      <c r="F113">
        <v>0</v>
      </c>
    </row>
    <row r="114" spans="1:6" x14ac:dyDescent="0.2">
      <c r="A114">
        <v>12</v>
      </c>
      <c r="B114" s="1">
        <v>43778</v>
      </c>
      <c r="C114" t="s">
        <v>10</v>
      </c>
      <c r="D114">
        <v>3</v>
      </c>
      <c r="E114" t="s">
        <v>8</v>
      </c>
      <c r="F114">
        <v>0</v>
      </c>
    </row>
    <row r="115" spans="1:6" x14ac:dyDescent="0.2">
      <c r="A115">
        <v>12</v>
      </c>
      <c r="B115" s="1">
        <v>43778</v>
      </c>
      <c r="C115" t="s">
        <v>31</v>
      </c>
      <c r="D115">
        <v>2</v>
      </c>
      <c r="E115" t="s">
        <v>20</v>
      </c>
      <c r="F115">
        <v>1</v>
      </c>
    </row>
    <row r="116" spans="1:6" x14ac:dyDescent="0.2">
      <c r="A116">
        <v>12</v>
      </c>
      <c r="B116" s="1">
        <v>43778</v>
      </c>
      <c r="C116" t="s">
        <v>11</v>
      </c>
      <c r="D116">
        <v>1</v>
      </c>
      <c r="E116" t="s">
        <v>24</v>
      </c>
      <c r="F116">
        <v>2</v>
      </c>
    </row>
    <row r="117" spans="1:6" x14ac:dyDescent="0.2">
      <c r="A117">
        <v>12</v>
      </c>
      <c r="B117" s="1">
        <v>43778</v>
      </c>
      <c r="C117" t="s">
        <v>27</v>
      </c>
      <c r="D117">
        <v>1</v>
      </c>
      <c r="E117" t="s">
        <v>21</v>
      </c>
      <c r="F117">
        <v>1</v>
      </c>
    </row>
    <row r="118" spans="1:6" x14ac:dyDescent="0.2">
      <c r="A118">
        <v>12</v>
      </c>
      <c r="B118" s="1">
        <v>43778</v>
      </c>
      <c r="C118" t="s">
        <v>29</v>
      </c>
      <c r="D118">
        <v>2</v>
      </c>
      <c r="E118" t="s">
        <v>32</v>
      </c>
      <c r="F118">
        <v>0</v>
      </c>
    </row>
    <row r="119" spans="1:6" x14ac:dyDescent="0.2">
      <c r="A119">
        <v>12</v>
      </c>
      <c r="B119" s="1">
        <v>43779</v>
      </c>
      <c r="C119" t="s">
        <v>33</v>
      </c>
      <c r="D119">
        <v>3</v>
      </c>
      <c r="E119" t="s">
        <v>26</v>
      </c>
      <c r="F119">
        <v>1</v>
      </c>
    </row>
    <row r="120" spans="1:6" x14ac:dyDescent="0.2">
      <c r="A120">
        <v>12</v>
      </c>
      <c r="B120" s="1">
        <v>43779</v>
      </c>
      <c r="C120" t="s">
        <v>30</v>
      </c>
      <c r="D120">
        <v>2</v>
      </c>
      <c r="E120" t="s">
        <v>28</v>
      </c>
      <c r="F120">
        <v>1</v>
      </c>
    </row>
    <row r="121" spans="1:6" x14ac:dyDescent="0.2">
      <c r="A121">
        <v>12</v>
      </c>
      <c r="B121" s="1">
        <v>43779</v>
      </c>
      <c r="C121" t="s">
        <v>6</v>
      </c>
      <c r="D121">
        <v>3</v>
      </c>
      <c r="E121" t="s">
        <v>9</v>
      </c>
      <c r="F121">
        <v>1</v>
      </c>
    </row>
    <row r="122" spans="1:6" x14ac:dyDescent="0.2">
      <c r="A122">
        <v>13</v>
      </c>
      <c r="B122" s="1">
        <v>43792</v>
      </c>
      <c r="C122" t="s">
        <v>8</v>
      </c>
      <c r="D122">
        <v>2</v>
      </c>
      <c r="E122" t="s">
        <v>27</v>
      </c>
      <c r="F122">
        <v>3</v>
      </c>
    </row>
    <row r="123" spans="1:6" x14ac:dyDescent="0.2">
      <c r="A123">
        <v>13</v>
      </c>
      <c r="B123" s="1">
        <v>43792</v>
      </c>
      <c r="C123" t="s">
        <v>26</v>
      </c>
      <c r="D123">
        <v>0</v>
      </c>
      <c r="E123" t="s">
        <v>29</v>
      </c>
      <c r="F123">
        <v>2</v>
      </c>
    </row>
    <row r="124" spans="1:6" x14ac:dyDescent="0.2">
      <c r="A124">
        <v>13</v>
      </c>
      <c r="B124" s="1">
        <v>43792</v>
      </c>
      <c r="C124" t="s">
        <v>32</v>
      </c>
      <c r="D124">
        <v>2</v>
      </c>
      <c r="E124" t="s">
        <v>11</v>
      </c>
      <c r="F124">
        <v>2</v>
      </c>
    </row>
    <row r="125" spans="1:6" x14ac:dyDescent="0.2">
      <c r="A125">
        <v>13</v>
      </c>
      <c r="B125" s="1">
        <v>43792</v>
      </c>
      <c r="C125" t="s">
        <v>20</v>
      </c>
      <c r="D125">
        <v>1</v>
      </c>
      <c r="E125" t="s">
        <v>30</v>
      </c>
      <c r="F125">
        <v>2</v>
      </c>
    </row>
    <row r="126" spans="1:6" x14ac:dyDescent="0.2">
      <c r="A126">
        <v>13</v>
      </c>
      <c r="B126" s="1">
        <v>43792</v>
      </c>
      <c r="C126" t="s">
        <v>23</v>
      </c>
      <c r="D126">
        <v>1</v>
      </c>
      <c r="E126" t="s">
        <v>6</v>
      </c>
      <c r="F126">
        <v>2</v>
      </c>
    </row>
    <row r="127" spans="1:6" x14ac:dyDescent="0.2">
      <c r="A127">
        <v>13</v>
      </c>
      <c r="B127" s="1">
        <v>43792</v>
      </c>
      <c r="C127" t="s">
        <v>24</v>
      </c>
      <c r="D127">
        <v>0</v>
      </c>
      <c r="E127" t="s">
        <v>7</v>
      </c>
      <c r="F127">
        <v>2</v>
      </c>
    </row>
    <row r="128" spans="1:6" x14ac:dyDescent="0.2">
      <c r="A128">
        <v>13</v>
      </c>
      <c r="B128" s="1">
        <v>43792</v>
      </c>
      <c r="C128" t="s">
        <v>25</v>
      </c>
      <c r="D128">
        <v>0</v>
      </c>
      <c r="E128" t="s">
        <v>10</v>
      </c>
      <c r="F128">
        <v>3</v>
      </c>
    </row>
    <row r="129" spans="1:6" x14ac:dyDescent="0.2">
      <c r="A129">
        <v>13</v>
      </c>
      <c r="B129" s="1">
        <v>43792</v>
      </c>
      <c r="C129" t="s">
        <v>9</v>
      </c>
      <c r="D129">
        <v>2</v>
      </c>
      <c r="E129" t="s">
        <v>34</v>
      </c>
      <c r="F129">
        <v>1</v>
      </c>
    </row>
    <row r="130" spans="1:6" x14ac:dyDescent="0.2">
      <c r="A130">
        <v>13</v>
      </c>
      <c r="B130" s="1">
        <v>43793</v>
      </c>
      <c r="C130" t="s">
        <v>21</v>
      </c>
      <c r="D130">
        <v>3</v>
      </c>
      <c r="E130" t="s">
        <v>33</v>
      </c>
      <c r="F130">
        <v>3</v>
      </c>
    </row>
    <row r="131" spans="1:6" x14ac:dyDescent="0.2">
      <c r="A131">
        <v>13</v>
      </c>
      <c r="B131" s="1">
        <v>43794</v>
      </c>
      <c r="C131" t="s">
        <v>28</v>
      </c>
      <c r="D131">
        <v>2</v>
      </c>
      <c r="E131" t="s">
        <v>31</v>
      </c>
      <c r="F131">
        <v>0</v>
      </c>
    </row>
    <row r="132" spans="1:6" x14ac:dyDescent="0.2">
      <c r="A132">
        <v>14</v>
      </c>
      <c r="B132" s="1">
        <v>43799</v>
      </c>
      <c r="C132" t="s">
        <v>31</v>
      </c>
      <c r="D132">
        <v>2</v>
      </c>
      <c r="E132" t="s">
        <v>9</v>
      </c>
      <c r="F132">
        <v>2</v>
      </c>
    </row>
    <row r="133" spans="1:6" x14ac:dyDescent="0.2">
      <c r="A133">
        <v>14</v>
      </c>
      <c r="B133" s="1">
        <v>43799</v>
      </c>
      <c r="C133" t="s">
        <v>10</v>
      </c>
      <c r="D133">
        <v>0</v>
      </c>
      <c r="E133" t="s">
        <v>23</v>
      </c>
      <c r="F133">
        <v>2</v>
      </c>
    </row>
    <row r="134" spans="1:6" x14ac:dyDescent="0.2">
      <c r="A134">
        <v>14</v>
      </c>
      <c r="B134" s="1">
        <v>43799</v>
      </c>
      <c r="C134" t="s">
        <v>34</v>
      </c>
      <c r="D134">
        <v>0</v>
      </c>
      <c r="E134" t="s">
        <v>8</v>
      </c>
      <c r="F134">
        <v>1</v>
      </c>
    </row>
    <row r="135" spans="1:6" x14ac:dyDescent="0.2">
      <c r="A135">
        <v>14</v>
      </c>
      <c r="B135" s="1">
        <v>43799</v>
      </c>
      <c r="C135" t="s">
        <v>6</v>
      </c>
      <c r="D135">
        <v>2</v>
      </c>
      <c r="E135" t="s">
        <v>26</v>
      </c>
      <c r="F135">
        <v>1</v>
      </c>
    </row>
    <row r="136" spans="1:6" x14ac:dyDescent="0.2">
      <c r="A136">
        <v>14</v>
      </c>
      <c r="B136" s="1">
        <v>43799</v>
      </c>
      <c r="C136" t="s">
        <v>27</v>
      </c>
      <c r="D136">
        <v>3</v>
      </c>
      <c r="E136" t="s">
        <v>20</v>
      </c>
      <c r="F136">
        <v>2</v>
      </c>
    </row>
    <row r="137" spans="1:6" x14ac:dyDescent="0.2">
      <c r="A137">
        <v>14</v>
      </c>
      <c r="B137" s="1">
        <v>43799</v>
      </c>
      <c r="C137" t="s">
        <v>11</v>
      </c>
      <c r="D137">
        <v>2</v>
      </c>
      <c r="E137" t="s">
        <v>25</v>
      </c>
      <c r="F137">
        <v>1</v>
      </c>
    </row>
    <row r="138" spans="1:6" x14ac:dyDescent="0.2">
      <c r="A138">
        <v>14</v>
      </c>
      <c r="B138" s="1">
        <v>43800</v>
      </c>
      <c r="C138" t="s">
        <v>7</v>
      </c>
      <c r="D138">
        <v>2</v>
      </c>
      <c r="E138" t="s">
        <v>32</v>
      </c>
      <c r="F138">
        <v>2</v>
      </c>
    </row>
    <row r="139" spans="1:6" x14ac:dyDescent="0.2">
      <c r="A139">
        <v>14</v>
      </c>
      <c r="B139" s="1">
        <v>43800</v>
      </c>
      <c r="C139" t="s">
        <v>30</v>
      </c>
      <c r="D139">
        <v>1</v>
      </c>
      <c r="E139" t="s">
        <v>21</v>
      </c>
      <c r="F139">
        <v>1</v>
      </c>
    </row>
    <row r="140" spans="1:6" x14ac:dyDescent="0.2">
      <c r="A140">
        <v>14</v>
      </c>
      <c r="B140" s="1">
        <v>43800</v>
      </c>
      <c r="C140" t="s">
        <v>29</v>
      </c>
      <c r="D140">
        <v>2</v>
      </c>
      <c r="E140" t="s">
        <v>24</v>
      </c>
      <c r="F140">
        <v>1</v>
      </c>
    </row>
    <row r="141" spans="1:6" x14ac:dyDescent="0.2">
      <c r="A141">
        <v>14</v>
      </c>
      <c r="B141" s="1">
        <v>43800</v>
      </c>
      <c r="C141" t="s">
        <v>33</v>
      </c>
      <c r="D141">
        <v>2</v>
      </c>
      <c r="E141" t="s">
        <v>28</v>
      </c>
      <c r="F141">
        <v>2</v>
      </c>
    </row>
    <row r="142" spans="1:6" x14ac:dyDescent="0.2">
      <c r="A142">
        <v>15</v>
      </c>
      <c r="B142" s="1">
        <v>43802</v>
      </c>
      <c r="C142" t="s">
        <v>23</v>
      </c>
      <c r="D142">
        <v>1</v>
      </c>
      <c r="E142" t="s">
        <v>20</v>
      </c>
      <c r="F142">
        <v>0</v>
      </c>
    </row>
    <row r="143" spans="1:6" x14ac:dyDescent="0.2">
      <c r="A143">
        <v>15</v>
      </c>
      <c r="B143" s="1">
        <v>43802</v>
      </c>
      <c r="C143" t="s">
        <v>10</v>
      </c>
      <c r="D143">
        <v>1</v>
      </c>
      <c r="E143" t="s">
        <v>9</v>
      </c>
      <c r="F143">
        <v>4</v>
      </c>
    </row>
    <row r="144" spans="1:6" x14ac:dyDescent="0.2">
      <c r="A144">
        <v>15</v>
      </c>
      <c r="B144" s="1">
        <v>43803</v>
      </c>
      <c r="C144" t="s">
        <v>29</v>
      </c>
      <c r="D144">
        <v>2</v>
      </c>
      <c r="E144" t="s">
        <v>25</v>
      </c>
      <c r="F144">
        <v>0</v>
      </c>
    </row>
    <row r="145" spans="1:6" x14ac:dyDescent="0.2">
      <c r="A145">
        <v>15</v>
      </c>
      <c r="B145" s="1">
        <v>43803</v>
      </c>
      <c r="C145" t="s">
        <v>30</v>
      </c>
      <c r="D145">
        <v>2</v>
      </c>
      <c r="E145" t="s">
        <v>8</v>
      </c>
      <c r="F145">
        <v>0</v>
      </c>
    </row>
    <row r="146" spans="1:6" x14ac:dyDescent="0.2">
      <c r="A146">
        <v>15</v>
      </c>
      <c r="B146" s="1">
        <v>43803</v>
      </c>
      <c r="C146" t="s">
        <v>33</v>
      </c>
      <c r="D146">
        <v>2</v>
      </c>
      <c r="E146" t="s">
        <v>27</v>
      </c>
      <c r="F146">
        <v>1</v>
      </c>
    </row>
    <row r="147" spans="1:6" x14ac:dyDescent="0.2">
      <c r="A147">
        <v>15</v>
      </c>
      <c r="B147" s="1">
        <v>43803</v>
      </c>
      <c r="C147" t="s">
        <v>34</v>
      </c>
      <c r="D147">
        <v>2</v>
      </c>
      <c r="E147" t="s">
        <v>28</v>
      </c>
      <c r="F147">
        <v>1</v>
      </c>
    </row>
    <row r="148" spans="1:6" x14ac:dyDescent="0.2">
      <c r="A148">
        <v>15</v>
      </c>
      <c r="B148" s="1">
        <v>43803</v>
      </c>
      <c r="C148" t="s">
        <v>11</v>
      </c>
      <c r="D148">
        <v>2</v>
      </c>
      <c r="E148" t="s">
        <v>7</v>
      </c>
      <c r="F148">
        <v>1</v>
      </c>
    </row>
    <row r="149" spans="1:6" x14ac:dyDescent="0.2">
      <c r="A149">
        <v>15</v>
      </c>
      <c r="B149" s="1">
        <v>43803</v>
      </c>
      <c r="C149" t="s">
        <v>6</v>
      </c>
      <c r="D149">
        <v>5</v>
      </c>
      <c r="E149" t="s">
        <v>24</v>
      </c>
      <c r="F149">
        <v>2</v>
      </c>
    </row>
    <row r="150" spans="1:6" x14ac:dyDescent="0.2">
      <c r="A150">
        <v>15</v>
      </c>
      <c r="B150" s="1">
        <v>43804</v>
      </c>
      <c r="C150" t="s">
        <v>21</v>
      </c>
      <c r="D150">
        <v>0</v>
      </c>
      <c r="E150" t="s">
        <v>31</v>
      </c>
      <c r="F150">
        <v>2</v>
      </c>
    </row>
    <row r="151" spans="1:6" x14ac:dyDescent="0.2">
      <c r="A151">
        <v>15</v>
      </c>
      <c r="B151" s="1">
        <v>43804</v>
      </c>
      <c r="C151" t="s">
        <v>32</v>
      </c>
      <c r="D151">
        <v>1</v>
      </c>
      <c r="E151" t="s">
        <v>26</v>
      </c>
      <c r="F151">
        <v>2</v>
      </c>
    </row>
    <row r="152" spans="1:6" x14ac:dyDescent="0.2">
      <c r="A152">
        <v>16</v>
      </c>
      <c r="B152" s="1">
        <v>43806</v>
      </c>
      <c r="C152" t="s">
        <v>24</v>
      </c>
      <c r="D152">
        <v>3</v>
      </c>
      <c r="E152" t="s">
        <v>34</v>
      </c>
      <c r="F152">
        <v>1</v>
      </c>
    </row>
    <row r="153" spans="1:6" x14ac:dyDescent="0.2">
      <c r="A153">
        <v>16</v>
      </c>
      <c r="B153" s="1">
        <v>43806</v>
      </c>
      <c r="C153" t="s">
        <v>20</v>
      </c>
      <c r="D153">
        <v>0</v>
      </c>
      <c r="E153" t="s">
        <v>6</v>
      </c>
      <c r="F153">
        <v>3</v>
      </c>
    </row>
    <row r="154" spans="1:6" x14ac:dyDescent="0.2">
      <c r="A154">
        <v>16</v>
      </c>
      <c r="B154" s="1">
        <v>43806</v>
      </c>
      <c r="C154" t="s">
        <v>27</v>
      </c>
      <c r="D154">
        <v>5</v>
      </c>
      <c r="E154" t="s">
        <v>10</v>
      </c>
      <c r="F154">
        <v>0</v>
      </c>
    </row>
    <row r="155" spans="1:6" x14ac:dyDescent="0.2">
      <c r="A155">
        <v>16</v>
      </c>
      <c r="B155" s="1">
        <v>43806</v>
      </c>
      <c r="C155" t="s">
        <v>25</v>
      </c>
      <c r="D155">
        <v>0</v>
      </c>
      <c r="E155" t="s">
        <v>23</v>
      </c>
      <c r="F155">
        <v>0</v>
      </c>
    </row>
    <row r="156" spans="1:6" x14ac:dyDescent="0.2">
      <c r="A156">
        <v>16</v>
      </c>
      <c r="B156" s="1">
        <v>43806</v>
      </c>
      <c r="C156" t="s">
        <v>9</v>
      </c>
      <c r="D156">
        <v>1</v>
      </c>
      <c r="E156" t="s">
        <v>33</v>
      </c>
      <c r="F156">
        <v>2</v>
      </c>
    </row>
    <row r="157" spans="1:6" x14ac:dyDescent="0.2">
      <c r="A157">
        <v>16</v>
      </c>
      <c r="B157" s="1">
        <v>43807</v>
      </c>
      <c r="C157" t="s">
        <v>28</v>
      </c>
      <c r="D157">
        <v>1</v>
      </c>
      <c r="E157" t="s">
        <v>29</v>
      </c>
      <c r="F157">
        <v>4</v>
      </c>
    </row>
    <row r="158" spans="1:6" x14ac:dyDescent="0.2">
      <c r="A158">
        <v>16</v>
      </c>
      <c r="B158" s="1">
        <v>43807</v>
      </c>
      <c r="C158" t="s">
        <v>31</v>
      </c>
      <c r="D158">
        <v>2</v>
      </c>
      <c r="E158" t="s">
        <v>11</v>
      </c>
      <c r="F158">
        <v>1</v>
      </c>
    </row>
    <row r="159" spans="1:6" x14ac:dyDescent="0.2">
      <c r="A159">
        <v>16</v>
      </c>
      <c r="B159" s="1">
        <v>43807</v>
      </c>
      <c r="C159" t="s">
        <v>7</v>
      </c>
      <c r="D159">
        <v>1</v>
      </c>
      <c r="E159" t="s">
        <v>21</v>
      </c>
      <c r="F159">
        <v>2</v>
      </c>
    </row>
    <row r="160" spans="1:6" x14ac:dyDescent="0.2">
      <c r="A160">
        <v>16</v>
      </c>
      <c r="B160" s="1">
        <v>43807</v>
      </c>
      <c r="C160" t="s">
        <v>26</v>
      </c>
      <c r="D160">
        <v>2</v>
      </c>
      <c r="E160" t="s">
        <v>30</v>
      </c>
      <c r="F160">
        <v>2</v>
      </c>
    </row>
    <row r="161" spans="1:6" x14ac:dyDescent="0.2">
      <c r="A161">
        <v>16</v>
      </c>
      <c r="B161" s="1">
        <v>43808</v>
      </c>
      <c r="C161" t="s">
        <v>8</v>
      </c>
      <c r="D161">
        <v>1</v>
      </c>
      <c r="E161" t="s">
        <v>32</v>
      </c>
      <c r="F161">
        <v>3</v>
      </c>
    </row>
    <row r="162" spans="1:6" x14ac:dyDescent="0.2">
      <c r="A162">
        <v>17</v>
      </c>
      <c r="B162" s="1">
        <v>43813</v>
      </c>
      <c r="C162" t="s">
        <v>6</v>
      </c>
      <c r="D162">
        <v>2</v>
      </c>
      <c r="E162" t="s">
        <v>25</v>
      </c>
      <c r="F162">
        <v>0</v>
      </c>
    </row>
    <row r="163" spans="1:6" x14ac:dyDescent="0.2">
      <c r="A163">
        <v>17</v>
      </c>
      <c r="B163" s="1">
        <v>43813</v>
      </c>
      <c r="C163" t="s">
        <v>34</v>
      </c>
      <c r="D163">
        <v>0</v>
      </c>
      <c r="E163" t="s">
        <v>20</v>
      </c>
      <c r="F163">
        <v>1</v>
      </c>
    </row>
    <row r="164" spans="1:6" x14ac:dyDescent="0.2">
      <c r="A164">
        <v>17</v>
      </c>
      <c r="B164" s="1">
        <v>43813</v>
      </c>
      <c r="C164" t="s">
        <v>10</v>
      </c>
      <c r="D164">
        <v>1</v>
      </c>
      <c r="E164" t="s">
        <v>31</v>
      </c>
      <c r="F164">
        <v>0</v>
      </c>
    </row>
    <row r="165" spans="1:6" x14ac:dyDescent="0.2">
      <c r="A165">
        <v>17</v>
      </c>
      <c r="B165" s="1">
        <v>43813</v>
      </c>
      <c r="C165" t="s">
        <v>29</v>
      </c>
      <c r="D165">
        <v>1</v>
      </c>
      <c r="E165" t="s">
        <v>7</v>
      </c>
      <c r="F165">
        <v>1</v>
      </c>
    </row>
    <row r="166" spans="1:6" x14ac:dyDescent="0.2">
      <c r="A166">
        <v>17</v>
      </c>
      <c r="B166" s="1">
        <v>43813</v>
      </c>
      <c r="C166" t="s">
        <v>21</v>
      </c>
      <c r="D166">
        <v>2</v>
      </c>
      <c r="E166" t="s">
        <v>28</v>
      </c>
      <c r="F166">
        <v>0</v>
      </c>
    </row>
    <row r="167" spans="1:6" x14ac:dyDescent="0.2">
      <c r="A167">
        <v>17</v>
      </c>
      <c r="B167" s="1">
        <v>43813</v>
      </c>
      <c r="C167" t="s">
        <v>11</v>
      </c>
      <c r="D167">
        <v>0</v>
      </c>
      <c r="E167" t="s">
        <v>8</v>
      </c>
      <c r="F167">
        <v>1</v>
      </c>
    </row>
    <row r="168" spans="1:6" x14ac:dyDescent="0.2">
      <c r="A168">
        <v>17</v>
      </c>
      <c r="B168" s="1">
        <v>43814</v>
      </c>
      <c r="C168" t="s">
        <v>33</v>
      </c>
      <c r="D168">
        <v>1</v>
      </c>
      <c r="E168" t="s">
        <v>24</v>
      </c>
      <c r="F168">
        <v>1</v>
      </c>
    </row>
    <row r="169" spans="1:6" x14ac:dyDescent="0.2">
      <c r="A169">
        <v>17</v>
      </c>
      <c r="B169" s="1">
        <v>43814</v>
      </c>
      <c r="C169" t="s">
        <v>30</v>
      </c>
      <c r="D169">
        <v>1</v>
      </c>
      <c r="E169" t="s">
        <v>27</v>
      </c>
      <c r="F169">
        <v>2</v>
      </c>
    </row>
    <row r="170" spans="1:6" x14ac:dyDescent="0.2">
      <c r="A170">
        <v>17</v>
      </c>
      <c r="B170" s="1">
        <v>43814</v>
      </c>
      <c r="C170" t="s">
        <v>32</v>
      </c>
      <c r="D170">
        <v>0</v>
      </c>
      <c r="E170" t="s">
        <v>9</v>
      </c>
      <c r="F170">
        <v>3</v>
      </c>
    </row>
    <row r="171" spans="1:6" x14ac:dyDescent="0.2">
      <c r="A171">
        <v>17</v>
      </c>
      <c r="B171" s="1">
        <v>43815</v>
      </c>
      <c r="C171" t="s">
        <v>23</v>
      </c>
      <c r="D171">
        <v>1</v>
      </c>
      <c r="E171" t="s">
        <v>26</v>
      </c>
      <c r="F171">
        <v>1</v>
      </c>
    </row>
    <row r="172" spans="1:6" x14ac:dyDescent="0.2">
      <c r="A172">
        <v>18</v>
      </c>
      <c r="B172" s="1">
        <v>43820</v>
      </c>
      <c r="C172" t="s">
        <v>24</v>
      </c>
      <c r="D172">
        <v>0</v>
      </c>
      <c r="E172" t="s">
        <v>32</v>
      </c>
      <c r="F172">
        <v>0</v>
      </c>
    </row>
    <row r="173" spans="1:6" x14ac:dyDescent="0.2">
      <c r="A173">
        <v>18</v>
      </c>
      <c r="B173" s="1">
        <v>43820</v>
      </c>
      <c r="C173" t="s">
        <v>31</v>
      </c>
      <c r="D173">
        <v>1</v>
      </c>
      <c r="E173" t="s">
        <v>23</v>
      </c>
      <c r="F173">
        <v>0</v>
      </c>
    </row>
    <row r="174" spans="1:6" x14ac:dyDescent="0.2">
      <c r="A174">
        <v>18</v>
      </c>
      <c r="B174" s="1">
        <v>43820</v>
      </c>
      <c r="C174" t="s">
        <v>28</v>
      </c>
      <c r="D174">
        <v>1</v>
      </c>
      <c r="E174" t="s">
        <v>11</v>
      </c>
      <c r="F174">
        <v>3</v>
      </c>
    </row>
    <row r="175" spans="1:6" x14ac:dyDescent="0.2">
      <c r="A175">
        <v>18</v>
      </c>
      <c r="B175" s="1">
        <v>43820</v>
      </c>
      <c r="C175" t="s">
        <v>26</v>
      </c>
      <c r="D175">
        <v>0</v>
      </c>
      <c r="E175" t="s">
        <v>21</v>
      </c>
      <c r="F175">
        <v>1</v>
      </c>
    </row>
    <row r="176" spans="1:6" x14ac:dyDescent="0.2">
      <c r="A176">
        <v>18</v>
      </c>
      <c r="B176" s="1">
        <v>43820</v>
      </c>
      <c r="C176" t="s">
        <v>20</v>
      </c>
      <c r="D176">
        <v>0</v>
      </c>
      <c r="E176" t="s">
        <v>10</v>
      </c>
      <c r="F176">
        <v>1</v>
      </c>
    </row>
    <row r="177" spans="1:6" x14ac:dyDescent="0.2">
      <c r="A177">
        <v>18</v>
      </c>
      <c r="B177" s="1">
        <v>43820</v>
      </c>
      <c r="C177" t="s">
        <v>7</v>
      </c>
      <c r="D177">
        <v>1</v>
      </c>
      <c r="E177" t="s">
        <v>30</v>
      </c>
      <c r="F177">
        <v>2</v>
      </c>
    </row>
    <row r="178" spans="1:6" x14ac:dyDescent="0.2">
      <c r="A178">
        <v>18</v>
      </c>
      <c r="B178" s="1">
        <v>43820</v>
      </c>
      <c r="C178" t="s">
        <v>9</v>
      </c>
      <c r="D178">
        <v>3</v>
      </c>
      <c r="E178" t="s">
        <v>29</v>
      </c>
      <c r="F178">
        <v>1</v>
      </c>
    </row>
    <row r="179" spans="1:6" x14ac:dyDescent="0.2">
      <c r="A179">
        <v>18</v>
      </c>
      <c r="B179" s="1">
        <v>43821</v>
      </c>
      <c r="C179" t="s">
        <v>25</v>
      </c>
      <c r="D179">
        <v>2</v>
      </c>
      <c r="E179" t="s">
        <v>33</v>
      </c>
      <c r="F179">
        <v>0</v>
      </c>
    </row>
    <row r="180" spans="1:6" x14ac:dyDescent="0.2">
      <c r="A180">
        <v>18</v>
      </c>
      <c r="B180" s="1">
        <v>43821</v>
      </c>
      <c r="C180" t="s">
        <v>27</v>
      </c>
      <c r="D180">
        <v>0</v>
      </c>
      <c r="E180" t="s">
        <v>34</v>
      </c>
      <c r="F180">
        <v>2</v>
      </c>
    </row>
    <row r="181" spans="1:6" x14ac:dyDescent="0.2">
      <c r="A181">
        <v>18</v>
      </c>
      <c r="B181" s="1">
        <v>43859</v>
      </c>
      <c r="C181" t="s">
        <v>8</v>
      </c>
      <c r="D181">
        <v>0</v>
      </c>
      <c r="E181" t="s">
        <v>6</v>
      </c>
      <c r="F181">
        <v>2</v>
      </c>
    </row>
    <row r="182" spans="1:6" x14ac:dyDescent="0.2">
      <c r="A182">
        <v>19</v>
      </c>
      <c r="B182" s="1">
        <v>43825</v>
      </c>
      <c r="C182" t="s">
        <v>27</v>
      </c>
      <c r="D182">
        <v>2</v>
      </c>
      <c r="E182" t="s">
        <v>26</v>
      </c>
      <c r="F182">
        <v>1</v>
      </c>
    </row>
    <row r="183" spans="1:6" x14ac:dyDescent="0.2">
      <c r="A183">
        <v>19</v>
      </c>
      <c r="B183" s="1">
        <v>43825</v>
      </c>
      <c r="C183" t="s">
        <v>21</v>
      </c>
      <c r="D183">
        <v>1</v>
      </c>
      <c r="E183" t="s">
        <v>25</v>
      </c>
      <c r="F183">
        <v>1</v>
      </c>
    </row>
    <row r="184" spans="1:6" x14ac:dyDescent="0.2">
      <c r="A184">
        <v>19</v>
      </c>
      <c r="B184" s="1">
        <v>43825</v>
      </c>
      <c r="C184" t="s">
        <v>20</v>
      </c>
      <c r="D184">
        <v>1</v>
      </c>
      <c r="E184" t="s">
        <v>32</v>
      </c>
      <c r="F184">
        <v>1</v>
      </c>
    </row>
    <row r="185" spans="1:6" x14ac:dyDescent="0.2">
      <c r="A185">
        <v>19</v>
      </c>
      <c r="B185" s="1">
        <v>43825</v>
      </c>
      <c r="C185" t="s">
        <v>24</v>
      </c>
      <c r="D185">
        <v>1</v>
      </c>
      <c r="E185" t="s">
        <v>10</v>
      </c>
      <c r="F185">
        <v>0</v>
      </c>
    </row>
    <row r="186" spans="1:6" x14ac:dyDescent="0.2">
      <c r="A186">
        <v>19</v>
      </c>
      <c r="B186" s="1">
        <v>43825</v>
      </c>
      <c r="C186" t="s">
        <v>34</v>
      </c>
      <c r="D186">
        <v>0</v>
      </c>
      <c r="E186" t="s">
        <v>11</v>
      </c>
      <c r="F186">
        <v>2</v>
      </c>
    </row>
    <row r="187" spans="1:6" x14ac:dyDescent="0.2">
      <c r="A187">
        <v>19</v>
      </c>
      <c r="B187" s="1">
        <v>43825</v>
      </c>
      <c r="C187" t="s">
        <v>23</v>
      </c>
      <c r="D187">
        <v>2</v>
      </c>
      <c r="E187" t="s">
        <v>8</v>
      </c>
      <c r="F187">
        <v>1</v>
      </c>
    </row>
    <row r="188" spans="1:6" x14ac:dyDescent="0.2">
      <c r="A188">
        <v>19</v>
      </c>
      <c r="B188" s="1">
        <v>43825</v>
      </c>
      <c r="C188" t="s">
        <v>28</v>
      </c>
      <c r="D188">
        <v>1</v>
      </c>
      <c r="E188" t="s">
        <v>7</v>
      </c>
      <c r="F188">
        <v>0</v>
      </c>
    </row>
    <row r="189" spans="1:6" x14ac:dyDescent="0.2">
      <c r="A189">
        <v>19</v>
      </c>
      <c r="B189" s="1">
        <v>43825</v>
      </c>
      <c r="C189" t="s">
        <v>33</v>
      </c>
      <c r="D189">
        <v>4</v>
      </c>
      <c r="E189" t="s">
        <v>31</v>
      </c>
      <c r="F189">
        <v>1</v>
      </c>
    </row>
    <row r="190" spans="1:6" x14ac:dyDescent="0.2">
      <c r="A190">
        <v>19</v>
      </c>
      <c r="B190" s="1">
        <v>43825</v>
      </c>
      <c r="C190" t="s">
        <v>29</v>
      </c>
      <c r="D190">
        <v>0</v>
      </c>
      <c r="E190" t="s">
        <v>6</v>
      </c>
      <c r="F190">
        <v>4</v>
      </c>
    </row>
    <row r="191" spans="1:6" x14ac:dyDescent="0.2">
      <c r="A191">
        <v>19</v>
      </c>
      <c r="B191" s="1">
        <v>43826</v>
      </c>
      <c r="C191" t="s">
        <v>30</v>
      </c>
      <c r="D191">
        <v>3</v>
      </c>
      <c r="E191" t="s">
        <v>9</v>
      </c>
      <c r="F191">
        <v>2</v>
      </c>
    </row>
    <row r="192" spans="1:6" x14ac:dyDescent="0.2">
      <c r="A192">
        <v>20</v>
      </c>
      <c r="B192" s="1">
        <v>43827</v>
      </c>
      <c r="C192" t="s">
        <v>26</v>
      </c>
      <c r="D192">
        <v>2</v>
      </c>
      <c r="E192" t="s">
        <v>20</v>
      </c>
      <c r="F192">
        <v>0</v>
      </c>
    </row>
    <row r="193" spans="1:6" x14ac:dyDescent="0.2">
      <c r="A193">
        <v>20</v>
      </c>
      <c r="B193" s="1">
        <v>43827</v>
      </c>
      <c r="C193" t="s">
        <v>25</v>
      </c>
      <c r="D193">
        <v>3</v>
      </c>
      <c r="E193" t="s">
        <v>28</v>
      </c>
      <c r="F193">
        <v>0</v>
      </c>
    </row>
    <row r="194" spans="1:6" x14ac:dyDescent="0.2">
      <c r="A194">
        <v>20</v>
      </c>
      <c r="B194" s="1">
        <v>43827</v>
      </c>
      <c r="C194" t="s">
        <v>31</v>
      </c>
      <c r="D194">
        <v>1</v>
      </c>
      <c r="E194" t="s">
        <v>24</v>
      </c>
      <c r="F194">
        <v>2</v>
      </c>
    </row>
    <row r="195" spans="1:6" x14ac:dyDescent="0.2">
      <c r="A195">
        <v>20</v>
      </c>
      <c r="B195" s="1">
        <v>43827</v>
      </c>
      <c r="C195" t="s">
        <v>11</v>
      </c>
      <c r="D195">
        <v>1</v>
      </c>
      <c r="E195" t="s">
        <v>23</v>
      </c>
      <c r="F195">
        <v>1</v>
      </c>
    </row>
    <row r="196" spans="1:6" x14ac:dyDescent="0.2">
      <c r="A196">
        <v>20</v>
      </c>
      <c r="B196" s="1">
        <v>43827</v>
      </c>
      <c r="C196" t="s">
        <v>7</v>
      </c>
      <c r="D196">
        <v>2</v>
      </c>
      <c r="E196" t="s">
        <v>27</v>
      </c>
      <c r="F196">
        <v>2</v>
      </c>
    </row>
    <row r="197" spans="1:6" x14ac:dyDescent="0.2">
      <c r="A197">
        <v>20</v>
      </c>
      <c r="B197" s="1">
        <v>43827</v>
      </c>
      <c r="C197" t="s">
        <v>8</v>
      </c>
      <c r="D197">
        <v>1</v>
      </c>
      <c r="E197" t="s">
        <v>29</v>
      </c>
      <c r="F197">
        <v>2</v>
      </c>
    </row>
    <row r="198" spans="1:6" x14ac:dyDescent="0.2">
      <c r="A198">
        <v>20</v>
      </c>
      <c r="B198" s="1">
        <v>43827</v>
      </c>
      <c r="C198" t="s">
        <v>10</v>
      </c>
      <c r="D198">
        <v>0</v>
      </c>
      <c r="E198" t="s">
        <v>33</v>
      </c>
      <c r="F198">
        <v>2</v>
      </c>
    </row>
    <row r="199" spans="1:6" x14ac:dyDescent="0.2">
      <c r="A199">
        <v>20</v>
      </c>
      <c r="B199" s="1">
        <v>43828</v>
      </c>
      <c r="C199" t="s">
        <v>32</v>
      </c>
      <c r="D199">
        <v>1</v>
      </c>
      <c r="E199" t="s">
        <v>34</v>
      </c>
      <c r="F199">
        <v>2</v>
      </c>
    </row>
    <row r="200" spans="1:6" x14ac:dyDescent="0.2">
      <c r="A200">
        <v>20</v>
      </c>
      <c r="B200" s="1">
        <v>43828</v>
      </c>
      <c r="C200" t="s">
        <v>6</v>
      </c>
      <c r="D200">
        <v>1</v>
      </c>
      <c r="E200" t="s">
        <v>30</v>
      </c>
      <c r="F200">
        <v>0</v>
      </c>
    </row>
    <row r="201" spans="1:6" x14ac:dyDescent="0.2">
      <c r="A201">
        <v>20</v>
      </c>
      <c r="B201" s="1">
        <v>43828</v>
      </c>
      <c r="C201" t="s">
        <v>9</v>
      </c>
      <c r="D201">
        <v>2</v>
      </c>
      <c r="E201" t="s">
        <v>21</v>
      </c>
      <c r="F201">
        <v>0</v>
      </c>
    </row>
    <row r="202" spans="1:6" x14ac:dyDescent="0.2">
      <c r="A202">
        <v>21</v>
      </c>
      <c r="B202" s="1">
        <v>43831</v>
      </c>
      <c r="C202" t="s">
        <v>10</v>
      </c>
      <c r="D202">
        <v>1</v>
      </c>
      <c r="E202" t="s">
        <v>28</v>
      </c>
      <c r="F202">
        <v>2</v>
      </c>
    </row>
    <row r="203" spans="1:6" x14ac:dyDescent="0.2">
      <c r="A203">
        <v>21</v>
      </c>
      <c r="B203" s="1">
        <v>43831</v>
      </c>
      <c r="C203" t="s">
        <v>26</v>
      </c>
      <c r="D203">
        <v>1</v>
      </c>
      <c r="E203" t="s">
        <v>34</v>
      </c>
      <c r="F203">
        <v>1</v>
      </c>
    </row>
    <row r="204" spans="1:6" x14ac:dyDescent="0.2">
      <c r="A204">
        <v>21</v>
      </c>
      <c r="B204" s="1">
        <v>43831</v>
      </c>
      <c r="C204" t="s">
        <v>11</v>
      </c>
      <c r="D204">
        <v>1</v>
      </c>
      <c r="E204" t="s">
        <v>27</v>
      </c>
      <c r="F204">
        <v>0</v>
      </c>
    </row>
    <row r="205" spans="1:6" x14ac:dyDescent="0.2">
      <c r="A205">
        <v>21</v>
      </c>
      <c r="B205" s="1">
        <v>43831</v>
      </c>
      <c r="C205" t="s">
        <v>31</v>
      </c>
      <c r="D205">
        <v>0</v>
      </c>
      <c r="E205" t="s">
        <v>29</v>
      </c>
      <c r="F205">
        <v>3</v>
      </c>
    </row>
    <row r="206" spans="1:6" x14ac:dyDescent="0.2">
      <c r="A206">
        <v>21</v>
      </c>
      <c r="B206" s="1">
        <v>43831</v>
      </c>
      <c r="C206" t="s">
        <v>25</v>
      </c>
      <c r="D206">
        <v>2</v>
      </c>
      <c r="E206" t="s">
        <v>30</v>
      </c>
      <c r="F206">
        <v>1</v>
      </c>
    </row>
    <row r="207" spans="1:6" x14ac:dyDescent="0.2">
      <c r="A207">
        <v>21</v>
      </c>
      <c r="B207" s="1">
        <v>43831</v>
      </c>
      <c r="C207" t="s">
        <v>8</v>
      </c>
      <c r="D207">
        <v>4</v>
      </c>
      <c r="E207" t="s">
        <v>20</v>
      </c>
      <c r="F207">
        <v>0</v>
      </c>
    </row>
    <row r="208" spans="1:6" x14ac:dyDescent="0.2">
      <c r="A208">
        <v>21</v>
      </c>
      <c r="B208" s="1">
        <v>43831</v>
      </c>
      <c r="C208" t="s">
        <v>7</v>
      </c>
      <c r="D208">
        <v>1</v>
      </c>
      <c r="E208" t="s">
        <v>23</v>
      </c>
      <c r="F208">
        <v>1</v>
      </c>
    </row>
    <row r="209" spans="1:6" x14ac:dyDescent="0.2">
      <c r="A209">
        <v>21</v>
      </c>
      <c r="B209" s="1">
        <v>43831</v>
      </c>
      <c r="C209" t="s">
        <v>9</v>
      </c>
      <c r="D209">
        <v>2</v>
      </c>
      <c r="E209" t="s">
        <v>24</v>
      </c>
      <c r="F209">
        <v>1</v>
      </c>
    </row>
    <row r="210" spans="1:6" x14ac:dyDescent="0.2">
      <c r="A210">
        <v>21</v>
      </c>
      <c r="B210" s="1">
        <v>43831</v>
      </c>
      <c r="C210" t="s">
        <v>32</v>
      </c>
      <c r="D210">
        <v>2</v>
      </c>
      <c r="E210" t="s">
        <v>33</v>
      </c>
      <c r="F210">
        <v>0</v>
      </c>
    </row>
    <row r="211" spans="1:6" x14ac:dyDescent="0.2">
      <c r="A211">
        <v>21</v>
      </c>
      <c r="B211" s="1">
        <v>43832</v>
      </c>
      <c r="C211" t="s">
        <v>6</v>
      </c>
      <c r="D211">
        <v>2</v>
      </c>
      <c r="E211" t="s">
        <v>21</v>
      </c>
      <c r="F211">
        <v>0</v>
      </c>
    </row>
    <row r="212" spans="1:6" x14ac:dyDescent="0.2">
      <c r="A212">
        <v>22</v>
      </c>
      <c r="B212" s="1">
        <v>43840</v>
      </c>
      <c r="C212" t="s">
        <v>21</v>
      </c>
      <c r="D212">
        <v>1</v>
      </c>
      <c r="E212" t="s">
        <v>8</v>
      </c>
      <c r="F212">
        <v>0</v>
      </c>
    </row>
    <row r="213" spans="1:6" x14ac:dyDescent="0.2">
      <c r="A213">
        <v>22</v>
      </c>
      <c r="B213" s="1">
        <v>43841</v>
      </c>
      <c r="C213" t="s">
        <v>23</v>
      </c>
      <c r="D213">
        <v>1</v>
      </c>
      <c r="E213" t="s">
        <v>32</v>
      </c>
      <c r="F213">
        <v>1</v>
      </c>
    </row>
    <row r="214" spans="1:6" x14ac:dyDescent="0.2">
      <c r="A214">
        <v>22</v>
      </c>
      <c r="B214" s="1">
        <v>43841</v>
      </c>
      <c r="C214" t="s">
        <v>33</v>
      </c>
      <c r="D214">
        <v>4</v>
      </c>
      <c r="E214" t="s">
        <v>7</v>
      </c>
      <c r="F214">
        <v>0</v>
      </c>
    </row>
    <row r="215" spans="1:6" x14ac:dyDescent="0.2">
      <c r="A215">
        <v>22</v>
      </c>
      <c r="B215" s="1">
        <v>43841</v>
      </c>
      <c r="C215" t="s">
        <v>34</v>
      </c>
      <c r="D215">
        <v>3</v>
      </c>
      <c r="E215" t="s">
        <v>10</v>
      </c>
      <c r="F215">
        <v>0</v>
      </c>
    </row>
    <row r="216" spans="1:6" x14ac:dyDescent="0.2">
      <c r="A216">
        <v>22</v>
      </c>
      <c r="B216" s="1">
        <v>43841</v>
      </c>
      <c r="C216" t="s">
        <v>24</v>
      </c>
      <c r="D216">
        <v>1</v>
      </c>
      <c r="E216" t="s">
        <v>26</v>
      </c>
      <c r="F216">
        <v>0</v>
      </c>
    </row>
    <row r="217" spans="1:6" x14ac:dyDescent="0.2">
      <c r="A217">
        <v>22</v>
      </c>
      <c r="B217" s="1">
        <v>43841</v>
      </c>
      <c r="C217" t="s">
        <v>29</v>
      </c>
      <c r="D217">
        <v>1</v>
      </c>
      <c r="E217" t="s">
        <v>11</v>
      </c>
      <c r="F217">
        <v>2</v>
      </c>
    </row>
    <row r="218" spans="1:6" x14ac:dyDescent="0.2">
      <c r="A218">
        <v>22</v>
      </c>
      <c r="B218" s="1">
        <v>43841</v>
      </c>
      <c r="C218" t="s">
        <v>30</v>
      </c>
      <c r="D218">
        <v>1</v>
      </c>
      <c r="E218" t="s">
        <v>31</v>
      </c>
      <c r="F218">
        <v>1</v>
      </c>
    </row>
    <row r="219" spans="1:6" x14ac:dyDescent="0.2">
      <c r="A219">
        <v>22</v>
      </c>
      <c r="B219" s="1">
        <v>43841</v>
      </c>
      <c r="C219" t="s">
        <v>27</v>
      </c>
      <c r="D219">
        <v>0</v>
      </c>
      <c r="E219" t="s">
        <v>6</v>
      </c>
      <c r="F219">
        <v>1</v>
      </c>
    </row>
    <row r="220" spans="1:6" x14ac:dyDescent="0.2">
      <c r="A220">
        <v>22</v>
      </c>
      <c r="B220" s="1">
        <v>43842</v>
      </c>
      <c r="C220" t="s">
        <v>20</v>
      </c>
      <c r="D220">
        <v>0</v>
      </c>
      <c r="E220" t="s">
        <v>25</v>
      </c>
      <c r="F220">
        <v>3</v>
      </c>
    </row>
    <row r="221" spans="1:6" x14ac:dyDescent="0.2">
      <c r="A221">
        <v>22</v>
      </c>
      <c r="B221" s="1">
        <v>43842</v>
      </c>
      <c r="C221" t="s">
        <v>28</v>
      </c>
      <c r="D221">
        <v>1</v>
      </c>
      <c r="E221" t="s">
        <v>9</v>
      </c>
      <c r="F221">
        <v>6</v>
      </c>
    </row>
    <row r="222" spans="1:6" x14ac:dyDescent="0.2">
      <c r="A222">
        <v>23</v>
      </c>
      <c r="B222" s="1">
        <v>43848</v>
      </c>
      <c r="C222" t="s">
        <v>25</v>
      </c>
      <c r="D222">
        <v>0</v>
      </c>
      <c r="E222" t="s">
        <v>27</v>
      </c>
      <c r="F222">
        <v>0</v>
      </c>
    </row>
    <row r="223" spans="1:6" x14ac:dyDescent="0.2">
      <c r="A223">
        <v>23</v>
      </c>
      <c r="B223" s="1">
        <v>43848</v>
      </c>
      <c r="C223" t="s">
        <v>7</v>
      </c>
      <c r="D223">
        <v>1</v>
      </c>
      <c r="E223" t="s">
        <v>20</v>
      </c>
      <c r="F223">
        <v>0</v>
      </c>
    </row>
    <row r="224" spans="1:6" x14ac:dyDescent="0.2">
      <c r="A224">
        <v>23</v>
      </c>
      <c r="B224" s="1">
        <v>43848</v>
      </c>
      <c r="C224" t="s">
        <v>32</v>
      </c>
      <c r="D224">
        <v>1</v>
      </c>
      <c r="E224" t="s">
        <v>21</v>
      </c>
      <c r="F224">
        <v>1</v>
      </c>
    </row>
    <row r="225" spans="1:6" x14ac:dyDescent="0.2">
      <c r="A225">
        <v>23</v>
      </c>
      <c r="B225" s="1">
        <v>43848</v>
      </c>
      <c r="C225" t="s">
        <v>26</v>
      </c>
      <c r="D225">
        <v>1</v>
      </c>
      <c r="E225" t="s">
        <v>28</v>
      </c>
      <c r="F225">
        <v>1</v>
      </c>
    </row>
    <row r="226" spans="1:6" x14ac:dyDescent="0.2">
      <c r="A226">
        <v>23</v>
      </c>
      <c r="B226" s="1">
        <v>43848</v>
      </c>
      <c r="C226" t="s">
        <v>9</v>
      </c>
      <c r="D226">
        <v>2</v>
      </c>
      <c r="E226" t="s">
        <v>23</v>
      </c>
      <c r="F226">
        <v>2</v>
      </c>
    </row>
    <row r="227" spans="1:6" x14ac:dyDescent="0.2">
      <c r="A227">
        <v>23</v>
      </c>
      <c r="B227" s="1">
        <v>43848</v>
      </c>
      <c r="C227" t="s">
        <v>8</v>
      </c>
      <c r="D227">
        <v>1</v>
      </c>
      <c r="E227" t="s">
        <v>24</v>
      </c>
      <c r="F227">
        <v>1</v>
      </c>
    </row>
    <row r="228" spans="1:6" x14ac:dyDescent="0.2">
      <c r="A228">
        <v>23</v>
      </c>
      <c r="B228" s="1">
        <v>43848</v>
      </c>
      <c r="C228" t="s">
        <v>11</v>
      </c>
      <c r="D228">
        <v>2</v>
      </c>
      <c r="E228" t="s">
        <v>30</v>
      </c>
      <c r="F228">
        <v>3</v>
      </c>
    </row>
    <row r="229" spans="1:6" x14ac:dyDescent="0.2">
      <c r="A229">
        <v>23</v>
      </c>
      <c r="B229" s="1">
        <v>43848</v>
      </c>
      <c r="C229" t="s">
        <v>31</v>
      </c>
      <c r="D229">
        <v>1</v>
      </c>
      <c r="E229" t="s">
        <v>34</v>
      </c>
      <c r="F229">
        <v>0</v>
      </c>
    </row>
    <row r="230" spans="1:6" x14ac:dyDescent="0.2">
      <c r="A230">
        <v>23</v>
      </c>
      <c r="B230" s="1">
        <v>43849</v>
      </c>
      <c r="C230" t="s">
        <v>10</v>
      </c>
      <c r="D230">
        <v>2</v>
      </c>
      <c r="E230" t="s">
        <v>29</v>
      </c>
      <c r="F230">
        <v>1</v>
      </c>
    </row>
    <row r="231" spans="1:6" x14ac:dyDescent="0.2">
      <c r="A231">
        <v>23</v>
      </c>
      <c r="B231" s="1">
        <v>43849</v>
      </c>
      <c r="C231" t="s">
        <v>6</v>
      </c>
      <c r="D231">
        <v>2</v>
      </c>
      <c r="E231" t="s">
        <v>33</v>
      </c>
      <c r="F231">
        <v>0</v>
      </c>
    </row>
    <row r="232" spans="1:6" x14ac:dyDescent="0.2">
      <c r="A232">
        <v>24</v>
      </c>
      <c r="B232" s="1">
        <v>43851</v>
      </c>
      <c r="C232" t="s">
        <v>20</v>
      </c>
      <c r="D232">
        <v>3</v>
      </c>
      <c r="E232" t="s">
        <v>26</v>
      </c>
      <c r="F232">
        <v>1</v>
      </c>
    </row>
    <row r="233" spans="1:6" x14ac:dyDescent="0.2">
      <c r="A233">
        <v>24</v>
      </c>
      <c r="B233" s="1">
        <v>43851</v>
      </c>
      <c r="C233" t="s">
        <v>23</v>
      </c>
      <c r="D233">
        <v>0</v>
      </c>
      <c r="E233" t="s">
        <v>11</v>
      </c>
      <c r="F233">
        <v>2</v>
      </c>
    </row>
    <row r="234" spans="1:6" x14ac:dyDescent="0.2">
      <c r="A234">
        <v>24</v>
      </c>
      <c r="B234" s="1">
        <v>43851</v>
      </c>
      <c r="C234" t="s">
        <v>28</v>
      </c>
      <c r="D234">
        <v>2</v>
      </c>
      <c r="E234" t="s">
        <v>25</v>
      </c>
      <c r="F234">
        <v>1</v>
      </c>
    </row>
    <row r="235" spans="1:6" x14ac:dyDescent="0.2">
      <c r="A235">
        <v>24</v>
      </c>
      <c r="B235" s="1">
        <v>43851</v>
      </c>
      <c r="C235" t="s">
        <v>21</v>
      </c>
      <c r="D235">
        <v>0</v>
      </c>
      <c r="E235" t="s">
        <v>9</v>
      </c>
      <c r="F235">
        <v>1</v>
      </c>
    </row>
    <row r="236" spans="1:6" x14ac:dyDescent="0.2">
      <c r="A236">
        <v>24</v>
      </c>
      <c r="B236" s="1">
        <v>43851</v>
      </c>
      <c r="C236" t="s">
        <v>24</v>
      </c>
      <c r="D236">
        <v>2</v>
      </c>
      <c r="E236" t="s">
        <v>31</v>
      </c>
      <c r="F236">
        <v>2</v>
      </c>
    </row>
    <row r="237" spans="1:6" x14ac:dyDescent="0.2">
      <c r="A237">
        <v>24</v>
      </c>
      <c r="B237" s="1">
        <v>43851</v>
      </c>
      <c r="C237" t="s">
        <v>34</v>
      </c>
      <c r="D237">
        <v>2</v>
      </c>
      <c r="E237" t="s">
        <v>32</v>
      </c>
      <c r="F237">
        <v>2</v>
      </c>
    </row>
    <row r="238" spans="1:6" x14ac:dyDescent="0.2">
      <c r="A238">
        <v>24</v>
      </c>
      <c r="B238" s="1">
        <v>43852</v>
      </c>
      <c r="C238" t="s">
        <v>27</v>
      </c>
      <c r="D238">
        <v>2</v>
      </c>
      <c r="E238" t="s">
        <v>7</v>
      </c>
      <c r="F238">
        <v>1</v>
      </c>
    </row>
    <row r="239" spans="1:6" x14ac:dyDescent="0.2">
      <c r="A239">
        <v>24</v>
      </c>
      <c r="B239" s="1">
        <v>43852</v>
      </c>
      <c r="C239" t="s">
        <v>29</v>
      </c>
      <c r="D239">
        <v>4</v>
      </c>
      <c r="E239" t="s">
        <v>8</v>
      </c>
      <c r="F239">
        <v>1</v>
      </c>
    </row>
    <row r="240" spans="1:6" x14ac:dyDescent="0.2">
      <c r="A240">
        <v>24</v>
      </c>
      <c r="B240" s="1">
        <v>43852</v>
      </c>
      <c r="C240" t="s">
        <v>33</v>
      </c>
      <c r="D240">
        <v>0</v>
      </c>
      <c r="E240" t="s">
        <v>10</v>
      </c>
      <c r="F240">
        <v>2</v>
      </c>
    </row>
    <row r="241" spans="1:6" x14ac:dyDescent="0.2">
      <c r="A241">
        <v>24</v>
      </c>
      <c r="B241" s="1">
        <v>43853</v>
      </c>
      <c r="C241" t="s">
        <v>30</v>
      </c>
      <c r="D241">
        <v>1</v>
      </c>
      <c r="E241" t="s">
        <v>6</v>
      </c>
      <c r="F241">
        <v>2</v>
      </c>
    </row>
    <row r="242" spans="1:6" x14ac:dyDescent="0.2">
      <c r="A242">
        <v>25</v>
      </c>
      <c r="B242" s="1">
        <v>43862</v>
      </c>
      <c r="C242" t="s">
        <v>29</v>
      </c>
      <c r="D242">
        <v>2</v>
      </c>
      <c r="E242" t="s">
        <v>34</v>
      </c>
      <c r="F242">
        <v>2</v>
      </c>
    </row>
    <row r="243" spans="1:6" x14ac:dyDescent="0.2">
      <c r="A243">
        <v>25</v>
      </c>
      <c r="B243" s="1">
        <v>43862</v>
      </c>
      <c r="C243" t="s">
        <v>23</v>
      </c>
      <c r="D243">
        <v>0</v>
      </c>
      <c r="E243" t="s">
        <v>21</v>
      </c>
      <c r="F243">
        <v>1</v>
      </c>
    </row>
    <row r="244" spans="1:6" x14ac:dyDescent="0.2">
      <c r="A244">
        <v>25</v>
      </c>
      <c r="B244" s="1">
        <v>43862</v>
      </c>
      <c r="C244" t="s">
        <v>20</v>
      </c>
      <c r="D244">
        <v>2</v>
      </c>
      <c r="E244" t="s">
        <v>28</v>
      </c>
      <c r="F244">
        <v>1</v>
      </c>
    </row>
    <row r="245" spans="1:6" x14ac:dyDescent="0.2">
      <c r="A245">
        <v>25</v>
      </c>
      <c r="B245" s="1">
        <v>43862</v>
      </c>
      <c r="C245" t="s">
        <v>6</v>
      </c>
      <c r="D245">
        <v>4</v>
      </c>
      <c r="E245" t="s">
        <v>11</v>
      </c>
      <c r="F245">
        <v>0</v>
      </c>
    </row>
    <row r="246" spans="1:6" x14ac:dyDescent="0.2">
      <c r="A246">
        <v>25</v>
      </c>
      <c r="B246" s="1">
        <v>43862</v>
      </c>
      <c r="C246" t="s">
        <v>31</v>
      </c>
      <c r="D246">
        <v>0</v>
      </c>
      <c r="E246" t="s">
        <v>7</v>
      </c>
      <c r="F246">
        <v>0</v>
      </c>
    </row>
    <row r="247" spans="1:6" x14ac:dyDescent="0.2">
      <c r="A247">
        <v>25</v>
      </c>
      <c r="B247" s="1">
        <v>43862</v>
      </c>
      <c r="C247" t="s">
        <v>25</v>
      </c>
      <c r="D247">
        <v>2</v>
      </c>
      <c r="E247" t="s">
        <v>24</v>
      </c>
      <c r="F247">
        <v>3</v>
      </c>
    </row>
    <row r="248" spans="1:6" x14ac:dyDescent="0.2">
      <c r="A248">
        <v>25</v>
      </c>
      <c r="B248" s="1">
        <v>43862</v>
      </c>
      <c r="C248" t="s">
        <v>8</v>
      </c>
      <c r="D248">
        <v>3</v>
      </c>
      <c r="E248" t="s">
        <v>26</v>
      </c>
      <c r="F248">
        <v>3</v>
      </c>
    </row>
    <row r="249" spans="1:6" x14ac:dyDescent="0.2">
      <c r="A249">
        <v>25</v>
      </c>
      <c r="B249" s="1">
        <v>43862</v>
      </c>
      <c r="C249" t="s">
        <v>33</v>
      </c>
      <c r="D249">
        <v>0</v>
      </c>
      <c r="E249" t="s">
        <v>30</v>
      </c>
      <c r="F249">
        <v>0</v>
      </c>
    </row>
    <row r="250" spans="1:6" x14ac:dyDescent="0.2">
      <c r="A250">
        <v>25</v>
      </c>
      <c r="B250" s="1">
        <v>43863</v>
      </c>
      <c r="C250" t="s">
        <v>10</v>
      </c>
      <c r="D250">
        <v>0</v>
      </c>
      <c r="E250" t="s">
        <v>32</v>
      </c>
      <c r="F250">
        <v>0</v>
      </c>
    </row>
    <row r="251" spans="1:6" x14ac:dyDescent="0.2">
      <c r="A251">
        <v>25</v>
      </c>
      <c r="B251" s="1">
        <v>43863</v>
      </c>
      <c r="C251" t="s">
        <v>27</v>
      </c>
      <c r="D251">
        <v>2</v>
      </c>
      <c r="E251" t="s">
        <v>9</v>
      </c>
      <c r="F251">
        <v>0</v>
      </c>
    </row>
    <row r="252" spans="1:6" x14ac:dyDescent="0.2">
      <c r="A252">
        <v>26</v>
      </c>
      <c r="B252" s="1">
        <v>43869</v>
      </c>
      <c r="C252" t="s">
        <v>24</v>
      </c>
      <c r="D252">
        <v>3</v>
      </c>
      <c r="E252" t="s">
        <v>23</v>
      </c>
      <c r="F252">
        <v>1</v>
      </c>
    </row>
    <row r="253" spans="1:6" x14ac:dyDescent="0.2">
      <c r="A253">
        <v>26</v>
      </c>
      <c r="B253" s="1">
        <v>43869</v>
      </c>
      <c r="C253" t="s">
        <v>26</v>
      </c>
      <c r="D253">
        <v>1</v>
      </c>
      <c r="E253" t="s">
        <v>25</v>
      </c>
      <c r="F253">
        <v>1</v>
      </c>
    </row>
    <row r="254" spans="1:6" x14ac:dyDescent="0.2">
      <c r="A254">
        <v>26</v>
      </c>
      <c r="B254" s="1">
        <v>43870</v>
      </c>
      <c r="C254" t="s">
        <v>21</v>
      </c>
      <c r="D254">
        <v>2</v>
      </c>
      <c r="E254" t="s">
        <v>20</v>
      </c>
      <c r="F254">
        <v>1</v>
      </c>
    </row>
    <row r="255" spans="1:6" x14ac:dyDescent="0.2">
      <c r="A255">
        <v>26</v>
      </c>
      <c r="B255" s="1">
        <v>43875</v>
      </c>
      <c r="C255" t="s">
        <v>30</v>
      </c>
      <c r="D255">
        <v>0</v>
      </c>
      <c r="E255" t="s">
        <v>29</v>
      </c>
      <c r="F255">
        <v>0</v>
      </c>
    </row>
    <row r="256" spans="1:6" x14ac:dyDescent="0.2">
      <c r="A256">
        <v>26</v>
      </c>
      <c r="B256" s="1">
        <v>43876</v>
      </c>
      <c r="C256" t="s">
        <v>11</v>
      </c>
      <c r="D256">
        <v>1</v>
      </c>
      <c r="E256" t="s">
        <v>10</v>
      </c>
      <c r="F256">
        <v>2</v>
      </c>
    </row>
    <row r="257" spans="1:6" x14ac:dyDescent="0.2">
      <c r="A257">
        <v>26</v>
      </c>
      <c r="B257" s="1">
        <v>43876</v>
      </c>
      <c r="C257" t="s">
        <v>7</v>
      </c>
      <c r="D257">
        <v>0</v>
      </c>
      <c r="E257" t="s">
        <v>6</v>
      </c>
      <c r="F257">
        <v>1</v>
      </c>
    </row>
    <row r="258" spans="1:6" x14ac:dyDescent="0.2">
      <c r="A258">
        <v>26</v>
      </c>
      <c r="B258" s="1">
        <v>43877</v>
      </c>
      <c r="C258" t="s">
        <v>28</v>
      </c>
      <c r="D258">
        <v>2</v>
      </c>
      <c r="E258" t="s">
        <v>27</v>
      </c>
      <c r="F258">
        <v>3</v>
      </c>
    </row>
    <row r="259" spans="1:6" x14ac:dyDescent="0.2">
      <c r="A259">
        <v>26</v>
      </c>
      <c r="B259" s="1">
        <v>43877</v>
      </c>
      <c r="C259" t="s">
        <v>32</v>
      </c>
      <c r="D259">
        <v>4</v>
      </c>
      <c r="E259" t="s">
        <v>31</v>
      </c>
      <c r="F259">
        <v>0</v>
      </c>
    </row>
    <row r="260" spans="1:6" x14ac:dyDescent="0.2">
      <c r="A260">
        <v>26</v>
      </c>
      <c r="B260" s="1">
        <v>43878</v>
      </c>
      <c r="C260" t="s">
        <v>34</v>
      </c>
      <c r="D260">
        <v>0</v>
      </c>
      <c r="E260" t="s">
        <v>33</v>
      </c>
      <c r="F260">
        <v>2</v>
      </c>
    </row>
    <row r="261" spans="1:6" x14ac:dyDescent="0.2">
      <c r="A261">
        <v>26</v>
      </c>
      <c r="B261" s="1">
        <v>43880</v>
      </c>
      <c r="C261" t="s">
        <v>9</v>
      </c>
      <c r="D261">
        <v>2</v>
      </c>
      <c r="E261" t="s">
        <v>8</v>
      </c>
      <c r="F261">
        <v>0</v>
      </c>
    </row>
    <row r="262" spans="1:6" x14ac:dyDescent="0.2">
      <c r="A262">
        <v>27</v>
      </c>
      <c r="B262" s="1">
        <v>43883</v>
      </c>
      <c r="C262" t="s">
        <v>34</v>
      </c>
      <c r="D262">
        <v>2</v>
      </c>
      <c r="E262" t="s">
        <v>27</v>
      </c>
      <c r="F262">
        <v>1</v>
      </c>
    </row>
    <row r="263" spans="1:6" x14ac:dyDescent="0.2">
      <c r="A263">
        <v>27</v>
      </c>
      <c r="B263" s="1">
        <v>43883</v>
      </c>
      <c r="C263" t="s">
        <v>23</v>
      </c>
      <c r="D263">
        <v>1</v>
      </c>
      <c r="E263" t="s">
        <v>31</v>
      </c>
      <c r="F263">
        <v>0</v>
      </c>
    </row>
    <row r="264" spans="1:6" x14ac:dyDescent="0.2">
      <c r="A264">
        <v>27</v>
      </c>
      <c r="B264" s="1">
        <v>43883</v>
      </c>
      <c r="C264" t="s">
        <v>10</v>
      </c>
      <c r="D264">
        <v>3</v>
      </c>
      <c r="E264" t="s">
        <v>20</v>
      </c>
      <c r="F264">
        <v>0</v>
      </c>
    </row>
    <row r="265" spans="1:6" x14ac:dyDescent="0.2">
      <c r="A265">
        <v>27</v>
      </c>
      <c r="B265" s="1">
        <v>43883</v>
      </c>
      <c r="C265" t="s">
        <v>21</v>
      </c>
      <c r="D265">
        <v>1</v>
      </c>
      <c r="E265" t="s">
        <v>26</v>
      </c>
      <c r="F265">
        <v>1</v>
      </c>
    </row>
    <row r="266" spans="1:6" x14ac:dyDescent="0.2">
      <c r="A266">
        <v>27</v>
      </c>
      <c r="B266" s="1">
        <v>43883</v>
      </c>
      <c r="C266" t="s">
        <v>11</v>
      </c>
      <c r="D266">
        <v>2</v>
      </c>
      <c r="E266" t="s">
        <v>28</v>
      </c>
      <c r="F266">
        <v>0</v>
      </c>
    </row>
    <row r="267" spans="1:6" x14ac:dyDescent="0.2">
      <c r="A267">
        <v>27</v>
      </c>
      <c r="B267" s="1">
        <v>43883</v>
      </c>
      <c r="C267" t="s">
        <v>29</v>
      </c>
      <c r="D267">
        <v>0</v>
      </c>
      <c r="E267" t="s">
        <v>9</v>
      </c>
      <c r="F267">
        <v>1</v>
      </c>
    </row>
    <row r="268" spans="1:6" x14ac:dyDescent="0.2">
      <c r="A268">
        <v>27</v>
      </c>
      <c r="B268" s="1">
        <v>43884</v>
      </c>
      <c r="C268" t="s">
        <v>33</v>
      </c>
      <c r="D268">
        <v>3</v>
      </c>
      <c r="E268" t="s">
        <v>25</v>
      </c>
      <c r="F268">
        <v>0</v>
      </c>
    </row>
    <row r="269" spans="1:6" x14ac:dyDescent="0.2">
      <c r="A269">
        <v>27</v>
      </c>
      <c r="B269" s="1">
        <v>43884</v>
      </c>
      <c r="C269" t="s">
        <v>30</v>
      </c>
      <c r="D269">
        <v>3</v>
      </c>
      <c r="E269" t="s">
        <v>7</v>
      </c>
      <c r="F269">
        <v>0</v>
      </c>
    </row>
    <row r="270" spans="1:6" x14ac:dyDescent="0.2">
      <c r="A270">
        <v>27</v>
      </c>
      <c r="B270" s="1">
        <v>43884</v>
      </c>
      <c r="C270" t="s">
        <v>32</v>
      </c>
      <c r="D270">
        <v>3</v>
      </c>
      <c r="E270" t="s">
        <v>24</v>
      </c>
      <c r="F270">
        <v>2</v>
      </c>
    </row>
    <row r="271" spans="1:6" x14ac:dyDescent="0.2">
      <c r="A271">
        <v>27</v>
      </c>
      <c r="B271" s="1">
        <v>43885</v>
      </c>
      <c r="C271" t="s">
        <v>6</v>
      </c>
      <c r="D271">
        <v>3</v>
      </c>
      <c r="E271" t="s">
        <v>8</v>
      </c>
      <c r="F271">
        <v>2</v>
      </c>
    </row>
    <row r="272" spans="1:6" x14ac:dyDescent="0.2">
      <c r="A272">
        <v>28</v>
      </c>
      <c r="B272" s="1">
        <v>43889</v>
      </c>
      <c r="C272" t="s">
        <v>7</v>
      </c>
      <c r="D272">
        <v>1</v>
      </c>
      <c r="E272" t="s">
        <v>29</v>
      </c>
      <c r="F272">
        <v>0</v>
      </c>
    </row>
    <row r="273" spans="1:6" x14ac:dyDescent="0.2">
      <c r="A273">
        <v>28</v>
      </c>
      <c r="B273" s="1">
        <v>43890</v>
      </c>
      <c r="C273" t="s">
        <v>26</v>
      </c>
      <c r="D273">
        <v>0</v>
      </c>
      <c r="E273" t="s">
        <v>23</v>
      </c>
      <c r="F273">
        <v>1</v>
      </c>
    </row>
    <row r="274" spans="1:6" x14ac:dyDescent="0.2">
      <c r="A274">
        <v>28</v>
      </c>
      <c r="B274" s="1">
        <v>43890</v>
      </c>
      <c r="C274" t="s">
        <v>20</v>
      </c>
      <c r="D274">
        <v>2</v>
      </c>
      <c r="E274" t="s">
        <v>34</v>
      </c>
      <c r="F274">
        <v>2</v>
      </c>
    </row>
    <row r="275" spans="1:6" x14ac:dyDescent="0.2">
      <c r="A275">
        <v>28</v>
      </c>
      <c r="B275" s="1">
        <v>43890</v>
      </c>
      <c r="C275" t="s">
        <v>31</v>
      </c>
      <c r="D275">
        <v>0</v>
      </c>
      <c r="E275" t="s">
        <v>10</v>
      </c>
      <c r="F275">
        <v>0</v>
      </c>
    </row>
    <row r="276" spans="1:6" x14ac:dyDescent="0.2">
      <c r="A276">
        <v>28</v>
      </c>
      <c r="B276" s="1">
        <v>43890</v>
      </c>
      <c r="C276" t="s">
        <v>8</v>
      </c>
      <c r="D276">
        <v>3</v>
      </c>
      <c r="E276" t="s">
        <v>11</v>
      </c>
      <c r="F276">
        <v>1</v>
      </c>
    </row>
    <row r="277" spans="1:6" x14ac:dyDescent="0.2">
      <c r="A277">
        <v>28</v>
      </c>
      <c r="B277" s="1">
        <v>43890</v>
      </c>
      <c r="C277" t="s">
        <v>25</v>
      </c>
      <c r="D277">
        <v>3</v>
      </c>
      <c r="E277" t="s">
        <v>6</v>
      </c>
      <c r="F277">
        <v>0</v>
      </c>
    </row>
    <row r="278" spans="1:6" x14ac:dyDescent="0.2">
      <c r="A278">
        <v>28</v>
      </c>
      <c r="B278" s="1">
        <v>43891</v>
      </c>
      <c r="C278" t="s">
        <v>27</v>
      </c>
      <c r="D278">
        <v>2</v>
      </c>
      <c r="E278" t="s">
        <v>30</v>
      </c>
      <c r="F278">
        <v>3</v>
      </c>
    </row>
    <row r="279" spans="1:6" x14ac:dyDescent="0.2">
      <c r="A279">
        <v>28</v>
      </c>
      <c r="B279" s="1">
        <v>43891</v>
      </c>
      <c r="C279" t="s">
        <v>24</v>
      </c>
      <c r="D279">
        <v>1</v>
      </c>
      <c r="E279" t="s">
        <v>33</v>
      </c>
      <c r="F279">
        <v>1</v>
      </c>
    </row>
    <row r="280" spans="1:6" x14ac:dyDescent="0.2">
      <c r="A280">
        <v>28</v>
      </c>
      <c r="B280" s="1">
        <v>43999</v>
      </c>
      <c r="C280" t="s">
        <v>28</v>
      </c>
      <c r="D280">
        <v>0</v>
      </c>
      <c r="E280" t="s">
        <v>21</v>
      </c>
      <c r="F280">
        <v>0</v>
      </c>
    </row>
    <row r="281" spans="1:6" x14ac:dyDescent="0.2">
      <c r="A281">
        <v>28</v>
      </c>
      <c r="B281" s="1">
        <v>43999</v>
      </c>
      <c r="C281" t="s">
        <v>9</v>
      </c>
      <c r="D281">
        <v>3</v>
      </c>
      <c r="E281" t="s">
        <v>32</v>
      </c>
      <c r="F281">
        <v>0</v>
      </c>
    </row>
    <row r="282" spans="1:6" x14ac:dyDescent="0.2">
      <c r="A282">
        <v>29</v>
      </c>
      <c r="B282" s="1">
        <v>43897</v>
      </c>
      <c r="C282" t="s">
        <v>6</v>
      </c>
      <c r="D282">
        <v>2</v>
      </c>
      <c r="E282" t="s">
        <v>20</v>
      </c>
      <c r="F282">
        <v>1</v>
      </c>
    </row>
    <row r="283" spans="1:6" x14ac:dyDescent="0.2">
      <c r="A283">
        <v>29</v>
      </c>
      <c r="B283" s="1">
        <v>43897</v>
      </c>
      <c r="C283" t="s">
        <v>32</v>
      </c>
      <c r="D283">
        <v>1</v>
      </c>
      <c r="E283" t="s">
        <v>8</v>
      </c>
      <c r="F283">
        <v>0</v>
      </c>
    </row>
    <row r="284" spans="1:6" x14ac:dyDescent="0.2">
      <c r="A284">
        <v>29</v>
      </c>
      <c r="B284" s="1">
        <v>43897</v>
      </c>
      <c r="C284" t="s">
        <v>23</v>
      </c>
      <c r="D284">
        <v>1</v>
      </c>
      <c r="E284" t="s">
        <v>25</v>
      </c>
      <c r="F284">
        <v>0</v>
      </c>
    </row>
    <row r="285" spans="1:6" x14ac:dyDescent="0.2">
      <c r="A285">
        <v>29</v>
      </c>
      <c r="B285" s="1">
        <v>43897</v>
      </c>
      <c r="C285" t="s">
        <v>30</v>
      </c>
      <c r="D285">
        <v>0</v>
      </c>
      <c r="E285" t="s">
        <v>26</v>
      </c>
      <c r="F285">
        <v>0</v>
      </c>
    </row>
    <row r="286" spans="1:6" x14ac:dyDescent="0.2">
      <c r="A286">
        <v>29</v>
      </c>
      <c r="B286" s="1">
        <v>43897</v>
      </c>
      <c r="C286" t="s">
        <v>11</v>
      </c>
      <c r="D286">
        <v>0</v>
      </c>
      <c r="E286" t="s">
        <v>31</v>
      </c>
      <c r="F286">
        <v>1</v>
      </c>
    </row>
    <row r="287" spans="1:6" x14ac:dyDescent="0.2">
      <c r="A287">
        <v>29</v>
      </c>
      <c r="B287" s="1">
        <v>43897</v>
      </c>
      <c r="C287" t="s">
        <v>21</v>
      </c>
      <c r="D287">
        <v>1</v>
      </c>
      <c r="E287" t="s">
        <v>7</v>
      </c>
      <c r="F287">
        <v>0</v>
      </c>
    </row>
    <row r="288" spans="1:6" x14ac:dyDescent="0.2">
      <c r="A288">
        <v>29</v>
      </c>
      <c r="B288" s="1">
        <v>43897</v>
      </c>
      <c r="C288" t="s">
        <v>10</v>
      </c>
      <c r="D288">
        <v>1</v>
      </c>
      <c r="E288" t="s">
        <v>27</v>
      </c>
      <c r="F288">
        <v>1</v>
      </c>
    </row>
    <row r="289" spans="1:6" x14ac:dyDescent="0.2">
      <c r="A289">
        <v>29</v>
      </c>
      <c r="B289" s="1">
        <v>43898</v>
      </c>
      <c r="C289" t="s">
        <v>34</v>
      </c>
      <c r="D289">
        <v>4</v>
      </c>
      <c r="E289" t="s">
        <v>24</v>
      </c>
      <c r="F289">
        <v>0</v>
      </c>
    </row>
    <row r="290" spans="1:6" x14ac:dyDescent="0.2">
      <c r="A290">
        <v>29</v>
      </c>
      <c r="B290" s="1">
        <v>43898</v>
      </c>
      <c r="C290" t="s">
        <v>33</v>
      </c>
      <c r="D290">
        <v>2</v>
      </c>
      <c r="E290" t="s">
        <v>9</v>
      </c>
      <c r="F290">
        <v>0</v>
      </c>
    </row>
    <row r="291" spans="1:6" x14ac:dyDescent="0.2">
      <c r="A291">
        <v>29</v>
      </c>
      <c r="B291" s="1">
        <v>43899</v>
      </c>
      <c r="C291" t="s">
        <v>29</v>
      </c>
      <c r="D291">
        <v>4</v>
      </c>
      <c r="E291" t="s">
        <v>28</v>
      </c>
      <c r="F291">
        <v>0</v>
      </c>
    </row>
    <row r="292" spans="1:6" x14ac:dyDescent="0.2">
      <c r="A292">
        <v>30</v>
      </c>
      <c r="B292" s="1">
        <v>44001</v>
      </c>
      <c r="C292" t="s">
        <v>7</v>
      </c>
      <c r="D292">
        <v>0</v>
      </c>
      <c r="E292" t="s">
        <v>11</v>
      </c>
      <c r="F292">
        <v>3</v>
      </c>
    </row>
    <row r="293" spans="1:6" x14ac:dyDescent="0.2">
      <c r="A293">
        <v>30</v>
      </c>
      <c r="B293" s="1">
        <v>44001</v>
      </c>
      <c r="C293" t="s">
        <v>27</v>
      </c>
      <c r="D293">
        <v>1</v>
      </c>
      <c r="E293" t="s">
        <v>33</v>
      </c>
      <c r="F293">
        <v>1</v>
      </c>
    </row>
    <row r="294" spans="1:6" x14ac:dyDescent="0.2">
      <c r="A294">
        <v>30</v>
      </c>
      <c r="B294" s="1">
        <v>44002</v>
      </c>
      <c r="C294" t="s">
        <v>25</v>
      </c>
      <c r="D294">
        <v>1</v>
      </c>
      <c r="E294" t="s">
        <v>29</v>
      </c>
      <c r="F294">
        <v>1</v>
      </c>
    </row>
    <row r="295" spans="1:6" x14ac:dyDescent="0.2">
      <c r="A295">
        <v>30</v>
      </c>
      <c r="B295" s="1">
        <v>44002</v>
      </c>
      <c r="C295" t="s">
        <v>26</v>
      </c>
      <c r="D295">
        <v>2</v>
      </c>
      <c r="E295" t="s">
        <v>32</v>
      </c>
      <c r="F295">
        <v>1</v>
      </c>
    </row>
    <row r="296" spans="1:6" x14ac:dyDescent="0.2">
      <c r="A296">
        <v>30</v>
      </c>
      <c r="B296" s="1">
        <v>44002</v>
      </c>
      <c r="C296" t="s">
        <v>8</v>
      </c>
      <c r="D296">
        <v>0</v>
      </c>
      <c r="E296" t="s">
        <v>30</v>
      </c>
      <c r="F296">
        <v>2</v>
      </c>
    </row>
    <row r="297" spans="1:6" x14ac:dyDescent="0.2">
      <c r="A297">
        <v>30</v>
      </c>
      <c r="B297" s="1">
        <v>44002</v>
      </c>
      <c r="C297" t="s">
        <v>20</v>
      </c>
      <c r="D297">
        <v>0</v>
      </c>
      <c r="E297" t="s">
        <v>23</v>
      </c>
      <c r="F297">
        <v>2</v>
      </c>
    </row>
    <row r="298" spans="1:6" x14ac:dyDescent="0.2">
      <c r="A298">
        <v>30</v>
      </c>
      <c r="B298" s="1">
        <v>44003</v>
      </c>
      <c r="C298" t="s">
        <v>31</v>
      </c>
      <c r="D298">
        <v>3</v>
      </c>
      <c r="E298" t="s">
        <v>21</v>
      </c>
      <c r="F298">
        <v>0</v>
      </c>
    </row>
    <row r="299" spans="1:6" x14ac:dyDescent="0.2">
      <c r="A299">
        <v>30</v>
      </c>
      <c r="B299" s="1">
        <v>44003</v>
      </c>
      <c r="C299" t="s">
        <v>28</v>
      </c>
      <c r="D299">
        <v>1</v>
      </c>
      <c r="E299" t="s">
        <v>34</v>
      </c>
      <c r="F299">
        <v>2</v>
      </c>
    </row>
    <row r="300" spans="1:6" x14ac:dyDescent="0.2">
      <c r="A300">
        <v>30</v>
      </c>
      <c r="B300" s="1">
        <v>44003</v>
      </c>
      <c r="C300" t="s">
        <v>24</v>
      </c>
      <c r="D300">
        <v>0</v>
      </c>
      <c r="E300" t="s">
        <v>6</v>
      </c>
      <c r="F300">
        <v>0</v>
      </c>
    </row>
    <row r="301" spans="1:6" x14ac:dyDescent="0.2">
      <c r="A301">
        <v>30</v>
      </c>
      <c r="B301" s="1">
        <v>44004</v>
      </c>
      <c r="C301" t="s">
        <v>9</v>
      </c>
      <c r="D301">
        <v>5</v>
      </c>
      <c r="E301" t="s">
        <v>10</v>
      </c>
      <c r="F301">
        <v>0</v>
      </c>
    </row>
    <row r="302" spans="1:6" x14ac:dyDescent="0.2">
      <c r="A302">
        <v>31</v>
      </c>
      <c r="B302" s="1">
        <v>44005</v>
      </c>
      <c r="C302" t="s">
        <v>29</v>
      </c>
      <c r="D302">
        <v>0</v>
      </c>
      <c r="E302" t="s">
        <v>26</v>
      </c>
      <c r="F302">
        <v>0</v>
      </c>
    </row>
    <row r="303" spans="1:6" x14ac:dyDescent="0.2">
      <c r="A303">
        <v>31</v>
      </c>
      <c r="B303" s="1">
        <v>44005</v>
      </c>
      <c r="C303" t="s">
        <v>27</v>
      </c>
      <c r="D303">
        <v>2</v>
      </c>
      <c r="E303" t="s">
        <v>8</v>
      </c>
      <c r="F303">
        <v>0</v>
      </c>
    </row>
    <row r="304" spans="1:6" x14ac:dyDescent="0.2">
      <c r="A304">
        <v>31</v>
      </c>
      <c r="B304" s="1">
        <v>44006</v>
      </c>
      <c r="C304" t="s">
        <v>33</v>
      </c>
      <c r="D304">
        <v>3</v>
      </c>
      <c r="E304" t="s">
        <v>21</v>
      </c>
      <c r="F304">
        <v>0</v>
      </c>
    </row>
    <row r="305" spans="1:6" x14ac:dyDescent="0.2">
      <c r="A305">
        <v>31</v>
      </c>
      <c r="B305" s="1">
        <v>44006</v>
      </c>
      <c r="C305" t="s">
        <v>31</v>
      </c>
      <c r="D305">
        <v>1</v>
      </c>
      <c r="E305" t="s">
        <v>28</v>
      </c>
      <c r="F305">
        <v>1</v>
      </c>
    </row>
    <row r="306" spans="1:6" x14ac:dyDescent="0.2">
      <c r="A306">
        <v>31</v>
      </c>
      <c r="B306" s="1">
        <v>44006</v>
      </c>
      <c r="C306" t="s">
        <v>7</v>
      </c>
      <c r="D306">
        <v>0</v>
      </c>
      <c r="E306" t="s">
        <v>24</v>
      </c>
      <c r="F306">
        <v>1</v>
      </c>
    </row>
    <row r="307" spans="1:6" x14ac:dyDescent="0.2">
      <c r="A307">
        <v>31</v>
      </c>
      <c r="B307" s="1">
        <v>44006</v>
      </c>
      <c r="C307" t="s">
        <v>30</v>
      </c>
      <c r="D307">
        <v>1</v>
      </c>
      <c r="E307" t="s">
        <v>20</v>
      </c>
      <c r="F307">
        <v>0</v>
      </c>
    </row>
    <row r="308" spans="1:6" x14ac:dyDescent="0.2">
      <c r="A308">
        <v>31</v>
      </c>
      <c r="B308" s="1">
        <v>44006</v>
      </c>
      <c r="C308" t="s">
        <v>6</v>
      </c>
      <c r="D308">
        <v>4</v>
      </c>
      <c r="E308" t="s">
        <v>23</v>
      </c>
      <c r="F308">
        <v>0</v>
      </c>
    </row>
    <row r="309" spans="1:6" x14ac:dyDescent="0.2">
      <c r="A309">
        <v>31</v>
      </c>
      <c r="B309" s="1">
        <v>44007</v>
      </c>
      <c r="C309" t="s">
        <v>10</v>
      </c>
      <c r="D309">
        <v>1</v>
      </c>
      <c r="E309" t="s">
        <v>25</v>
      </c>
      <c r="F309">
        <v>0</v>
      </c>
    </row>
    <row r="310" spans="1:6" x14ac:dyDescent="0.2">
      <c r="A310">
        <v>31</v>
      </c>
      <c r="B310" s="1">
        <v>44007</v>
      </c>
      <c r="C310" t="s">
        <v>11</v>
      </c>
      <c r="D310">
        <v>0</v>
      </c>
      <c r="E310" t="s">
        <v>32</v>
      </c>
      <c r="F310">
        <v>2</v>
      </c>
    </row>
    <row r="311" spans="1:6" x14ac:dyDescent="0.2">
      <c r="A311">
        <v>31</v>
      </c>
      <c r="B311" s="1">
        <v>44007</v>
      </c>
      <c r="C311" t="s">
        <v>34</v>
      </c>
      <c r="D311">
        <v>2</v>
      </c>
      <c r="E311" t="s">
        <v>9</v>
      </c>
      <c r="F311">
        <v>1</v>
      </c>
    </row>
    <row r="312" spans="1:6" x14ac:dyDescent="0.2">
      <c r="A312">
        <v>32</v>
      </c>
      <c r="B312" s="1">
        <v>44009</v>
      </c>
      <c r="C312" t="s">
        <v>28</v>
      </c>
      <c r="D312">
        <v>0</v>
      </c>
      <c r="E312" t="s">
        <v>30</v>
      </c>
      <c r="F312">
        <v>1</v>
      </c>
    </row>
    <row r="313" spans="1:6" x14ac:dyDescent="0.2">
      <c r="A313">
        <v>32</v>
      </c>
      <c r="B313" s="1">
        <v>44010</v>
      </c>
      <c r="C313" t="s">
        <v>25</v>
      </c>
      <c r="D313">
        <v>1</v>
      </c>
      <c r="E313" t="s">
        <v>11</v>
      </c>
      <c r="F313">
        <v>3</v>
      </c>
    </row>
    <row r="314" spans="1:6" x14ac:dyDescent="0.2">
      <c r="A314">
        <v>32</v>
      </c>
      <c r="B314" s="1">
        <v>44011</v>
      </c>
      <c r="C314" t="s">
        <v>23</v>
      </c>
      <c r="D314">
        <v>0</v>
      </c>
      <c r="E314" t="s">
        <v>10</v>
      </c>
      <c r="F314">
        <v>1</v>
      </c>
    </row>
    <row r="315" spans="1:6" x14ac:dyDescent="0.2">
      <c r="A315">
        <v>32</v>
      </c>
      <c r="B315" s="1">
        <v>44012</v>
      </c>
      <c r="C315" t="s">
        <v>26</v>
      </c>
      <c r="D315">
        <v>0</v>
      </c>
      <c r="E315" t="s">
        <v>33</v>
      </c>
      <c r="F315">
        <v>3</v>
      </c>
    </row>
    <row r="316" spans="1:6" x14ac:dyDescent="0.2">
      <c r="A316">
        <v>32</v>
      </c>
      <c r="B316" s="1">
        <v>44013</v>
      </c>
      <c r="C316" t="s">
        <v>20</v>
      </c>
      <c r="D316">
        <v>1</v>
      </c>
      <c r="E316" t="s">
        <v>31</v>
      </c>
      <c r="F316">
        <v>4</v>
      </c>
    </row>
    <row r="317" spans="1:6" x14ac:dyDescent="0.2">
      <c r="A317">
        <v>32</v>
      </c>
      <c r="B317" s="1">
        <v>44013</v>
      </c>
      <c r="C317" t="s">
        <v>24</v>
      </c>
      <c r="D317">
        <v>2</v>
      </c>
      <c r="E317" t="s">
        <v>29</v>
      </c>
      <c r="F317">
        <v>1</v>
      </c>
    </row>
    <row r="318" spans="1:6" x14ac:dyDescent="0.2">
      <c r="A318">
        <v>32</v>
      </c>
      <c r="B318" s="1">
        <v>44013</v>
      </c>
      <c r="C318" t="s">
        <v>32</v>
      </c>
      <c r="D318">
        <v>4</v>
      </c>
      <c r="E318" t="s">
        <v>7</v>
      </c>
      <c r="F318">
        <v>0</v>
      </c>
    </row>
    <row r="319" spans="1:6" x14ac:dyDescent="0.2">
      <c r="A319">
        <v>32</v>
      </c>
      <c r="B319" s="1">
        <v>44013</v>
      </c>
      <c r="C319" t="s">
        <v>8</v>
      </c>
      <c r="D319">
        <v>3</v>
      </c>
      <c r="E319" t="s">
        <v>34</v>
      </c>
      <c r="F319">
        <v>2</v>
      </c>
    </row>
    <row r="320" spans="1:6" x14ac:dyDescent="0.2">
      <c r="A320">
        <v>32</v>
      </c>
      <c r="B320" s="1">
        <v>44014</v>
      </c>
      <c r="C320" t="s">
        <v>21</v>
      </c>
      <c r="D320">
        <v>3</v>
      </c>
      <c r="E320" t="s">
        <v>27</v>
      </c>
      <c r="F320">
        <v>1</v>
      </c>
    </row>
    <row r="321" spans="1:6" x14ac:dyDescent="0.2">
      <c r="A321">
        <v>32</v>
      </c>
      <c r="B321" s="1">
        <v>44014</v>
      </c>
      <c r="C321" t="s">
        <v>9</v>
      </c>
      <c r="D321">
        <v>4</v>
      </c>
      <c r="E321" t="s">
        <v>6</v>
      </c>
      <c r="F321">
        <v>0</v>
      </c>
    </row>
    <row r="322" spans="1:6" x14ac:dyDescent="0.2">
      <c r="A322">
        <v>33</v>
      </c>
      <c r="B322" s="1">
        <v>44016</v>
      </c>
      <c r="C322" t="s">
        <v>7</v>
      </c>
      <c r="D322">
        <v>0</v>
      </c>
      <c r="E322" t="s">
        <v>26</v>
      </c>
      <c r="F322">
        <v>1</v>
      </c>
    </row>
    <row r="323" spans="1:6" x14ac:dyDescent="0.2">
      <c r="A323">
        <v>33</v>
      </c>
      <c r="B323" s="1">
        <v>44016</v>
      </c>
      <c r="C323" t="s">
        <v>29</v>
      </c>
      <c r="D323">
        <v>3</v>
      </c>
      <c r="E323" t="s">
        <v>23</v>
      </c>
      <c r="F323">
        <v>0</v>
      </c>
    </row>
    <row r="324" spans="1:6" x14ac:dyDescent="0.2">
      <c r="A324">
        <v>33</v>
      </c>
      <c r="B324" s="1">
        <v>44016</v>
      </c>
      <c r="C324" t="s">
        <v>33</v>
      </c>
      <c r="D324">
        <v>5</v>
      </c>
      <c r="E324" t="s">
        <v>20</v>
      </c>
      <c r="F324">
        <v>2</v>
      </c>
    </row>
    <row r="325" spans="1:6" x14ac:dyDescent="0.2">
      <c r="A325">
        <v>33</v>
      </c>
      <c r="B325" s="1">
        <v>44016</v>
      </c>
      <c r="C325" t="s">
        <v>30</v>
      </c>
      <c r="D325">
        <v>0</v>
      </c>
      <c r="E325" t="s">
        <v>32</v>
      </c>
      <c r="F325">
        <v>2</v>
      </c>
    </row>
    <row r="326" spans="1:6" x14ac:dyDescent="0.2">
      <c r="A326">
        <v>33</v>
      </c>
      <c r="B326" s="1">
        <v>44016</v>
      </c>
      <c r="C326" t="s">
        <v>34</v>
      </c>
      <c r="D326">
        <v>3</v>
      </c>
      <c r="E326" t="s">
        <v>25</v>
      </c>
      <c r="F326">
        <v>0</v>
      </c>
    </row>
    <row r="327" spans="1:6" x14ac:dyDescent="0.2">
      <c r="A327">
        <v>33</v>
      </c>
      <c r="B327" s="1">
        <v>44017</v>
      </c>
      <c r="C327" t="s">
        <v>10</v>
      </c>
      <c r="D327">
        <v>1</v>
      </c>
      <c r="E327" t="s">
        <v>21</v>
      </c>
      <c r="F327">
        <v>1</v>
      </c>
    </row>
    <row r="328" spans="1:6" x14ac:dyDescent="0.2">
      <c r="A328">
        <v>33</v>
      </c>
      <c r="B328" s="1">
        <v>44017</v>
      </c>
      <c r="C328" t="s">
        <v>31</v>
      </c>
      <c r="D328">
        <v>2</v>
      </c>
      <c r="E328" t="s">
        <v>8</v>
      </c>
      <c r="F328">
        <v>2</v>
      </c>
    </row>
    <row r="329" spans="1:6" x14ac:dyDescent="0.2">
      <c r="A329">
        <v>33</v>
      </c>
      <c r="B329" s="1">
        <v>44017</v>
      </c>
      <c r="C329" t="s">
        <v>6</v>
      </c>
      <c r="D329">
        <v>2</v>
      </c>
      <c r="E329" t="s">
        <v>28</v>
      </c>
      <c r="F329">
        <v>0</v>
      </c>
    </row>
    <row r="330" spans="1:6" x14ac:dyDescent="0.2">
      <c r="A330">
        <v>33</v>
      </c>
      <c r="B330" s="1">
        <v>44017</v>
      </c>
      <c r="C330" t="s">
        <v>11</v>
      </c>
      <c r="D330">
        <v>1</v>
      </c>
      <c r="E330" t="s">
        <v>9</v>
      </c>
      <c r="F330">
        <v>0</v>
      </c>
    </row>
    <row r="331" spans="1:6" x14ac:dyDescent="0.2">
      <c r="A331">
        <v>33</v>
      </c>
      <c r="B331" s="1">
        <v>44018</v>
      </c>
      <c r="C331" t="s">
        <v>27</v>
      </c>
      <c r="D331">
        <v>1</v>
      </c>
      <c r="E331" t="s">
        <v>24</v>
      </c>
      <c r="F331">
        <v>0</v>
      </c>
    </row>
    <row r="332" spans="1:6" x14ac:dyDescent="0.2">
      <c r="A332">
        <v>34</v>
      </c>
      <c r="B332" s="1">
        <v>44019</v>
      </c>
      <c r="C332" t="s">
        <v>23</v>
      </c>
      <c r="D332">
        <v>2</v>
      </c>
      <c r="E332" t="s">
        <v>34</v>
      </c>
      <c r="F332">
        <v>3</v>
      </c>
    </row>
    <row r="333" spans="1:6" x14ac:dyDescent="0.2">
      <c r="A333">
        <v>34</v>
      </c>
      <c r="B333" s="1">
        <v>44019</v>
      </c>
      <c r="C333" t="s">
        <v>25</v>
      </c>
      <c r="D333">
        <v>2</v>
      </c>
      <c r="E333" t="s">
        <v>7</v>
      </c>
      <c r="F333">
        <v>1</v>
      </c>
    </row>
    <row r="334" spans="1:6" x14ac:dyDescent="0.2">
      <c r="A334">
        <v>34</v>
      </c>
      <c r="B334" s="1">
        <v>44019</v>
      </c>
      <c r="C334" t="s">
        <v>32</v>
      </c>
      <c r="D334">
        <v>1</v>
      </c>
      <c r="E334" t="s">
        <v>29</v>
      </c>
      <c r="F334">
        <v>1</v>
      </c>
    </row>
    <row r="335" spans="1:6" x14ac:dyDescent="0.2">
      <c r="A335">
        <v>34</v>
      </c>
      <c r="B335" s="1">
        <v>44020</v>
      </c>
      <c r="C335" t="s">
        <v>9</v>
      </c>
      <c r="D335">
        <v>5</v>
      </c>
      <c r="E335" t="s">
        <v>31</v>
      </c>
      <c r="F335">
        <v>0</v>
      </c>
    </row>
    <row r="336" spans="1:6" x14ac:dyDescent="0.2">
      <c r="A336">
        <v>34</v>
      </c>
      <c r="B336" s="1">
        <v>44020</v>
      </c>
      <c r="C336" t="s">
        <v>8</v>
      </c>
      <c r="D336">
        <v>0</v>
      </c>
      <c r="E336" t="s">
        <v>10</v>
      </c>
      <c r="F336">
        <v>1</v>
      </c>
    </row>
    <row r="337" spans="1:6" x14ac:dyDescent="0.2">
      <c r="A337">
        <v>34</v>
      </c>
      <c r="B337" s="1">
        <v>44020</v>
      </c>
      <c r="C337" t="s">
        <v>21</v>
      </c>
      <c r="D337">
        <v>1</v>
      </c>
      <c r="E337" t="s">
        <v>30</v>
      </c>
      <c r="F337">
        <v>0</v>
      </c>
    </row>
    <row r="338" spans="1:6" x14ac:dyDescent="0.2">
      <c r="A338">
        <v>34</v>
      </c>
      <c r="B338" s="1">
        <v>44020</v>
      </c>
      <c r="C338" t="s">
        <v>26</v>
      </c>
      <c r="D338">
        <v>1</v>
      </c>
      <c r="E338" t="s">
        <v>6</v>
      </c>
      <c r="F338">
        <v>3</v>
      </c>
    </row>
    <row r="339" spans="1:6" x14ac:dyDescent="0.2">
      <c r="A339">
        <v>34</v>
      </c>
      <c r="B339" s="1">
        <v>44021</v>
      </c>
      <c r="C339" t="s">
        <v>20</v>
      </c>
      <c r="D339">
        <v>0</v>
      </c>
      <c r="E339" t="s">
        <v>27</v>
      </c>
      <c r="F339">
        <v>0</v>
      </c>
    </row>
    <row r="340" spans="1:6" x14ac:dyDescent="0.2">
      <c r="A340">
        <v>34</v>
      </c>
      <c r="B340" s="1">
        <v>44021</v>
      </c>
      <c r="C340" t="s">
        <v>24</v>
      </c>
      <c r="D340">
        <v>1</v>
      </c>
      <c r="E340" t="s">
        <v>11</v>
      </c>
      <c r="F340">
        <v>1</v>
      </c>
    </row>
    <row r="341" spans="1:6" x14ac:dyDescent="0.2">
      <c r="A341">
        <v>34</v>
      </c>
      <c r="B341" s="1">
        <v>44021</v>
      </c>
      <c r="C341" t="s">
        <v>28</v>
      </c>
      <c r="D341">
        <v>0</v>
      </c>
      <c r="E341" t="s">
        <v>33</v>
      </c>
      <c r="F341">
        <v>3</v>
      </c>
    </row>
    <row r="342" spans="1:6" x14ac:dyDescent="0.2">
      <c r="A342">
        <v>35</v>
      </c>
      <c r="B342" s="1">
        <v>44023</v>
      </c>
      <c r="C342" t="s">
        <v>25</v>
      </c>
      <c r="D342">
        <v>2</v>
      </c>
      <c r="E342" t="s">
        <v>31</v>
      </c>
      <c r="F342">
        <v>1</v>
      </c>
    </row>
    <row r="343" spans="1:6" x14ac:dyDescent="0.2">
      <c r="A343">
        <v>35</v>
      </c>
      <c r="B343" s="1">
        <v>44023</v>
      </c>
      <c r="C343" t="s">
        <v>7</v>
      </c>
      <c r="D343">
        <v>0</v>
      </c>
      <c r="E343" t="s">
        <v>8</v>
      </c>
      <c r="F343">
        <v>4</v>
      </c>
    </row>
    <row r="344" spans="1:6" x14ac:dyDescent="0.2">
      <c r="A344">
        <v>35</v>
      </c>
      <c r="B344" s="1">
        <v>44023</v>
      </c>
      <c r="C344" t="s">
        <v>6</v>
      </c>
      <c r="D344">
        <v>1</v>
      </c>
      <c r="E344" t="s">
        <v>10</v>
      </c>
      <c r="F344">
        <v>1</v>
      </c>
    </row>
    <row r="345" spans="1:6" x14ac:dyDescent="0.2">
      <c r="A345">
        <v>35</v>
      </c>
      <c r="B345" s="1">
        <v>44023</v>
      </c>
      <c r="C345" t="s">
        <v>21</v>
      </c>
      <c r="D345">
        <v>3</v>
      </c>
      <c r="E345" t="s">
        <v>34</v>
      </c>
      <c r="F345">
        <v>0</v>
      </c>
    </row>
    <row r="346" spans="1:6" x14ac:dyDescent="0.2">
      <c r="A346">
        <v>35</v>
      </c>
      <c r="B346" s="1">
        <v>44023</v>
      </c>
      <c r="C346" t="s">
        <v>26</v>
      </c>
      <c r="D346">
        <v>0</v>
      </c>
      <c r="E346" t="s">
        <v>9</v>
      </c>
      <c r="F346">
        <v>5</v>
      </c>
    </row>
    <row r="347" spans="1:6" x14ac:dyDescent="0.2">
      <c r="A347">
        <v>35</v>
      </c>
      <c r="B347" s="1">
        <v>44024</v>
      </c>
      <c r="C347" t="s">
        <v>30</v>
      </c>
      <c r="D347">
        <v>3</v>
      </c>
      <c r="E347" t="s">
        <v>24</v>
      </c>
      <c r="F347">
        <v>0</v>
      </c>
    </row>
    <row r="348" spans="1:6" x14ac:dyDescent="0.2">
      <c r="A348">
        <v>35</v>
      </c>
      <c r="B348" s="1">
        <v>44024</v>
      </c>
      <c r="C348" t="s">
        <v>28</v>
      </c>
      <c r="D348">
        <v>2</v>
      </c>
      <c r="E348" t="s">
        <v>23</v>
      </c>
      <c r="F348">
        <v>0</v>
      </c>
    </row>
    <row r="349" spans="1:6" x14ac:dyDescent="0.2">
      <c r="A349">
        <v>35</v>
      </c>
      <c r="B349" s="1">
        <v>44024</v>
      </c>
      <c r="C349" t="s">
        <v>27</v>
      </c>
      <c r="D349">
        <v>2</v>
      </c>
      <c r="E349" t="s">
        <v>32</v>
      </c>
      <c r="F349">
        <v>1</v>
      </c>
    </row>
    <row r="350" spans="1:6" x14ac:dyDescent="0.2">
      <c r="A350">
        <v>35</v>
      </c>
      <c r="B350" s="1">
        <v>44024</v>
      </c>
      <c r="C350" t="s">
        <v>20</v>
      </c>
      <c r="D350">
        <v>4</v>
      </c>
      <c r="E350" t="s">
        <v>29</v>
      </c>
      <c r="F350">
        <v>1</v>
      </c>
    </row>
    <row r="351" spans="1:6" x14ac:dyDescent="0.2">
      <c r="A351">
        <v>35</v>
      </c>
      <c r="B351" s="1">
        <v>44025</v>
      </c>
      <c r="C351" t="s">
        <v>33</v>
      </c>
      <c r="D351">
        <v>2</v>
      </c>
      <c r="E351" t="s">
        <v>11</v>
      </c>
      <c r="F351">
        <v>2</v>
      </c>
    </row>
    <row r="352" spans="1:6" x14ac:dyDescent="0.2">
      <c r="A352">
        <v>36</v>
      </c>
      <c r="B352" s="1">
        <v>44026</v>
      </c>
      <c r="C352" t="s">
        <v>34</v>
      </c>
      <c r="D352">
        <v>1</v>
      </c>
      <c r="E352" t="s">
        <v>7</v>
      </c>
      <c r="F352">
        <v>0</v>
      </c>
    </row>
    <row r="353" spans="1:6" x14ac:dyDescent="0.2">
      <c r="A353">
        <v>36</v>
      </c>
      <c r="B353" s="1">
        <v>44027</v>
      </c>
      <c r="C353" t="s">
        <v>10</v>
      </c>
      <c r="D353">
        <v>1</v>
      </c>
      <c r="E353" t="s">
        <v>30</v>
      </c>
      <c r="F353">
        <v>1</v>
      </c>
    </row>
    <row r="354" spans="1:6" x14ac:dyDescent="0.2">
      <c r="A354">
        <v>36</v>
      </c>
      <c r="B354" s="1">
        <v>44027</v>
      </c>
      <c r="C354" t="s">
        <v>9</v>
      </c>
      <c r="D354">
        <v>2</v>
      </c>
      <c r="E354" t="s">
        <v>20</v>
      </c>
      <c r="F354">
        <v>1</v>
      </c>
    </row>
    <row r="355" spans="1:6" x14ac:dyDescent="0.2">
      <c r="A355">
        <v>36</v>
      </c>
      <c r="B355" s="1">
        <v>44027</v>
      </c>
      <c r="C355" t="s">
        <v>31</v>
      </c>
      <c r="D355">
        <v>1</v>
      </c>
      <c r="E355" t="s">
        <v>27</v>
      </c>
      <c r="F355">
        <v>3</v>
      </c>
    </row>
    <row r="356" spans="1:6" x14ac:dyDescent="0.2">
      <c r="A356">
        <v>36</v>
      </c>
      <c r="B356" s="1">
        <v>44027</v>
      </c>
      <c r="C356" t="s">
        <v>32</v>
      </c>
      <c r="D356">
        <v>2</v>
      </c>
      <c r="E356" t="s">
        <v>6</v>
      </c>
      <c r="F356">
        <v>1</v>
      </c>
    </row>
    <row r="357" spans="1:6" x14ac:dyDescent="0.2">
      <c r="A357">
        <v>36</v>
      </c>
      <c r="B357" s="1">
        <v>44028</v>
      </c>
      <c r="C357" t="s">
        <v>24</v>
      </c>
      <c r="D357">
        <v>1</v>
      </c>
      <c r="E357" t="s">
        <v>28</v>
      </c>
      <c r="F357">
        <v>1</v>
      </c>
    </row>
    <row r="358" spans="1:6" x14ac:dyDescent="0.2">
      <c r="A358">
        <v>36</v>
      </c>
      <c r="B358" s="1">
        <v>44028</v>
      </c>
      <c r="C358" t="s">
        <v>29</v>
      </c>
      <c r="D358">
        <v>2</v>
      </c>
      <c r="E358" t="s">
        <v>21</v>
      </c>
      <c r="F358">
        <v>0</v>
      </c>
    </row>
    <row r="359" spans="1:6" x14ac:dyDescent="0.2">
      <c r="A359">
        <v>36</v>
      </c>
      <c r="B359" s="1">
        <v>44028</v>
      </c>
      <c r="C359" t="s">
        <v>23</v>
      </c>
      <c r="D359">
        <v>0</v>
      </c>
      <c r="E359" t="s">
        <v>33</v>
      </c>
      <c r="F359">
        <v>2</v>
      </c>
    </row>
    <row r="360" spans="1:6" x14ac:dyDescent="0.2">
      <c r="A360">
        <v>36</v>
      </c>
      <c r="B360" s="1">
        <v>44028</v>
      </c>
      <c r="C360" t="s">
        <v>11</v>
      </c>
      <c r="D360">
        <v>1</v>
      </c>
      <c r="E360" t="s">
        <v>26</v>
      </c>
      <c r="F360">
        <v>1</v>
      </c>
    </row>
    <row r="361" spans="1:6" x14ac:dyDescent="0.2">
      <c r="A361">
        <v>36</v>
      </c>
      <c r="B361" s="1">
        <v>44029</v>
      </c>
      <c r="C361" t="s">
        <v>8</v>
      </c>
      <c r="D361">
        <v>3</v>
      </c>
      <c r="E361" t="s">
        <v>25</v>
      </c>
      <c r="F361">
        <v>1</v>
      </c>
    </row>
    <row r="362" spans="1:6" x14ac:dyDescent="0.2">
      <c r="A362">
        <v>37</v>
      </c>
      <c r="B362" s="1">
        <v>44030</v>
      </c>
      <c r="C362" t="s">
        <v>7</v>
      </c>
      <c r="D362">
        <v>0</v>
      </c>
      <c r="E362" t="s">
        <v>10</v>
      </c>
      <c r="F362">
        <v>2</v>
      </c>
    </row>
    <row r="363" spans="1:6" x14ac:dyDescent="0.2">
      <c r="A363">
        <v>37</v>
      </c>
      <c r="B363" s="1">
        <v>44031</v>
      </c>
      <c r="C363" t="s">
        <v>20</v>
      </c>
      <c r="D363">
        <v>0</v>
      </c>
      <c r="E363" t="s">
        <v>11</v>
      </c>
      <c r="F363">
        <v>2</v>
      </c>
    </row>
    <row r="364" spans="1:6" x14ac:dyDescent="0.2">
      <c r="A364">
        <v>37</v>
      </c>
      <c r="B364" s="1">
        <v>44031</v>
      </c>
      <c r="C364" t="s">
        <v>27</v>
      </c>
      <c r="D364">
        <v>3</v>
      </c>
      <c r="E364" t="s">
        <v>29</v>
      </c>
      <c r="F364">
        <v>0</v>
      </c>
    </row>
    <row r="365" spans="1:6" x14ac:dyDescent="0.2">
      <c r="A365">
        <v>37</v>
      </c>
      <c r="B365" s="1">
        <v>44032</v>
      </c>
      <c r="C365" t="s">
        <v>26</v>
      </c>
      <c r="D365">
        <v>0</v>
      </c>
      <c r="E365" t="s">
        <v>31</v>
      </c>
      <c r="F365">
        <v>0</v>
      </c>
    </row>
    <row r="366" spans="1:6" x14ac:dyDescent="0.2">
      <c r="A366">
        <v>37</v>
      </c>
      <c r="B366" s="1">
        <v>44032</v>
      </c>
      <c r="C366" t="s">
        <v>21</v>
      </c>
      <c r="D366">
        <v>0</v>
      </c>
      <c r="E366" t="s">
        <v>24</v>
      </c>
      <c r="F366">
        <v>1</v>
      </c>
    </row>
    <row r="367" spans="1:6" x14ac:dyDescent="0.2">
      <c r="A367">
        <v>37</v>
      </c>
      <c r="B367" s="1">
        <v>44032</v>
      </c>
      <c r="C367" t="s">
        <v>30</v>
      </c>
      <c r="D367">
        <v>2</v>
      </c>
      <c r="E367" t="s">
        <v>23</v>
      </c>
      <c r="F367">
        <v>0</v>
      </c>
    </row>
    <row r="368" spans="1:6" x14ac:dyDescent="0.2">
      <c r="A368">
        <v>37</v>
      </c>
      <c r="B368" s="1">
        <v>44033</v>
      </c>
      <c r="C368" t="s">
        <v>25</v>
      </c>
      <c r="D368">
        <v>0</v>
      </c>
      <c r="E368" t="s">
        <v>9</v>
      </c>
      <c r="F368">
        <v>4</v>
      </c>
    </row>
    <row r="369" spans="1:6" x14ac:dyDescent="0.2">
      <c r="A369">
        <v>37</v>
      </c>
      <c r="B369" s="1">
        <v>44033</v>
      </c>
      <c r="C369" t="s">
        <v>28</v>
      </c>
      <c r="D369">
        <v>1</v>
      </c>
      <c r="E369" t="s">
        <v>32</v>
      </c>
      <c r="F369">
        <v>0</v>
      </c>
    </row>
    <row r="370" spans="1:6" x14ac:dyDescent="0.2">
      <c r="A370">
        <v>37</v>
      </c>
      <c r="B370" s="1">
        <v>44034</v>
      </c>
      <c r="C370" t="s">
        <v>33</v>
      </c>
      <c r="D370">
        <v>1</v>
      </c>
      <c r="E370" t="s">
        <v>8</v>
      </c>
      <c r="F370">
        <v>1</v>
      </c>
    </row>
    <row r="371" spans="1:6" x14ac:dyDescent="0.2">
      <c r="A371">
        <v>37</v>
      </c>
      <c r="B371" s="1">
        <v>44034</v>
      </c>
      <c r="C371" t="s">
        <v>6</v>
      </c>
      <c r="D371">
        <v>5</v>
      </c>
      <c r="E371" t="s">
        <v>34</v>
      </c>
      <c r="F371">
        <v>3</v>
      </c>
    </row>
    <row r="372" spans="1:6" x14ac:dyDescent="0.2">
      <c r="A372">
        <v>38</v>
      </c>
      <c r="B372" s="1">
        <v>44038</v>
      </c>
      <c r="C372" t="s">
        <v>32</v>
      </c>
      <c r="D372">
        <v>3</v>
      </c>
      <c r="E372" t="s">
        <v>25</v>
      </c>
      <c r="F372">
        <v>2</v>
      </c>
    </row>
    <row r="373" spans="1:6" x14ac:dyDescent="0.2">
      <c r="A373">
        <v>38</v>
      </c>
      <c r="B373" s="1">
        <v>44038</v>
      </c>
      <c r="C373" t="s">
        <v>10</v>
      </c>
      <c r="D373">
        <v>1</v>
      </c>
      <c r="E373" t="s">
        <v>26</v>
      </c>
      <c r="F373">
        <v>2</v>
      </c>
    </row>
    <row r="374" spans="1:6" x14ac:dyDescent="0.2">
      <c r="A374">
        <v>38</v>
      </c>
      <c r="B374" s="1">
        <v>44038</v>
      </c>
      <c r="C374" t="s">
        <v>34</v>
      </c>
      <c r="D374">
        <v>2</v>
      </c>
      <c r="E374" t="s">
        <v>30</v>
      </c>
      <c r="F374">
        <v>0</v>
      </c>
    </row>
    <row r="375" spans="1:6" x14ac:dyDescent="0.2">
      <c r="A375">
        <v>38</v>
      </c>
      <c r="B375" s="1">
        <v>44038</v>
      </c>
      <c r="C375" t="s">
        <v>23</v>
      </c>
      <c r="D375">
        <v>1</v>
      </c>
      <c r="E375" t="s">
        <v>27</v>
      </c>
      <c r="F375">
        <v>1</v>
      </c>
    </row>
    <row r="376" spans="1:6" x14ac:dyDescent="0.2">
      <c r="A376">
        <v>38</v>
      </c>
      <c r="B376" s="1">
        <v>44038</v>
      </c>
      <c r="C376" t="s">
        <v>24</v>
      </c>
      <c r="D376">
        <v>1</v>
      </c>
      <c r="E376" t="s">
        <v>20</v>
      </c>
      <c r="F376">
        <v>3</v>
      </c>
    </row>
    <row r="377" spans="1:6" x14ac:dyDescent="0.2">
      <c r="A377">
        <v>38</v>
      </c>
      <c r="B377" s="1">
        <v>44038</v>
      </c>
      <c r="C377" t="s">
        <v>29</v>
      </c>
      <c r="D377">
        <v>0</v>
      </c>
      <c r="E377" t="s">
        <v>33</v>
      </c>
      <c r="F377">
        <v>2</v>
      </c>
    </row>
    <row r="378" spans="1:6" x14ac:dyDescent="0.2">
      <c r="A378">
        <v>38</v>
      </c>
      <c r="B378" s="1">
        <v>44038</v>
      </c>
      <c r="C378" t="s">
        <v>9</v>
      </c>
      <c r="D378">
        <v>5</v>
      </c>
      <c r="E378" t="s">
        <v>7</v>
      </c>
      <c r="F378">
        <v>0</v>
      </c>
    </row>
    <row r="379" spans="1:6" x14ac:dyDescent="0.2">
      <c r="A379">
        <v>38</v>
      </c>
      <c r="B379" s="1">
        <v>44038</v>
      </c>
      <c r="C379" t="s">
        <v>31</v>
      </c>
      <c r="D379">
        <v>1</v>
      </c>
      <c r="E379" t="s">
        <v>6</v>
      </c>
      <c r="F379">
        <v>3</v>
      </c>
    </row>
    <row r="380" spans="1:6" x14ac:dyDescent="0.2">
      <c r="A380">
        <v>38</v>
      </c>
      <c r="B380" s="1">
        <v>44038</v>
      </c>
      <c r="C380" t="s">
        <v>11</v>
      </c>
      <c r="D380">
        <v>3</v>
      </c>
      <c r="E380" t="s">
        <v>21</v>
      </c>
      <c r="F380">
        <v>1</v>
      </c>
    </row>
    <row r="381" spans="1:6" x14ac:dyDescent="0.2">
      <c r="A381">
        <v>38</v>
      </c>
      <c r="B381" s="1">
        <v>44038</v>
      </c>
      <c r="C381" t="s">
        <v>8</v>
      </c>
      <c r="D381">
        <v>1</v>
      </c>
      <c r="E381" t="s">
        <v>28</v>
      </c>
      <c r="F381">
        <v>1</v>
      </c>
    </row>
  </sheetData>
  <sortState xmlns:xlrd2="http://schemas.microsoft.com/office/spreadsheetml/2017/richdata2" ref="J2:Q8">
    <sortCondition descending="1" ref="J2:J8"/>
  </sortState>
  <phoneticPr fontId="1" type="noConversion"/>
  <dataValidations count="1">
    <dataValidation allowBlank="1" showInputMessage="1" showErrorMessage="1" sqref="I5" xr:uid="{365CBF54-E3B6-443E-BC97-A27F828B6FED}"/>
  </dataValidations>
  <pageMargins left="0.7" right="0.7" top="0.75" bottom="0.75" header="0.3" footer="0.3"/>
  <pageSetup paperSize="9" orientation="portrait" horizontalDpi="0" verticalDpi="0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EB5AAC-5746-4C5E-BE4E-12CDD280ED22}">
          <x14:formula1>
            <xm:f>_xlfn.ANCHORARRAY('League Table Unsort'!$C$3)</xm:f>
          </x14:formula1>
          <xm:sqref>I4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164BA-E461-41B6-9B50-FF350B30865F}">
  <sheetPr codeName="Sheet2"/>
  <dimension ref="B1:AW42"/>
  <sheetViews>
    <sheetView zoomScale="50" zoomScaleNormal="50" workbookViewId="0">
      <selection activeCell="AE8" sqref="AE8"/>
    </sheetView>
  </sheetViews>
  <sheetFormatPr baseColWidth="10" defaultColWidth="8.83203125" defaultRowHeight="15" x14ac:dyDescent="0.2"/>
  <cols>
    <col min="2" max="2" width="31.33203125" bestFit="1" customWidth="1"/>
    <col min="3" max="40" width="5.33203125" customWidth="1"/>
    <col min="41" max="43" width="9.6640625" customWidth="1"/>
    <col min="44" max="47" width="15.6640625" customWidth="1"/>
    <col min="48" max="48" width="17.5" customWidth="1"/>
    <col min="49" max="49" width="15.6640625" customWidth="1"/>
  </cols>
  <sheetData>
    <row r="1" spans="2:49" ht="20.25" customHeight="1" x14ac:dyDescent="0.3">
      <c r="B1" s="66" t="s">
        <v>35</v>
      </c>
      <c r="AO1" s="105" t="s">
        <v>36</v>
      </c>
      <c r="AP1" s="105"/>
      <c r="AQ1" s="105"/>
      <c r="AR1" s="105" t="s">
        <v>37</v>
      </c>
      <c r="AS1" s="105"/>
      <c r="AT1" s="105" t="s">
        <v>105</v>
      </c>
      <c r="AU1" s="105"/>
      <c r="AV1" s="105"/>
      <c r="AW1" s="105"/>
    </row>
    <row r="2" spans="2:49" ht="25.5" customHeight="1" x14ac:dyDescent="0.2">
      <c r="B2" s="65" t="s">
        <v>38</v>
      </c>
      <c r="C2" s="65">
        <v>1</v>
      </c>
      <c r="D2" s="65">
        <v>2</v>
      </c>
      <c r="E2" s="65">
        <v>3</v>
      </c>
      <c r="F2" s="65">
        <v>4</v>
      </c>
      <c r="G2" s="65">
        <v>5</v>
      </c>
      <c r="H2" s="65">
        <v>6</v>
      </c>
      <c r="I2" s="65">
        <v>7</v>
      </c>
      <c r="J2" s="65">
        <v>8</v>
      </c>
      <c r="K2" s="65">
        <v>9</v>
      </c>
      <c r="L2" s="65">
        <v>10</v>
      </c>
      <c r="M2" s="65">
        <v>11</v>
      </c>
      <c r="N2" s="65">
        <v>12</v>
      </c>
      <c r="O2" s="65">
        <v>13</v>
      </c>
      <c r="P2" s="65">
        <v>14</v>
      </c>
      <c r="Q2" s="65">
        <v>15</v>
      </c>
      <c r="R2" s="65">
        <v>16</v>
      </c>
      <c r="S2" s="65">
        <v>17</v>
      </c>
      <c r="T2" s="65">
        <v>18</v>
      </c>
      <c r="U2" s="65">
        <v>19</v>
      </c>
      <c r="V2" s="65">
        <v>20</v>
      </c>
      <c r="W2" s="65">
        <v>21</v>
      </c>
      <c r="X2" s="65">
        <v>22</v>
      </c>
      <c r="Y2" s="65">
        <v>23</v>
      </c>
      <c r="Z2" s="65">
        <v>24</v>
      </c>
      <c r="AA2" s="65">
        <v>25</v>
      </c>
      <c r="AB2" s="65">
        <v>26</v>
      </c>
      <c r="AC2" s="65">
        <v>27</v>
      </c>
      <c r="AD2" s="65">
        <v>28</v>
      </c>
      <c r="AE2" s="65">
        <v>29</v>
      </c>
      <c r="AF2" s="65">
        <v>30</v>
      </c>
      <c r="AG2" s="65">
        <v>31</v>
      </c>
      <c r="AH2" s="65">
        <v>32</v>
      </c>
      <c r="AI2" s="65">
        <v>33</v>
      </c>
      <c r="AJ2" s="65">
        <v>34</v>
      </c>
      <c r="AK2" s="65">
        <v>35</v>
      </c>
      <c r="AL2" s="65">
        <v>36</v>
      </c>
      <c r="AM2" s="65">
        <v>37</v>
      </c>
      <c r="AN2" s="65">
        <v>38</v>
      </c>
      <c r="AO2" s="79" t="s">
        <v>39</v>
      </c>
      <c r="AP2" s="79" t="s">
        <v>40</v>
      </c>
      <c r="AQ2" s="79" t="s">
        <v>41</v>
      </c>
      <c r="AR2" s="80" t="s">
        <v>42</v>
      </c>
      <c r="AS2" s="80" t="s">
        <v>43</v>
      </c>
      <c r="AT2" s="82" t="s">
        <v>103</v>
      </c>
      <c r="AU2" s="82" t="s">
        <v>104</v>
      </c>
      <c r="AV2" s="83" t="s">
        <v>44</v>
      </c>
      <c r="AW2" s="83" t="s">
        <v>45</v>
      </c>
    </row>
    <row r="3" spans="2:49" ht="14.5" customHeight="1" x14ac:dyDescent="0.2">
      <c r="B3" t="str" cm="1">
        <f t="array" ref="B3:B22">_xlfn.UNIQUE(eng_1[Home])</f>
        <v>Liverpool FC</v>
      </c>
      <c r="C3" s="75" cm="1">
        <f t="array" ref="C3">SUMPRODUCT(('England 1'!$C$2:$C$11='Team Position by Round'!$B3)*('England 1'!$D$2:$D$11&gt;'England 1'!$F$2:$F$11))*3+SUMPRODUCT(('England 1'!$E$2:$E$11='Team Position by Round'!$B3)*('England 1'!$F$2:$F$11&gt;'England 1'!$D$2:$D$11))*3+SUMPRODUCT(('England 1'!$C$2:$C$11='Team Position by Round'!$B3)*('England 1'!$D$2:$D$11='England 1'!$F$2:$F$11))+SUMPRODUCT(('England 1'!$E$2:$E$11='Team Position by Round'!$B3)*('England 1'!$F$2:$F$11='England 1'!$D$2:$D$11))</f>
        <v>3</v>
      </c>
      <c r="D3" s="75" cm="1">
        <f t="array" ref="D3">SUMPRODUCT(('England 1'!$C$12:$C$21='Team Position by Round'!$B3)*('England 1'!$D$12:$D$21&gt;'England 1'!$F$12:$F$21))*3+SUMPRODUCT(('England 1'!$E$12:$E$21='Team Position by Round'!$B3)*('England 1'!$F$12:$F$21&gt;'England 1'!$D$12:$D$21))*3+SUMPRODUCT(('England 1'!$C$12:$C$21='Team Position by Round'!$B3)*('England 1'!$D$12:$D$21='England 1'!$F$12:$F$21))+SUMPRODUCT(('England 1'!$E$12:$E$21='Team Position by Round'!$B3)*('England 1'!$F$12:$F$21='England 1'!$D$12:$D$21))</f>
        <v>3</v>
      </c>
      <c r="E3" s="75" cm="1">
        <f t="array" ref="E3">SUMPRODUCT(('England 1'!$C$22:$C$31='Team Position by Round'!$B3)*('England 1'!$D$22:$D$31&gt;'England 1'!$F$22:$F$31))*3+SUMPRODUCT(('England 1'!$E$22:$E$31='Team Position by Round'!$B3)*('England 1'!$F$22:$F$31&gt;'England 1'!$D$22:$D$31))*3+SUMPRODUCT(('England 1'!$C$22:$C$31='Team Position by Round'!$B3)*('England 1'!$D$22:$D$31='England 1'!$F$22:$F$31))+SUMPRODUCT(('England 1'!$E$22:$E$31='Team Position by Round'!$B3)*('England 1'!$F$22:$F$31='England 1'!$D$22:$D$31))</f>
        <v>3</v>
      </c>
      <c r="F3" s="75" cm="1">
        <f t="array" ref="F3">SUMPRODUCT(('England 1'!$C$32:$C$41='Team Position by Round'!$B3)*('England 1'!$D$32:$D$41&gt;'England 1'!$F$32:$F$41))*3+SUMPRODUCT(('England 1'!$E$32:$E$41='Team Position by Round'!$B3)*('England 1'!$F$32:$F$41&gt;'England 1'!$D$32:$D$41))*3+SUMPRODUCT(('England 1'!$C$32:$C$41='Team Position by Round'!$B3)*('England 1'!$D$32:$D$41='England 1'!$F$32:$F$41))+SUMPRODUCT(('England 1'!$E$32:$E$41='Team Position by Round'!$B3)*('England 1'!$F$32:$F$41='England 1'!$D$32:$D$41))</f>
        <v>3</v>
      </c>
      <c r="G3" s="75" cm="1">
        <f t="array" ref="G3">SUMPRODUCT(('England 1'!$C$42:$C$51='Team Position by Round'!$B3)*('England 1'!$D$42:$D$51&gt;'England 1'!$F$42:$F$51))*3+SUMPRODUCT(('England 1'!$E$42:$E$51='Team Position by Round'!$B3)*('England 1'!$F$42:$F$51&gt;'England 1'!$D$42:$D$51))*3+SUMPRODUCT(('England 1'!$C$42:$C$51='Team Position by Round'!$B3)*('England 1'!$D$42:$D$51='England 1'!$F$42:$F$51))+SUMPRODUCT(('England 1'!$E$42:$E$51='Team Position by Round'!$B3)*('England 1'!$F$42:$F$51='England 1'!$D$42:$D$51))</f>
        <v>3</v>
      </c>
      <c r="H3" s="75" cm="1">
        <f t="array" ref="H3">SUMPRODUCT(('England 1'!$C$52:$C$61='Team Position by Round'!$B3)*('England 1'!$D$52:$D$61&gt;'England 1'!$F$52:$F$61))*3+SUMPRODUCT(('England 1'!$E$52:$E$61='Team Position by Round'!$B3)*('England 1'!$F$52:$F$61&gt;'England 1'!$D$52:$D$61))*3+SUMPRODUCT(('England 1'!$C$52:$C$61='Team Position by Round'!$B3)*('England 1'!$D$52:$D$61='England 1'!$F$52:$F$61))+SUMPRODUCT(('England 1'!$E$52:$E$61='Team Position by Round'!$B3)*('England 1'!$F$52:$F$61='England 1'!$D$52:$D$61))</f>
        <v>3</v>
      </c>
      <c r="I3" s="75" cm="1">
        <f t="array" ref="I3">SUMPRODUCT(('England 1'!$C$62:$C$71='Team Position by Round'!$B3)*('England 1'!$D$62:$D$71&gt;'England 1'!$F$62:$F$71))*3+SUMPRODUCT(('England 1'!$E$62:$E$71='Team Position by Round'!$B3)*('England 1'!$F$62:$F$71&gt;'England 1'!$D$62:$D$71))*3+SUMPRODUCT(('England 1'!$C$62:$C$71='Team Position by Round'!$B3)*('England 1'!$D$62:$D$71='England 1'!$F$62:$F$71))+SUMPRODUCT(('England 1'!$E$62:$E$71='Team Position by Round'!$B3)*('England 1'!$F$62:$F$71='England 1'!$D$62:$D$71))</f>
        <v>3</v>
      </c>
      <c r="J3" s="76" cm="1">
        <f t="array" ref="J3">SUMPRODUCT(('England 1'!$C$72:$C$81='Team Position by Round'!$B3)*('England 1'!$D$72:$D$81&gt;'England 1'!$F$72:$F$81))*3+SUMPRODUCT(('England 1'!$E$72:$E$81='Team Position by Round'!$B3)*('England 1'!$F$72:$F$81&gt;'England 1'!$D$72:$D$81))*3+SUMPRODUCT(('England 1'!$C$72:$C$81='Team Position by Round'!$B3)*('England 1'!$D$72:$D$81='England 1'!$F$72:$F$81))+SUMPRODUCT(('England 1'!$E$72:$E$81='Team Position by Round'!$B3)*('England 1'!$F$72:$F$81='England 1'!$D$72:$D$81))</f>
        <v>3</v>
      </c>
      <c r="K3" s="75" cm="1">
        <f t="array" ref="K3">SUMPRODUCT(('England 1'!$C$82:$C$91='Team Position by Round'!$B3)*('England 1'!$D$82:$D$91&gt;'England 1'!$F$82:$F$91))*3+SUMPRODUCT(('England 1'!$E$82:$E$91='Team Position by Round'!$B3)*('England 1'!$F$82:$F$91&gt;'England 1'!$D$82:$D$91))*3+SUMPRODUCT(('England 1'!$C$82:$C$91='Team Position by Round'!$B3)*('England 1'!$D$82:$D$91='England 1'!$F$82:$F$91))+SUMPRODUCT(('England 1'!$E$82:$E$91='Team Position by Round'!$B3)*('England 1'!$F$82:$F$91='England 1'!$D$82:$D$91))</f>
        <v>1</v>
      </c>
      <c r="L3" s="75" cm="1">
        <f t="array" ref="L3">SUMPRODUCT(('England 1'!$C$92:$C$101='Team Position by Round'!$B3)*('England 1'!$D$92:$D$101&gt;'England 1'!$F$92:$F$101))*3+SUMPRODUCT(('England 1'!$E$92:$E$101='Team Position by Round'!$B3)*('England 1'!$F$92:$F$101&gt;'England 1'!$D$92:$D$101))*3+SUMPRODUCT(('England 1'!$C$92:$C$101='Team Position by Round'!$B3)*('England 1'!$D$92:$D$101='England 1'!$F$92:$F$101))+SUMPRODUCT(('England 1'!$E$92:$E$101='Team Position by Round'!$B3)*('England 1'!$F$92:$F$101='England 1'!$D$92:$D$101))</f>
        <v>3</v>
      </c>
      <c r="M3" s="75" cm="1">
        <f t="array" ref="M3">SUMPRODUCT(('England 1'!$C$102:$C$111='Team Position by Round'!$B3)*('England 1'!$D$102:$D$111&gt;'England 1'!$F$102:$F$111))*3+SUMPRODUCT(('England 1'!$E$102:$E$111='Team Position by Round'!$B3)*('England 1'!$F$102:$F$111&gt;'England 1'!$D$102:$D$111))*3+SUMPRODUCT(('England 1'!$C$102:$C$111='Team Position by Round'!$B3)*('England 1'!$D$102:$D$111='England 1'!$F$102:$F$111))+SUMPRODUCT(('England 1'!$E$102:$E$111='Team Position by Round'!$B3)*('England 1'!$F$102:$F$111='England 1'!$D$102:$D$111))</f>
        <v>3</v>
      </c>
      <c r="N3" s="75" cm="1">
        <f t="array" ref="N3">SUMPRODUCT(('England 1'!$C$112:$C$121='Team Position by Round'!$B3)*('England 1'!$D$112:$D$121&gt;'England 1'!$F$112:$F$121))*3+SUMPRODUCT(('England 1'!$E$112:$E$121='Team Position by Round'!$B3)*('England 1'!$F$112:$F$121&gt;'England 1'!$D$112:$D$121))*3+SUMPRODUCT(('England 1'!$C$112:$C$121='Team Position by Round'!$B3)*('England 1'!$D$112:$D$121='England 1'!$F$112:$F$121))+SUMPRODUCT(('England 1'!$E$112:$E$121='Team Position by Round'!$B3)*('England 1'!$F$112:$F$121='England 1'!$D$112:$D$121))</f>
        <v>3</v>
      </c>
      <c r="O3" s="75" cm="1">
        <f t="array" ref="O3">SUMPRODUCT(('England 1'!$C$122:$C$131='Team Position by Round'!$B3)*('England 1'!$D$122:$D$131&gt;'England 1'!$F$122:$F$131))*3+SUMPRODUCT(('England 1'!$E$122:$E$131='Team Position by Round'!$B3)*('England 1'!$F$122:$F$131&gt;'England 1'!$D$122:$D$131))*3+SUMPRODUCT(('England 1'!$C$122:$C$131='Team Position by Round'!$B3)*('England 1'!$D$122:$D$131='England 1'!$F$122:$F$131))+SUMPRODUCT(('England 1'!$E$122:$E$131='Team Position by Round'!$B3)*('England 1'!$F$122:$F$131='England 1'!$D$122:$D$131))</f>
        <v>3</v>
      </c>
      <c r="P3" s="75" cm="1">
        <f t="array" ref="P3">SUMPRODUCT(('England 1'!$C$132:$C$141='Team Position by Round'!$B3)*('England 1'!$D$132:$D$141&gt;'England 1'!$F$132:$F$141))*3+SUMPRODUCT(('England 1'!$E$132:$E$141='Team Position by Round'!$B3)*('England 1'!$F$132:$F$141&gt;'England 1'!$D$132:$D$141))*3+SUMPRODUCT(('England 1'!$C$132:$C$141='Team Position by Round'!$B3)*('England 1'!$D$132:$D$141='England 1'!$F$132:$F$141))+SUMPRODUCT(('England 1'!$E$132:$E$141='Team Position by Round'!$B3)*('England 1'!$F$132:$F$141='England 1'!$D$132:$D$141))</f>
        <v>3</v>
      </c>
      <c r="Q3" s="75" cm="1">
        <f t="array" ref="Q3">SUMPRODUCT(('England 1'!$C$142:$C$151='Team Position by Round'!$B3)*('England 1'!$D$142:$D$151&gt;'England 1'!$F$142:$F$151))*3+SUMPRODUCT(('England 1'!$E$142:$E$151='Team Position by Round'!$B3)*('England 1'!$F$142:$F$151&gt;'England 1'!$D$142:$D$151))*3+SUMPRODUCT(('England 1'!$C$142:$C$151='Team Position by Round'!$B3)*('England 1'!$D$142:$D$151='England 1'!$F$142:$F$151))+SUMPRODUCT(('England 1'!$E$142:$E$151='Team Position by Round'!$B3)*('England 1'!$F$142:$F$151='England 1'!$D$142:$D$151))</f>
        <v>3</v>
      </c>
      <c r="R3" s="75" cm="1">
        <f t="array" ref="R3">SUMPRODUCT(('England 1'!$C$152:$C$161='Team Position by Round'!$B3)*('England 1'!$D$152:$D$161&gt;'England 1'!$F$152:$F$161))*3+SUMPRODUCT(('England 1'!$E$152:$E$161='Team Position by Round'!$B3)*('England 1'!$F$152:$F$161&gt;'England 1'!$D$152:$D$161))*3+SUMPRODUCT(('England 1'!$C$152:$C$161='Team Position by Round'!$B3)*('England 1'!$D$152:$D$161='England 1'!$F$152:$F$161))+SUMPRODUCT(('England 1'!$E$152:$E$161='Team Position by Round'!$B3)*('England 1'!$F$152:$F$161='England 1'!$D$152:$D$161))</f>
        <v>3</v>
      </c>
      <c r="S3" s="75" cm="1">
        <f t="array" ref="S3">SUMPRODUCT(('England 1'!$C$162:$C$171='Team Position by Round'!$B3)*('England 1'!$D$162:$D$171&gt;'England 1'!$F$162:$F$171))*3+SUMPRODUCT(('England 1'!$E$162:$E$171='Team Position by Round'!$B3)*('England 1'!$F$162:$F$171&gt;'England 1'!$D$162:$D$171))*3+SUMPRODUCT(('England 1'!$C$162:$C$171='Team Position by Round'!$B3)*('England 1'!$D$162:$D$171='England 1'!$F$162:$F$171))+SUMPRODUCT(('England 1'!$E$162:$E$171='Team Position by Round'!$B3)*('England 1'!$F$162:$F$171='England 1'!$D$162:$D$171))</f>
        <v>3</v>
      </c>
      <c r="T3" s="75" cm="1">
        <f t="array" ref="T3">SUMPRODUCT(('England 1'!$C$172:$C$181='Team Position by Round'!$B3)*('England 1'!$D$172:$D$181&gt;'England 1'!$F$172:$F$181))*3+SUMPRODUCT(('England 1'!$E$172:$E$181='Team Position by Round'!$B3)*('England 1'!$F$172:$F$181&gt;'England 1'!$D$172:$D$181))*3+SUMPRODUCT(('England 1'!$C$172:$C$181='Team Position by Round'!$B3)*('England 1'!$D$172:$D$181='England 1'!$F$172:$F$181))+SUMPRODUCT(('England 1'!$E$172:$E$181='Team Position by Round'!$B3)*('England 1'!$F$172:$F$181='England 1'!$D$172:$D$181))</f>
        <v>3</v>
      </c>
      <c r="U3" s="75" cm="1">
        <f t="array" ref="U3">SUMPRODUCT(('England 1'!$C$182:$C$191='Team Position by Round'!$B3)*('England 1'!$D$182:$D$191&gt;'England 1'!$F$182:$F$191))*3+SUMPRODUCT(('England 1'!$E$182:$E$191='Team Position by Round'!$B3)*('England 1'!$F$182:$F$191&gt;'England 1'!$D$182:$D$191))*3+SUMPRODUCT(('England 1'!$C$182:$C$191='Team Position by Round'!$B3)*('England 1'!$D$182:$D$191='England 1'!$F$182:$F$191))+SUMPRODUCT(('England 1'!$E$182:$E$191='Team Position by Round'!$B3)*('England 1'!$F$182:$F$191='England 1'!$D$182:$D$191))</f>
        <v>3</v>
      </c>
      <c r="V3" s="75" cm="1">
        <f t="array" ref="V3">SUMPRODUCT(('England 1'!$C$192:$C$201='Team Position by Round'!$B3)*('England 1'!$D$192:$D$201&gt;'England 1'!$F$192:$F$201))*3+SUMPRODUCT(('England 1'!$E$192:$E$201='Team Position by Round'!$B3)*('England 1'!$F$192:$F$201&gt;'England 1'!$D$192:$D$201))*3+SUMPRODUCT(('England 1'!$C$192:$C$201='Team Position by Round'!$B3)*('England 1'!$D$192:$D$201='England 1'!$F$192:$F$201))+SUMPRODUCT(('England 1'!$E$192:$E$201='Team Position by Round'!$B3)*('England 1'!$F$192:$F$201='England 1'!$D$192:$D$201))</f>
        <v>3</v>
      </c>
      <c r="W3" s="75" cm="1">
        <f t="array" ref="W3">SUMPRODUCT(('England 1'!$C$202:$C$211='Team Position by Round'!$B3)*('England 1'!$D$202:$D$211&gt;'England 1'!$F$202:$F$211))*3+SUMPRODUCT(('England 1'!$E$202:$E$211='Team Position by Round'!$B3)*('England 1'!$F$202:$F$211&gt;'England 1'!$D$202:$D$211))*3+SUMPRODUCT(('England 1'!$C$202:$C$211='Team Position by Round'!$B3)*('England 1'!$D$202:$D$211='England 1'!$F$202:$F$211))+SUMPRODUCT(('England 1'!$E$202:$E$211='Team Position by Round'!$B3)*('England 1'!$F$202:$F$211='England 1'!$D$202:$D$211))</f>
        <v>3</v>
      </c>
      <c r="X3" s="75" cm="1">
        <f t="array" ref="X3">SUMPRODUCT(('England 1'!$C$212:$C$221='Team Position by Round'!$B3)*('England 1'!$D$212:$D$221&gt;'England 1'!$F$212:$F$221))*3+SUMPRODUCT(('England 1'!$E$212:$E$221='Team Position by Round'!$B3)*('England 1'!$F$212:$F$221&gt;'England 1'!$D$212:$D$221))*3+SUMPRODUCT(('England 1'!$C$212:$C$221='Team Position by Round'!$B3)*('England 1'!$D$212:$D$221='England 1'!$F$212:$F$221))+SUMPRODUCT(('England 1'!$E$212:$E$221='Team Position by Round'!$B3)*('England 1'!$F$212:$F$221='England 1'!$D$212:$D$221))</f>
        <v>3</v>
      </c>
      <c r="Y3" s="75" cm="1">
        <f t="array" ref="Y3">SUMPRODUCT(('England 1'!$C$222:$C$231='Team Position by Round'!$B3)*('England 1'!$D$222:$D$231&gt;'England 1'!$F$222:$F$231))*3+SUMPRODUCT(('England 1'!$E$222:$E$231='Team Position by Round'!$B3)*('England 1'!$F$222:$F$231&gt;'England 1'!$D$222:$D$231))*3+SUMPRODUCT(('England 1'!$C$222:$C$231='Team Position by Round'!$B3)*('England 1'!$D$222:$D$231='England 1'!$F$222:$F$231))+SUMPRODUCT(('England 1'!$E$222:$E$231='Team Position by Round'!$B3)*('England 1'!$F$222:$F$231='England 1'!$D$222:$D$231))</f>
        <v>3</v>
      </c>
      <c r="Z3" s="75" cm="1">
        <f t="array" ref="Z3">SUMPRODUCT(('England 1'!$C$232:$C$241='Team Position by Round'!$B3)*('England 1'!$D$232:$D$241&gt;'England 1'!$F$232:$F$241))*3+SUMPRODUCT(('England 1'!$E$232:$E$241='Team Position by Round'!$B3)*('England 1'!$F$232:$F$241&gt;'England 1'!$D$232:$D$241))*3+SUMPRODUCT(('England 1'!$C$232:$C$241='Team Position by Round'!$B3)*('England 1'!$D$232:$D$241='England 1'!$F$232:$F$241))+SUMPRODUCT(('England 1'!$E$232:$E$241='Team Position by Round'!$B3)*('England 1'!$F$232:$F$241='England 1'!$D$232:$D$241))</f>
        <v>3</v>
      </c>
      <c r="AA3" s="75" cm="1">
        <f t="array" ref="AA3">SUMPRODUCT(('England 1'!$C$242:$C$251='Team Position by Round'!$B3)*('England 1'!$D$242:$D$251&gt;'England 1'!$F$242:$F$251))*3+SUMPRODUCT(('England 1'!$E$242:$E$251='Team Position by Round'!$B3)*('England 1'!$F$242:$F$251&gt;'England 1'!$D$242:$D$251))*3+SUMPRODUCT(('England 1'!$C$242:$C$251='Team Position by Round'!$B3)*('England 1'!$D$242:$D$251='England 1'!$F$242:$F$251))+SUMPRODUCT(('England 1'!$E$242:$E$251='Team Position by Round'!$B3)*('England 1'!$F$242:$F$251='England 1'!$D$242:$D$251))</f>
        <v>3</v>
      </c>
      <c r="AB3" s="75" cm="1">
        <f t="array" ref="AB3">SUMPRODUCT(('England 1'!$C$252:$C$261='Team Position by Round'!$B3)*('England 1'!$D$252:$D$261&gt;'England 1'!$F$252:$F$261))*3+SUMPRODUCT(('England 1'!$E$252:$E$261='Team Position by Round'!$B3)*('England 1'!$F$252:$F$261&gt;'England 1'!$D$252:$D$261))*3+SUMPRODUCT(('England 1'!$C$252:$C$261='Team Position by Round'!$B3)*('England 1'!$D$252:$D$261='England 1'!$F$252:$F$261))+SUMPRODUCT(('England 1'!$E$252:$E$261='Team Position by Round'!$B3)*('England 1'!$F$252:$F$261='England 1'!$D$252:$D$261))</f>
        <v>3</v>
      </c>
      <c r="AC3" s="75" cm="1">
        <f t="array" ref="AC3">SUMPRODUCT(('England 1'!$C$262:$C$271='Team Position by Round'!$B3)*('England 1'!$D$262:$D$271&gt;'England 1'!$F$262:$F$271))*3+SUMPRODUCT(('England 1'!$E$262:$E$271='Team Position by Round'!$B3)*('England 1'!$F$262:$F$271&gt;'England 1'!$D$262:$D$271))*3+SUMPRODUCT(('England 1'!$C$262:$C$271='Team Position by Round'!$B3)*('England 1'!$D$262:$D$271='England 1'!$F$262:$F$271))+SUMPRODUCT(('England 1'!$E$262:$E$271='Team Position by Round'!$B3)*('England 1'!$F$262:$F$271='England 1'!$D$262:$D$271))</f>
        <v>3</v>
      </c>
      <c r="AD3" s="75" cm="1">
        <f t="array" ref="AD3">SUMPRODUCT(('England 1'!$C$272:$C$281='Team Position by Round'!$B3)*('England 1'!$D$272:$D$281&gt;'England 1'!$F$272:$F$281))*3+SUMPRODUCT(('England 1'!$E$272:$E$281='Team Position by Round'!$B3)*('England 1'!$F$272:$F$281&gt;'England 1'!$D$272:$D$281))*3+SUMPRODUCT(('England 1'!$C$272:$C$281='Team Position by Round'!$B3)*('England 1'!$D$272:$D$281='England 1'!$F$272:$F$281))+SUMPRODUCT(('England 1'!$E$272:$E$281='Team Position by Round'!$B3)*('England 1'!$F$272:$F$281='England 1'!$D$272:$D$281))</f>
        <v>0</v>
      </c>
      <c r="AE3" s="75" cm="1">
        <f t="array" ref="AE3">SUMPRODUCT(('England 1'!$C$282:$C$291='Team Position by Round'!$B3)*('England 1'!$D$282:$D$291&gt;'England 1'!$F$282:$F$291))*3+SUMPRODUCT(('England 1'!$E$282:$E$291='Team Position by Round'!$B3)*('England 1'!$F$282:$F$291&gt;'England 1'!$D$282:$D$291))*3+SUMPRODUCT(('England 1'!$C$282:$C$291='Team Position by Round'!$B3)*('England 1'!$D$282:$D$291='England 1'!$F$282:$F$291))+SUMPRODUCT(('England 1'!$E$282:$E$291='Team Position by Round'!$B3)*('England 1'!$F$282:$F$291='England 1'!$D$282:$D$291))</f>
        <v>3</v>
      </c>
      <c r="AF3" s="75" cm="1">
        <f t="array" ref="AF3">SUMPRODUCT(('England 1'!$C$292:$C$301='Team Position by Round'!$B3)*('England 1'!$D$292:$D$301&gt;'England 1'!$F$292:$F$301))*3+SUMPRODUCT(('England 1'!$E$292:$E$301='Team Position by Round'!$B3)*('England 1'!$F$292:$F$301&gt;'England 1'!$D$292:$D$301))*3+SUMPRODUCT(('England 1'!$C$292:$C$301='Team Position by Round'!$B3)*('England 1'!$D$292:$D$301='England 1'!$F$292:$F$301))+SUMPRODUCT(('England 1'!$E$292:$E$301='Team Position by Round'!$B3)*('England 1'!$F$292:$F$301='England 1'!$D$292:$D$301))</f>
        <v>1</v>
      </c>
      <c r="AG3" s="75" cm="1">
        <f t="array" ref="AG3">SUMPRODUCT(('England 1'!$C$302:$C$311='Team Position by Round'!$B3)*('England 1'!$D$302:$D$311&gt;'England 1'!$F$302:$F$311))*3+SUMPRODUCT(('England 1'!$E$302:$E$311='Team Position by Round'!$B3)*('England 1'!$F$302:$F$311&gt;'England 1'!$D$302:$D$311))*3+SUMPRODUCT(('England 1'!$C$302:$C$311='Team Position by Round'!$B3)*('England 1'!$D$302:$D$311='England 1'!$F$302:$F$311))+SUMPRODUCT(('England 1'!$E$302:$E$311='Team Position by Round'!$B3)*('England 1'!$F$302:$F$311='England 1'!$D$302:$D$311))</f>
        <v>3</v>
      </c>
      <c r="AH3" s="75" cm="1">
        <f t="array" ref="AH3">SUMPRODUCT(('England 1'!$C$312:$C$321='Team Position by Round'!$B3)*('England 1'!$D$312:$D$321&gt;'England 1'!$F$312:$F$321))*3+SUMPRODUCT(('England 1'!$E$312:$E$321='Team Position by Round'!$B3)*('England 1'!$F$312:$F$321&gt;'England 1'!$D$312:$D$321))*3+SUMPRODUCT(('England 1'!$C$312:$C$321='Team Position by Round'!$B3)*('England 1'!$D$312:$D$321='England 1'!$F$312:$F$321))+SUMPRODUCT(('England 1'!$E$312:$E$321='Team Position by Round'!$B3)*('England 1'!$F$312:$F$321='England 1'!$D$312:$D$321))</f>
        <v>0</v>
      </c>
      <c r="AI3" s="75" cm="1">
        <f t="array" ref="AI3">SUMPRODUCT(('England 1'!$C$322:$C$331='Team Position by Round'!$B3)*('England 1'!$D$322:$D$331&gt;'England 1'!$F$322:$F$331))*3+SUMPRODUCT(('England 1'!$E$322:$E$331='Team Position by Round'!$B3)*('England 1'!$F$322:$F$331&gt;'England 1'!$D$322:$D$331))*3+SUMPRODUCT(('England 1'!$C$322:$C$331='Team Position by Round'!$B3)*('England 1'!$D$322:$D$331='England 1'!$F$322:$F$331))+SUMPRODUCT(('England 1'!$E$322:$E$331='Team Position by Round'!$B3)*('England 1'!$F$322:$F$331='England 1'!$D$322:$D$331))</f>
        <v>3</v>
      </c>
      <c r="AJ3" s="75" cm="1">
        <f t="array" ref="AJ3">SUMPRODUCT(('England 1'!$C$332:$C$341='Team Position by Round'!$B3)*('England 1'!$D$332:$D$341&gt;'England 1'!$F$332:$F$341))*3+SUMPRODUCT(('England 1'!$E$332:$E$341='Team Position by Round'!$B3)*('England 1'!$F$332:$F$341&gt;'England 1'!$D$332:$D$341))*3+SUMPRODUCT(('England 1'!$C$332:$C$341='Team Position by Round'!$B3)*('England 1'!$D$332:$D$341='England 1'!$F$332:$F$341))+SUMPRODUCT(('England 1'!$E$332:$E$341='Team Position by Round'!$B3)*('England 1'!$F$332:$F$341='England 1'!$D$332:$D$341))</f>
        <v>3</v>
      </c>
      <c r="AK3" s="75" cm="1">
        <f t="array" ref="AK3">SUMPRODUCT(('England 1'!$C$342:$C$351='Team Position by Round'!$B3)*('England 1'!$D$342:$D$351&gt;'England 1'!$F$342:$F$351))*3+SUMPRODUCT(('England 1'!$E$342:$E$351='Team Position by Round'!$B3)*('England 1'!$F$342:$F$351&gt;'England 1'!$D$342:$D$351))*3+SUMPRODUCT(('England 1'!$C$342:$C$351='Team Position by Round'!$B3)*('England 1'!$D$342:$D$351='England 1'!$F$342:$F$351))+SUMPRODUCT(('England 1'!$E$342:$E$351='Team Position by Round'!$B3)*('England 1'!$F$342:$F$351='England 1'!$D$342:$D$351))</f>
        <v>1</v>
      </c>
      <c r="AL3" s="75" cm="1">
        <f t="array" ref="AL3">SUMPRODUCT(('England 1'!$C$352:$C$361='Team Position by Round'!$B3)*('England 1'!$D$352:$D$361&gt;'England 1'!$F$352:$F$361))*3+SUMPRODUCT(('England 1'!$E$352:$E$361='Team Position by Round'!$B3)*('England 1'!$F$352:$F$361&gt;'England 1'!$D$352:$D$361))*3+SUMPRODUCT(('England 1'!$C$352:$C$361='Team Position by Round'!$B3)*('England 1'!$D$352:$D$361='England 1'!$F$352:$F$361))+SUMPRODUCT(('England 1'!$E$352:$E$361='Team Position by Round'!$B3)*('England 1'!$F$352:$F$361='England 1'!$D$352:$D$361))</f>
        <v>0</v>
      </c>
      <c r="AM3" s="75" cm="1">
        <f t="array" ref="AM3">SUMPRODUCT(('England 1'!$C$362:$C$371='Team Position by Round'!$B3)*('England 1'!$D$362:$D$371&gt;'England 1'!$F$362:$F$371))*3+SUMPRODUCT(('England 1'!$E$362:$E$371='Team Position by Round'!$B3)*('England 1'!$F$362:$F$371&gt;'England 1'!$D$362:$D$371))*3+SUMPRODUCT(('England 1'!$C$362:$C$371='Team Position by Round'!$B3)*('England 1'!$D$362:$D$371='England 1'!$F$362:$F$371))+SUMPRODUCT(('England 1'!$E$362:$E$371='Team Position by Round'!$B3)*('England 1'!$F$362:$F$371='England 1'!$D$362:$D$371))</f>
        <v>3</v>
      </c>
      <c r="AN3" s="75" cm="1">
        <f t="array" ref="AN3">SUMPRODUCT(('England 1'!$C$372:$C$381='Team Position by Round'!$B3)*('England 1'!$D$372:$D$381&gt;'England 1'!$F$372:$F$381))*3+SUMPRODUCT(('England 1'!$E$372:$E$381='Team Position by Round'!$B3)*('England 1'!$F$372:$F$381&gt;'England 1'!$D$372:$D$381))*3+SUMPRODUCT(('England 1'!$C$372:$C$381='Team Position by Round'!$B3)*('England 1'!$D$372:$D$381='England 1'!$F$372:$F$381))+SUMPRODUCT(('England 1'!$E$372:$E$381='Team Position by Round'!$B3)*('England 1'!$F$372:$F$381='England 1'!$D$372:$D$381))</f>
        <v>3</v>
      </c>
      <c r="AO3">
        <f t="shared" ref="AO3:AO22" si="0">COUNTIF($C3:$AN3,3)</f>
        <v>32</v>
      </c>
      <c r="AP3">
        <f t="shared" ref="AP3:AP22" si="1">COUNTIF($C3:$AN3,1)</f>
        <v>3</v>
      </c>
      <c r="AQ3">
        <f t="shared" ref="AQ3:AQ22" si="2">COUNTIF($C3:$AN3,0)</f>
        <v>3</v>
      </c>
      <c r="AR3">
        <f>SUMIF('Liverpool FC'!C:C,'Liverpool FC'!N18,'Liverpool FC'!D:D)+SUMIF('Liverpool FC'!E:E,'Liverpool FC'!N18,'Liverpool FC'!F:F)</f>
        <v>85</v>
      </c>
      <c r="AS3">
        <f>SUMIF('Liverpool FC'!C:C,"&lt;&gt;Liverpool FC",'Liverpool FC'!D:D)+SUMIF('Liverpool FC'!E:E,"&lt;&gt;Liverpool FC",'Liverpool FC'!F:F)</f>
        <v>33</v>
      </c>
      <c r="AT3">
        <f>MAX('Liverpool FC'!I:I)</f>
        <v>18</v>
      </c>
      <c r="AU3">
        <f>MAX('Liverpool FC'!J:J)</f>
        <v>1</v>
      </c>
      <c r="AV3">
        <f>MAX('Liverpool FC'!K:K)</f>
        <v>27</v>
      </c>
      <c r="AW3">
        <f>MAX('Liverpool FC'!L:L)</f>
        <v>2</v>
      </c>
    </row>
    <row r="4" spans="2:49" ht="14.5" customHeight="1" x14ac:dyDescent="0.2">
      <c r="B4" t="str">
        <v>West Ham United FC</v>
      </c>
      <c r="C4" s="75" cm="1">
        <f t="array" ref="C4">SUMPRODUCT(('England 1'!$C$2:$C$11='Team Position by Round'!$B4)*('England 1'!$D$2:$D$11&gt;'England 1'!$F$2:$F$11))*3+SUMPRODUCT(('England 1'!$E$2:$E$11='Team Position by Round'!$B4)*('England 1'!$F$2:$F$11&gt;'England 1'!$D$2:$D$11))*3+SUMPRODUCT(('England 1'!$C$2:$C$11='Team Position by Round'!$B4)*('England 1'!$D$2:$D$11='England 1'!$F$2:$F$11))+SUMPRODUCT(('England 1'!$E$2:$E$11='Team Position by Round'!$B4)*('England 1'!$F$2:$F$11='England 1'!$D$2:$D$11))</f>
        <v>0</v>
      </c>
      <c r="D4" s="75" cm="1">
        <f t="array" ref="D4">SUMPRODUCT(('England 1'!$C$12:$C$21='Team Position by Round'!$B4)*('England 1'!$D$12:$D$21&gt;'England 1'!$F$12:$F$21))*3+SUMPRODUCT(('England 1'!$E$12:$E$21='Team Position by Round'!$B4)*('England 1'!$F$12:$F$21&gt;'England 1'!$D$12:$D$21))*3+SUMPRODUCT(('England 1'!$C$12:$C$21='Team Position by Round'!$B4)*('England 1'!$D$12:$D$21='England 1'!$F$12:$F$21))+SUMPRODUCT(('England 1'!$E$12:$E$21='Team Position by Round'!$B4)*('England 1'!$F$12:$F$21='England 1'!$D$12:$D$21))</f>
        <v>1</v>
      </c>
      <c r="E4" s="75" cm="1">
        <f t="array" ref="E4">SUMPRODUCT(('England 1'!$C$22:$C$31='Team Position by Round'!$B4)*('England 1'!$D$22:$D$31&gt;'England 1'!$F$22:$F$31))*3+SUMPRODUCT(('England 1'!$E$22:$E$31='Team Position by Round'!$B4)*('England 1'!$F$22:$F$31&gt;'England 1'!$D$22:$D$31))*3+SUMPRODUCT(('England 1'!$C$22:$C$31='Team Position by Round'!$B4)*('England 1'!$D$22:$D$31='England 1'!$F$22:$F$31))+SUMPRODUCT(('England 1'!$E$22:$E$31='Team Position by Round'!$B4)*('England 1'!$F$22:$F$31='England 1'!$D$22:$D$31))</f>
        <v>3</v>
      </c>
      <c r="F4" s="75" cm="1">
        <f t="array" ref="F4">SUMPRODUCT(('England 1'!$C$32:$C$41='Team Position by Round'!$B4)*('England 1'!$D$32:$D$41&gt;'England 1'!$F$32:$F$41))*3+SUMPRODUCT(('England 1'!$E$32:$E$41='Team Position by Round'!$B4)*('England 1'!$F$32:$F$41&gt;'England 1'!$D$32:$D$41))*3+SUMPRODUCT(('England 1'!$C$32:$C$41='Team Position by Round'!$B4)*('England 1'!$D$32:$D$41='England 1'!$F$32:$F$41))+SUMPRODUCT(('England 1'!$E$32:$E$41='Team Position by Round'!$B4)*('England 1'!$F$32:$F$41='England 1'!$D$32:$D$41))</f>
        <v>3</v>
      </c>
      <c r="G4" s="75" cm="1">
        <f t="array" ref="G4">SUMPRODUCT(('England 1'!$C$42:$C$51='Team Position by Round'!$B4)*('England 1'!$D$42:$D$51&gt;'England 1'!$F$42:$F$51))*3+SUMPRODUCT(('England 1'!$E$42:$E$51='Team Position by Round'!$B4)*('England 1'!$F$42:$F$51&gt;'England 1'!$D$42:$D$51))*3+SUMPRODUCT(('England 1'!$C$42:$C$51='Team Position by Round'!$B4)*('England 1'!$D$42:$D$51='England 1'!$F$42:$F$51))+SUMPRODUCT(('England 1'!$E$42:$E$51='Team Position by Round'!$B4)*('England 1'!$F$42:$F$51='England 1'!$D$42:$D$51))</f>
        <v>1</v>
      </c>
      <c r="H4" s="75" cm="1">
        <f t="array" ref="H4">SUMPRODUCT(('England 1'!$C$52:$C$61='Team Position by Round'!$B4)*('England 1'!$D$52:$D$61&gt;'England 1'!$F$52:$F$61))*3+SUMPRODUCT(('England 1'!$E$52:$E$61='Team Position by Round'!$B4)*('England 1'!$F$52:$F$61&gt;'England 1'!$D$52:$D$61))*3+SUMPRODUCT(('England 1'!$C$52:$C$61='Team Position by Round'!$B4)*('England 1'!$D$52:$D$61='England 1'!$F$52:$F$61))+SUMPRODUCT(('England 1'!$E$52:$E$61='Team Position by Round'!$B4)*('England 1'!$F$52:$F$61='England 1'!$D$52:$D$61))</f>
        <v>3</v>
      </c>
      <c r="I4" s="75" cm="1">
        <f t="array" ref="I4">SUMPRODUCT(('England 1'!$C$62:$C$71='Team Position by Round'!$B4)*('England 1'!$D$62:$D$71&gt;'England 1'!$F$62:$F$71))*3+SUMPRODUCT(('England 1'!$E$62:$E$71='Team Position by Round'!$B4)*('England 1'!$F$62:$F$71&gt;'England 1'!$D$62:$D$71))*3+SUMPRODUCT(('England 1'!$C$62:$C$71='Team Position by Round'!$B4)*('England 1'!$D$62:$D$71='England 1'!$F$62:$F$71))+SUMPRODUCT(('England 1'!$E$62:$E$71='Team Position by Round'!$B4)*('England 1'!$F$62:$F$71='England 1'!$D$62:$D$71))</f>
        <v>1</v>
      </c>
      <c r="J4" s="76" cm="1">
        <f t="array" ref="J4">SUMPRODUCT(('England 1'!$C$72:$C$81='Team Position by Round'!$B4)*('England 1'!$D$72:$D$81&gt;'England 1'!$F$72:$F$81))*3+SUMPRODUCT(('England 1'!$E$72:$E$81='Team Position by Round'!$B4)*('England 1'!$F$72:$F$81&gt;'England 1'!$D$72:$D$81))*3+SUMPRODUCT(('England 1'!$C$72:$C$81='Team Position by Round'!$B4)*('England 1'!$D$72:$D$81='England 1'!$F$72:$F$81))+SUMPRODUCT(('England 1'!$E$72:$E$81='Team Position by Round'!$B4)*('England 1'!$F$72:$F$81='England 1'!$D$72:$D$81))</f>
        <v>0</v>
      </c>
      <c r="K4" s="75" cm="1">
        <f t="array" ref="K4">SUMPRODUCT(('England 1'!$C$82:$C$91='Team Position by Round'!$B4)*('England 1'!$D$82:$D$91&gt;'England 1'!$F$82:$F$91))*3+SUMPRODUCT(('England 1'!$E$82:$E$91='Team Position by Round'!$B4)*('England 1'!$F$82:$F$91&gt;'England 1'!$D$82:$D$91))*3+SUMPRODUCT(('England 1'!$C$82:$C$91='Team Position by Round'!$B4)*('England 1'!$D$82:$D$91='England 1'!$F$82:$F$91))+SUMPRODUCT(('England 1'!$E$82:$E$91='Team Position by Round'!$B4)*('England 1'!$F$82:$F$91='England 1'!$D$82:$D$91))</f>
        <v>0</v>
      </c>
      <c r="L4" s="75" cm="1">
        <f t="array" ref="L4">SUMPRODUCT(('England 1'!$C$92:$C$101='Team Position by Round'!$B4)*('England 1'!$D$92:$D$101&gt;'England 1'!$F$92:$F$101))*3+SUMPRODUCT(('England 1'!$E$92:$E$101='Team Position by Round'!$B4)*('England 1'!$F$92:$F$101&gt;'England 1'!$D$92:$D$101))*3+SUMPRODUCT(('England 1'!$C$92:$C$101='Team Position by Round'!$B4)*('England 1'!$D$92:$D$101='England 1'!$F$92:$F$101))+SUMPRODUCT(('England 1'!$E$92:$E$101='Team Position by Round'!$B4)*('England 1'!$F$92:$F$101='England 1'!$D$92:$D$101))</f>
        <v>1</v>
      </c>
      <c r="M4" s="75" cm="1">
        <f t="array" ref="M4">SUMPRODUCT(('England 1'!$C$102:$C$111='Team Position by Round'!$B4)*('England 1'!$D$102:$D$111&gt;'England 1'!$F$102:$F$111))*3+SUMPRODUCT(('England 1'!$E$102:$E$111='Team Position by Round'!$B4)*('England 1'!$F$102:$F$111&gt;'England 1'!$D$102:$D$111))*3+SUMPRODUCT(('England 1'!$C$102:$C$111='Team Position by Round'!$B4)*('England 1'!$D$102:$D$111='England 1'!$F$102:$F$111))+SUMPRODUCT(('England 1'!$E$102:$E$111='Team Position by Round'!$B4)*('England 1'!$F$102:$F$111='England 1'!$D$102:$D$111))</f>
        <v>0</v>
      </c>
      <c r="N4" s="75" cm="1">
        <f t="array" ref="N4">SUMPRODUCT(('England 1'!$C$112:$C$121='Team Position by Round'!$B4)*('England 1'!$D$112:$D$121&gt;'England 1'!$F$112:$F$121))*3+SUMPRODUCT(('England 1'!$E$112:$E$121='Team Position by Round'!$B4)*('England 1'!$F$112:$F$121&gt;'England 1'!$D$112:$D$121))*3+SUMPRODUCT(('England 1'!$C$112:$C$121='Team Position by Round'!$B4)*('England 1'!$D$112:$D$121='England 1'!$F$112:$F$121))+SUMPRODUCT(('England 1'!$E$112:$E$121='Team Position by Round'!$B4)*('England 1'!$F$112:$F$121='England 1'!$D$112:$D$121))</f>
        <v>0</v>
      </c>
      <c r="O4" s="75" cm="1">
        <f t="array" ref="O4">SUMPRODUCT(('England 1'!$C$122:$C$131='Team Position by Round'!$B4)*('England 1'!$D$122:$D$131&gt;'England 1'!$F$122:$F$131))*3+SUMPRODUCT(('England 1'!$E$122:$E$131='Team Position by Round'!$B4)*('England 1'!$F$122:$F$131&gt;'England 1'!$D$122:$D$131))*3+SUMPRODUCT(('England 1'!$C$122:$C$131='Team Position by Round'!$B4)*('England 1'!$D$122:$D$131='England 1'!$F$122:$F$131))+SUMPRODUCT(('England 1'!$E$122:$E$131='Team Position by Round'!$B4)*('England 1'!$F$122:$F$131='England 1'!$D$122:$D$131))</f>
        <v>0</v>
      </c>
      <c r="P4" s="75" cm="1">
        <f t="array" ref="P4">SUMPRODUCT(('England 1'!$C$132:$C$141='Team Position by Round'!$B4)*('England 1'!$D$132:$D$141&gt;'England 1'!$F$132:$F$141))*3+SUMPRODUCT(('England 1'!$E$132:$E$141='Team Position by Round'!$B4)*('England 1'!$F$132:$F$141&gt;'England 1'!$D$132:$D$141))*3+SUMPRODUCT(('England 1'!$C$132:$C$141='Team Position by Round'!$B4)*('England 1'!$D$132:$D$141='England 1'!$F$132:$F$141))+SUMPRODUCT(('England 1'!$E$132:$E$141='Team Position by Round'!$B4)*('England 1'!$F$132:$F$141='England 1'!$D$132:$D$141))</f>
        <v>3</v>
      </c>
      <c r="Q4" s="75" cm="1">
        <f t="array" ref="Q4">SUMPRODUCT(('England 1'!$C$142:$C$151='Team Position by Round'!$B4)*('England 1'!$D$142:$D$151&gt;'England 1'!$F$142:$F$151))*3+SUMPRODUCT(('England 1'!$E$142:$E$151='Team Position by Round'!$B4)*('England 1'!$F$142:$F$151&gt;'England 1'!$D$142:$D$151))*3+SUMPRODUCT(('England 1'!$C$142:$C$151='Team Position by Round'!$B4)*('England 1'!$D$142:$D$151='England 1'!$F$142:$F$151))+SUMPRODUCT(('England 1'!$E$142:$E$151='Team Position by Round'!$B4)*('England 1'!$F$142:$F$151='England 1'!$D$142:$D$151))</f>
        <v>0</v>
      </c>
      <c r="R4" s="75" cm="1">
        <f t="array" ref="R4">SUMPRODUCT(('England 1'!$C$152:$C$161='Team Position by Round'!$B4)*('England 1'!$D$152:$D$161&gt;'England 1'!$F$152:$F$161))*3+SUMPRODUCT(('England 1'!$E$152:$E$161='Team Position by Round'!$B4)*('England 1'!$F$152:$F$161&gt;'England 1'!$D$152:$D$161))*3+SUMPRODUCT(('England 1'!$C$152:$C$161='Team Position by Round'!$B4)*('England 1'!$D$152:$D$161='England 1'!$F$152:$F$161))+SUMPRODUCT(('England 1'!$E$152:$E$161='Team Position by Round'!$B4)*('England 1'!$F$152:$F$161='England 1'!$D$152:$D$161))</f>
        <v>0</v>
      </c>
      <c r="S4" s="75" cm="1">
        <f t="array" ref="S4">SUMPRODUCT(('England 1'!$C$162:$C$171='Team Position by Round'!$B4)*('England 1'!$D$162:$D$171&gt;'England 1'!$F$162:$F$171))*3+SUMPRODUCT(('England 1'!$E$162:$E$171='Team Position by Round'!$B4)*('England 1'!$F$162:$F$171&gt;'England 1'!$D$162:$D$171))*3+SUMPRODUCT(('England 1'!$C$162:$C$171='Team Position by Round'!$B4)*('England 1'!$D$162:$D$171='England 1'!$F$162:$F$171))+SUMPRODUCT(('England 1'!$E$162:$E$171='Team Position by Round'!$B4)*('England 1'!$F$162:$F$171='England 1'!$D$162:$D$171))</f>
        <v>3</v>
      </c>
      <c r="T4" s="75" cm="1">
        <f t="array" ref="T4">SUMPRODUCT(('England 1'!$C$172:$C$181='Team Position by Round'!$B4)*('England 1'!$D$172:$D$181&gt;'England 1'!$F$172:$F$181))*3+SUMPRODUCT(('England 1'!$E$172:$E$181='Team Position by Round'!$B4)*('England 1'!$F$172:$F$181&gt;'England 1'!$D$172:$D$181))*3+SUMPRODUCT(('England 1'!$C$172:$C$181='Team Position by Round'!$B4)*('England 1'!$D$172:$D$181='England 1'!$F$172:$F$181))+SUMPRODUCT(('England 1'!$E$172:$E$181='Team Position by Round'!$B4)*('England 1'!$F$172:$F$181='England 1'!$D$172:$D$181))</f>
        <v>0</v>
      </c>
      <c r="U4" s="75" cm="1">
        <f t="array" ref="U4">SUMPRODUCT(('England 1'!$C$182:$C$191='Team Position by Round'!$B4)*('England 1'!$D$182:$D$191&gt;'England 1'!$F$182:$F$191))*3+SUMPRODUCT(('England 1'!$E$182:$E$191='Team Position by Round'!$B4)*('England 1'!$F$182:$F$191&gt;'England 1'!$D$182:$D$191))*3+SUMPRODUCT(('England 1'!$C$182:$C$191='Team Position by Round'!$B4)*('England 1'!$D$182:$D$191='England 1'!$F$182:$F$191))+SUMPRODUCT(('England 1'!$E$182:$E$191='Team Position by Round'!$B4)*('England 1'!$F$182:$F$191='England 1'!$D$182:$D$191))</f>
        <v>0</v>
      </c>
      <c r="V4" s="75" cm="1">
        <f t="array" ref="V4">SUMPRODUCT(('England 1'!$C$192:$C$201='Team Position by Round'!$B4)*('England 1'!$D$192:$D$201&gt;'England 1'!$F$192:$F$201))*3+SUMPRODUCT(('England 1'!$E$192:$E$201='Team Position by Round'!$B4)*('England 1'!$F$192:$F$201&gt;'England 1'!$D$192:$D$201))*3+SUMPRODUCT(('England 1'!$C$192:$C$201='Team Position by Round'!$B4)*('England 1'!$D$192:$D$201='England 1'!$F$192:$F$201))+SUMPRODUCT(('England 1'!$E$192:$E$201='Team Position by Round'!$B4)*('England 1'!$F$192:$F$201='England 1'!$D$192:$D$201))</f>
        <v>0</v>
      </c>
      <c r="W4" s="75" cm="1">
        <f t="array" ref="W4">SUMPRODUCT(('England 1'!$C$202:$C$211='Team Position by Round'!$B4)*('England 1'!$D$202:$D$211&gt;'England 1'!$F$202:$F$211))*3+SUMPRODUCT(('England 1'!$E$202:$E$211='Team Position by Round'!$B4)*('England 1'!$F$202:$F$211&gt;'England 1'!$D$202:$D$211))*3+SUMPRODUCT(('England 1'!$C$202:$C$211='Team Position by Round'!$B4)*('England 1'!$D$202:$D$211='England 1'!$F$202:$F$211))+SUMPRODUCT(('England 1'!$E$202:$E$211='Team Position by Round'!$B4)*('England 1'!$F$202:$F$211='England 1'!$D$202:$D$211))</f>
        <v>3</v>
      </c>
      <c r="X4" s="75" cm="1">
        <f t="array" ref="X4">SUMPRODUCT(('England 1'!$C$212:$C$221='Team Position by Round'!$B4)*('England 1'!$D$212:$D$221&gt;'England 1'!$F$212:$F$221))*3+SUMPRODUCT(('England 1'!$E$212:$E$221='Team Position by Round'!$B4)*('England 1'!$F$212:$F$221&gt;'England 1'!$D$212:$D$221))*3+SUMPRODUCT(('England 1'!$C$212:$C$221='Team Position by Round'!$B4)*('England 1'!$D$212:$D$221='England 1'!$F$212:$F$221))+SUMPRODUCT(('England 1'!$E$212:$E$221='Team Position by Round'!$B4)*('England 1'!$F$212:$F$221='England 1'!$D$212:$D$221))</f>
        <v>0</v>
      </c>
      <c r="Y4" s="75" cm="1">
        <f t="array" ref="Y4">SUMPRODUCT(('England 1'!$C$222:$C$231='Team Position by Round'!$B4)*('England 1'!$D$222:$D$231&gt;'England 1'!$F$222:$F$231))*3+SUMPRODUCT(('England 1'!$E$222:$E$231='Team Position by Round'!$B4)*('England 1'!$F$222:$F$231&gt;'England 1'!$D$222:$D$231))*3+SUMPRODUCT(('England 1'!$C$222:$C$231='Team Position by Round'!$B4)*('England 1'!$D$222:$D$231='England 1'!$F$222:$F$231))+SUMPRODUCT(('England 1'!$E$222:$E$231='Team Position by Round'!$B4)*('England 1'!$F$222:$F$231='England 1'!$D$222:$D$231))</f>
        <v>1</v>
      </c>
      <c r="Z4" s="75" cm="1">
        <f t="array" ref="Z4">SUMPRODUCT(('England 1'!$C$232:$C$241='Team Position by Round'!$B4)*('England 1'!$D$232:$D$241&gt;'England 1'!$F$232:$F$241))*3+SUMPRODUCT(('England 1'!$E$232:$E$241='Team Position by Round'!$B4)*('England 1'!$F$232:$F$241&gt;'England 1'!$D$232:$D$241))*3+SUMPRODUCT(('England 1'!$C$232:$C$241='Team Position by Round'!$B4)*('England 1'!$D$232:$D$241='England 1'!$F$232:$F$241))+SUMPRODUCT(('England 1'!$E$232:$E$241='Team Position by Round'!$B4)*('England 1'!$F$232:$F$241='England 1'!$D$232:$D$241))</f>
        <v>0</v>
      </c>
      <c r="AA4" s="75" cm="1">
        <f t="array" ref="AA4">SUMPRODUCT(('England 1'!$C$242:$C$251='Team Position by Round'!$B4)*('England 1'!$D$242:$D$251&gt;'England 1'!$F$242:$F$251))*3+SUMPRODUCT(('England 1'!$E$242:$E$251='Team Position by Round'!$B4)*('England 1'!$F$242:$F$251&gt;'England 1'!$D$242:$D$251))*3+SUMPRODUCT(('England 1'!$C$242:$C$251='Team Position by Round'!$B4)*('England 1'!$D$242:$D$251='England 1'!$F$242:$F$251))+SUMPRODUCT(('England 1'!$E$242:$E$251='Team Position by Round'!$B4)*('England 1'!$F$242:$F$251='England 1'!$D$242:$D$251))</f>
        <v>1</v>
      </c>
      <c r="AB4" s="75" cm="1">
        <f t="array" ref="AB4">SUMPRODUCT(('England 1'!$C$252:$C$261='Team Position by Round'!$B4)*('England 1'!$D$252:$D$261&gt;'England 1'!$F$252:$F$261))*3+SUMPRODUCT(('England 1'!$E$252:$E$261='Team Position by Round'!$B4)*('England 1'!$F$252:$F$261&gt;'England 1'!$D$252:$D$261))*3+SUMPRODUCT(('England 1'!$C$252:$C$261='Team Position by Round'!$B4)*('England 1'!$D$252:$D$261='England 1'!$F$252:$F$261))+SUMPRODUCT(('England 1'!$E$252:$E$261='Team Position by Round'!$B4)*('England 1'!$F$252:$F$261='England 1'!$D$252:$D$261))</f>
        <v>0</v>
      </c>
      <c r="AC4" s="75" cm="1">
        <f t="array" ref="AC4">SUMPRODUCT(('England 1'!$C$262:$C$271='Team Position by Round'!$B4)*('England 1'!$D$262:$D$271&gt;'England 1'!$F$262:$F$271))*3+SUMPRODUCT(('England 1'!$E$262:$E$271='Team Position by Round'!$B4)*('England 1'!$F$262:$F$271&gt;'England 1'!$D$262:$D$271))*3+SUMPRODUCT(('England 1'!$C$262:$C$271='Team Position by Round'!$B4)*('England 1'!$D$262:$D$271='England 1'!$F$262:$F$271))+SUMPRODUCT(('England 1'!$E$262:$E$271='Team Position by Round'!$B4)*('England 1'!$F$262:$F$271='England 1'!$D$262:$D$271))</f>
        <v>0</v>
      </c>
      <c r="AD4" s="75" cm="1">
        <f t="array" ref="AD4">SUMPRODUCT(('England 1'!$C$272:$C$281='Team Position by Round'!$B4)*('England 1'!$D$272:$D$281&gt;'England 1'!$F$272:$F$281))*3+SUMPRODUCT(('England 1'!$E$272:$E$281='Team Position by Round'!$B4)*('England 1'!$F$272:$F$281&gt;'England 1'!$D$272:$D$281))*3+SUMPRODUCT(('England 1'!$C$272:$C$281='Team Position by Round'!$B4)*('England 1'!$D$272:$D$281='England 1'!$F$272:$F$281))+SUMPRODUCT(('England 1'!$E$272:$E$281='Team Position by Round'!$B4)*('England 1'!$F$272:$F$281='England 1'!$D$272:$D$281))</f>
        <v>3</v>
      </c>
      <c r="AE4" s="75" cm="1">
        <f t="array" ref="AE4">SUMPRODUCT(('England 1'!$C$282:$C$291='Team Position by Round'!$B4)*('England 1'!$D$282:$D$291&gt;'England 1'!$F$282:$F$291))*3+SUMPRODUCT(('England 1'!$E$282:$E$291='Team Position by Round'!$B4)*('England 1'!$F$282:$F$291&gt;'England 1'!$D$282:$D$291))*3+SUMPRODUCT(('England 1'!$C$282:$C$291='Team Position by Round'!$B4)*('England 1'!$D$282:$D$291='England 1'!$F$282:$F$291))+SUMPRODUCT(('England 1'!$E$282:$E$291='Team Position by Round'!$B4)*('England 1'!$F$282:$F$291='England 1'!$D$282:$D$291))</f>
        <v>0</v>
      </c>
      <c r="AF4" s="75" cm="1">
        <f t="array" ref="AF4">SUMPRODUCT(('England 1'!$C$292:$C$301='Team Position by Round'!$B4)*('England 1'!$D$292:$D$301&gt;'England 1'!$F$292:$F$301))*3+SUMPRODUCT(('England 1'!$E$292:$E$301='Team Position by Round'!$B4)*('England 1'!$F$292:$F$301&gt;'England 1'!$D$292:$D$301))*3+SUMPRODUCT(('England 1'!$C$292:$C$301='Team Position by Round'!$B4)*('England 1'!$D$292:$D$301='England 1'!$F$292:$F$301))+SUMPRODUCT(('England 1'!$E$292:$E$301='Team Position by Round'!$B4)*('England 1'!$F$292:$F$301='England 1'!$D$292:$D$301))</f>
        <v>0</v>
      </c>
      <c r="AG4" s="75" cm="1">
        <f t="array" ref="AG4">SUMPRODUCT(('England 1'!$C$302:$C$311='Team Position by Round'!$B4)*('England 1'!$D$302:$D$311&gt;'England 1'!$F$302:$F$311))*3+SUMPRODUCT(('England 1'!$E$302:$E$311='Team Position by Round'!$B4)*('England 1'!$F$302:$F$311&gt;'England 1'!$D$302:$D$311))*3+SUMPRODUCT(('England 1'!$C$302:$C$311='Team Position by Round'!$B4)*('England 1'!$D$302:$D$311='England 1'!$F$302:$F$311))+SUMPRODUCT(('England 1'!$E$302:$E$311='Team Position by Round'!$B4)*('England 1'!$F$302:$F$311='England 1'!$D$302:$D$311))</f>
        <v>0</v>
      </c>
      <c r="AH4" s="75" cm="1">
        <f t="array" ref="AH4">SUMPRODUCT(('England 1'!$C$312:$C$321='Team Position by Round'!$B4)*('England 1'!$D$312:$D$321&gt;'England 1'!$F$312:$F$321))*3+SUMPRODUCT(('England 1'!$E$312:$E$321='Team Position by Round'!$B4)*('England 1'!$F$312:$F$321&gt;'England 1'!$D$312:$D$321))*3+SUMPRODUCT(('England 1'!$C$312:$C$321='Team Position by Round'!$B4)*('England 1'!$D$312:$D$321='England 1'!$F$312:$F$321))+SUMPRODUCT(('England 1'!$E$312:$E$321='Team Position by Round'!$B4)*('England 1'!$F$312:$F$321='England 1'!$D$312:$D$321))</f>
        <v>3</v>
      </c>
      <c r="AI4" s="75" cm="1">
        <f t="array" ref="AI4">SUMPRODUCT(('England 1'!$C$322:$C$331='Team Position by Round'!$B4)*('England 1'!$D$322:$D$331&gt;'England 1'!$F$322:$F$331))*3+SUMPRODUCT(('England 1'!$E$322:$E$331='Team Position by Round'!$B4)*('England 1'!$F$322:$F$331&gt;'England 1'!$D$322:$D$331))*3+SUMPRODUCT(('England 1'!$C$322:$C$331='Team Position by Round'!$B4)*('England 1'!$D$322:$D$331='England 1'!$F$322:$F$331))+SUMPRODUCT(('England 1'!$E$322:$E$331='Team Position by Round'!$B4)*('England 1'!$F$322:$F$331='England 1'!$D$322:$D$331))</f>
        <v>1</v>
      </c>
      <c r="AJ4" s="75" cm="1">
        <f t="array" ref="AJ4">SUMPRODUCT(('England 1'!$C$332:$C$341='Team Position by Round'!$B4)*('England 1'!$D$332:$D$341&gt;'England 1'!$F$332:$F$341))*3+SUMPRODUCT(('England 1'!$E$332:$E$341='Team Position by Round'!$B4)*('England 1'!$F$332:$F$341&gt;'England 1'!$D$332:$D$341))*3+SUMPRODUCT(('England 1'!$C$332:$C$341='Team Position by Round'!$B4)*('England 1'!$D$332:$D$341='England 1'!$F$332:$F$341))+SUMPRODUCT(('England 1'!$E$332:$E$341='Team Position by Round'!$B4)*('England 1'!$F$332:$F$341='England 1'!$D$332:$D$341))</f>
        <v>0</v>
      </c>
      <c r="AK4" s="75" cm="1">
        <f t="array" ref="AK4">SUMPRODUCT(('England 1'!$C$342:$C$351='Team Position by Round'!$B4)*('England 1'!$D$342:$D$351&gt;'England 1'!$F$342:$F$351))*3+SUMPRODUCT(('England 1'!$E$342:$E$351='Team Position by Round'!$B4)*('England 1'!$F$342:$F$351&gt;'England 1'!$D$342:$D$351))*3+SUMPRODUCT(('England 1'!$C$342:$C$351='Team Position by Round'!$B4)*('England 1'!$D$342:$D$351='England 1'!$F$342:$F$351))+SUMPRODUCT(('England 1'!$E$342:$E$351='Team Position by Round'!$B4)*('England 1'!$F$342:$F$351='England 1'!$D$342:$D$351))</f>
        <v>3</v>
      </c>
      <c r="AL4" s="75" cm="1">
        <f t="array" ref="AL4">SUMPRODUCT(('England 1'!$C$352:$C$361='Team Position by Round'!$B4)*('England 1'!$D$352:$D$361&gt;'England 1'!$F$352:$F$361))*3+SUMPRODUCT(('England 1'!$E$352:$E$361='Team Position by Round'!$B4)*('England 1'!$F$352:$F$361&gt;'England 1'!$D$352:$D$361))*3+SUMPRODUCT(('England 1'!$C$352:$C$361='Team Position by Round'!$B4)*('England 1'!$D$352:$D$361='England 1'!$F$352:$F$361))+SUMPRODUCT(('England 1'!$E$352:$E$361='Team Position by Round'!$B4)*('England 1'!$F$352:$F$361='England 1'!$D$352:$D$361))</f>
        <v>3</v>
      </c>
      <c r="AM4" s="75" cm="1">
        <f t="array" ref="AM4">SUMPRODUCT(('England 1'!$C$362:$C$371='Team Position by Round'!$B4)*('England 1'!$D$362:$D$371&gt;'England 1'!$F$362:$F$371))*3+SUMPRODUCT(('England 1'!$E$362:$E$371='Team Position by Round'!$B4)*('England 1'!$F$362:$F$371&gt;'England 1'!$D$362:$D$371))*3+SUMPRODUCT(('England 1'!$C$362:$C$371='Team Position by Round'!$B4)*('England 1'!$D$362:$D$371='England 1'!$F$362:$F$371))+SUMPRODUCT(('England 1'!$E$362:$E$371='Team Position by Round'!$B4)*('England 1'!$F$362:$F$371='England 1'!$D$362:$D$371))</f>
        <v>1</v>
      </c>
      <c r="AN4" s="75" cm="1">
        <f t="array" ref="AN4">SUMPRODUCT(('England 1'!$C$372:$C$381='Team Position by Round'!$B4)*('England 1'!$D$372:$D$381&gt;'England 1'!$F$372:$F$381))*3+SUMPRODUCT(('England 1'!$E$372:$E$381='Team Position by Round'!$B4)*('England 1'!$F$372:$F$381&gt;'England 1'!$D$372:$D$381))*3+SUMPRODUCT(('England 1'!$C$372:$C$381='Team Position by Round'!$B4)*('England 1'!$D$372:$D$381='England 1'!$F$372:$F$381))+SUMPRODUCT(('England 1'!$E$372:$E$381='Team Position by Round'!$B4)*('England 1'!$F$372:$F$381='England 1'!$D$372:$D$381))</f>
        <v>1</v>
      </c>
      <c r="AO4">
        <f t="shared" si="0"/>
        <v>10</v>
      </c>
      <c r="AP4">
        <f t="shared" si="1"/>
        <v>9</v>
      </c>
      <c r="AQ4">
        <f t="shared" si="2"/>
        <v>19</v>
      </c>
      <c r="AR4">
        <f>SUMIF('West Ham United FC'!C:C,'West Ham United FC'!N18,'West Ham United FC'!D:D)+SUMIF('West Ham United FC'!E:E,'West Ham United FC'!N18,'West Ham United FC'!F:F)</f>
        <v>49</v>
      </c>
      <c r="AS4">
        <f>SUMIF('West Ham United FC'!C:C,"&lt;&gt;West Ham United FC",'West Ham United FC'!D:D)+SUMIF('West Ham United FC'!E:E,"&lt;&gt;West Ham United FC",'West Ham United FC'!F:F)</f>
        <v>62</v>
      </c>
      <c r="AT4" s="78">
        <f>MAX('West Ham United FC'!I:I)</f>
        <v>2</v>
      </c>
      <c r="AU4" s="78">
        <f>MAX('West Ham United FC'!J:J)</f>
        <v>3</v>
      </c>
      <c r="AV4">
        <f>MAX('West Ham United FC'!K:K)</f>
        <v>6</v>
      </c>
      <c r="AW4">
        <f>MAX('West Ham United FC'!L:L)</f>
        <v>7</v>
      </c>
    </row>
    <row r="5" spans="2:49" x14ac:dyDescent="0.2">
      <c r="B5" t="str">
        <v>Burnley FC</v>
      </c>
      <c r="C5" s="75" cm="1">
        <f t="array" ref="C5">SUMPRODUCT(('England 1'!$C$2:$C$11='Team Position by Round'!$B5)*('England 1'!$D$2:$D$11&gt;'England 1'!$F$2:$F$11))*3+SUMPRODUCT(('England 1'!$E$2:$E$11='Team Position by Round'!$B5)*('England 1'!$F$2:$F$11&gt;'England 1'!$D$2:$D$11))*3+SUMPRODUCT(('England 1'!$C$2:$C$11='Team Position by Round'!$B5)*('England 1'!$D$2:$D$11='England 1'!$F$2:$F$11))+SUMPRODUCT(('England 1'!$E$2:$E$11='Team Position by Round'!$B5)*('England 1'!$F$2:$F$11='England 1'!$D$2:$D$11))</f>
        <v>3</v>
      </c>
      <c r="D5" s="75" cm="1">
        <f t="array" ref="D5">SUMPRODUCT(('England 1'!$C$12:$C$21='Team Position by Round'!$B5)*('England 1'!$D$12:$D$21&gt;'England 1'!$F$12:$F$21))*3+SUMPRODUCT(('England 1'!$E$12:$E$21='Team Position by Round'!$B5)*('England 1'!$F$12:$F$21&gt;'England 1'!$D$12:$D$21))*3+SUMPRODUCT(('England 1'!$C$12:$C$21='Team Position by Round'!$B5)*('England 1'!$D$12:$D$21='England 1'!$F$12:$F$21))+SUMPRODUCT(('England 1'!$E$12:$E$21='Team Position by Round'!$B5)*('England 1'!$F$12:$F$21='England 1'!$D$12:$D$21))</f>
        <v>0</v>
      </c>
      <c r="E5" s="75" cm="1">
        <f t="array" ref="E5">SUMPRODUCT(('England 1'!$C$22:$C$31='Team Position by Round'!$B5)*('England 1'!$D$22:$D$31&gt;'England 1'!$F$22:$F$31))*3+SUMPRODUCT(('England 1'!$E$22:$E$31='Team Position by Round'!$B5)*('England 1'!$F$22:$F$31&gt;'England 1'!$D$22:$D$31))*3+SUMPRODUCT(('England 1'!$C$22:$C$31='Team Position by Round'!$B5)*('England 1'!$D$22:$D$31='England 1'!$F$22:$F$31))+SUMPRODUCT(('England 1'!$E$22:$E$31='Team Position by Round'!$B5)*('England 1'!$F$22:$F$31='England 1'!$D$22:$D$31))</f>
        <v>1</v>
      </c>
      <c r="F5" s="75" cm="1">
        <f t="array" ref="F5">SUMPRODUCT(('England 1'!$C$32:$C$41='Team Position by Round'!$B5)*('England 1'!$D$32:$D$41&gt;'England 1'!$F$32:$F$41))*3+SUMPRODUCT(('England 1'!$E$32:$E$41='Team Position by Round'!$B5)*('England 1'!$F$32:$F$41&gt;'England 1'!$D$32:$D$41))*3+SUMPRODUCT(('England 1'!$C$32:$C$41='Team Position by Round'!$B5)*('England 1'!$D$32:$D$41='England 1'!$F$32:$F$41))+SUMPRODUCT(('England 1'!$E$32:$E$41='Team Position by Round'!$B5)*('England 1'!$F$32:$F$41='England 1'!$D$32:$D$41))</f>
        <v>0</v>
      </c>
      <c r="G5" s="75" cm="1">
        <f t="array" ref="G5">SUMPRODUCT(('England 1'!$C$42:$C$51='Team Position by Round'!$B5)*('England 1'!$D$42:$D$51&gt;'England 1'!$F$42:$F$51))*3+SUMPRODUCT(('England 1'!$E$42:$E$51='Team Position by Round'!$B5)*('England 1'!$F$42:$F$51&gt;'England 1'!$D$42:$D$51))*3+SUMPRODUCT(('England 1'!$C$42:$C$51='Team Position by Round'!$B5)*('England 1'!$D$42:$D$51='England 1'!$F$42:$F$51))+SUMPRODUCT(('England 1'!$E$42:$E$51='Team Position by Round'!$B5)*('England 1'!$F$42:$F$51='England 1'!$D$42:$D$51))</f>
        <v>1</v>
      </c>
      <c r="H5" s="75" cm="1">
        <f t="array" ref="H5">SUMPRODUCT(('England 1'!$C$52:$C$61='Team Position by Round'!$B5)*('England 1'!$D$52:$D$61&gt;'England 1'!$F$52:$F$61))*3+SUMPRODUCT(('England 1'!$E$52:$E$61='Team Position by Round'!$B5)*('England 1'!$F$52:$F$61&gt;'England 1'!$D$52:$D$61))*3+SUMPRODUCT(('England 1'!$C$52:$C$61='Team Position by Round'!$B5)*('England 1'!$D$52:$D$61='England 1'!$F$52:$F$61))+SUMPRODUCT(('England 1'!$E$52:$E$61='Team Position by Round'!$B5)*('England 1'!$F$52:$F$61='England 1'!$D$52:$D$61))</f>
        <v>3</v>
      </c>
      <c r="I5" s="75" cm="1">
        <f t="array" ref="I5">SUMPRODUCT(('England 1'!$C$62:$C$71='Team Position by Round'!$B5)*('England 1'!$D$62:$D$71&gt;'England 1'!$F$62:$F$71))*3+SUMPRODUCT(('England 1'!$E$62:$E$71='Team Position by Round'!$B5)*('England 1'!$F$62:$F$71&gt;'England 1'!$D$62:$D$71))*3+SUMPRODUCT(('England 1'!$C$62:$C$71='Team Position by Round'!$B5)*('England 1'!$D$62:$D$71='England 1'!$F$62:$F$71))+SUMPRODUCT(('England 1'!$E$62:$E$71='Team Position by Round'!$B5)*('England 1'!$F$62:$F$71='England 1'!$D$62:$D$71))</f>
        <v>1</v>
      </c>
      <c r="J5" s="76" cm="1">
        <f t="array" ref="J5">SUMPRODUCT(('England 1'!$C$72:$C$81='Team Position by Round'!$B5)*('England 1'!$D$72:$D$81&gt;'England 1'!$F$72:$F$81))*3+SUMPRODUCT(('England 1'!$E$72:$E$81='Team Position by Round'!$B5)*('England 1'!$F$72:$F$81&gt;'England 1'!$D$72:$D$81))*3+SUMPRODUCT(('England 1'!$C$72:$C$81='Team Position by Round'!$B5)*('England 1'!$D$72:$D$81='England 1'!$F$72:$F$81))+SUMPRODUCT(('England 1'!$E$72:$E$81='Team Position by Round'!$B5)*('England 1'!$F$72:$F$81='England 1'!$D$72:$D$81))</f>
        <v>3</v>
      </c>
      <c r="K5" s="75" cm="1">
        <f t="array" ref="K5">SUMPRODUCT(('England 1'!$C$82:$C$91='Team Position by Round'!$B5)*('England 1'!$D$82:$D$91&gt;'England 1'!$F$82:$F$91))*3+SUMPRODUCT(('England 1'!$E$82:$E$91='Team Position by Round'!$B5)*('England 1'!$F$82:$F$91&gt;'England 1'!$D$82:$D$91))*3+SUMPRODUCT(('England 1'!$C$82:$C$91='Team Position by Round'!$B5)*('England 1'!$D$82:$D$91='England 1'!$F$82:$F$91))+SUMPRODUCT(('England 1'!$E$82:$E$91='Team Position by Round'!$B5)*('England 1'!$F$82:$F$91='England 1'!$D$82:$D$91))</f>
        <v>0</v>
      </c>
      <c r="L5" s="75" cm="1">
        <f t="array" ref="L5">SUMPRODUCT(('England 1'!$C$92:$C$101='Team Position by Round'!$B5)*('England 1'!$D$92:$D$101&gt;'England 1'!$F$92:$F$101))*3+SUMPRODUCT(('England 1'!$E$92:$E$101='Team Position by Round'!$B5)*('England 1'!$F$92:$F$101&gt;'England 1'!$D$92:$D$101))*3+SUMPRODUCT(('England 1'!$C$92:$C$101='Team Position by Round'!$B5)*('England 1'!$D$92:$D$101='England 1'!$F$92:$F$101))+SUMPRODUCT(('England 1'!$E$92:$E$101='Team Position by Round'!$B5)*('England 1'!$F$92:$F$101='England 1'!$D$92:$D$101))</f>
        <v>0</v>
      </c>
      <c r="M5" s="75" cm="1">
        <f t="array" ref="M5">SUMPRODUCT(('England 1'!$C$102:$C$111='Team Position by Round'!$B5)*('England 1'!$D$102:$D$111&gt;'England 1'!$F$102:$F$111))*3+SUMPRODUCT(('England 1'!$E$102:$E$111='Team Position by Round'!$B5)*('England 1'!$F$102:$F$111&gt;'England 1'!$D$102:$D$111))*3+SUMPRODUCT(('England 1'!$C$102:$C$111='Team Position by Round'!$B5)*('England 1'!$D$102:$D$111='England 1'!$F$102:$F$111))+SUMPRODUCT(('England 1'!$E$102:$E$111='Team Position by Round'!$B5)*('England 1'!$F$102:$F$111='England 1'!$D$102:$D$111))</f>
        <v>0</v>
      </c>
      <c r="N5" s="75" cm="1">
        <f t="array" ref="N5">SUMPRODUCT(('England 1'!$C$112:$C$121='Team Position by Round'!$B5)*('England 1'!$D$112:$D$121&gt;'England 1'!$F$112:$F$121))*3+SUMPRODUCT(('England 1'!$E$112:$E$121='Team Position by Round'!$B5)*('England 1'!$F$112:$F$121&gt;'England 1'!$D$112:$D$121))*3+SUMPRODUCT(('England 1'!$C$112:$C$121='Team Position by Round'!$B5)*('England 1'!$D$112:$D$121='England 1'!$F$112:$F$121))+SUMPRODUCT(('England 1'!$E$112:$E$121='Team Position by Round'!$B5)*('England 1'!$F$112:$F$121='England 1'!$D$112:$D$121))</f>
        <v>3</v>
      </c>
      <c r="O5" s="75" cm="1">
        <f t="array" ref="O5">SUMPRODUCT(('England 1'!$C$122:$C$131='Team Position by Round'!$B5)*('England 1'!$D$122:$D$131&gt;'England 1'!$F$122:$F$131))*3+SUMPRODUCT(('England 1'!$E$122:$E$131='Team Position by Round'!$B5)*('England 1'!$F$122:$F$131&gt;'England 1'!$D$122:$D$131))*3+SUMPRODUCT(('England 1'!$C$122:$C$131='Team Position by Round'!$B5)*('England 1'!$D$122:$D$131='England 1'!$F$122:$F$131))+SUMPRODUCT(('England 1'!$E$122:$E$131='Team Position by Round'!$B5)*('England 1'!$F$122:$F$131='England 1'!$D$122:$D$131))</f>
        <v>3</v>
      </c>
      <c r="P5" s="75" cm="1">
        <f t="array" ref="P5">SUMPRODUCT(('England 1'!$C$132:$C$141='Team Position by Round'!$B5)*('England 1'!$D$132:$D$141&gt;'England 1'!$F$132:$F$141))*3+SUMPRODUCT(('England 1'!$E$132:$E$141='Team Position by Round'!$B5)*('England 1'!$F$132:$F$141&gt;'England 1'!$D$132:$D$141))*3+SUMPRODUCT(('England 1'!$C$132:$C$141='Team Position by Round'!$B5)*('England 1'!$D$132:$D$141='England 1'!$F$132:$F$141))+SUMPRODUCT(('England 1'!$E$132:$E$141='Team Position by Round'!$B5)*('England 1'!$F$132:$F$141='England 1'!$D$132:$D$141))</f>
        <v>0</v>
      </c>
      <c r="Q5" s="75" cm="1">
        <f t="array" ref="Q5">SUMPRODUCT(('England 1'!$C$142:$C$151='Team Position by Round'!$B5)*('England 1'!$D$142:$D$151&gt;'England 1'!$F$142:$F$151))*3+SUMPRODUCT(('England 1'!$E$142:$E$151='Team Position by Round'!$B5)*('England 1'!$F$142:$F$151&gt;'England 1'!$D$142:$D$151))*3+SUMPRODUCT(('England 1'!$C$142:$C$151='Team Position by Round'!$B5)*('England 1'!$D$142:$D$151='England 1'!$F$142:$F$151))+SUMPRODUCT(('England 1'!$E$142:$E$151='Team Position by Round'!$B5)*('England 1'!$F$142:$F$151='England 1'!$D$142:$D$151))</f>
        <v>0</v>
      </c>
      <c r="R5" s="75" cm="1">
        <f t="array" ref="R5">SUMPRODUCT(('England 1'!$C$152:$C$161='Team Position by Round'!$B5)*('England 1'!$D$152:$D$161&gt;'England 1'!$F$152:$F$161))*3+SUMPRODUCT(('England 1'!$E$152:$E$161='Team Position by Round'!$B5)*('England 1'!$F$152:$F$161&gt;'England 1'!$D$152:$D$161))*3+SUMPRODUCT(('England 1'!$C$152:$C$161='Team Position by Round'!$B5)*('England 1'!$D$152:$D$161='England 1'!$F$152:$F$161))+SUMPRODUCT(('England 1'!$E$152:$E$161='Team Position by Round'!$B5)*('England 1'!$F$152:$F$161='England 1'!$D$152:$D$161))</f>
        <v>0</v>
      </c>
      <c r="S5" s="75" cm="1">
        <f t="array" ref="S5">SUMPRODUCT(('England 1'!$C$162:$C$171='Team Position by Round'!$B5)*('England 1'!$D$162:$D$171&gt;'England 1'!$F$162:$F$171))*3+SUMPRODUCT(('England 1'!$E$162:$E$171='Team Position by Round'!$B5)*('England 1'!$F$162:$F$171&gt;'England 1'!$D$162:$D$171))*3+SUMPRODUCT(('England 1'!$C$162:$C$171='Team Position by Round'!$B5)*('England 1'!$D$162:$D$171='England 1'!$F$162:$F$171))+SUMPRODUCT(('England 1'!$E$162:$E$171='Team Position by Round'!$B5)*('England 1'!$F$162:$F$171='England 1'!$D$162:$D$171))</f>
        <v>3</v>
      </c>
      <c r="T5" s="75" cm="1">
        <f t="array" ref="T5">SUMPRODUCT(('England 1'!$C$172:$C$181='Team Position by Round'!$B5)*('England 1'!$D$172:$D$181&gt;'England 1'!$F$172:$F$181))*3+SUMPRODUCT(('England 1'!$E$172:$E$181='Team Position by Round'!$B5)*('England 1'!$F$172:$F$181&gt;'England 1'!$D$172:$D$181))*3+SUMPRODUCT(('England 1'!$C$172:$C$181='Team Position by Round'!$B5)*('England 1'!$D$172:$D$181='England 1'!$F$172:$F$181))+SUMPRODUCT(('England 1'!$E$172:$E$181='Team Position by Round'!$B5)*('England 1'!$F$172:$F$181='England 1'!$D$172:$D$181))</f>
        <v>3</v>
      </c>
      <c r="U5" s="75" cm="1">
        <f t="array" ref="U5">SUMPRODUCT(('England 1'!$C$182:$C$191='Team Position by Round'!$B5)*('England 1'!$D$182:$D$191&gt;'England 1'!$F$182:$F$191))*3+SUMPRODUCT(('England 1'!$E$182:$E$191='Team Position by Round'!$B5)*('England 1'!$F$182:$F$191&gt;'England 1'!$D$182:$D$191))*3+SUMPRODUCT(('England 1'!$C$182:$C$191='Team Position by Round'!$B5)*('England 1'!$D$182:$D$191='England 1'!$F$182:$F$191))+SUMPRODUCT(('England 1'!$E$182:$E$191='Team Position by Round'!$B5)*('England 1'!$F$182:$F$191='England 1'!$D$182:$D$191))</f>
        <v>0</v>
      </c>
      <c r="V5" s="75" cm="1">
        <f t="array" ref="V5">SUMPRODUCT(('England 1'!$C$192:$C$201='Team Position by Round'!$B5)*('England 1'!$D$192:$D$201&gt;'England 1'!$F$192:$F$201))*3+SUMPRODUCT(('England 1'!$E$192:$E$201='Team Position by Round'!$B5)*('England 1'!$F$192:$F$201&gt;'England 1'!$D$192:$D$201))*3+SUMPRODUCT(('England 1'!$C$192:$C$201='Team Position by Round'!$B5)*('England 1'!$D$192:$D$201='England 1'!$F$192:$F$201))+SUMPRODUCT(('England 1'!$E$192:$E$201='Team Position by Round'!$B5)*('England 1'!$F$192:$F$201='England 1'!$D$192:$D$201))</f>
        <v>0</v>
      </c>
      <c r="W5" s="75" cm="1">
        <f t="array" ref="W5">SUMPRODUCT(('England 1'!$C$202:$C$211='Team Position by Round'!$B5)*('England 1'!$D$202:$D$211&gt;'England 1'!$F$202:$F$211))*3+SUMPRODUCT(('England 1'!$E$202:$E$211='Team Position by Round'!$B5)*('England 1'!$F$202:$F$211&gt;'England 1'!$D$202:$D$211))*3+SUMPRODUCT(('England 1'!$C$202:$C$211='Team Position by Round'!$B5)*('England 1'!$D$202:$D$211='England 1'!$F$202:$F$211))+SUMPRODUCT(('England 1'!$E$202:$E$211='Team Position by Round'!$B5)*('England 1'!$F$202:$F$211='England 1'!$D$202:$D$211))</f>
        <v>0</v>
      </c>
      <c r="X5" s="75" cm="1">
        <f t="array" ref="X5">SUMPRODUCT(('England 1'!$C$212:$C$221='Team Position by Round'!$B5)*('England 1'!$D$212:$D$221&gt;'England 1'!$F$212:$F$221))*3+SUMPRODUCT(('England 1'!$E$212:$E$221='Team Position by Round'!$B5)*('England 1'!$F$212:$F$221&gt;'England 1'!$D$212:$D$221))*3+SUMPRODUCT(('England 1'!$C$212:$C$221='Team Position by Round'!$B5)*('England 1'!$D$212:$D$221='England 1'!$F$212:$F$221))+SUMPRODUCT(('England 1'!$E$212:$E$221='Team Position by Round'!$B5)*('England 1'!$F$212:$F$221='England 1'!$D$212:$D$221))</f>
        <v>0</v>
      </c>
      <c r="Y5" s="75" cm="1">
        <f t="array" ref="Y5">SUMPRODUCT(('England 1'!$C$222:$C$231='Team Position by Round'!$B5)*('England 1'!$D$222:$D$231&gt;'England 1'!$F$222:$F$231))*3+SUMPRODUCT(('England 1'!$E$222:$E$231='Team Position by Round'!$B5)*('England 1'!$F$222:$F$231&gt;'England 1'!$D$222:$D$231))*3+SUMPRODUCT(('England 1'!$C$222:$C$231='Team Position by Round'!$B5)*('England 1'!$D$222:$D$231='England 1'!$F$222:$F$231))+SUMPRODUCT(('England 1'!$E$222:$E$231='Team Position by Round'!$B5)*('England 1'!$F$222:$F$231='England 1'!$D$222:$D$231))</f>
        <v>3</v>
      </c>
      <c r="Z5" s="75" cm="1">
        <f t="array" ref="Z5">SUMPRODUCT(('England 1'!$C$232:$C$241='Team Position by Round'!$B5)*('England 1'!$D$232:$D$241&gt;'England 1'!$F$232:$F$241))*3+SUMPRODUCT(('England 1'!$E$232:$E$241='Team Position by Round'!$B5)*('England 1'!$F$232:$F$241&gt;'England 1'!$D$232:$D$241))*3+SUMPRODUCT(('England 1'!$C$232:$C$241='Team Position by Round'!$B5)*('England 1'!$D$232:$D$241='England 1'!$F$232:$F$241))+SUMPRODUCT(('England 1'!$E$232:$E$241='Team Position by Round'!$B5)*('England 1'!$F$232:$F$241='England 1'!$D$232:$D$241))</f>
        <v>3</v>
      </c>
      <c r="AA5" s="75" cm="1">
        <f t="array" ref="AA5">SUMPRODUCT(('England 1'!$C$242:$C$251='Team Position by Round'!$B5)*('England 1'!$D$242:$D$251&gt;'England 1'!$F$242:$F$251))*3+SUMPRODUCT(('England 1'!$E$242:$E$251='Team Position by Round'!$B5)*('England 1'!$F$242:$F$251&gt;'England 1'!$D$242:$D$251))*3+SUMPRODUCT(('England 1'!$C$242:$C$251='Team Position by Round'!$B5)*('England 1'!$D$242:$D$251='England 1'!$F$242:$F$251))+SUMPRODUCT(('England 1'!$E$242:$E$251='Team Position by Round'!$B5)*('England 1'!$F$242:$F$251='England 1'!$D$242:$D$251))</f>
        <v>1</v>
      </c>
      <c r="AB5" s="75" cm="1">
        <f t="array" ref="AB5">SUMPRODUCT(('England 1'!$C$252:$C$261='Team Position by Round'!$B5)*('England 1'!$D$252:$D$261&gt;'England 1'!$F$252:$F$261))*3+SUMPRODUCT(('England 1'!$E$252:$E$261='Team Position by Round'!$B5)*('England 1'!$F$252:$F$261&gt;'England 1'!$D$252:$D$261))*3+SUMPRODUCT(('England 1'!$C$252:$C$261='Team Position by Round'!$B5)*('England 1'!$D$252:$D$261='England 1'!$F$252:$F$261))+SUMPRODUCT(('England 1'!$E$252:$E$261='Team Position by Round'!$B5)*('England 1'!$F$252:$F$261='England 1'!$D$252:$D$261))</f>
        <v>3</v>
      </c>
      <c r="AC5" s="75" cm="1">
        <f t="array" ref="AC5">SUMPRODUCT(('England 1'!$C$262:$C$271='Team Position by Round'!$B5)*('England 1'!$D$262:$D$271&gt;'England 1'!$F$262:$F$271))*3+SUMPRODUCT(('England 1'!$E$262:$E$271='Team Position by Round'!$B5)*('England 1'!$F$262:$F$271&gt;'England 1'!$D$262:$D$271))*3+SUMPRODUCT(('England 1'!$C$262:$C$271='Team Position by Round'!$B5)*('England 1'!$D$262:$D$271='England 1'!$F$262:$F$271))+SUMPRODUCT(('England 1'!$E$262:$E$271='Team Position by Round'!$B5)*('England 1'!$F$262:$F$271='England 1'!$D$262:$D$271))</f>
        <v>3</v>
      </c>
      <c r="AD5" s="75" cm="1">
        <f t="array" ref="AD5">SUMPRODUCT(('England 1'!$C$272:$C$281='Team Position by Round'!$B5)*('England 1'!$D$272:$D$281&gt;'England 1'!$F$272:$F$281))*3+SUMPRODUCT(('England 1'!$E$272:$E$281='Team Position by Round'!$B5)*('England 1'!$F$272:$F$281&gt;'England 1'!$D$272:$D$281))*3+SUMPRODUCT(('England 1'!$C$272:$C$281='Team Position by Round'!$B5)*('England 1'!$D$272:$D$281='England 1'!$F$272:$F$281))+SUMPRODUCT(('England 1'!$E$272:$E$281='Team Position by Round'!$B5)*('England 1'!$F$272:$F$281='England 1'!$D$272:$D$281))</f>
        <v>1</v>
      </c>
      <c r="AE5" s="75" cm="1">
        <f t="array" ref="AE5">SUMPRODUCT(('England 1'!$C$282:$C$291='Team Position by Round'!$B5)*('England 1'!$D$282:$D$291&gt;'England 1'!$F$282:$F$291))*3+SUMPRODUCT(('England 1'!$E$282:$E$291='Team Position by Round'!$B5)*('England 1'!$F$282:$F$291&gt;'England 1'!$D$282:$D$291))*3+SUMPRODUCT(('England 1'!$C$282:$C$291='Team Position by Round'!$B5)*('England 1'!$D$282:$D$291='England 1'!$F$282:$F$291))+SUMPRODUCT(('England 1'!$E$282:$E$291='Team Position by Round'!$B5)*('England 1'!$F$282:$F$291='England 1'!$D$282:$D$291))</f>
        <v>1</v>
      </c>
      <c r="AF5" s="75" cm="1">
        <f t="array" ref="AF5">SUMPRODUCT(('England 1'!$C$292:$C$301='Team Position by Round'!$B5)*('England 1'!$D$292:$D$301&gt;'England 1'!$F$292:$F$301))*3+SUMPRODUCT(('England 1'!$E$292:$E$301='Team Position by Round'!$B5)*('England 1'!$F$292:$F$301&gt;'England 1'!$D$292:$D$301))*3+SUMPRODUCT(('England 1'!$C$292:$C$301='Team Position by Round'!$B5)*('England 1'!$D$292:$D$301='England 1'!$F$292:$F$301))+SUMPRODUCT(('England 1'!$E$292:$E$301='Team Position by Round'!$B5)*('England 1'!$F$292:$F$301='England 1'!$D$292:$D$301))</f>
        <v>0</v>
      </c>
      <c r="AG5" s="75" cm="1">
        <f t="array" ref="AG5">SUMPRODUCT(('England 1'!$C$302:$C$311='Team Position by Round'!$B5)*('England 1'!$D$302:$D$311&gt;'England 1'!$F$302:$F$311))*3+SUMPRODUCT(('England 1'!$E$302:$E$311='Team Position by Round'!$B5)*('England 1'!$F$302:$F$311&gt;'England 1'!$D$302:$D$311))*3+SUMPRODUCT(('England 1'!$C$302:$C$311='Team Position by Round'!$B5)*('England 1'!$D$302:$D$311='England 1'!$F$302:$F$311))+SUMPRODUCT(('England 1'!$E$302:$E$311='Team Position by Round'!$B5)*('England 1'!$F$302:$F$311='England 1'!$D$302:$D$311))</f>
        <v>3</v>
      </c>
      <c r="AH5" s="75" cm="1">
        <f t="array" ref="AH5">SUMPRODUCT(('England 1'!$C$312:$C$321='Team Position by Round'!$B5)*('England 1'!$D$312:$D$321&gt;'England 1'!$F$312:$F$321))*3+SUMPRODUCT(('England 1'!$E$312:$E$321='Team Position by Round'!$B5)*('England 1'!$F$312:$F$321&gt;'England 1'!$D$312:$D$321))*3+SUMPRODUCT(('England 1'!$C$312:$C$321='Team Position by Round'!$B5)*('England 1'!$D$312:$D$321='England 1'!$F$312:$F$321))+SUMPRODUCT(('England 1'!$E$312:$E$321='Team Position by Round'!$B5)*('England 1'!$F$312:$F$321='England 1'!$D$312:$D$321))</f>
        <v>3</v>
      </c>
      <c r="AI5" s="75" cm="1">
        <f t="array" ref="AI5">SUMPRODUCT(('England 1'!$C$322:$C$331='Team Position by Round'!$B5)*('England 1'!$D$322:$D$331&gt;'England 1'!$F$322:$F$331))*3+SUMPRODUCT(('England 1'!$E$322:$E$331='Team Position by Round'!$B5)*('England 1'!$F$322:$F$331&gt;'England 1'!$D$322:$D$331))*3+SUMPRODUCT(('England 1'!$C$322:$C$331='Team Position by Round'!$B5)*('England 1'!$D$322:$D$331='England 1'!$F$322:$F$331))+SUMPRODUCT(('England 1'!$E$322:$E$331='Team Position by Round'!$B5)*('England 1'!$F$322:$F$331='England 1'!$D$322:$D$331))</f>
        <v>1</v>
      </c>
      <c r="AJ5" s="75" cm="1">
        <f t="array" ref="AJ5">SUMPRODUCT(('England 1'!$C$332:$C$341='Team Position by Round'!$B5)*('England 1'!$D$332:$D$341&gt;'England 1'!$F$332:$F$341))*3+SUMPRODUCT(('England 1'!$E$332:$E$341='Team Position by Round'!$B5)*('England 1'!$F$332:$F$341&gt;'England 1'!$D$332:$D$341))*3+SUMPRODUCT(('England 1'!$C$332:$C$341='Team Position by Round'!$B5)*('England 1'!$D$332:$D$341='England 1'!$F$332:$F$341))+SUMPRODUCT(('England 1'!$E$332:$E$341='Team Position by Round'!$B5)*('England 1'!$F$332:$F$341='England 1'!$D$332:$D$341))</f>
        <v>3</v>
      </c>
      <c r="AK5" s="75" cm="1">
        <f t="array" ref="AK5">SUMPRODUCT(('England 1'!$C$342:$C$351='Team Position by Round'!$B5)*('England 1'!$D$342:$D$351&gt;'England 1'!$F$342:$F$351))*3+SUMPRODUCT(('England 1'!$E$342:$E$351='Team Position by Round'!$B5)*('England 1'!$F$342:$F$351&gt;'England 1'!$D$342:$D$351))*3+SUMPRODUCT(('England 1'!$C$342:$C$351='Team Position by Round'!$B5)*('England 1'!$D$342:$D$351='England 1'!$F$342:$F$351))+SUMPRODUCT(('England 1'!$E$342:$E$351='Team Position by Round'!$B5)*('England 1'!$F$342:$F$351='England 1'!$D$342:$D$351))</f>
        <v>1</v>
      </c>
      <c r="AL5" s="75" cm="1">
        <f t="array" ref="AL5">SUMPRODUCT(('England 1'!$C$352:$C$361='Team Position by Round'!$B5)*('England 1'!$D$352:$D$361&gt;'England 1'!$F$352:$F$361))*3+SUMPRODUCT(('England 1'!$E$352:$E$361='Team Position by Round'!$B5)*('England 1'!$F$352:$F$361&gt;'England 1'!$D$352:$D$361))*3+SUMPRODUCT(('England 1'!$C$352:$C$361='Team Position by Round'!$B5)*('England 1'!$D$352:$D$361='England 1'!$F$352:$F$361))+SUMPRODUCT(('England 1'!$E$352:$E$361='Team Position by Round'!$B5)*('England 1'!$F$352:$F$361='England 1'!$D$352:$D$361))</f>
        <v>1</v>
      </c>
      <c r="AM5" s="75" cm="1">
        <f t="array" ref="AM5">SUMPRODUCT(('England 1'!$C$362:$C$371='Team Position by Round'!$B5)*('England 1'!$D$362:$D$371&gt;'England 1'!$F$362:$F$371))*3+SUMPRODUCT(('England 1'!$E$362:$E$371='Team Position by Round'!$B5)*('England 1'!$F$362:$F$371&gt;'England 1'!$D$362:$D$371))*3+SUMPRODUCT(('England 1'!$C$362:$C$371='Team Position by Round'!$B5)*('England 1'!$D$362:$D$371='England 1'!$F$362:$F$371))+SUMPRODUCT(('England 1'!$E$362:$E$371='Team Position by Round'!$B5)*('England 1'!$F$362:$F$371='England 1'!$D$362:$D$371))</f>
        <v>3</v>
      </c>
      <c r="AN5" s="75" cm="1">
        <f t="array" ref="AN5">SUMPRODUCT(('England 1'!$C$372:$C$381='Team Position by Round'!$B5)*('England 1'!$D$372:$D$381&gt;'England 1'!$F$372:$F$381))*3+SUMPRODUCT(('England 1'!$E$372:$E$381='Team Position by Round'!$B5)*('England 1'!$F$372:$F$381&gt;'England 1'!$D$372:$D$381))*3+SUMPRODUCT(('England 1'!$C$372:$C$381='Team Position by Round'!$B5)*('England 1'!$D$372:$D$381='England 1'!$F$372:$F$381))+SUMPRODUCT(('England 1'!$E$372:$E$381='Team Position by Round'!$B5)*('England 1'!$F$372:$F$381='England 1'!$D$372:$D$381))</f>
        <v>0</v>
      </c>
      <c r="AO5">
        <f t="shared" si="0"/>
        <v>15</v>
      </c>
      <c r="AP5">
        <f t="shared" si="1"/>
        <v>9</v>
      </c>
      <c r="AQ5">
        <f t="shared" si="2"/>
        <v>14</v>
      </c>
      <c r="AR5" s="78">
        <f>SUMIF('Burnley FC'!C:C,'Burnley FC'!N18,'Burnley FC'!D:D)+SUMIF('Burnley FC'!E:E,'Burnley FC'!N18,'Burnley FC'!F:F)</f>
        <v>43</v>
      </c>
      <c r="AS5">
        <f>SUMIF('Burnley FC'!C:C,"&lt;&gt;Burnley FC",'Burnley FC'!D:D)+SUMIF('Burnley FC'!E:E,"&lt;&gt;Burnley FC",'Burnley FC'!F:F)</f>
        <v>50</v>
      </c>
      <c r="AT5" s="78">
        <f>MAX('Burnley FC'!I:I)</f>
        <v>2</v>
      </c>
      <c r="AU5" s="78">
        <f>MAX('Burnley FC'!J:J)</f>
        <v>4</v>
      </c>
      <c r="AV5">
        <f>MAX('Burnley FC'!K:K)</f>
        <v>7</v>
      </c>
      <c r="AW5">
        <f>MAX('Burnley FC'!L:L)</f>
        <v>4</v>
      </c>
    </row>
    <row r="6" spans="2:49" x14ac:dyDescent="0.2">
      <c r="B6" t="str">
        <v>AFC Bournemouth</v>
      </c>
      <c r="C6" s="75" cm="1">
        <f t="array" ref="C6">SUMPRODUCT(('England 1'!$C$2:$C$11='Team Position by Round'!$B6)*('England 1'!$D$2:$D$11&gt;'England 1'!$F$2:$F$11))*3+SUMPRODUCT(('England 1'!$E$2:$E$11='Team Position by Round'!$B6)*('England 1'!$F$2:$F$11&gt;'England 1'!$D$2:$D$11))*3+SUMPRODUCT(('England 1'!$C$2:$C$11='Team Position by Round'!$B6)*('England 1'!$D$2:$D$11='England 1'!$F$2:$F$11))+SUMPRODUCT(('England 1'!$E$2:$E$11='Team Position by Round'!$B6)*('England 1'!$F$2:$F$11='England 1'!$D$2:$D$11))</f>
        <v>1</v>
      </c>
      <c r="D6" s="75" cm="1">
        <f t="array" ref="D6">SUMPRODUCT(('England 1'!$C$12:$C$21='Team Position by Round'!$B6)*('England 1'!$D$12:$D$21&gt;'England 1'!$F$12:$F$21))*3+SUMPRODUCT(('England 1'!$E$12:$E$21='Team Position by Round'!$B6)*('England 1'!$F$12:$F$21&gt;'England 1'!$D$12:$D$21))*3+SUMPRODUCT(('England 1'!$C$12:$C$21='Team Position by Round'!$B6)*('England 1'!$D$12:$D$21='England 1'!$F$12:$F$21))+SUMPRODUCT(('England 1'!$E$12:$E$21='Team Position by Round'!$B6)*('England 1'!$F$12:$F$21='England 1'!$D$12:$D$21))</f>
        <v>3</v>
      </c>
      <c r="E6" s="75" cm="1">
        <f t="array" ref="E6">SUMPRODUCT(('England 1'!$C$22:$C$31='Team Position by Round'!$B6)*('England 1'!$D$22:$D$31&gt;'England 1'!$F$22:$F$31))*3+SUMPRODUCT(('England 1'!$E$22:$E$31='Team Position by Round'!$B6)*('England 1'!$F$22:$F$31&gt;'England 1'!$D$22:$D$31))*3+SUMPRODUCT(('England 1'!$C$22:$C$31='Team Position by Round'!$B6)*('England 1'!$D$22:$D$31='England 1'!$F$22:$F$31))+SUMPRODUCT(('England 1'!$E$22:$E$31='Team Position by Round'!$B6)*('England 1'!$F$22:$F$31='England 1'!$D$22:$D$31))</f>
        <v>0</v>
      </c>
      <c r="F6" s="75" cm="1">
        <f t="array" ref="F6">SUMPRODUCT(('England 1'!$C$32:$C$41='Team Position by Round'!$B6)*('England 1'!$D$32:$D$41&gt;'England 1'!$F$32:$F$41))*3+SUMPRODUCT(('England 1'!$E$32:$E$41='Team Position by Round'!$B6)*('England 1'!$F$32:$F$41&gt;'England 1'!$D$32:$D$41))*3+SUMPRODUCT(('England 1'!$C$32:$C$41='Team Position by Round'!$B6)*('England 1'!$D$32:$D$41='England 1'!$F$32:$F$41))+SUMPRODUCT(('England 1'!$E$32:$E$41='Team Position by Round'!$B6)*('England 1'!$F$32:$F$41='England 1'!$D$32:$D$41))</f>
        <v>0</v>
      </c>
      <c r="G6" s="75" cm="1">
        <f t="array" ref="G6">SUMPRODUCT(('England 1'!$C$42:$C$51='Team Position by Round'!$B6)*('England 1'!$D$42:$D$51&gt;'England 1'!$F$42:$F$51))*3+SUMPRODUCT(('England 1'!$E$42:$E$51='Team Position by Round'!$B6)*('England 1'!$F$42:$F$51&gt;'England 1'!$D$42:$D$51))*3+SUMPRODUCT(('England 1'!$C$42:$C$51='Team Position by Round'!$B6)*('England 1'!$D$42:$D$51='England 1'!$F$42:$F$51))+SUMPRODUCT(('England 1'!$E$42:$E$51='Team Position by Round'!$B6)*('England 1'!$F$42:$F$51='England 1'!$D$42:$D$51))</f>
        <v>3</v>
      </c>
      <c r="H6" s="75" cm="1">
        <f t="array" ref="H6">SUMPRODUCT(('England 1'!$C$52:$C$61='Team Position by Round'!$B6)*('England 1'!$D$52:$D$61&gt;'England 1'!$F$52:$F$61))*3+SUMPRODUCT(('England 1'!$E$52:$E$61='Team Position by Round'!$B6)*('England 1'!$F$52:$F$61&gt;'England 1'!$D$52:$D$61))*3+SUMPRODUCT(('England 1'!$C$52:$C$61='Team Position by Round'!$B6)*('England 1'!$D$52:$D$61='England 1'!$F$52:$F$61))+SUMPRODUCT(('England 1'!$E$52:$E$61='Team Position by Round'!$B6)*('England 1'!$F$52:$F$61='England 1'!$D$52:$D$61))</f>
        <v>3</v>
      </c>
      <c r="I6" s="75" cm="1">
        <f t="array" ref="I6">SUMPRODUCT(('England 1'!$C$62:$C$71='Team Position by Round'!$B6)*('England 1'!$D$62:$D$71&gt;'England 1'!$F$62:$F$71))*3+SUMPRODUCT(('England 1'!$E$62:$E$71='Team Position by Round'!$B6)*('England 1'!$F$62:$F$71&gt;'England 1'!$D$62:$D$71))*3+SUMPRODUCT(('England 1'!$C$62:$C$71='Team Position by Round'!$B6)*('England 1'!$D$62:$D$71='England 1'!$F$62:$F$71))+SUMPRODUCT(('England 1'!$E$62:$E$71='Team Position by Round'!$B6)*('England 1'!$F$62:$F$71='England 1'!$D$62:$D$71))</f>
        <v>1</v>
      </c>
      <c r="J6" s="76" cm="1">
        <f t="array" ref="J6">SUMPRODUCT(('England 1'!$C$72:$C$81='Team Position by Round'!$B6)*('England 1'!$D$72:$D$81&gt;'England 1'!$F$72:$F$81))*3+SUMPRODUCT(('England 1'!$E$72:$E$81='Team Position by Round'!$B6)*('England 1'!$F$72:$F$81&gt;'England 1'!$D$72:$D$81))*3+SUMPRODUCT(('England 1'!$C$72:$C$81='Team Position by Round'!$B6)*('England 1'!$D$72:$D$81='England 1'!$F$72:$F$81))+SUMPRODUCT(('England 1'!$E$72:$E$81='Team Position by Round'!$B6)*('England 1'!$F$72:$F$81='England 1'!$D$72:$D$81))</f>
        <v>0</v>
      </c>
      <c r="K6" s="75" cm="1">
        <f t="array" ref="K6">SUMPRODUCT(('England 1'!$C$82:$C$91='Team Position by Round'!$B6)*('England 1'!$D$82:$D$91&gt;'England 1'!$F$82:$F$91))*3+SUMPRODUCT(('England 1'!$E$82:$E$91='Team Position by Round'!$B6)*('England 1'!$F$82:$F$91&gt;'England 1'!$D$82:$D$91))*3+SUMPRODUCT(('England 1'!$C$82:$C$91='Team Position by Round'!$B6)*('England 1'!$D$82:$D$91='England 1'!$F$82:$F$91))+SUMPRODUCT(('England 1'!$E$82:$E$91='Team Position by Round'!$B6)*('England 1'!$F$82:$F$91='England 1'!$D$82:$D$91))</f>
        <v>1</v>
      </c>
      <c r="L6" s="75" cm="1">
        <f t="array" ref="L6">SUMPRODUCT(('England 1'!$C$92:$C$101='Team Position by Round'!$B6)*('England 1'!$D$92:$D$101&gt;'England 1'!$F$92:$F$101))*3+SUMPRODUCT(('England 1'!$E$92:$E$101='Team Position by Round'!$B6)*('England 1'!$F$92:$F$101&gt;'England 1'!$D$92:$D$101))*3+SUMPRODUCT(('England 1'!$C$92:$C$101='Team Position by Round'!$B6)*('England 1'!$D$92:$D$101='England 1'!$F$92:$F$101))+SUMPRODUCT(('England 1'!$E$92:$E$101='Team Position by Round'!$B6)*('England 1'!$F$92:$F$101='England 1'!$D$92:$D$101))</f>
        <v>1</v>
      </c>
      <c r="M6" s="75" cm="1">
        <f t="array" ref="M6">SUMPRODUCT(('England 1'!$C$102:$C$111='Team Position by Round'!$B6)*('England 1'!$D$102:$D$111&gt;'England 1'!$F$102:$F$111))*3+SUMPRODUCT(('England 1'!$E$102:$E$111='Team Position by Round'!$B6)*('England 1'!$F$102:$F$111&gt;'England 1'!$D$102:$D$111))*3+SUMPRODUCT(('England 1'!$C$102:$C$111='Team Position by Round'!$B6)*('England 1'!$D$102:$D$111='England 1'!$F$102:$F$111))+SUMPRODUCT(('England 1'!$E$102:$E$111='Team Position by Round'!$B6)*('England 1'!$F$102:$F$111='England 1'!$D$102:$D$111))</f>
        <v>3</v>
      </c>
      <c r="N6" s="75" cm="1">
        <f t="array" ref="N6">SUMPRODUCT(('England 1'!$C$112:$C$121='Team Position by Round'!$B6)*('England 1'!$D$112:$D$121&gt;'England 1'!$F$112:$F$121))*3+SUMPRODUCT(('England 1'!$E$112:$E$121='Team Position by Round'!$B6)*('England 1'!$F$112:$F$121&gt;'England 1'!$D$112:$D$121))*3+SUMPRODUCT(('England 1'!$C$112:$C$121='Team Position by Round'!$B6)*('England 1'!$D$112:$D$121='England 1'!$F$112:$F$121))+SUMPRODUCT(('England 1'!$E$112:$E$121='Team Position by Round'!$B6)*('England 1'!$F$112:$F$121='England 1'!$D$112:$D$121))</f>
        <v>0</v>
      </c>
      <c r="O6" s="75" cm="1">
        <f t="array" ref="O6">SUMPRODUCT(('England 1'!$C$122:$C$131='Team Position by Round'!$B6)*('England 1'!$D$122:$D$131&gt;'England 1'!$F$122:$F$131))*3+SUMPRODUCT(('England 1'!$E$122:$E$131='Team Position by Round'!$B6)*('England 1'!$F$122:$F$131&gt;'England 1'!$D$122:$D$131))*3+SUMPRODUCT(('England 1'!$C$122:$C$131='Team Position by Round'!$B6)*('England 1'!$D$122:$D$131='England 1'!$F$122:$F$131))+SUMPRODUCT(('England 1'!$E$122:$E$131='Team Position by Round'!$B6)*('England 1'!$F$122:$F$131='England 1'!$D$122:$D$131))</f>
        <v>0</v>
      </c>
      <c r="P6" s="75" cm="1">
        <f t="array" ref="P6">SUMPRODUCT(('England 1'!$C$132:$C$141='Team Position by Round'!$B6)*('England 1'!$D$132:$D$141&gt;'England 1'!$F$132:$F$141))*3+SUMPRODUCT(('England 1'!$E$132:$E$141='Team Position by Round'!$B6)*('England 1'!$F$132:$F$141&gt;'England 1'!$D$132:$D$141))*3+SUMPRODUCT(('England 1'!$C$132:$C$141='Team Position by Round'!$B6)*('England 1'!$D$132:$D$141='England 1'!$F$132:$F$141))+SUMPRODUCT(('England 1'!$E$132:$E$141='Team Position by Round'!$B6)*('England 1'!$F$132:$F$141='England 1'!$D$132:$D$141))</f>
        <v>0</v>
      </c>
      <c r="Q6" s="75" cm="1">
        <f t="array" ref="Q6">SUMPRODUCT(('England 1'!$C$142:$C$151='Team Position by Round'!$B6)*('England 1'!$D$142:$D$151&gt;'England 1'!$F$142:$F$151))*3+SUMPRODUCT(('England 1'!$E$142:$E$151='Team Position by Round'!$B6)*('England 1'!$F$142:$F$151&gt;'England 1'!$D$142:$D$151))*3+SUMPRODUCT(('England 1'!$C$142:$C$151='Team Position by Round'!$B6)*('England 1'!$D$142:$D$151='England 1'!$F$142:$F$151))+SUMPRODUCT(('England 1'!$E$142:$E$151='Team Position by Round'!$B6)*('England 1'!$F$142:$F$151='England 1'!$D$142:$D$151))</f>
        <v>0</v>
      </c>
      <c r="R6" s="75" cm="1">
        <f t="array" ref="R6">SUMPRODUCT(('England 1'!$C$152:$C$161='Team Position by Round'!$B6)*('England 1'!$D$152:$D$161&gt;'England 1'!$F$152:$F$161))*3+SUMPRODUCT(('England 1'!$E$152:$E$161='Team Position by Round'!$B6)*('England 1'!$F$152:$F$161&gt;'England 1'!$D$152:$D$161))*3+SUMPRODUCT(('England 1'!$C$152:$C$161='Team Position by Round'!$B6)*('England 1'!$D$152:$D$161='England 1'!$F$152:$F$161))+SUMPRODUCT(('England 1'!$E$152:$E$161='Team Position by Round'!$B6)*('England 1'!$F$152:$F$161='England 1'!$D$152:$D$161))</f>
        <v>0</v>
      </c>
      <c r="S6" s="75" cm="1">
        <f t="array" ref="S6">SUMPRODUCT(('England 1'!$C$162:$C$171='Team Position by Round'!$B6)*('England 1'!$D$162:$D$171&gt;'England 1'!$F$162:$F$171))*3+SUMPRODUCT(('England 1'!$E$162:$E$171='Team Position by Round'!$B6)*('England 1'!$F$162:$F$171&gt;'England 1'!$D$162:$D$171))*3+SUMPRODUCT(('England 1'!$C$162:$C$171='Team Position by Round'!$B6)*('England 1'!$D$162:$D$171='England 1'!$F$162:$F$171))+SUMPRODUCT(('England 1'!$E$162:$E$171='Team Position by Round'!$B6)*('England 1'!$F$162:$F$171='England 1'!$D$162:$D$171))</f>
        <v>3</v>
      </c>
      <c r="T6" s="75" cm="1">
        <f t="array" ref="T6">SUMPRODUCT(('England 1'!$C$172:$C$181='Team Position by Round'!$B6)*('England 1'!$D$172:$D$181&gt;'England 1'!$F$172:$F$181))*3+SUMPRODUCT(('England 1'!$E$172:$E$181='Team Position by Round'!$B6)*('England 1'!$F$172:$F$181&gt;'England 1'!$D$172:$D$181))*3+SUMPRODUCT(('England 1'!$C$172:$C$181='Team Position by Round'!$B6)*('England 1'!$D$172:$D$181='England 1'!$F$172:$F$181))+SUMPRODUCT(('England 1'!$E$172:$E$181='Team Position by Round'!$B6)*('England 1'!$F$172:$F$181='England 1'!$D$172:$D$181))</f>
        <v>0</v>
      </c>
      <c r="U6" s="75" cm="1">
        <f t="array" ref="U6">SUMPRODUCT(('England 1'!$C$182:$C$191='Team Position by Round'!$B6)*('England 1'!$D$182:$D$191&gt;'England 1'!$F$182:$F$191))*3+SUMPRODUCT(('England 1'!$E$182:$E$191='Team Position by Round'!$B6)*('England 1'!$F$182:$F$191&gt;'England 1'!$D$182:$D$191))*3+SUMPRODUCT(('England 1'!$C$182:$C$191='Team Position by Round'!$B6)*('England 1'!$D$182:$D$191='England 1'!$F$182:$F$191))+SUMPRODUCT(('England 1'!$E$182:$E$191='Team Position by Round'!$B6)*('England 1'!$F$182:$F$191='England 1'!$D$182:$D$191))</f>
        <v>1</v>
      </c>
      <c r="V6" s="75" cm="1">
        <f t="array" ref="V6">SUMPRODUCT(('England 1'!$C$192:$C$201='Team Position by Round'!$B6)*('England 1'!$D$192:$D$201&gt;'England 1'!$F$192:$F$201))*3+SUMPRODUCT(('England 1'!$E$192:$E$201='Team Position by Round'!$B6)*('England 1'!$F$192:$F$201&gt;'England 1'!$D$192:$D$201))*3+SUMPRODUCT(('England 1'!$C$192:$C$201='Team Position by Round'!$B6)*('England 1'!$D$192:$D$201='England 1'!$F$192:$F$201))+SUMPRODUCT(('England 1'!$E$192:$E$201='Team Position by Round'!$B6)*('England 1'!$F$192:$F$201='England 1'!$D$192:$D$201))</f>
        <v>0</v>
      </c>
      <c r="W6" s="75" cm="1">
        <f t="array" ref="W6">SUMPRODUCT(('England 1'!$C$202:$C$211='Team Position by Round'!$B6)*('England 1'!$D$202:$D$211&gt;'England 1'!$F$202:$F$211))*3+SUMPRODUCT(('England 1'!$E$202:$E$211='Team Position by Round'!$B6)*('England 1'!$F$202:$F$211&gt;'England 1'!$D$202:$D$211))*3+SUMPRODUCT(('England 1'!$C$202:$C$211='Team Position by Round'!$B6)*('England 1'!$D$202:$D$211='England 1'!$F$202:$F$211))+SUMPRODUCT(('England 1'!$E$202:$E$211='Team Position by Round'!$B6)*('England 1'!$F$202:$F$211='England 1'!$D$202:$D$211))</f>
        <v>0</v>
      </c>
      <c r="X6" s="75" cm="1">
        <f t="array" ref="X6">SUMPRODUCT(('England 1'!$C$212:$C$221='Team Position by Round'!$B6)*('England 1'!$D$212:$D$221&gt;'England 1'!$F$212:$F$221))*3+SUMPRODUCT(('England 1'!$E$212:$E$221='Team Position by Round'!$B6)*('England 1'!$F$212:$F$221&gt;'England 1'!$D$212:$D$221))*3+SUMPRODUCT(('England 1'!$C$212:$C$221='Team Position by Round'!$B6)*('England 1'!$D$212:$D$221='England 1'!$F$212:$F$221))+SUMPRODUCT(('England 1'!$E$212:$E$221='Team Position by Round'!$B6)*('England 1'!$F$212:$F$221='England 1'!$D$212:$D$221))</f>
        <v>0</v>
      </c>
      <c r="Y6" s="75" cm="1">
        <f t="array" ref="Y6">SUMPRODUCT(('England 1'!$C$222:$C$231='Team Position by Round'!$B6)*('England 1'!$D$222:$D$231&gt;'England 1'!$F$222:$F$231))*3+SUMPRODUCT(('England 1'!$E$222:$E$231='Team Position by Round'!$B6)*('England 1'!$F$222:$F$231&gt;'England 1'!$D$222:$D$231))*3+SUMPRODUCT(('England 1'!$C$222:$C$231='Team Position by Round'!$B6)*('England 1'!$D$222:$D$231='England 1'!$F$222:$F$231))+SUMPRODUCT(('England 1'!$E$222:$E$231='Team Position by Round'!$B6)*('England 1'!$F$222:$F$231='England 1'!$D$222:$D$231))</f>
        <v>0</v>
      </c>
      <c r="Z6" s="75" cm="1">
        <f t="array" ref="Z6">SUMPRODUCT(('England 1'!$C$232:$C$241='Team Position by Round'!$B6)*('England 1'!$D$232:$D$241&gt;'England 1'!$F$232:$F$241))*3+SUMPRODUCT(('England 1'!$E$232:$E$241='Team Position by Round'!$B6)*('England 1'!$F$232:$F$241&gt;'England 1'!$D$232:$D$241))*3+SUMPRODUCT(('England 1'!$C$232:$C$241='Team Position by Round'!$B6)*('England 1'!$D$232:$D$241='England 1'!$F$232:$F$241))+SUMPRODUCT(('England 1'!$E$232:$E$241='Team Position by Round'!$B6)*('England 1'!$F$232:$F$241='England 1'!$D$232:$D$241))</f>
        <v>3</v>
      </c>
      <c r="AA6" s="75" cm="1">
        <f t="array" ref="AA6">SUMPRODUCT(('England 1'!$C$242:$C$251='Team Position by Round'!$B6)*('England 1'!$D$242:$D$251&gt;'England 1'!$F$242:$F$251))*3+SUMPRODUCT(('England 1'!$E$242:$E$251='Team Position by Round'!$B6)*('England 1'!$F$242:$F$251&gt;'England 1'!$D$242:$D$251))*3+SUMPRODUCT(('England 1'!$C$242:$C$251='Team Position by Round'!$B6)*('England 1'!$D$242:$D$251='England 1'!$F$242:$F$251))+SUMPRODUCT(('England 1'!$E$242:$E$251='Team Position by Round'!$B6)*('England 1'!$F$242:$F$251='England 1'!$D$242:$D$251))</f>
        <v>3</v>
      </c>
      <c r="AB6" s="75" cm="1">
        <f t="array" ref="AB6">SUMPRODUCT(('England 1'!$C$252:$C$261='Team Position by Round'!$B6)*('England 1'!$D$252:$D$261&gt;'England 1'!$F$252:$F$261))*3+SUMPRODUCT(('England 1'!$E$252:$E$261='Team Position by Round'!$B6)*('England 1'!$F$252:$F$261&gt;'England 1'!$D$252:$D$261))*3+SUMPRODUCT(('England 1'!$C$252:$C$261='Team Position by Round'!$B6)*('England 1'!$D$252:$D$261='England 1'!$F$252:$F$261))+SUMPRODUCT(('England 1'!$E$252:$E$261='Team Position by Round'!$B6)*('England 1'!$F$252:$F$261='England 1'!$D$252:$D$261))</f>
        <v>0</v>
      </c>
      <c r="AC6" s="75" cm="1">
        <f t="array" ref="AC6">SUMPRODUCT(('England 1'!$C$262:$C$271='Team Position by Round'!$B6)*('England 1'!$D$262:$D$271&gt;'England 1'!$F$262:$F$271))*3+SUMPRODUCT(('England 1'!$E$262:$E$271='Team Position by Round'!$B6)*('England 1'!$F$262:$F$271&gt;'England 1'!$D$262:$D$271))*3+SUMPRODUCT(('England 1'!$C$262:$C$271='Team Position by Round'!$B6)*('England 1'!$D$262:$D$271='England 1'!$F$262:$F$271))+SUMPRODUCT(('England 1'!$E$262:$E$271='Team Position by Round'!$B6)*('England 1'!$F$262:$F$271='England 1'!$D$262:$D$271))</f>
        <v>0</v>
      </c>
      <c r="AD6" s="75" cm="1">
        <f t="array" ref="AD6">SUMPRODUCT(('England 1'!$C$272:$C$281='Team Position by Round'!$B6)*('England 1'!$D$272:$D$281&gt;'England 1'!$F$272:$F$281))*3+SUMPRODUCT(('England 1'!$E$272:$E$281='Team Position by Round'!$B6)*('England 1'!$F$272:$F$281&gt;'England 1'!$D$272:$D$281))*3+SUMPRODUCT(('England 1'!$C$272:$C$281='Team Position by Round'!$B6)*('England 1'!$D$272:$D$281='England 1'!$F$272:$F$281))+SUMPRODUCT(('England 1'!$E$272:$E$281='Team Position by Round'!$B6)*('England 1'!$F$272:$F$281='England 1'!$D$272:$D$281))</f>
        <v>1</v>
      </c>
      <c r="AE6" s="75" cm="1">
        <f t="array" ref="AE6">SUMPRODUCT(('England 1'!$C$282:$C$291='Team Position by Round'!$B6)*('England 1'!$D$282:$D$291&gt;'England 1'!$F$282:$F$291))*3+SUMPRODUCT(('England 1'!$E$282:$E$291='Team Position by Round'!$B6)*('England 1'!$F$282:$F$291&gt;'England 1'!$D$282:$D$291))*3+SUMPRODUCT(('England 1'!$C$282:$C$291='Team Position by Round'!$B6)*('England 1'!$D$282:$D$291='England 1'!$F$282:$F$291))+SUMPRODUCT(('England 1'!$E$282:$E$291='Team Position by Round'!$B6)*('England 1'!$F$282:$F$291='England 1'!$D$282:$D$291))</f>
        <v>0</v>
      </c>
      <c r="AF6" s="75" cm="1">
        <f t="array" ref="AF6">SUMPRODUCT(('England 1'!$C$292:$C$301='Team Position by Round'!$B6)*('England 1'!$D$292:$D$301&gt;'England 1'!$F$292:$F$301))*3+SUMPRODUCT(('England 1'!$E$292:$E$301='Team Position by Round'!$B6)*('England 1'!$F$292:$F$301&gt;'England 1'!$D$292:$D$301))*3+SUMPRODUCT(('England 1'!$C$292:$C$301='Team Position by Round'!$B6)*('England 1'!$D$292:$D$301='England 1'!$F$292:$F$301))+SUMPRODUCT(('England 1'!$E$292:$E$301='Team Position by Round'!$B6)*('England 1'!$F$292:$F$301='England 1'!$D$292:$D$301))</f>
        <v>0</v>
      </c>
      <c r="AG6" s="75" cm="1">
        <f t="array" ref="AG6">SUMPRODUCT(('England 1'!$C$302:$C$311='Team Position by Round'!$B6)*('England 1'!$D$302:$D$311&gt;'England 1'!$F$302:$F$311))*3+SUMPRODUCT(('England 1'!$E$302:$E$311='Team Position by Round'!$B6)*('England 1'!$F$302:$F$311&gt;'England 1'!$D$302:$D$311))*3+SUMPRODUCT(('England 1'!$C$302:$C$311='Team Position by Round'!$B6)*('England 1'!$D$302:$D$311='England 1'!$F$302:$F$311))+SUMPRODUCT(('England 1'!$E$302:$E$311='Team Position by Round'!$B6)*('England 1'!$F$302:$F$311='England 1'!$D$302:$D$311))</f>
        <v>0</v>
      </c>
      <c r="AH6" s="75" cm="1">
        <f t="array" ref="AH6">SUMPRODUCT(('England 1'!$C$312:$C$321='Team Position by Round'!$B6)*('England 1'!$D$312:$D$321&gt;'England 1'!$F$312:$F$321))*3+SUMPRODUCT(('England 1'!$E$312:$E$321='Team Position by Round'!$B6)*('England 1'!$F$312:$F$321&gt;'England 1'!$D$312:$D$321))*3+SUMPRODUCT(('England 1'!$C$312:$C$321='Team Position by Round'!$B6)*('England 1'!$D$312:$D$321='England 1'!$F$312:$F$321))+SUMPRODUCT(('England 1'!$E$312:$E$321='Team Position by Round'!$B6)*('England 1'!$F$312:$F$321='England 1'!$D$312:$D$321))</f>
        <v>0</v>
      </c>
      <c r="AI6" s="75" cm="1">
        <f t="array" ref="AI6">SUMPRODUCT(('England 1'!$C$322:$C$331='Team Position by Round'!$B6)*('England 1'!$D$322:$D$331&gt;'England 1'!$F$322:$F$331))*3+SUMPRODUCT(('England 1'!$E$322:$E$331='Team Position by Round'!$B6)*('England 1'!$F$322:$F$331&gt;'England 1'!$D$322:$D$331))*3+SUMPRODUCT(('England 1'!$C$322:$C$331='Team Position by Round'!$B6)*('England 1'!$D$322:$D$331='England 1'!$F$322:$F$331))+SUMPRODUCT(('England 1'!$E$322:$E$331='Team Position by Round'!$B6)*('England 1'!$F$322:$F$331='England 1'!$D$322:$D$331))</f>
        <v>0</v>
      </c>
      <c r="AJ6" s="75" cm="1">
        <f t="array" ref="AJ6">SUMPRODUCT(('England 1'!$C$332:$C$341='Team Position by Round'!$B6)*('England 1'!$D$332:$D$341&gt;'England 1'!$F$332:$F$341))*3+SUMPRODUCT(('England 1'!$E$332:$E$341='Team Position by Round'!$B6)*('England 1'!$F$332:$F$341&gt;'England 1'!$D$332:$D$341))*3+SUMPRODUCT(('England 1'!$C$332:$C$341='Team Position by Round'!$B6)*('England 1'!$D$332:$D$341='England 1'!$F$332:$F$341))+SUMPRODUCT(('England 1'!$E$332:$E$341='Team Position by Round'!$B6)*('England 1'!$F$332:$F$341='England 1'!$D$332:$D$341))</f>
        <v>1</v>
      </c>
      <c r="AK6" s="75" cm="1">
        <f t="array" ref="AK6">SUMPRODUCT(('England 1'!$C$342:$C$351='Team Position by Round'!$B6)*('England 1'!$D$342:$D$351&gt;'England 1'!$F$342:$F$351))*3+SUMPRODUCT(('England 1'!$E$342:$E$351='Team Position by Round'!$B6)*('England 1'!$F$342:$F$351&gt;'England 1'!$D$342:$D$351))*3+SUMPRODUCT(('England 1'!$C$342:$C$351='Team Position by Round'!$B6)*('England 1'!$D$342:$D$351='England 1'!$F$342:$F$351))+SUMPRODUCT(('England 1'!$E$342:$E$351='Team Position by Round'!$B6)*('England 1'!$F$342:$F$351='England 1'!$D$342:$D$351))</f>
        <v>3</v>
      </c>
      <c r="AL6" s="75" cm="1">
        <f t="array" ref="AL6">SUMPRODUCT(('England 1'!$C$352:$C$361='Team Position by Round'!$B6)*('England 1'!$D$352:$D$361&gt;'England 1'!$F$352:$F$361))*3+SUMPRODUCT(('England 1'!$E$352:$E$361='Team Position by Round'!$B6)*('England 1'!$F$352:$F$361&gt;'England 1'!$D$352:$D$361))*3+SUMPRODUCT(('England 1'!$C$352:$C$361='Team Position by Round'!$B6)*('England 1'!$D$352:$D$361='England 1'!$F$352:$F$361))+SUMPRODUCT(('England 1'!$E$352:$E$361='Team Position by Round'!$B6)*('England 1'!$F$352:$F$361='England 1'!$D$352:$D$361))</f>
        <v>0</v>
      </c>
      <c r="AM6" s="75" cm="1">
        <f t="array" ref="AM6">SUMPRODUCT(('England 1'!$C$362:$C$371='Team Position by Round'!$B6)*('England 1'!$D$362:$D$371&gt;'England 1'!$F$362:$F$371))*3+SUMPRODUCT(('England 1'!$E$362:$E$371='Team Position by Round'!$B6)*('England 1'!$F$362:$F$371&gt;'England 1'!$D$362:$D$371))*3+SUMPRODUCT(('England 1'!$C$362:$C$371='Team Position by Round'!$B6)*('England 1'!$D$362:$D$371='England 1'!$F$362:$F$371))+SUMPRODUCT(('England 1'!$E$362:$E$371='Team Position by Round'!$B6)*('England 1'!$F$362:$F$371='England 1'!$D$362:$D$371))</f>
        <v>0</v>
      </c>
      <c r="AN6" s="75" cm="1">
        <f t="array" ref="AN6">SUMPRODUCT(('England 1'!$C$372:$C$381='Team Position by Round'!$B6)*('England 1'!$D$372:$D$381&gt;'England 1'!$F$372:$F$381))*3+SUMPRODUCT(('England 1'!$E$372:$E$381='Team Position by Round'!$B6)*('England 1'!$F$372:$F$381&gt;'England 1'!$D$372:$D$381))*3+SUMPRODUCT(('England 1'!$C$372:$C$381='Team Position by Round'!$B6)*('England 1'!$D$372:$D$381='England 1'!$F$372:$F$381))+SUMPRODUCT(('England 1'!$E$372:$E$381='Team Position by Round'!$B6)*('England 1'!$F$372:$F$381='England 1'!$D$372:$D$381))</f>
        <v>3</v>
      </c>
      <c r="AO6">
        <f t="shared" si="0"/>
        <v>9</v>
      </c>
      <c r="AP6">
        <f t="shared" si="1"/>
        <v>7</v>
      </c>
      <c r="AQ6">
        <f t="shared" si="2"/>
        <v>22</v>
      </c>
      <c r="AR6" s="78">
        <f>SUMIF('AFC Bournemouth'!C:C,'AFC Bournemouth'!N18,'AFC Bournemouth'!D:D)+SUMIF('AFC Bournemouth'!E:E,'AFC Bournemouth'!P18,'AFC Bournemouth'!F:F)</f>
        <v>22</v>
      </c>
      <c r="AS6" s="78">
        <f>SUMIF('AFC Bournemouth'!C:C,"&lt;&gt;AFC Bournemouth",'AFC Bournemouth'!D:D)+SUMIF('AFC Bournemouth'!E:E,"&lt;&gt;AFC Bournemouth",'AFC Bournemouth'!F:F)</f>
        <v>65</v>
      </c>
      <c r="AT6" s="78">
        <f>MAX('AFC Bournemouth'!I:I)</f>
        <v>2</v>
      </c>
      <c r="AU6" s="78">
        <f>MAX('AFC Bournemouth'!J:J)</f>
        <v>5</v>
      </c>
      <c r="AV6">
        <f>MAX('AFC Bournemouth'!K:K)</f>
        <v>3</v>
      </c>
      <c r="AW6">
        <f>MAX('AFC Bournemouth'!L:L)</f>
        <v>9</v>
      </c>
    </row>
    <row r="7" spans="2:49" x14ac:dyDescent="0.2">
      <c r="B7" t="str">
        <v>Crystal Palace FC</v>
      </c>
      <c r="C7" s="75" cm="1">
        <f t="array" ref="C7">SUMPRODUCT(('England 1'!$C$2:$C$11='Team Position by Round'!$B7)*('England 1'!$D$2:$D$11&gt;'England 1'!$F$2:$F$11))*3+SUMPRODUCT(('England 1'!$E$2:$E$11='Team Position by Round'!$B7)*('England 1'!$F$2:$F$11&gt;'England 1'!$D$2:$D$11))*3+SUMPRODUCT(('England 1'!$C$2:$C$11='Team Position by Round'!$B7)*('England 1'!$D$2:$D$11='England 1'!$F$2:$F$11))+SUMPRODUCT(('England 1'!$E$2:$E$11='Team Position by Round'!$B7)*('England 1'!$F$2:$F$11='England 1'!$D$2:$D$11))</f>
        <v>1</v>
      </c>
      <c r="D7" s="75" cm="1">
        <f t="array" ref="D7">SUMPRODUCT(('England 1'!$C$12:$C$21='Team Position by Round'!$B7)*('England 1'!$D$12:$D$21&gt;'England 1'!$F$12:$F$21))*3+SUMPRODUCT(('England 1'!$E$12:$E$21='Team Position by Round'!$B7)*('England 1'!$F$12:$F$21&gt;'England 1'!$D$12:$D$21))*3+SUMPRODUCT(('England 1'!$C$12:$C$21='Team Position by Round'!$B7)*('England 1'!$D$12:$D$21='England 1'!$F$12:$F$21))+SUMPRODUCT(('England 1'!$E$12:$E$21='Team Position by Round'!$B7)*('England 1'!$F$12:$F$21='England 1'!$D$12:$D$21))</f>
        <v>0</v>
      </c>
      <c r="E7" s="75" cm="1">
        <f t="array" ref="E7">SUMPRODUCT(('England 1'!$C$22:$C$31='Team Position by Round'!$B7)*('England 1'!$D$22:$D$31&gt;'England 1'!$F$22:$F$31))*3+SUMPRODUCT(('England 1'!$E$22:$E$31='Team Position by Round'!$B7)*('England 1'!$F$22:$F$31&gt;'England 1'!$D$22:$D$31))*3+SUMPRODUCT(('England 1'!$C$22:$C$31='Team Position by Round'!$B7)*('England 1'!$D$22:$D$31='England 1'!$F$22:$F$31))+SUMPRODUCT(('England 1'!$E$22:$E$31='Team Position by Round'!$B7)*('England 1'!$F$22:$F$31='England 1'!$D$22:$D$31))</f>
        <v>3</v>
      </c>
      <c r="F7" s="75" cm="1">
        <f t="array" ref="F7">SUMPRODUCT(('England 1'!$C$32:$C$41='Team Position by Round'!$B7)*('England 1'!$D$32:$D$41&gt;'England 1'!$F$32:$F$41))*3+SUMPRODUCT(('England 1'!$E$32:$E$41='Team Position by Round'!$B7)*('England 1'!$F$32:$F$41&gt;'England 1'!$D$32:$D$41))*3+SUMPRODUCT(('England 1'!$C$32:$C$41='Team Position by Round'!$B7)*('England 1'!$D$32:$D$41='England 1'!$F$32:$F$41))+SUMPRODUCT(('England 1'!$E$32:$E$41='Team Position by Round'!$B7)*('England 1'!$F$32:$F$41='England 1'!$D$32:$D$41))</f>
        <v>3</v>
      </c>
      <c r="G7" s="75" cm="1">
        <f t="array" ref="G7">SUMPRODUCT(('England 1'!$C$42:$C$51='Team Position by Round'!$B7)*('England 1'!$D$42:$D$51&gt;'England 1'!$F$42:$F$51))*3+SUMPRODUCT(('England 1'!$E$42:$E$51='Team Position by Round'!$B7)*('England 1'!$F$42:$F$51&gt;'England 1'!$D$42:$D$51))*3+SUMPRODUCT(('England 1'!$C$42:$C$51='Team Position by Round'!$B7)*('England 1'!$D$42:$D$51='England 1'!$F$42:$F$51))+SUMPRODUCT(('England 1'!$E$42:$E$51='Team Position by Round'!$B7)*('England 1'!$F$42:$F$51='England 1'!$D$42:$D$51))</f>
        <v>0</v>
      </c>
      <c r="H7" s="75" cm="1">
        <f t="array" ref="H7">SUMPRODUCT(('England 1'!$C$52:$C$61='Team Position by Round'!$B7)*('England 1'!$D$52:$D$61&gt;'England 1'!$F$52:$F$61))*3+SUMPRODUCT(('England 1'!$E$52:$E$61='Team Position by Round'!$B7)*('England 1'!$F$52:$F$61&gt;'England 1'!$D$52:$D$61))*3+SUMPRODUCT(('England 1'!$C$52:$C$61='Team Position by Round'!$B7)*('England 1'!$D$52:$D$61='England 1'!$F$52:$F$61))+SUMPRODUCT(('England 1'!$E$52:$E$61='Team Position by Round'!$B7)*('England 1'!$F$52:$F$61='England 1'!$D$52:$D$61))</f>
        <v>1</v>
      </c>
      <c r="I7" s="75" cm="1">
        <f t="array" ref="I7">SUMPRODUCT(('England 1'!$C$62:$C$71='Team Position by Round'!$B7)*('England 1'!$D$62:$D$71&gt;'England 1'!$F$62:$F$71))*3+SUMPRODUCT(('England 1'!$E$62:$E$71='Team Position by Round'!$B7)*('England 1'!$F$62:$F$71&gt;'England 1'!$D$62:$D$71))*3+SUMPRODUCT(('England 1'!$C$62:$C$71='Team Position by Round'!$B7)*('England 1'!$D$62:$D$71='England 1'!$F$62:$F$71))+SUMPRODUCT(('England 1'!$E$62:$E$71='Team Position by Round'!$B7)*('England 1'!$F$62:$F$71='England 1'!$D$62:$D$71))</f>
        <v>3</v>
      </c>
      <c r="J7" s="76" cm="1">
        <f t="array" ref="J7">SUMPRODUCT(('England 1'!$C$72:$C$81='Team Position by Round'!$B7)*('England 1'!$D$72:$D$81&gt;'England 1'!$F$72:$F$81))*3+SUMPRODUCT(('England 1'!$E$72:$E$81='Team Position by Round'!$B7)*('England 1'!$F$72:$F$81&gt;'England 1'!$D$72:$D$81))*3+SUMPRODUCT(('England 1'!$C$72:$C$81='Team Position by Round'!$B7)*('England 1'!$D$72:$D$81='England 1'!$F$72:$F$81))+SUMPRODUCT(('England 1'!$E$72:$E$81='Team Position by Round'!$B7)*('England 1'!$F$72:$F$81='England 1'!$D$72:$D$81))</f>
        <v>3</v>
      </c>
      <c r="K7" s="75" cm="1">
        <f t="array" ref="K7">SUMPRODUCT(('England 1'!$C$82:$C$91='Team Position by Round'!$B7)*('England 1'!$D$82:$D$91&gt;'England 1'!$F$82:$F$91))*3+SUMPRODUCT(('England 1'!$E$82:$E$91='Team Position by Round'!$B7)*('England 1'!$F$82:$F$91&gt;'England 1'!$D$82:$D$91))*3+SUMPRODUCT(('England 1'!$C$82:$C$91='Team Position by Round'!$B7)*('England 1'!$D$82:$D$91='England 1'!$F$82:$F$91))+SUMPRODUCT(('England 1'!$E$82:$E$91='Team Position by Round'!$B7)*('England 1'!$F$82:$F$91='England 1'!$D$82:$D$91))</f>
        <v>0</v>
      </c>
      <c r="L7" s="75" cm="1">
        <f t="array" ref="L7">SUMPRODUCT(('England 1'!$C$92:$C$101='Team Position by Round'!$B7)*('England 1'!$D$92:$D$101&gt;'England 1'!$F$92:$F$101))*3+SUMPRODUCT(('England 1'!$E$92:$E$101='Team Position by Round'!$B7)*('England 1'!$F$92:$F$101&gt;'England 1'!$D$92:$D$101))*3+SUMPRODUCT(('England 1'!$C$92:$C$101='Team Position by Round'!$B7)*('England 1'!$D$92:$D$101='England 1'!$F$92:$F$101))+SUMPRODUCT(('England 1'!$E$92:$E$101='Team Position by Round'!$B7)*('England 1'!$F$92:$F$101='England 1'!$D$92:$D$101))</f>
        <v>1</v>
      </c>
      <c r="M7" s="75" cm="1">
        <f t="array" ref="M7">SUMPRODUCT(('England 1'!$C$102:$C$111='Team Position by Round'!$B7)*('England 1'!$D$102:$D$111&gt;'England 1'!$F$102:$F$111))*3+SUMPRODUCT(('England 1'!$E$102:$E$111='Team Position by Round'!$B7)*('England 1'!$F$102:$F$111&gt;'England 1'!$D$102:$D$111))*3+SUMPRODUCT(('England 1'!$C$102:$C$111='Team Position by Round'!$B7)*('England 1'!$D$102:$D$111='England 1'!$F$102:$F$111))+SUMPRODUCT(('England 1'!$E$102:$E$111='Team Position by Round'!$B7)*('England 1'!$F$102:$F$111='England 1'!$D$102:$D$111))</f>
        <v>0</v>
      </c>
      <c r="N7" s="75" cm="1">
        <f t="array" ref="N7">SUMPRODUCT(('England 1'!$C$112:$C$121='Team Position by Round'!$B7)*('England 1'!$D$112:$D$121&gt;'England 1'!$F$112:$F$121))*3+SUMPRODUCT(('England 1'!$E$112:$E$121='Team Position by Round'!$B7)*('England 1'!$F$112:$F$121&gt;'England 1'!$D$112:$D$121))*3+SUMPRODUCT(('England 1'!$C$112:$C$121='Team Position by Round'!$B7)*('England 1'!$D$112:$D$121='England 1'!$F$112:$F$121))+SUMPRODUCT(('England 1'!$E$112:$E$121='Team Position by Round'!$B7)*('England 1'!$F$112:$F$121='England 1'!$D$112:$D$121))</f>
        <v>0</v>
      </c>
      <c r="O7" s="75" cm="1">
        <f t="array" ref="O7">SUMPRODUCT(('England 1'!$C$122:$C$131='Team Position by Round'!$B7)*('England 1'!$D$122:$D$131&gt;'England 1'!$F$122:$F$131))*3+SUMPRODUCT(('England 1'!$E$122:$E$131='Team Position by Round'!$B7)*('England 1'!$F$122:$F$131&gt;'England 1'!$D$122:$D$131))*3+SUMPRODUCT(('England 1'!$C$122:$C$131='Team Position by Round'!$B7)*('England 1'!$D$122:$D$131='England 1'!$F$122:$F$131))+SUMPRODUCT(('England 1'!$E$122:$E$131='Team Position by Round'!$B7)*('England 1'!$F$122:$F$131='England 1'!$D$122:$D$131))</f>
        <v>0</v>
      </c>
      <c r="P7" s="75" cm="1">
        <f t="array" ref="P7">SUMPRODUCT(('England 1'!$C$132:$C$141='Team Position by Round'!$B7)*('England 1'!$D$132:$D$141&gt;'England 1'!$F$132:$F$141))*3+SUMPRODUCT(('England 1'!$E$132:$E$141='Team Position by Round'!$B7)*('England 1'!$F$132:$F$141&gt;'England 1'!$D$132:$D$141))*3+SUMPRODUCT(('England 1'!$C$132:$C$141='Team Position by Round'!$B7)*('England 1'!$D$132:$D$141='England 1'!$F$132:$F$141))+SUMPRODUCT(('England 1'!$E$132:$E$141='Team Position by Round'!$B7)*('England 1'!$F$132:$F$141='England 1'!$D$132:$D$141))</f>
        <v>3</v>
      </c>
      <c r="Q7" s="75" cm="1">
        <f t="array" ref="Q7">SUMPRODUCT(('England 1'!$C$142:$C$151='Team Position by Round'!$B7)*('England 1'!$D$142:$D$151&gt;'England 1'!$F$142:$F$151))*3+SUMPRODUCT(('England 1'!$E$142:$E$151='Team Position by Round'!$B7)*('England 1'!$F$142:$F$151&gt;'England 1'!$D$142:$D$151))*3+SUMPRODUCT(('England 1'!$C$142:$C$151='Team Position by Round'!$B7)*('England 1'!$D$142:$D$151='England 1'!$F$142:$F$151))+SUMPRODUCT(('England 1'!$E$142:$E$151='Team Position by Round'!$B7)*('England 1'!$F$142:$F$151='England 1'!$D$142:$D$151))</f>
        <v>3</v>
      </c>
      <c r="R7" s="75" cm="1">
        <f t="array" ref="R7">SUMPRODUCT(('England 1'!$C$152:$C$161='Team Position by Round'!$B7)*('England 1'!$D$152:$D$161&gt;'England 1'!$F$152:$F$161))*3+SUMPRODUCT(('England 1'!$E$152:$E$161='Team Position by Round'!$B7)*('England 1'!$F$152:$F$161&gt;'England 1'!$D$152:$D$161))*3+SUMPRODUCT(('England 1'!$C$152:$C$161='Team Position by Round'!$B7)*('England 1'!$D$152:$D$161='England 1'!$F$152:$F$161))+SUMPRODUCT(('England 1'!$E$152:$E$161='Team Position by Round'!$B7)*('England 1'!$F$152:$F$161='England 1'!$D$152:$D$161))</f>
        <v>1</v>
      </c>
      <c r="S7" s="75" cm="1">
        <f t="array" ref="S7">SUMPRODUCT(('England 1'!$C$162:$C$171='Team Position by Round'!$B7)*('England 1'!$D$162:$D$171&gt;'England 1'!$F$162:$F$171))*3+SUMPRODUCT(('England 1'!$E$162:$E$171='Team Position by Round'!$B7)*('England 1'!$F$162:$F$171&gt;'England 1'!$D$162:$D$171))*3+SUMPRODUCT(('England 1'!$C$162:$C$171='Team Position by Round'!$B7)*('England 1'!$D$162:$D$171='England 1'!$F$162:$F$171))+SUMPRODUCT(('England 1'!$E$162:$E$171='Team Position by Round'!$B7)*('England 1'!$F$162:$F$171='England 1'!$D$162:$D$171))</f>
        <v>1</v>
      </c>
      <c r="T7" s="75" cm="1">
        <f t="array" ref="T7">SUMPRODUCT(('England 1'!$C$172:$C$181='Team Position by Round'!$B7)*('England 1'!$D$172:$D$181&gt;'England 1'!$F$172:$F$181))*3+SUMPRODUCT(('England 1'!$E$172:$E$181='Team Position by Round'!$B7)*('England 1'!$F$172:$F$181&gt;'England 1'!$D$172:$D$181))*3+SUMPRODUCT(('England 1'!$C$172:$C$181='Team Position by Round'!$B7)*('England 1'!$D$172:$D$181='England 1'!$F$172:$F$181))+SUMPRODUCT(('England 1'!$E$172:$E$181='Team Position by Round'!$B7)*('England 1'!$F$172:$F$181='England 1'!$D$172:$D$181))</f>
        <v>0</v>
      </c>
      <c r="U7" s="75" cm="1">
        <f t="array" ref="U7">SUMPRODUCT(('England 1'!$C$182:$C$191='Team Position by Round'!$B7)*('England 1'!$D$182:$D$191&gt;'England 1'!$F$182:$F$191))*3+SUMPRODUCT(('England 1'!$E$182:$E$191='Team Position by Round'!$B7)*('England 1'!$F$182:$F$191&gt;'England 1'!$D$182:$D$191))*3+SUMPRODUCT(('England 1'!$C$182:$C$191='Team Position by Round'!$B7)*('England 1'!$D$182:$D$191='England 1'!$F$182:$F$191))+SUMPRODUCT(('England 1'!$E$182:$E$191='Team Position by Round'!$B7)*('England 1'!$F$182:$F$191='England 1'!$D$182:$D$191))</f>
        <v>3</v>
      </c>
      <c r="V7" s="75" cm="1">
        <f t="array" ref="V7">SUMPRODUCT(('England 1'!$C$192:$C$201='Team Position by Round'!$B7)*('England 1'!$D$192:$D$201&gt;'England 1'!$F$192:$F$201))*3+SUMPRODUCT(('England 1'!$E$192:$E$201='Team Position by Round'!$B7)*('England 1'!$F$192:$F$201&gt;'England 1'!$D$192:$D$201))*3+SUMPRODUCT(('England 1'!$C$192:$C$201='Team Position by Round'!$B7)*('England 1'!$D$192:$D$201='England 1'!$F$192:$F$201))+SUMPRODUCT(('England 1'!$E$192:$E$201='Team Position by Round'!$B7)*('England 1'!$F$192:$F$201='England 1'!$D$192:$D$201))</f>
        <v>1</v>
      </c>
      <c r="W7" s="75" cm="1">
        <f t="array" ref="W7">SUMPRODUCT(('England 1'!$C$202:$C$211='Team Position by Round'!$B7)*('England 1'!$D$202:$D$211&gt;'England 1'!$F$202:$F$211))*3+SUMPRODUCT(('England 1'!$E$202:$E$211='Team Position by Round'!$B7)*('England 1'!$F$202:$F$211&gt;'England 1'!$D$202:$D$211))*3+SUMPRODUCT(('England 1'!$C$202:$C$211='Team Position by Round'!$B7)*('England 1'!$D$202:$D$211='England 1'!$F$202:$F$211))+SUMPRODUCT(('England 1'!$E$202:$E$211='Team Position by Round'!$B7)*('England 1'!$F$202:$F$211='England 1'!$D$202:$D$211))</f>
        <v>1</v>
      </c>
      <c r="X7" s="75" cm="1">
        <f t="array" ref="X7">SUMPRODUCT(('England 1'!$C$212:$C$221='Team Position by Round'!$B7)*('England 1'!$D$212:$D$221&gt;'England 1'!$F$212:$F$221))*3+SUMPRODUCT(('England 1'!$E$212:$E$221='Team Position by Round'!$B7)*('England 1'!$F$212:$F$221&gt;'England 1'!$D$212:$D$221))*3+SUMPRODUCT(('England 1'!$C$212:$C$221='Team Position by Round'!$B7)*('England 1'!$D$212:$D$221='England 1'!$F$212:$F$221))+SUMPRODUCT(('England 1'!$E$212:$E$221='Team Position by Round'!$B7)*('England 1'!$F$212:$F$221='England 1'!$D$212:$D$221))</f>
        <v>1</v>
      </c>
      <c r="Y7" s="75" cm="1">
        <f t="array" ref="Y7">SUMPRODUCT(('England 1'!$C$222:$C$231='Team Position by Round'!$B7)*('England 1'!$D$222:$D$231&gt;'England 1'!$F$222:$F$231))*3+SUMPRODUCT(('England 1'!$E$222:$E$231='Team Position by Round'!$B7)*('England 1'!$F$222:$F$231&gt;'England 1'!$D$222:$D$231))*3+SUMPRODUCT(('England 1'!$C$222:$C$231='Team Position by Round'!$B7)*('England 1'!$D$222:$D$231='England 1'!$F$222:$F$231))+SUMPRODUCT(('England 1'!$E$222:$E$231='Team Position by Round'!$B7)*('England 1'!$F$222:$F$231='England 1'!$D$222:$D$231))</f>
        <v>1</v>
      </c>
      <c r="Z7" s="75" cm="1">
        <f t="array" ref="Z7">SUMPRODUCT(('England 1'!$C$232:$C$241='Team Position by Round'!$B7)*('England 1'!$D$232:$D$241&gt;'England 1'!$F$232:$F$241))*3+SUMPRODUCT(('England 1'!$E$232:$E$241='Team Position by Round'!$B7)*('England 1'!$F$232:$F$241&gt;'England 1'!$D$232:$D$241))*3+SUMPRODUCT(('England 1'!$C$232:$C$241='Team Position by Round'!$B7)*('England 1'!$D$232:$D$241='England 1'!$F$232:$F$241))+SUMPRODUCT(('England 1'!$E$232:$E$241='Team Position by Round'!$B7)*('England 1'!$F$232:$F$241='England 1'!$D$232:$D$241))</f>
        <v>0</v>
      </c>
      <c r="AA7" s="75" cm="1">
        <f t="array" ref="AA7">SUMPRODUCT(('England 1'!$C$242:$C$251='Team Position by Round'!$B7)*('England 1'!$D$242:$D$251&gt;'England 1'!$F$242:$F$251))*3+SUMPRODUCT(('England 1'!$E$242:$E$251='Team Position by Round'!$B7)*('England 1'!$F$242:$F$251&gt;'England 1'!$D$242:$D$251))*3+SUMPRODUCT(('England 1'!$C$242:$C$251='Team Position by Round'!$B7)*('England 1'!$D$242:$D$251='England 1'!$F$242:$F$251))+SUMPRODUCT(('England 1'!$E$242:$E$251='Team Position by Round'!$B7)*('England 1'!$F$242:$F$251='England 1'!$D$242:$D$251))</f>
        <v>0</v>
      </c>
      <c r="AB7" s="75" cm="1">
        <f t="array" ref="AB7">SUMPRODUCT(('England 1'!$C$252:$C$261='Team Position by Round'!$B7)*('England 1'!$D$252:$D$261&gt;'England 1'!$F$252:$F$261))*3+SUMPRODUCT(('England 1'!$E$252:$E$261='Team Position by Round'!$B7)*('England 1'!$F$252:$F$261&gt;'England 1'!$D$252:$D$261))*3+SUMPRODUCT(('England 1'!$C$252:$C$261='Team Position by Round'!$B7)*('England 1'!$D$252:$D$261='England 1'!$F$252:$F$261))+SUMPRODUCT(('England 1'!$E$252:$E$261='Team Position by Round'!$B7)*('England 1'!$F$252:$F$261='England 1'!$D$252:$D$261))</f>
        <v>0</v>
      </c>
      <c r="AC7" s="75" cm="1">
        <f t="array" ref="AC7">SUMPRODUCT(('England 1'!$C$262:$C$271='Team Position by Round'!$B7)*('England 1'!$D$262:$D$271&gt;'England 1'!$F$262:$F$271))*3+SUMPRODUCT(('England 1'!$E$262:$E$271='Team Position by Round'!$B7)*('England 1'!$F$262:$F$271&gt;'England 1'!$D$262:$D$271))*3+SUMPRODUCT(('England 1'!$C$262:$C$271='Team Position by Round'!$B7)*('England 1'!$D$262:$D$271='England 1'!$F$262:$F$271))+SUMPRODUCT(('England 1'!$E$262:$E$271='Team Position by Round'!$B7)*('England 1'!$F$262:$F$271='England 1'!$D$262:$D$271))</f>
        <v>3</v>
      </c>
      <c r="AD7" s="75" cm="1">
        <f t="array" ref="AD7">SUMPRODUCT(('England 1'!$C$272:$C$281='Team Position by Round'!$B7)*('England 1'!$D$272:$D$281&gt;'England 1'!$F$272:$F$281))*3+SUMPRODUCT(('England 1'!$E$272:$E$281='Team Position by Round'!$B7)*('England 1'!$F$272:$F$281&gt;'England 1'!$D$272:$D$281))*3+SUMPRODUCT(('England 1'!$C$272:$C$281='Team Position by Round'!$B7)*('England 1'!$D$272:$D$281='England 1'!$F$272:$F$281))+SUMPRODUCT(('England 1'!$E$272:$E$281='Team Position by Round'!$B7)*('England 1'!$F$272:$F$281='England 1'!$D$272:$D$281))</f>
        <v>3</v>
      </c>
      <c r="AE7" s="75" cm="1">
        <f t="array" ref="AE7">SUMPRODUCT(('England 1'!$C$282:$C$291='Team Position by Round'!$B7)*('England 1'!$D$282:$D$291&gt;'England 1'!$F$282:$F$291))*3+SUMPRODUCT(('England 1'!$E$282:$E$291='Team Position by Round'!$B7)*('England 1'!$F$282:$F$291&gt;'England 1'!$D$282:$D$291))*3+SUMPRODUCT(('England 1'!$C$282:$C$291='Team Position by Round'!$B7)*('England 1'!$D$282:$D$291='England 1'!$F$282:$F$291))+SUMPRODUCT(('England 1'!$E$282:$E$291='Team Position by Round'!$B7)*('England 1'!$F$282:$F$291='England 1'!$D$282:$D$291))</f>
        <v>3</v>
      </c>
      <c r="AF7" s="75" cm="1">
        <f t="array" ref="AF7">SUMPRODUCT(('England 1'!$C$292:$C$301='Team Position by Round'!$B7)*('England 1'!$D$292:$D$301&gt;'England 1'!$F$292:$F$301))*3+SUMPRODUCT(('England 1'!$E$292:$E$301='Team Position by Round'!$B7)*('England 1'!$F$292:$F$301&gt;'England 1'!$D$292:$D$301))*3+SUMPRODUCT(('England 1'!$C$292:$C$301='Team Position by Round'!$B7)*('England 1'!$D$292:$D$301='England 1'!$F$292:$F$301))+SUMPRODUCT(('England 1'!$E$292:$E$301='Team Position by Round'!$B7)*('England 1'!$F$292:$F$301='England 1'!$D$292:$D$301))</f>
        <v>3</v>
      </c>
      <c r="AG7" s="75" cm="1">
        <f t="array" ref="AG7">SUMPRODUCT(('England 1'!$C$302:$C$311='Team Position by Round'!$B7)*('England 1'!$D$302:$D$311&gt;'England 1'!$F$302:$F$311))*3+SUMPRODUCT(('England 1'!$E$302:$E$311='Team Position by Round'!$B7)*('England 1'!$F$302:$F$311&gt;'England 1'!$D$302:$D$311))*3+SUMPRODUCT(('England 1'!$C$302:$C$311='Team Position by Round'!$B7)*('England 1'!$D$302:$D$311='England 1'!$F$302:$F$311))+SUMPRODUCT(('England 1'!$E$302:$E$311='Team Position by Round'!$B7)*('England 1'!$F$302:$F$311='England 1'!$D$302:$D$311))</f>
        <v>0</v>
      </c>
      <c r="AH7" s="75" cm="1">
        <f t="array" ref="AH7">SUMPRODUCT(('England 1'!$C$312:$C$321='Team Position by Round'!$B7)*('England 1'!$D$312:$D$321&gt;'England 1'!$F$312:$F$321))*3+SUMPRODUCT(('England 1'!$E$312:$E$321='Team Position by Round'!$B7)*('England 1'!$F$312:$F$321&gt;'England 1'!$D$312:$D$321))*3+SUMPRODUCT(('England 1'!$C$312:$C$321='Team Position by Round'!$B7)*('England 1'!$D$312:$D$321='England 1'!$F$312:$F$321))+SUMPRODUCT(('England 1'!$E$312:$E$321='Team Position by Round'!$B7)*('England 1'!$F$312:$F$321='England 1'!$D$312:$D$321))</f>
        <v>0</v>
      </c>
      <c r="AI7" s="75" cm="1">
        <f t="array" ref="AI7">SUMPRODUCT(('England 1'!$C$322:$C$331='Team Position by Round'!$B7)*('England 1'!$D$322:$D$331&gt;'England 1'!$F$322:$F$331))*3+SUMPRODUCT(('England 1'!$E$322:$E$331='Team Position by Round'!$B7)*('England 1'!$F$322:$F$331&gt;'England 1'!$D$322:$D$331))*3+SUMPRODUCT(('England 1'!$C$322:$C$331='Team Position by Round'!$B7)*('England 1'!$D$322:$D$331='England 1'!$F$322:$F$331))+SUMPRODUCT(('England 1'!$E$322:$E$331='Team Position by Round'!$B7)*('England 1'!$F$322:$F$331='England 1'!$D$322:$D$331))</f>
        <v>0</v>
      </c>
      <c r="AJ7" s="75" cm="1">
        <f t="array" ref="AJ7">SUMPRODUCT(('England 1'!$C$332:$C$341='Team Position by Round'!$B7)*('England 1'!$D$332:$D$341&gt;'England 1'!$F$332:$F$341))*3+SUMPRODUCT(('England 1'!$E$332:$E$341='Team Position by Round'!$B7)*('England 1'!$F$332:$F$341&gt;'England 1'!$D$332:$D$341))*3+SUMPRODUCT(('England 1'!$C$332:$C$341='Team Position by Round'!$B7)*('England 1'!$D$332:$D$341='England 1'!$F$332:$F$341))+SUMPRODUCT(('England 1'!$E$332:$E$341='Team Position by Round'!$B7)*('England 1'!$F$332:$F$341='England 1'!$D$332:$D$341))</f>
        <v>0</v>
      </c>
      <c r="AK7" s="75" cm="1">
        <f t="array" ref="AK7">SUMPRODUCT(('England 1'!$C$342:$C$351='Team Position by Round'!$B7)*('England 1'!$D$342:$D$351&gt;'England 1'!$F$342:$F$351))*3+SUMPRODUCT(('England 1'!$E$342:$E$351='Team Position by Round'!$B7)*('England 1'!$F$342:$F$351&gt;'England 1'!$D$342:$D$351))*3+SUMPRODUCT(('England 1'!$C$342:$C$351='Team Position by Round'!$B7)*('England 1'!$D$342:$D$351='England 1'!$F$342:$F$351))+SUMPRODUCT(('England 1'!$E$342:$E$351='Team Position by Round'!$B7)*('England 1'!$F$342:$F$351='England 1'!$D$342:$D$351))</f>
        <v>0</v>
      </c>
      <c r="AL7" s="75" cm="1">
        <f t="array" ref="AL7">SUMPRODUCT(('England 1'!$C$352:$C$361='Team Position by Round'!$B7)*('England 1'!$D$352:$D$361&gt;'England 1'!$F$352:$F$361))*3+SUMPRODUCT(('England 1'!$E$352:$E$361='Team Position by Round'!$B7)*('England 1'!$F$352:$F$361&gt;'England 1'!$D$352:$D$361))*3+SUMPRODUCT(('England 1'!$C$352:$C$361='Team Position by Round'!$B7)*('England 1'!$D$352:$D$361='England 1'!$F$352:$F$361))+SUMPRODUCT(('England 1'!$E$352:$E$361='Team Position by Round'!$B7)*('England 1'!$F$352:$F$361='England 1'!$D$352:$D$361))</f>
        <v>0</v>
      </c>
      <c r="AM7" s="75" cm="1">
        <f t="array" ref="AM7">SUMPRODUCT(('England 1'!$C$362:$C$371='Team Position by Round'!$B7)*('England 1'!$D$362:$D$371&gt;'England 1'!$F$362:$F$371))*3+SUMPRODUCT(('England 1'!$E$362:$E$371='Team Position by Round'!$B7)*('England 1'!$F$362:$F$371&gt;'England 1'!$D$362:$D$371))*3+SUMPRODUCT(('England 1'!$C$362:$C$371='Team Position by Round'!$B7)*('England 1'!$D$362:$D$371='England 1'!$F$362:$F$371))+SUMPRODUCT(('England 1'!$E$362:$E$371='Team Position by Round'!$B7)*('England 1'!$F$362:$F$371='England 1'!$D$362:$D$371))</f>
        <v>0</v>
      </c>
      <c r="AN7" s="75" cm="1">
        <f t="array" ref="AN7">SUMPRODUCT(('England 1'!$C$372:$C$381='Team Position by Round'!$B7)*('England 1'!$D$372:$D$381&gt;'England 1'!$F$372:$F$381))*3+SUMPRODUCT(('England 1'!$E$372:$E$381='Team Position by Round'!$B7)*('England 1'!$F$372:$F$381&gt;'England 1'!$D$372:$D$381))*3+SUMPRODUCT(('England 1'!$C$372:$C$381='Team Position by Round'!$B7)*('England 1'!$D$372:$D$381='England 1'!$F$372:$F$381))+SUMPRODUCT(('England 1'!$E$372:$E$381='Team Position by Round'!$B7)*('England 1'!$F$372:$F$381='England 1'!$D$372:$D$381))</f>
        <v>1</v>
      </c>
      <c r="AO7">
        <f t="shared" si="0"/>
        <v>11</v>
      </c>
      <c r="AP7">
        <f t="shared" si="1"/>
        <v>10</v>
      </c>
      <c r="AQ7">
        <f t="shared" si="2"/>
        <v>17</v>
      </c>
      <c r="AR7" s="78">
        <f>SUMIF('Crystal Palace FC'!C:C,'Crystal Palace FC'!N18,'Crystal Palace FC'!D:D)+SUMIF('Crystal Palace FC'!E:E,'Crystal Palace FC'!P18,'Crystal Palace FC'!F:F)</f>
        <v>15</v>
      </c>
      <c r="AS7" s="78">
        <f>SUMIF('Crystal Palace FC'!C:C,"&lt;&gt;Crystal Palace FC",'Crystal Palace FC'!D:D)+SUMIF('Crystal Palace FC'!E:E,"&lt;&gt;Crystal Palace FC",'Crystal Palace FC'!F:F)</f>
        <v>50</v>
      </c>
      <c r="AT7" s="78">
        <f>MAX('Crystal Palace FC'!I:I)</f>
        <v>4</v>
      </c>
      <c r="AU7" s="78">
        <f>MAX('Crystal Palace FC'!J:J)</f>
        <v>7</v>
      </c>
      <c r="AV7">
        <f>MAX('Crystal Palace FC'!K:K)</f>
        <v>5</v>
      </c>
      <c r="AW7">
        <f>MAX('Crystal Palace FC'!L:L)</f>
        <v>8</v>
      </c>
    </row>
    <row r="8" spans="2:49" x14ac:dyDescent="0.2">
      <c r="B8" t="str">
        <v>Watford FC</v>
      </c>
      <c r="C8" s="75" cm="1">
        <f t="array" ref="C8">SUMPRODUCT(('England 1'!$C$2:$C$11='Team Position by Round'!$B8)*('England 1'!$D$2:$D$11&gt;'England 1'!$F$2:$F$11))*3+SUMPRODUCT(('England 1'!$E$2:$E$11='Team Position by Round'!$B8)*('England 1'!$F$2:$F$11&gt;'England 1'!$D$2:$D$11))*3+SUMPRODUCT(('England 1'!$C$2:$C$11='Team Position by Round'!$B8)*('England 1'!$D$2:$D$11='England 1'!$F$2:$F$11))+SUMPRODUCT(('England 1'!$E$2:$E$11='Team Position by Round'!$B8)*('England 1'!$F$2:$F$11='England 1'!$D$2:$D$11))</f>
        <v>0</v>
      </c>
      <c r="D8" s="75" cm="1">
        <f t="array" ref="D8">SUMPRODUCT(('England 1'!$C$12:$C$21='Team Position by Round'!$B8)*('England 1'!$D$12:$D$21&gt;'England 1'!$F$12:$F$21))*3+SUMPRODUCT(('England 1'!$E$12:$E$21='Team Position by Round'!$B8)*('England 1'!$F$12:$F$21&gt;'England 1'!$D$12:$D$21))*3+SUMPRODUCT(('England 1'!$C$12:$C$21='Team Position by Round'!$B8)*('England 1'!$D$12:$D$21='England 1'!$F$12:$F$21))+SUMPRODUCT(('England 1'!$E$12:$E$21='Team Position by Round'!$B8)*('England 1'!$F$12:$F$21='England 1'!$D$12:$D$21))</f>
        <v>0</v>
      </c>
      <c r="E8" s="75" cm="1">
        <f t="array" ref="E8">SUMPRODUCT(('England 1'!$C$22:$C$31='Team Position by Round'!$B8)*('England 1'!$D$22:$D$31&gt;'England 1'!$F$22:$F$31))*3+SUMPRODUCT(('England 1'!$E$22:$E$31='Team Position by Round'!$B8)*('England 1'!$F$22:$F$31&gt;'England 1'!$D$22:$D$31))*3+SUMPRODUCT(('England 1'!$C$22:$C$31='Team Position by Round'!$B8)*('England 1'!$D$22:$D$31='England 1'!$F$22:$F$31))+SUMPRODUCT(('England 1'!$E$22:$E$31='Team Position by Round'!$B8)*('England 1'!$F$22:$F$31='England 1'!$D$22:$D$31))</f>
        <v>0</v>
      </c>
      <c r="F8" s="75" cm="1">
        <f t="array" ref="F8">SUMPRODUCT(('England 1'!$C$32:$C$41='Team Position by Round'!$B8)*('England 1'!$D$32:$D$41&gt;'England 1'!$F$32:$F$41))*3+SUMPRODUCT(('England 1'!$E$32:$E$41='Team Position by Round'!$B8)*('England 1'!$F$32:$F$41&gt;'England 1'!$D$32:$D$41))*3+SUMPRODUCT(('England 1'!$C$32:$C$41='Team Position by Round'!$B8)*('England 1'!$D$32:$D$41='England 1'!$F$32:$F$41))+SUMPRODUCT(('England 1'!$E$32:$E$41='Team Position by Round'!$B8)*('England 1'!$F$32:$F$41='England 1'!$D$32:$D$41))</f>
        <v>1</v>
      </c>
      <c r="G8" s="75" cm="1">
        <f t="array" ref="G8">SUMPRODUCT(('England 1'!$C$42:$C$51='Team Position by Round'!$B8)*('England 1'!$D$42:$D$51&gt;'England 1'!$F$42:$F$51))*3+SUMPRODUCT(('England 1'!$E$42:$E$51='Team Position by Round'!$B8)*('England 1'!$F$42:$F$51&gt;'England 1'!$D$42:$D$51))*3+SUMPRODUCT(('England 1'!$C$42:$C$51='Team Position by Round'!$B8)*('England 1'!$D$42:$D$51='England 1'!$F$42:$F$51))+SUMPRODUCT(('England 1'!$E$42:$E$51='Team Position by Round'!$B8)*('England 1'!$F$42:$F$51='England 1'!$D$42:$D$51))</f>
        <v>1</v>
      </c>
      <c r="H8" s="75" cm="1">
        <f t="array" ref="H8">SUMPRODUCT(('England 1'!$C$52:$C$61='Team Position by Round'!$B8)*('England 1'!$D$52:$D$61&gt;'England 1'!$F$52:$F$61))*3+SUMPRODUCT(('England 1'!$E$52:$E$61='Team Position by Round'!$B8)*('England 1'!$F$52:$F$61&gt;'England 1'!$D$52:$D$61))*3+SUMPRODUCT(('England 1'!$C$52:$C$61='Team Position by Round'!$B8)*('England 1'!$D$52:$D$61='England 1'!$F$52:$F$61))+SUMPRODUCT(('England 1'!$E$52:$E$61='Team Position by Round'!$B8)*('England 1'!$F$52:$F$61='England 1'!$D$52:$D$61))</f>
        <v>0</v>
      </c>
      <c r="I8" s="75" cm="1">
        <f t="array" ref="I8">SUMPRODUCT(('England 1'!$C$62:$C$71='Team Position by Round'!$B8)*('England 1'!$D$62:$D$71&gt;'England 1'!$F$62:$F$71))*3+SUMPRODUCT(('England 1'!$E$62:$E$71='Team Position by Round'!$B8)*('England 1'!$F$62:$F$71&gt;'England 1'!$D$62:$D$71))*3+SUMPRODUCT(('England 1'!$C$62:$C$71='Team Position by Round'!$B8)*('England 1'!$D$62:$D$71='England 1'!$F$62:$F$71))+SUMPRODUCT(('England 1'!$E$62:$E$71='Team Position by Round'!$B8)*('England 1'!$F$62:$F$71='England 1'!$D$62:$D$71))</f>
        <v>0</v>
      </c>
      <c r="J8" s="76" cm="1">
        <f t="array" ref="J8">SUMPRODUCT(('England 1'!$C$72:$C$81='Team Position by Round'!$B8)*('England 1'!$D$72:$D$81&gt;'England 1'!$F$72:$F$81))*3+SUMPRODUCT(('England 1'!$E$72:$E$81='Team Position by Round'!$B8)*('England 1'!$F$72:$F$81&gt;'England 1'!$D$72:$D$81))*3+SUMPRODUCT(('England 1'!$C$72:$C$81='Team Position by Round'!$B8)*('England 1'!$D$72:$D$81='England 1'!$F$72:$F$81))+SUMPRODUCT(('England 1'!$E$72:$E$81='Team Position by Round'!$B8)*('England 1'!$F$72:$F$81='England 1'!$D$72:$D$81))</f>
        <v>1</v>
      </c>
      <c r="K8" s="75" cm="1">
        <f t="array" ref="K8">SUMPRODUCT(('England 1'!$C$82:$C$91='Team Position by Round'!$B8)*('England 1'!$D$82:$D$91&gt;'England 1'!$F$82:$F$91))*3+SUMPRODUCT(('England 1'!$E$82:$E$91='Team Position by Round'!$B8)*('England 1'!$F$82:$F$91&gt;'England 1'!$D$82:$D$91))*3+SUMPRODUCT(('England 1'!$C$82:$C$91='Team Position by Round'!$B8)*('England 1'!$D$82:$D$91='England 1'!$F$82:$F$91))+SUMPRODUCT(('England 1'!$E$82:$E$91='Team Position by Round'!$B8)*('England 1'!$F$82:$F$91='England 1'!$D$82:$D$91))</f>
        <v>1</v>
      </c>
      <c r="L8" s="75" cm="1">
        <f t="array" ref="L8">SUMPRODUCT(('England 1'!$C$92:$C$101='Team Position by Round'!$B8)*('England 1'!$D$92:$D$101&gt;'England 1'!$F$92:$F$101))*3+SUMPRODUCT(('England 1'!$E$92:$E$101='Team Position by Round'!$B8)*('England 1'!$F$92:$F$101&gt;'England 1'!$D$92:$D$101))*3+SUMPRODUCT(('England 1'!$C$92:$C$101='Team Position by Round'!$B8)*('England 1'!$D$92:$D$101='England 1'!$F$92:$F$101))+SUMPRODUCT(('England 1'!$E$92:$E$101='Team Position by Round'!$B8)*('England 1'!$F$92:$F$101='England 1'!$D$92:$D$101))</f>
        <v>1</v>
      </c>
      <c r="M8" s="75" cm="1">
        <f t="array" ref="M8">SUMPRODUCT(('England 1'!$C$102:$C$111='Team Position by Round'!$B8)*('England 1'!$D$102:$D$111&gt;'England 1'!$F$102:$F$111))*3+SUMPRODUCT(('England 1'!$E$102:$E$111='Team Position by Round'!$B8)*('England 1'!$F$102:$F$111&gt;'England 1'!$D$102:$D$111))*3+SUMPRODUCT(('England 1'!$C$102:$C$111='Team Position by Round'!$B8)*('England 1'!$D$102:$D$111='England 1'!$F$102:$F$111))+SUMPRODUCT(('England 1'!$E$102:$E$111='Team Position by Round'!$B8)*('England 1'!$F$102:$F$111='England 1'!$D$102:$D$111))</f>
        <v>0</v>
      </c>
      <c r="N8" s="75" cm="1">
        <f t="array" ref="N8">SUMPRODUCT(('England 1'!$C$112:$C$121='Team Position by Round'!$B8)*('England 1'!$D$112:$D$121&gt;'England 1'!$F$112:$F$121))*3+SUMPRODUCT(('England 1'!$E$112:$E$121='Team Position by Round'!$B8)*('England 1'!$F$112:$F$121&gt;'England 1'!$D$112:$D$121))*3+SUMPRODUCT(('England 1'!$C$112:$C$121='Team Position by Round'!$B8)*('England 1'!$D$112:$D$121='England 1'!$F$112:$F$121))+SUMPRODUCT(('England 1'!$E$112:$E$121='Team Position by Round'!$B8)*('England 1'!$F$112:$F$121='England 1'!$D$112:$D$121))</f>
        <v>3</v>
      </c>
      <c r="O8" s="75" cm="1">
        <f t="array" ref="O8">SUMPRODUCT(('England 1'!$C$122:$C$131='Team Position by Round'!$B8)*('England 1'!$D$122:$D$131&gt;'England 1'!$F$122:$F$131))*3+SUMPRODUCT(('England 1'!$E$122:$E$131='Team Position by Round'!$B8)*('England 1'!$F$122:$F$131&gt;'England 1'!$D$122:$D$131))*3+SUMPRODUCT(('England 1'!$C$122:$C$131='Team Position by Round'!$B8)*('England 1'!$D$122:$D$131='England 1'!$F$122:$F$131))+SUMPRODUCT(('England 1'!$E$122:$E$131='Team Position by Round'!$B8)*('England 1'!$F$122:$F$131='England 1'!$D$122:$D$131))</f>
        <v>0</v>
      </c>
      <c r="P8" s="75" cm="1">
        <f t="array" ref="P8">SUMPRODUCT(('England 1'!$C$132:$C$141='Team Position by Round'!$B8)*('England 1'!$D$132:$D$141&gt;'England 1'!$F$132:$F$141))*3+SUMPRODUCT(('England 1'!$E$132:$E$141='Team Position by Round'!$B8)*('England 1'!$F$132:$F$141&gt;'England 1'!$D$132:$D$141))*3+SUMPRODUCT(('England 1'!$C$132:$C$141='Team Position by Round'!$B8)*('England 1'!$D$132:$D$141='England 1'!$F$132:$F$141))+SUMPRODUCT(('England 1'!$E$132:$E$141='Team Position by Round'!$B8)*('England 1'!$F$132:$F$141='England 1'!$D$132:$D$141))</f>
        <v>0</v>
      </c>
      <c r="Q8" s="75" cm="1">
        <f t="array" ref="Q8">SUMPRODUCT(('England 1'!$C$142:$C$151='Team Position by Round'!$B8)*('England 1'!$D$142:$D$151&gt;'England 1'!$F$142:$F$151))*3+SUMPRODUCT(('England 1'!$E$142:$E$151='Team Position by Round'!$B8)*('England 1'!$F$142:$F$151&gt;'England 1'!$D$142:$D$151))*3+SUMPRODUCT(('England 1'!$C$142:$C$151='Team Position by Round'!$B8)*('England 1'!$D$142:$D$151='England 1'!$F$142:$F$151))+SUMPRODUCT(('England 1'!$E$142:$E$151='Team Position by Round'!$B8)*('England 1'!$F$142:$F$151='England 1'!$D$142:$D$151))</f>
        <v>0</v>
      </c>
      <c r="R8" s="75" cm="1">
        <f t="array" ref="R8">SUMPRODUCT(('England 1'!$C$152:$C$161='Team Position by Round'!$B8)*('England 1'!$D$152:$D$161&gt;'England 1'!$F$152:$F$161))*3+SUMPRODUCT(('England 1'!$E$152:$E$161='Team Position by Round'!$B8)*('England 1'!$F$152:$F$161&gt;'England 1'!$D$152:$D$161))*3+SUMPRODUCT(('England 1'!$C$152:$C$161='Team Position by Round'!$B8)*('England 1'!$D$152:$D$161='England 1'!$F$152:$F$161))+SUMPRODUCT(('England 1'!$E$152:$E$161='Team Position by Round'!$B8)*('England 1'!$F$152:$F$161='England 1'!$D$152:$D$161))</f>
        <v>1</v>
      </c>
      <c r="S8" s="75" cm="1">
        <f t="array" ref="S8">SUMPRODUCT(('England 1'!$C$162:$C$171='Team Position by Round'!$B8)*('England 1'!$D$162:$D$171&gt;'England 1'!$F$162:$F$171))*3+SUMPRODUCT(('England 1'!$E$162:$E$171='Team Position by Round'!$B8)*('England 1'!$F$162:$F$171&gt;'England 1'!$D$162:$D$171))*3+SUMPRODUCT(('England 1'!$C$162:$C$171='Team Position by Round'!$B8)*('England 1'!$D$162:$D$171='England 1'!$F$162:$F$171))+SUMPRODUCT(('England 1'!$E$162:$E$171='Team Position by Round'!$B8)*('England 1'!$F$162:$F$171='England 1'!$D$162:$D$171))</f>
        <v>0</v>
      </c>
      <c r="T8" s="75" cm="1">
        <f t="array" ref="T8">SUMPRODUCT(('England 1'!$C$172:$C$181='Team Position by Round'!$B8)*('England 1'!$D$172:$D$181&gt;'England 1'!$F$172:$F$181))*3+SUMPRODUCT(('England 1'!$E$172:$E$181='Team Position by Round'!$B8)*('England 1'!$F$172:$F$181&gt;'England 1'!$D$172:$D$181))*3+SUMPRODUCT(('England 1'!$C$172:$C$181='Team Position by Round'!$B8)*('England 1'!$D$172:$D$181='England 1'!$F$172:$F$181))+SUMPRODUCT(('England 1'!$E$172:$E$181='Team Position by Round'!$B8)*('England 1'!$F$172:$F$181='England 1'!$D$172:$D$181))</f>
        <v>3</v>
      </c>
      <c r="U8" s="75" cm="1">
        <f t="array" ref="U8">SUMPRODUCT(('England 1'!$C$182:$C$191='Team Position by Round'!$B8)*('England 1'!$D$182:$D$191&gt;'England 1'!$F$182:$F$191))*3+SUMPRODUCT(('England 1'!$E$182:$E$191='Team Position by Round'!$B8)*('England 1'!$F$182:$F$191&gt;'England 1'!$D$182:$D$191))*3+SUMPRODUCT(('England 1'!$C$182:$C$191='Team Position by Round'!$B8)*('England 1'!$D$182:$D$191='England 1'!$F$182:$F$191))+SUMPRODUCT(('England 1'!$E$182:$E$191='Team Position by Round'!$B8)*('England 1'!$F$182:$F$191='England 1'!$D$182:$D$191))</f>
        <v>1</v>
      </c>
      <c r="V8" s="75" cm="1">
        <f t="array" ref="V8">SUMPRODUCT(('England 1'!$C$192:$C$201='Team Position by Round'!$B8)*('England 1'!$D$192:$D$201&gt;'England 1'!$F$192:$F$201))*3+SUMPRODUCT(('England 1'!$E$192:$E$201='Team Position by Round'!$B8)*('England 1'!$F$192:$F$201&gt;'England 1'!$D$192:$D$201))*3+SUMPRODUCT(('England 1'!$C$192:$C$201='Team Position by Round'!$B8)*('England 1'!$D$192:$D$201='England 1'!$F$192:$F$201))+SUMPRODUCT(('England 1'!$E$192:$E$201='Team Position by Round'!$B8)*('England 1'!$F$192:$F$201='England 1'!$D$192:$D$201))</f>
        <v>3</v>
      </c>
      <c r="W8" s="75" cm="1">
        <f t="array" ref="W8">SUMPRODUCT(('England 1'!$C$202:$C$211='Team Position by Round'!$B8)*('England 1'!$D$202:$D$211&gt;'England 1'!$F$202:$F$211))*3+SUMPRODUCT(('England 1'!$E$202:$E$211='Team Position by Round'!$B8)*('England 1'!$F$202:$F$211&gt;'England 1'!$D$202:$D$211))*3+SUMPRODUCT(('England 1'!$C$202:$C$211='Team Position by Round'!$B8)*('England 1'!$D$202:$D$211='England 1'!$F$202:$F$211))+SUMPRODUCT(('England 1'!$E$202:$E$211='Team Position by Round'!$B8)*('England 1'!$F$202:$F$211='England 1'!$D$202:$D$211))</f>
        <v>3</v>
      </c>
      <c r="X8" s="75" cm="1">
        <f t="array" ref="X8">SUMPRODUCT(('England 1'!$C$212:$C$221='Team Position by Round'!$B8)*('England 1'!$D$212:$D$221&gt;'England 1'!$F$212:$F$221))*3+SUMPRODUCT(('England 1'!$E$212:$E$221='Team Position by Round'!$B8)*('England 1'!$F$212:$F$221&gt;'England 1'!$D$212:$D$221))*3+SUMPRODUCT(('England 1'!$C$212:$C$221='Team Position by Round'!$B8)*('England 1'!$D$212:$D$221='England 1'!$F$212:$F$221))+SUMPRODUCT(('England 1'!$E$212:$E$221='Team Position by Round'!$B8)*('England 1'!$F$212:$F$221='England 1'!$D$212:$D$221))</f>
        <v>3</v>
      </c>
      <c r="Y8" s="75" cm="1">
        <f t="array" ref="Y8">SUMPRODUCT(('England 1'!$C$222:$C$231='Team Position by Round'!$B8)*('England 1'!$D$222:$D$231&gt;'England 1'!$F$222:$F$231))*3+SUMPRODUCT(('England 1'!$E$222:$E$231='Team Position by Round'!$B8)*('England 1'!$F$222:$F$231&gt;'England 1'!$D$222:$D$231))*3+SUMPRODUCT(('England 1'!$C$222:$C$231='Team Position by Round'!$B8)*('England 1'!$D$222:$D$231='England 1'!$F$222:$F$231))+SUMPRODUCT(('England 1'!$E$222:$E$231='Team Position by Round'!$B8)*('England 1'!$F$222:$F$231='England 1'!$D$222:$D$231))</f>
        <v>1</v>
      </c>
      <c r="Z8" s="75" cm="1">
        <f t="array" ref="Z8">SUMPRODUCT(('England 1'!$C$232:$C$241='Team Position by Round'!$B8)*('England 1'!$D$232:$D$241&gt;'England 1'!$F$232:$F$241))*3+SUMPRODUCT(('England 1'!$E$232:$E$241='Team Position by Round'!$B8)*('England 1'!$F$232:$F$241&gt;'England 1'!$D$232:$D$241))*3+SUMPRODUCT(('England 1'!$C$232:$C$241='Team Position by Round'!$B8)*('England 1'!$D$232:$D$241='England 1'!$F$232:$F$241))+SUMPRODUCT(('England 1'!$E$232:$E$241='Team Position by Round'!$B8)*('England 1'!$F$232:$F$241='England 1'!$D$232:$D$241))</f>
        <v>0</v>
      </c>
      <c r="AA8" s="75" cm="1">
        <f t="array" ref="AA8">SUMPRODUCT(('England 1'!$C$242:$C$251='Team Position by Round'!$B8)*('England 1'!$D$242:$D$251&gt;'England 1'!$F$242:$F$251))*3+SUMPRODUCT(('England 1'!$E$242:$E$251='Team Position by Round'!$B8)*('England 1'!$F$242:$F$251&gt;'England 1'!$D$242:$D$251))*3+SUMPRODUCT(('England 1'!$C$242:$C$251='Team Position by Round'!$B8)*('England 1'!$D$242:$D$251='England 1'!$F$242:$F$251))+SUMPRODUCT(('England 1'!$E$242:$E$251='Team Position by Round'!$B8)*('England 1'!$F$242:$F$251='England 1'!$D$242:$D$251))</f>
        <v>0</v>
      </c>
      <c r="AB8" s="75" cm="1">
        <f t="array" ref="AB8">SUMPRODUCT(('England 1'!$C$252:$C$261='Team Position by Round'!$B8)*('England 1'!$D$252:$D$261&gt;'England 1'!$F$252:$F$261))*3+SUMPRODUCT(('England 1'!$E$252:$E$261='Team Position by Round'!$B8)*('England 1'!$F$252:$F$261&gt;'England 1'!$D$252:$D$261))*3+SUMPRODUCT(('England 1'!$C$252:$C$261='Team Position by Round'!$B8)*('England 1'!$D$252:$D$261='England 1'!$F$252:$F$261))+SUMPRODUCT(('England 1'!$E$252:$E$261='Team Position by Round'!$B8)*('England 1'!$F$252:$F$261='England 1'!$D$252:$D$261))</f>
        <v>1</v>
      </c>
      <c r="AC8" s="75" cm="1">
        <f t="array" ref="AC8">SUMPRODUCT(('England 1'!$C$262:$C$271='Team Position by Round'!$B8)*('England 1'!$D$262:$D$271&gt;'England 1'!$F$262:$F$271))*3+SUMPRODUCT(('England 1'!$E$262:$E$271='Team Position by Round'!$B8)*('England 1'!$F$262:$F$271&gt;'England 1'!$D$262:$D$271))*3+SUMPRODUCT(('England 1'!$C$262:$C$271='Team Position by Round'!$B8)*('England 1'!$D$262:$D$271='England 1'!$F$262:$F$271))+SUMPRODUCT(('England 1'!$E$262:$E$271='Team Position by Round'!$B8)*('England 1'!$F$262:$F$271='England 1'!$D$262:$D$271))</f>
        <v>0</v>
      </c>
      <c r="AD8" s="75" cm="1">
        <f t="array" ref="AD8">SUMPRODUCT(('England 1'!$C$272:$C$281='Team Position by Round'!$B8)*('England 1'!$D$272:$D$281&gt;'England 1'!$F$272:$F$281))*3+SUMPRODUCT(('England 1'!$E$272:$E$281='Team Position by Round'!$B8)*('England 1'!$F$272:$F$281&gt;'England 1'!$D$272:$D$281))*3+SUMPRODUCT(('England 1'!$C$272:$C$281='Team Position by Round'!$B8)*('England 1'!$D$272:$D$281='England 1'!$F$272:$F$281))+SUMPRODUCT(('England 1'!$E$272:$E$281='Team Position by Round'!$B8)*('England 1'!$F$272:$F$281='England 1'!$D$272:$D$281))</f>
        <v>3</v>
      </c>
      <c r="AE8" s="75" cm="1">
        <f t="array" ref="AE8">SUMPRODUCT(('England 1'!$C$282:$C$291='Team Position by Round'!$B8)*('England 1'!$D$282:$D$291&gt;'England 1'!$F$282:$F$291))*3+SUMPRODUCT(('England 1'!$E$282:$E$291='Team Position by Round'!$B8)*('England 1'!$F$282:$F$291&gt;'England 1'!$D$282:$D$291))*3+SUMPRODUCT(('England 1'!$C$282:$C$291='Team Position by Round'!$B8)*('England 1'!$D$282:$D$291='England 1'!$F$282:$F$291))+SUMPRODUCT(('England 1'!$E$282:$E$291='Team Position by Round'!$B8)*('England 1'!$F$282:$F$291='England 1'!$D$282:$D$291))</f>
        <v>0</v>
      </c>
      <c r="AF8" s="75" cm="1">
        <f t="array" ref="AF8">SUMPRODUCT(('England 1'!$C$292:$C$301='Team Position by Round'!$B8)*('England 1'!$D$292:$D$301&gt;'England 1'!$F$292:$F$301))*3+SUMPRODUCT(('England 1'!$E$292:$E$301='Team Position by Round'!$B8)*('England 1'!$F$292:$F$301&gt;'England 1'!$D$292:$D$301))*3+SUMPRODUCT(('England 1'!$C$292:$C$301='Team Position by Round'!$B8)*('England 1'!$D$292:$D$301='England 1'!$F$292:$F$301))+SUMPRODUCT(('England 1'!$E$292:$E$301='Team Position by Round'!$B8)*('England 1'!$F$292:$F$301='England 1'!$D$292:$D$301))</f>
        <v>1</v>
      </c>
      <c r="AG8" s="75" cm="1">
        <f t="array" ref="AG8">SUMPRODUCT(('England 1'!$C$302:$C$311='Team Position by Round'!$B8)*('England 1'!$D$302:$D$311&gt;'England 1'!$F$302:$F$311))*3+SUMPRODUCT(('England 1'!$E$302:$E$311='Team Position by Round'!$B8)*('England 1'!$F$302:$F$311&gt;'England 1'!$D$302:$D$311))*3+SUMPRODUCT(('England 1'!$C$302:$C$311='Team Position by Round'!$B8)*('England 1'!$D$302:$D$311='England 1'!$F$302:$F$311))+SUMPRODUCT(('England 1'!$E$302:$E$311='Team Position by Round'!$B8)*('England 1'!$F$302:$F$311='England 1'!$D$302:$D$311))</f>
        <v>0</v>
      </c>
      <c r="AH8" s="75" cm="1">
        <f t="array" ref="AH8">SUMPRODUCT(('England 1'!$C$312:$C$321='Team Position by Round'!$B8)*('England 1'!$D$312:$D$321&gt;'England 1'!$F$312:$F$321))*3+SUMPRODUCT(('England 1'!$E$312:$E$321='Team Position by Round'!$B8)*('England 1'!$F$312:$F$321&gt;'England 1'!$D$312:$D$321))*3+SUMPRODUCT(('England 1'!$C$312:$C$321='Team Position by Round'!$B8)*('England 1'!$D$312:$D$321='England 1'!$F$312:$F$321))+SUMPRODUCT(('England 1'!$E$312:$E$321='Team Position by Round'!$B8)*('England 1'!$F$312:$F$321='England 1'!$D$312:$D$321))</f>
        <v>0</v>
      </c>
      <c r="AI8" s="75" cm="1">
        <f t="array" ref="AI8">SUMPRODUCT(('England 1'!$C$322:$C$331='Team Position by Round'!$B8)*('England 1'!$D$322:$D$331&gt;'England 1'!$F$322:$F$331))*3+SUMPRODUCT(('England 1'!$E$322:$E$331='Team Position by Round'!$B8)*('England 1'!$F$322:$F$331&gt;'England 1'!$D$322:$D$331))*3+SUMPRODUCT(('England 1'!$C$322:$C$331='Team Position by Round'!$B8)*('England 1'!$D$322:$D$331='England 1'!$F$322:$F$331))+SUMPRODUCT(('England 1'!$E$322:$E$331='Team Position by Round'!$B8)*('England 1'!$F$322:$F$331='England 1'!$D$322:$D$331))</f>
        <v>0</v>
      </c>
      <c r="AJ8" s="75" cm="1">
        <f t="array" ref="AJ8">SUMPRODUCT(('England 1'!$C$332:$C$341='Team Position by Round'!$B8)*('England 1'!$D$332:$D$341&gt;'England 1'!$F$332:$F$341))*3+SUMPRODUCT(('England 1'!$E$332:$E$341='Team Position by Round'!$B8)*('England 1'!$F$332:$F$341&gt;'England 1'!$D$332:$D$341))*3+SUMPRODUCT(('England 1'!$C$332:$C$341='Team Position by Round'!$B8)*('England 1'!$D$332:$D$341='England 1'!$F$332:$F$341))+SUMPRODUCT(('England 1'!$E$332:$E$341='Team Position by Round'!$B8)*('England 1'!$F$332:$F$341='England 1'!$D$332:$D$341))</f>
        <v>3</v>
      </c>
      <c r="AK8" s="75" cm="1">
        <f t="array" ref="AK8">SUMPRODUCT(('England 1'!$C$342:$C$351='Team Position by Round'!$B8)*('England 1'!$D$342:$D$351&gt;'England 1'!$F$342:$F$351))*3+SUMPRODUCT(('England 1'!$E$342:$E$351='Team Position by Round'!$B8)*('England 1'!$F$342:$F$351&gt;'England 1'!$D$342:$D$351))*3+SUMPRODUCT(('England 1'!$C$342:$C$351='Team Position by Round'!$B8)*('England 1'!$D$342:$D$351='England 1'!$F$342:$F$351))+SUMPRODUCT(('England 1'!$E$342:$E$351='Team Position by Round'!$B8)*('England 1'!$F$342:$F$351='England 1'!$D$342:$D$351))</f>
        <v>3</v>
      </c>
      <c r="AL8" s="75" cm="1">
        <f t="array" ref="AL8">SUMPRODUCT(('England 1'!$C$352:$C$361='Team Position by Round'!$B8)*('England 1'!$D$352:$D$361&gt;'England 1'!$F$352:$F$361))*3+SUMPRODUCT(('England 1'!$E$352:$E$361='Team Position by Round'!$B8)*('England 1'!$F$352:$F$361&gt;'England 1'!$D$352:$D$361))*3+SUMPRODUCT(('England 1'!$C$352:$C$361='Team Position by Round'!$B8)*('England 1'!$D$352:$D$361='England 1'!$F$352:$F$361))+SUMPRODUCT(('England 1'!$E$352:$E$361='Team Position by Round'!$B8)*('England 1'!$F$352:$F$361='England 1'!$D$352:$D$361))</f>
        <v>0</v>
      </c>
      <c r="AM8" s="75" cm="1">
        <f t="array" ref="AM8">SUMPRODUCT(('England 1'!$C$362:$C$371='Team Position by Round'!$B8)*('England 1'!$D$362:$D$371&gt;'England 1'!$F$362:$F$371))*3+SUMPRODUCT(('England 1'!$E$362:$E$371='Team Position by Round'!$B8)*('England 1'!$F$362:$F$371&gt;'England 1'!$D$362:$D$371))*3+SUMPRODUCT(('England 1'!$C$362:$C$371='Team Position by Round'!$B8)*('England 1'!$D$362:$D$371='England 1'!$F$362:$F$371))+SUMPRODUCT(('England 1'!$E$362:$E$371='Team Position by Round'!$B8)*('England 1'!$F$362:$F$371='England 1'!$D$362:$D$371))</f>
        <v>0</v>
      </c>
      <c r="AN8" s="75" cm="1">
        <f t="array" ref="AN8">SUMPRODUCT(('England 1'!$C$372:$C$381='Team Position by Round'!$B8)*('England 1'!$D$372:$D$381&gt;'England 1'!$F$372:$F$381))*3+SUMPRODUCT(('England 1'!$E$372:$E$381='Team Position by Round'!$B8)*('England 1'!$F$372:$F$381&gt;'England 1'!$D$372:$D$381))*3+SUMPRODUCT(('England 1'!$C$372:$C$381='Team Position by Round'!$B8)*('England 1'!$D$372:$D$381='England 1'!$F$372:$F$381))+SUMPRODUCT(('England 1'!$E$372:$E$381='Team Position by Round'!$B8)*('England 1'!$F$372:$F$381='England 1'!$D$372:$D$381))</f>
        <v>0</v>
      </c>
      <c r="AO8">
        <f t="shared" si="0"/>
        <v>8</v>
      </c>
      <c r="AP8">
        <f t="shared" si="1"/>
        <v>10</v>
      </c>
      <c r="AQ8">
        <f t="shared" si="2"/>
        <v>20</v>
      </c>
      <c r="AR8" s="78">
        <f>SUMIF('Watford FC'!C:C,'Watford FC'!N18,'Watford FC'!D:D)+SUMIF('Watford FC'!E:E,'Watford FC'!N18,'Watford FC'!F:F)</f>
        <v>36</v>
      </c>
      <c r="AS8" s="78">
        <f>SUMIF('Watford FC'!C:C,"&lt;&gt;Watford FC",'Watford FC'!D:D)+SUMIF('Watford FC'!E:E,"&lt;&gt;Watford FC",'Watford FC'!F:F)</f>
        <v>64</v>
      </c>
      <c r="AT8" s="78">
        <f>MAX('Watford FC'!I:I)</f>
        <v>3</v>
      </c>
      <c r="AU8" s="78">
        <f>MAX('Watford FC'!J:J)</f>
        <v>3</v>
      </c>
      <c r="AV8">
        <f>MAX('Watford FC'!K:K)</f>
        <v>6</v>
      </c>
      <c r="AW8">
        <f>MAX('Watford FC'!L:L)</f>
        <v>11</v>
      </c>
    </row>
    <row r="9" spans="2:49" x14ac:dyDescent="0.2">
      <c r="B9" t="str">
        <v>Tottenham Hotspur FC</v>
      </c>
      <c r="C9" s="75" cm="1">
        <f t="array" ref="C9">SUMPRODUCT(('England 1'!$C$2:$C$11='Team Position by Round'!$B9)*('England 1'!$D$2:$D$11&gt;'England 1'!$F$2:$F$11))*3+SUMPRODUCT(('England 1'!$E$2:$E$11='Team Position by Round'!$B9)*('England 1'!$F$2:$F$11&gt;'England 1'!$D$2:$D$11))*3+SUMPRODUCT(('England 1'!$C$2:$C$11='Team Position by Round'!$B9)*('England 1'!$D$2:$D$11='England 1'!$F$2:$F$11))+SUMPRODUCT(('England 1'!$E$2:$E$11='Team Position by Round'!$B9)*('England 1'!$F$2:$F$11='England 1'!$D$2:$D$11))</f>
        <v>3</v>
      </c>
      <c r="D9" s="75" cm="1">
        <f t="array" ref="D9">SUMPRODUCT(('England 1'!$C$12:$C$21='Team Position by Round'!$B9)*('England 1'!$D$12:$D$21&gt;'England 1'!$F$12:$F$21))*3+SUMPRODUCT(('England 1'!$E$12:$E$21='Team Position by Round'!$B9)*('England 1'!$F$12:$F$21&gt;'England 1'!$D$12:$D$21))*3+SUMPRODUCT(('England 1'!$C$12:$C$21='Team Position by Round'!$B9)*('England 1'!$D$12:$D$21='England 1'!$F$12:$F$21))+SUMPRODUCT(('England 1'!$E$12:$E$21='Team Position by Round'!$B9)*('England 1'!$F$12:$F$21='England 1'!$D$12:$D$21))</f>
        <v>1</v>
      </c>
      <c r="E9" s="75" cm="1">
        <f t="array" ref="E9">SUMPRODUCT(('England 1'!$C$22:$C$31='Team Position by Round'!$B9)*('England 1'!$D$22:$D$31&gt;'England 1'!$F$22:$F$31))*3+SUMPRODUCT(('England 1'!$E$22:$E$31='Team Position by Round'!$B9)*('England 1'!$F$22:$F$31&gt;'England 1'!$D$22:$D$31))*3+SUMPRODUCT(('England 1'!$C$22:$C$31='Team Position by Round'!$B9)*('England 1'!$D$22:$D$31='England 1'!$F$22:$F$31))+SUMPRODUCT(('England 1'!$E$22:$E$31='Team Position by Round'!$B9)*('England 1'!$F$22:$F$31='England 1'!$D$22:$D$31))</f>
        <v>0</v>
      </c>
      <c r="F9" s="75" cm="1">
        <f t="array" ref="F9">SUMPRODUCT(('England 1'!$C$32:$C$41='Team Position by Round'!$B9)*('England 1'!$D$32:$D$41&gt;'England 1'!$F$32:$F$41))*3+SUMPRODUCT(('England 1'!$E$32:$E$41='Team Position by Round'!$B9)*('England 1'!$F$32:$F$41&gt;'England 1'!$D$32:$D$41))*3+SUMPRODUCT(('England 1'!$C$32:$C$41='Team Position by Round'!$B9)*('England 1'!$D$32:$D$41='England 1'!$F$32:$F$41))+SUMPRODUCT(('England 1'!$E$32:$E$41='Team Position by Round'!$B9)*('England 1'!$F$32:$F$41='England 1'!$D$32:$D$41))</f>
        <v>1</v>
      </c>
      <c r="G9" s="75" cm="1">
        <f t="array" ref="G9">SUMPRODUCT(('England 1'!$C$42:$C$51='Team Position by Round'!$B9)*('England 1'!$D$42:$D$51&gt;'England 1'!$F$42:$F$51))*3+SUMPRODUCT(('England 1'!$E$42:$E$51='Team Position by Round'!$B9)*('England 1'!$F$42:$F$51&gt;'England 1'!$D$42:$D$51))*3+SUMPRODUCT(('England 1'!$C$42:$C$51='Team Position by Round'!$B9)*('England 1'!$D$42:$D$51='England 1'!$F$42:$F$51))+SUMPRODUCT(('England 1'!$E$42:$E$51='Team Position by Round'!$B9)*('England 1'!$F$42:$F$51='England 1'!$D$42:$D$51))</f>
        <v>3</v>
      </c>
      <c r="H9" s="75" cm="1">
        <f t="array" ref="H9">SUMPRODUCT(('England 1'!$C$52:$C$61='Team Position by Round'!$B9)*('England 1'!$D$52:$D$61&gt;'England 1'!$F$52:$F$61))*3+SUMPRODUCT(('England 1'!$E$52:$E$61='Team Position by Round'!$B9)*('England 1'!$F$52:$F$61&gt;'England 1'!$D$52:$D$61))*3+SUMPRODUCT(('England 1'!$C$52:$C$61='Team Position by Round'!$B9)*('England 1'!$D$52:$D$61='England 1'!$F$52:$F$61))+SUMPRODUCT(('England 1'!$E$52:$E$61='Team Position by Round'!$B9)*('England 1'!$F$52:$F$61='England 1'!$D$52:$D$61))</f>
        <v>0</v>
      </c>
      <c r="I9" s="75" cm="1">
        <f t="array" ref="I9">SUMPRODUCT(('England 1'!$C$62:$C$71='Team Position by Round'!$B9)*('England 1'!$D$62:$D$71&gt;'England 1'!$F$62:$F$71))*3+SUMPRODUCT(('England 1'!$E$62:$E$71='Team Position by Round'!$B9)*('England 1'!$F$62:$F$71&gt;'England 1'!$D$62:$D$71))*3+SUMPRODUCT(('England 1'!$C$62:$C$71='Team Position by Round'!$B9)*('England 1'!$D$62:$D$71='England 1'!$F$62:$F$71))+SUMPRODUCT(('England 1'!$E$62:$E$71='Team Position by Round'!$B9)*('England 1'!$F$62:$F$71='England 1'!$D$62:$D$71))</f>
        <v>3</v>
      </c>
      <c r="J9" s="76" cm="1">
        <f t="array" ref="J9">SUMPRODUCT(('England 1'!$C$72:$C$81='Team Position by Round'!$B9)*('England 1'!$D$72:$D$81&gt;'England 1'!$F$72:$F$81))*3+SUMPRODUCT(('England 1'!$E$72:$E$81='Team Position by Round'!$B9)*('England 1'!$F$72:$F$81&gt;'England 1'!$D$72:$D$81))*3+SUMPRODUCT(('England 1'!$C$72:$C$81='Team Position by Round'!$B9)*('England 1'!$D$72:$D$81='England 1'!$F$72:$F$81))+SUMPRODUCT(('England 1'!$E$72:$E$81='Team Position by Round'!$B9)*('England 1'!$F$72:$F$81='England 1'!$D$72:$D$81))</f>
        <v>0</v>
      </c>
      <c r="K9" s="75" cm="1">
        <f t="array" ref="K9">SUMPRODUCT(('England 1'!$C$82:$C$91='Team Position by Round'!$B9)*('England 1'!$D$82:$D$91&gt;'England 1'!$F$82:$F$91))*3+SUMPRODUCT(('England 1'!$E$82:$E$91='Team Position by Round'!$B9)*('England 1'!$F$82:$F$91&gt;'England 1'!$D$82:$D$91))*3+SUMPRODUCT(('England 1'!$C$82:$C$91='Team Position by Round'!$B9)*('England 1'!$D$82:$D$91='England 1'!$F$82:$F$91))+SUMPRODUCT(('England 1'!$E$82:$E$91='Team Position by Round'!$B9)*('England 1'!$F$82:$F$91='England 1'!$D$82:$D$91))</f>
        <v>1</v>
      </c>
      <c r="L9" s="75" cm="1">
        <f t="array" ref="L9">SUMPRODUCT(('England 1'!$C$92:$C$101='Team Position by Round'!$B9)*('England 1'!$D$92:$D$101&gt;'England 1'!$F$92:$F$101))*3+SUMPRODUCT(('England 1'!$E$92:$E$101='Team Position by Round'!$B9)*('England 1'!$F$92:$F$101&gt;'England 1'!$D$92:$D$101))*3+SUMPRODUCT(('England 1'!$C$92:$C$101='Team Position by Round'!$B9)*('England 1'!$D$92:$D$101='England 1'!$F$92:$F$101))+SUMPRODUCT(('England 1'!$E$92:$E$101='Team Position by Round'!$B9)*('England 1'!$F$92:$F$101='England 1'!$D$92:$D$101))</f>
        <v>0</v>
      </c>
      <c r="M9" s="75" cm="1">
        <f t="array" ref="M9">SUMPRODUCT(('England 1'!$C$102:$C$111='Team Position by Round'!$B9)*('England 1'!$D$102:$D$111&gt;'England 1'!$F$102:$F$111))*3+SUMPRODUCT(('England 1'!$E$102:$E$111='Team Position by Round'!$B9)*('England 1'!$F$102:$F$111&gt;'England 1'!$D$102:$D$111))*3+SUMPRODUCT(('England 1'!$C$102:$C$111='Team Position by Round'!$B9)*('England 1'!$D$102:$D$111='England 1'!$F$102:$F$111))+SUMPRODUCT(('England 1'!$E$102:$E$111='Team Position by Round'!$B9)*('England 1'!$F$102:$F$111='England 1'!$D$102:$D$111))</f>
        <v>1</v>
      </c>
      <c r="N9" s="75" cm="1">
        <f t="array" ref="N9">SUMPRODUCT(('England 1'!$C$112:$C$121='Team Position by Round'!$B9)*('England 1'!$D$112:$D$121&gt;'England 1'!$F$112:$F$121))*3+SUMPRODUCT(('England 1'!$E$112:$E$121='Team Position by Round'!$B9)*('England 1'!$F$112:$F$121&gt;'England 1'!$D$112:$D$121))*3+SUMPRODUCT(('England 1'!$C$112:$C$121='Team Position by Round'!$B9)*('England 1'!$D$112:$D$121='England 1'!$F$112:$F$121))+SUMPRODUCT(('England 1'!$E$112:$E$121='Team Position by Round'!$B9)*('England 1'!$F$112:$F$121='England 1'!$D$112:$D$121))</f>
        <v>1</v>
      </c>
      <c r="O9" s="75" cm="1">
        <f t="array" ref="O9">SUMPRODUCT(('England 1'!$C$122:$C$131='Team Position by Round'!$B9)*('England 1'!$D$122:$D$131&gt;'England 1'!$F$122:$F$131))*3+SUMPRODUCT(('England 1'!$E$122:$E$131='Team Position by Round'!$B9)*('England 1'!$F$122:$F$131&gt;'England 1'!$D$122:$D$131))*3+SUMPRODUCT(('England 1'!$C$122:$C$131='Team Position by Round'!$B9)*('England 1'!$D$122:$D$131='England 1'!$F$122:$F$131))+SUMPRODUCT(('England 1'!$E$122:$E$131='Team Position by Round'!$B9)*('England 1'!$F$122:$F$131='England 1'!$D$122:$D$131))</f>
        <v>3</v>
      </c>
      <c r="P9" s="75" cm="1">
        <f t="array" ref="P9">SUMPRODUCT(('England 1'!$C$132:$C$141='Team Position by Round'!$B9)*('England 1'!$D$132:$D$141&gt;'England 1'!$F$132:$F$141))*3+SUMPRODUCT(('England 1'!$E$132:$E$141='Team Position by Round'!$B9)*('England 1'!$F$132:$F$141&gt;'England 1'!$D$132:$D$141))*3+SUMPRODUCT(('England 1'!$C$132:$C$141='Team Position by Round'!$B9)*('England 1'!$D$132:$D$141='England 1'!$F$132:$F$141))+SUMPRODUCT(('England 1'!$E$132:$E$141='Team Position by Round'!$B9)*('England 1'!$F$132:$F$141='England 1'!$D$132:$D$141))</f>
        <v>3</v>
      </c>
      <c r="Q9" s="75" cm="1">
        <f t="array" ref="Q9">SUMPRODUCT(('England 1'!$C$142:$C$151='Team Position by Round'!$B9)*('England 1'!$D$142:$D$151&gt;'England 1'!$F$142:$F$151))*3+SUMPRODUCT(('England 1'!$E$142:$E$151='Team Position by Round'!$B9)*('England 1'!$F$142:$F$151&gt;'England 1'!$D$142:$D$151))*3+SUMPRODUCT(('England 1'!$C$142:$C$151='Team Position by Round'!$B9)*('England 1'!$D$142:$D$151='England 1'!$F$142:$F$151))+SUMPRODUCT(('England 1'!$E$142:$E$151='Team Position by Round'!$B9)*('England 1'!$F$142:$F$151='England 1'!$D$142:$D$151))</f>
        <v>0</v>
      </c>
      <c r="R9" s="75" cm="1">
        <f t="array" ref="R9">SUMPRODUCT(('England 1'!$C$152:$C$161='Team Position by Round'!$B9)*('England 1'!$D$152:$D$161&gt;'England 1'!$F$152:$F$161))*3+SUMPRODUCT(('England 1'!$E$152:$E$161='Team Position by Round'!$B9)*('England 1'!$F$152:$F$161&gt;'England 1'!$D$152:$D$161))*3+SUMPRODUCT(('England 1'!$C$152:$C$161='Team Position by Round'!$B9)*('England 1'!$D$152:$D$161='England 1'!$F$152:$F$161))+SUMPRODUCT(('England 1'!$E$152:$E$161='Team Position by Round'!$B9)*('England 1'!$F$152:$F$161='England 1'!$D$152:$D$161))</f>
        <v>3</v>
      </c>
      <c r="S9" s="75" cm="1">
        <f t="array" ref="S9">SUMPRODUCT(('England 1'!$C$162:$C$171='Team Position by Round'!$B9)*('England 1'!$D$162:$D$171&gt;'England 1'!$F$162:$F$171))*3+SUMPRODUCT(('England 1'!$E$162:$E$171='Team Position by Round'!$B9)*('England 1'!$F$162:$F$171&gt;'England 1'!$D$162:$D$171))*3+SUMPRODUCT(('England 1'!$C$162:$C$171='Team Position by Round'!$B9)*('England 1'!$D$162:$D$171='England 1'!$F$162:$F$171))+SUMPRODUCT(('England 1'!$E$162:$E$171='Team Position by Round'!$B9)*('England 1'!$F$162:$F$171='England 1'!$D$162:$D$171))</f>
        <v>3</v>
      </c>
      <c r="T9" s="75" cm="1">
        <f t="array" ref="T9">SUMPRODUCT(('England 1'!$C$172:$C$181='Team Position by Round'!$B9)*('England 1'!$D$172:$D$181&gt;'England 1'!$F$172:$F$181))*3+SUMPRODUCT(('England 1'!$E$172:$E$181='Team Position by Round'!$B9)*('England 1'!$F$172:$F$181&gt;'England 1'!$D$172:$D$181))*3+SUMPRODUCT(('England 1'!$C$172:$C$181='Team Position by Round'!$B9)*('England 1'!$D$172:$D$181='England 1'!$F$172:$F$181))+SUMPRODUCT(('England 1'!$E$172:$E$181='Team Position by Round'!$B9)*('England 1'!$F$172:$F$181='England 1'!$D$172:$D$181))</f>
        <v>0</v>
      </c>
      <c r="U9" s="75" cm="1">
        <f t="array" ref="U9">SUMPRODUCT(('England 1'!$C$182:$C$191='Team Position by Round'!$B9)*('England 1'!$D$182:$D$191&gt;'England 1'!$F$182:$F$191))*3+SUMPRODUCT(('England 1'!$E$182:$E$191='Team Position by Round'!$B9)*('England 1'!$F$182:$F$191&gt;'England 1'!$D$182:$D$191))*3+SUMPRODUCT(('England 1'!$C$182:$C$191='Team Position by Round'!$B9)*('England 1'!$D$182:$D$191='England 1'!$F$182:$F$191))+SUMPRODUCT(('England 1'!$E$182:$E$191='Team Position by Round'!$B9)*('England 1'!$F$182:$F$191='England 1'!$D$182:$D$191))</f>
        <v>3</v>
      </c>
      <c r="V9" s="75" cm="1">
        <f t="array" ref="V9">SUMPRODUCT(('England 1'!$C$192:$C$201='Team Position by Round'!$B9)*('England 1'!$D$192:$D$201&gt;'England 1'!$F$192:$F$201))*3+SUMPRODUCT(('England 1'!$E$192:$E$201='Team Position by Round'!$B9)*('England 1'!$F$192:$F$201&gt;'England 1'!$D$192:$D$201))*3+SUMPRODUCT(('England 1'!$C$192:$C$201='Team Position by Round'!$B9)*('England 1'!$D$192:$D$201='England 1'!$F$192:$F$201))+SUMPRODUCT(('England 1'!$E$192:$E$201='Team Position by Round'!$B9)*('England 1'!$F$192:$F$201='England 1'!$D$192:$D$201))</f>
        <v>1</v>
      </c>
      <c r="W9" s="75" cm="1">
        <f t="array" ref="W9">SUMPRODUCT(('England 1'!$C$202:$C$211='Team Position by Round'!$B9)*('England 1'!$D$202:$D$211&gt;'England 1'!$F$202:$F$211))*3+SUMPRODUCT(('England 1'!$E$202:$E$211='Team Position by Round'!$B9)*('England 1'!$F$202:$F$211&gt;'England 1'!$D$202:$D$211))*3+SUMPRODUCT(('England 1'!$C$202:$C$211='Team Position by Round'!$B9)*('England 1'!$D$202:$D$211='England 1'!$F$202:$F$211))+SUMPRODUCT(('England 1'!$E$202:$E$211='Team Position by Round'!$B9)*('England 1'!$F$202:$F$211='England 1'!$D$202:$D$211))</f>
        <v>0</v>
      </c>
      <c r="X9" s="75" cm="1">
        <f t="array" ref="X9">SUMPRODUCT(('England 1'!$C$212:$C$221='Team Position by Round'!$B9)*('England 1'!$D$212:$D$221&gt;'England 1'!$F$212:$F$221))*3+SUMPRODUCT(('England 1'!$E$212:$E$221='Team Position by Round'!$B9)*('England 1'!$F$212:$F$221&gt;'England 1'!$D$212:$D$221))*3+SUMPRODUCT(('England 1'!$C$212:$C$221='Team Position by Round'!$B9)*('England 1'!$D$212:$D$221='England 1'!$F$212:$F$221))+SUMPRODUCT(('England 1'!$E$212:$E$221='Team Position by Round'!$B9)*('England 1'!$F$212:$F$221='England 1'!$D$212:$D$221))</f>
        <v>0</v>
      </c>
      <c r="Y9" s="75" cm="1">
        <f t="array" ref="Y9">SUMPRODUCT(('England 1'!$C$222:$C$231='Team Position by Round'!$B9)*('England 1'!$D$222:$D$231&gt;'England 1'!$F$222:$F$231))*3+SUMPRODUCT(('England 1'!$E$222:$E$231='Team Position by Round'!$B9)*('England 1'!$F$222:$F$231&gt;'England 1'!$D$222:$D$231))*3+SUMPRODUCT(('England 1'!$C$222:$C$231='Team Position by Round'!$B9)*('England 1'!$D$222:$D$231='England 1'!$F$222:$F$231))+SUMPRODUCT(('England 1'!$E$222:$E$231='Team Position by Round'!$B9)*('England 1'!$F$222:$F$231='England 1'!$D$222:$D$231))</f>
        <v>1</v>
      </c>
      <c r="Z9" s="75" cm="1">
        <f t="array" ref="Z9">SUMPRODUCT(('England 1'!$C$232:$C$241='Team Position by Round'!$B9)*('England 1'!$D$232:$D$241&gt;'England 1'!$F$232:$F$241))*3+SUMPRODUCT(('England 1'!$E$232:$E$241='Team Position by Round'!$B9)*('England 1'!$F$232:$F$241&gt;'England 1'!$D$232:$D$241))*3+SUMPRODUCT(('England 1'!$C$232:$C$241='Team Position by Round'!$B9)*('England 1'!$D$232:$D$241='England 1'!$F$232:$F$241))+SUMPRODUCT(('England 1'!$E$232:$E$241='Team Position by Round'!$B9)*('England 1'!$F$232:$F$241='England 1'!$D$232:$D$241))</f>
        <v>3</v>
      </c>
      <c r="AA9" s="75" cm="1">
        <f t="array" ref="AA9">SUMPRODUCT(('England 1'!$C$242:$C$251='Team Position by Round'!$B9)*('England 1'!$D$242:$D$251&gt;'England 1'!$F$242:$F$251))*3+SUMPRODUCT(('England 1'!$E$242:$E$251='Team Position by Round'!$B9)*('England 1'!$F$242:$F$251&gt;'England 1'!$D$242:$D$251))*3+SUMPRODUCT(('England 1'!$C$242:$C$251='Team Position by Round'!$B9)*('England 1'!$D$242:$D$251='England 1'!$F$242:$F$251))+SUMPRODUCT(('England 1'!$E$242:$E$251='Team Position by Round'!$B9)*('England 1'!$F$242:$F$251='England 1'!$D$242:$D$251))</f>
        <v>3</v>
      </c>
      <c r="AB9" s="75" cm="1">
        <f t="array" ref="AB9">SUMPRODUCT(('England 1'!$C$252:$C$261='Team Position by Round'!$B9)*('England 1'!$D$252:$D$261&gt;'England 1'!$F$252:$F$261))*3+SUMPRODUCT(('England 1'!$E$252:$E$261='Team Position by Round'!$B9)*('England 1'!$F$252:$F$261&gt;'England 1'!$D$252:$D$261))*3+SUMPRODUCT(('England 1'!$C$252:$C$261='Team Position by Round'!$B9)*('England 1'!$D$252:$D$261='England 1'!$F$252:$F$261))+SUMPRODUCT(('England 1'!$E$252:$E$261='Team Position by Round'!$B9)*('England 1'!$F$252:$F$261='England 1'!$D$252:$D$261))</f>
        <v>3</v>
      </c>
      <c r="AC9" s="75" cm="1">
        <f t="array" ref="AC9">SUMPRODUCT(('England 1'!$C$262:$C$271='Team Position by Round'!$B9)*('England 1'!$D$262:$D$271&gt;'England 1'!$F$262:$F$271))*3+SUMPRODUCT(('England 1'!$E$262:$E$271='Team Position by Round'!$B9)*('England 1'!$F$262:$F$271&gt;'England 1'!$D$262:$D$271))*3+SUMPRODUCT(('England 1'!$C$262:$C$271='Team Position by Round'!$B9)*('England 1'!$D$262:$D$271='England 1'!$F$262:$F$271))+SUMPRODUCT(('England 1'!$E$262:$E$271='Team Position by Round'!$B9)*('England 1'!$F$262:$F$271='England 1'!$D$262:$D$271))</f>
        <v>0</v>
      </c>
      <c r="AD9" s="75" cm="1">
        <f t="array" ref="AD9">SUMPRODUCT(('England 1'!$C$272:$C$281='Team Position by Round'!$B9)*('England 1'!$D$272:$D$281&gt;'England 1'!$F$272:$F$281))*3+SUMPRODUCT(('England 1'!$E$272:$E$281='Team Position by Round'!$B9)*('England 1'!$F$272:$F$281&gt;'England 1'!$D$272:$D$281))*3+SUMPRODUCT(('England 1'!$C$272:$C$281='Team Position by Round'!$B9)*('England 1'!$D$272:$D$281='England 1'!$F$272:$F$281))+SUMPRODUCT(('England 1'!$E$272:$E$281='Team Position by Round'!$B9)*('England 1'!$F$272:$F$281='England 1'!$D$272:$D$281))</f>
        <v>0</v>
      </c>
      <c r="AE9" s="75" cm="1">
        <f t="array" ref="AE9">SUMPRODUCT(('England 1'!$C$282:$C$291='Team Position by Round'!$B9)*('England 1'!$D$282:$D$291&gt;'England 1'!$F$282:$F$291))*3+SUMPRODUCT(('England 1'!$E$282:$E$291='Team Position by Round'!$B9)*('England 1'!$F$282:$F$291&gt;'England 1'!$D$282:$D$291))*3+SUMPRODUCT(('England 1'!$C$282:$C$291='Team Position by Round'!$B9)*('England 1'!$D$282:$D$291='England 1'!$F$282:$F$291))+SUMPRODUCT(('England 1'!$E$282:$E$291='Team Position by Round'!$B9)*('England 1'!$F$282:$F$291='England 1'!$D$282:$D$291))</f>
        <v>1</v>
      </c>
      <c r="AF9" s="75" cm="1">
        <f t="array" ref="AF9">SUMPRODUCT(('England 1'!$C$292:$C$301='Team Position by Round'!$B9)*('England 1'!$D$292:$D$301&gt;'England 1'!$F$292:$F$301))*3+SUMPRODUCT(('England 1'!$E$292:$E$301='Team Position by Round'!$B9)*('England 1'!$F$292:$F$301&gt;'England 1'!$D$292:$D$301))*3+SUMPRODUCT(('England 1'!$C$292:$C$301='Team Position by Round'!$B9)*('England 1'!$D$292:$D$301='England 1'!$F$292:$F$301))+SUMPRODUCT(('England 1'!$E$292:$E$301='Team Position by Round'!$B9)*('England 1'!$F$292:$F$301='England 1'!$D$292:$D$301))</f>
        <v>1</v>
      </c>
      <c r="AG9" s="75" cm="1">
        <f t="array" ref="AG9">SUMPRODUCT(('England 1'!$C$302:$C$311='Team Position by Round'!$B9)*('England 1'!$D$302:$D$311&gt;'England 1'!$F$302:$F$311))*3+SUMPRODUCT(('England 1'!$E$302:$E$311='Team Position by Round'!$B9)*('England 1'!$F$302:$F$311&gt;'England 1'!$D$302:$D$311))*3+SUMPRODUCT(('England 1'!$C$302:$C$311='Team Position by Round'!$B9)*('England 1'!$D$302:$D$311='England 1'!$F$302:$F$311))+SUMPRODUCT(('England 1'!$E$302:$E$311='Team Position by Round'!$B9)*('England 1'!$F$302:$F$311='England 1'!$D$302:$D$311))</f>
        <v>3</v>
      </c>
      <c r="AH9" s="75" cm="1">
        <f t="array" ref="AH9">SUMPRODUCT(('England 1'!$C$312:$C$321='Team Position by Round'!$B9)*('England 1'!$D$312:$D$321&gt;'England 1'!$F$312:$F$321))*3+SUMPRODUCT(('England 1'!$E$312:$E$321='Team Position by Round'!$B9)*('England 1'!$F$312:$F$321&gt;'England 1'!$D$312:$D$321))*3+SUMPRODUCT(('England 1'!$C$312:$C$321='Team Position by Round'!$B9)*('England 1'!$D$312:$D$321='England 1'!$F$312:$F$321))+SUMPRODUCT(('England 1'!$E$312:$E$321='Team Position by Round'!$B9)*('England 1'!$F$312:$F$321='England 1'!$D$312:$D$321))</f>
        <v>0</v>
      </c>
      <c r="AI9" s="75" cm="1">
        <f t="array" ref="AI9">SUMPRODUCT(('England 1'!$C$322:$C$331='Team Position by Round'!$B9)*('England 1'!$D$322:$D$331&gt;'England 1'!$F$322:$F$331))*3+SUMPRODUCT(('England 1'!$E$322:$E$331='Team Position by Round'!$B9)*('England 1'!$F$322:$F$331&gt;'England 1'!$D$322:$D$331))*3+SUMPRODUCT(('England 1'!$C$322:$C$331='Team Position by Round'!$B9)*('England 1'!$D$322:$D$331='England 1'!$F$322:$F$331))+SUMPRODUCT(('England 1'!$E$322:$E$331='Team Position by Round'!$B9)*('England 1'!$F$322:$F$331='England 1'!$D$322:$D$331))</f>
        <v>3</v>
      </c>
      <c r="AJ9" s="75" cm="1">
        <f t="array" ref="AJ9">SUMPRODUCT(('England 1'!$C$332:$C$341='Team Position by Round'!$B9)*('England 1'!$D$332:$D$341&gt;'England 1'!$F$332:$F$341))*3+SUMPRODUCT(('England 1'!$E$332:$E$341='Team Position by Round'!$B9)*('England 1'!$F$332:$F$341&gt;'England 1'!$D$332:$D$341))*3+SUMPRODUCT(('England 1'!$C$332:$C$341='Team Position by Round'!$B9)*('England 1'!$D$332:$D$341='England 1'!$F$332:$F$341))+SUMPRODUCT(('England 1'!$E$332:$E$341='Team Position by Round'!$B9)*('England 1'!$F$332:$F$341='England 1'!$D$332:$D$341))</f>
        <v>1</v>
      </c>
      <c r="AK9" s="75" cm="1">
        <f t="array" ref="AK9">SUMPRODUCT(('England 1'!$C$342:$C$351='Team Position by Round'!$B9)*('England 1'!$D$342:$D$351&gt;'England 1'!$F$342:$F$351))*3+SUMPRODUCT(('England 1'!$E$342:$E$351='Team Position by Round'!$B9)*('England 1'!$F$342:$F$351&gt;'England 1'!$D$342:$D$351))*3+SUMPRODUCT(('England 1'!$C$342:$C$351='Team Position by Round'!$B9)*('England 1'!$D$342:$D$351='England 1'!$F$342:$F$351))+SUMPRODUCT(('England 1'!$E$342:$E$351='Team Position by Round'!$B9)*('England 1'!$F$342:$F$351='England 1'!$D$342:$D$351))</f>
        <v>3</v>
      </c>
      <c r="AL9" s="75" cm="1">
        <f t="array" ref="AL9">SUMPRODUCT(('England 1'!$C$352:$C$361='Team Position by Round'!$B9)*('England 1'!$D$352:$D$361&gt;'England 1'!$F$352:$F$361))*3+SUMPRODUCT(('England 1'!$E$352:$E$361='Team Position by Round'!$B9)*('England 1'!$F$352:$F$361&gt;'England 1'!$D$352:$D$361))*3+SUMPRODUCT(('England 1'!$C$352:$C$361='Team Position by Round'!$B9)*('England 1'!$D$352:$D$361='England 1'!$F$352:$F$361))+SUMPRODUCT(('England 1'!$E$352:$E$361='Team Position by Round'!$B9)*('England 1'!$F$352:$F$361='England 1'!$D$352:$D$361))</f>
        <v>3</v>
      </c>
      <c r="AM9" s="75" cm="1">
        <f t="array" ref="AM9">SUMPRODUCT(('England 1'!$C$362:$C$371='Team Position by Round'!$B9)*('England 1'!$D$362:$D$371&gt;'England 1'!$F$362:$F$371))*3+SUMPRODUCT(('England 1'!$E$362:$E$371='Team Position by Round'!$B9)*('England 1'!$F$362:$F$371&gt;'England 1'!$D$362:$D$371))*3+SUMPRODUCT(('England 1'!$C$362:$C$371='Team Position by Round'!$B9)*('England 1'!$D$362:$D$371='England 1'!$F$362:$F$371))+SUMPRODUCT(('England 1'!$E$362:$E$371='Team Position by Round'!$B9)*('England 1'!$F$362:$F$371='England 1'!$D$362:$D$371))</f>
        <v>3</v>
      </c>
      <c r="AN9" s="75" cm="1">
        <f t="array" ref="AN9">SUMPRODUCT(('England 1'!$C$372:$C$381='Team Position by Round'!$B9)*('England 1'!$D$372:$D$381&gt;'England 1'!$F$372:$F$381))*3+SUMPRODUCT(('England 1'!$E$372:$E$381='Team Position by Round'!$B9)*('England 1'!$F$372:$F$381&gt;'England 1'!$D$372:$D$381))*3+SUMPRODUCT(('England 1'!$C$372:$C$381='Team Position by Round'!$B9)*('England 1'!$D$372:$D$381='England 1'!$F$372:$F$381))+SUMPRODUCT(('England 1'!$E$372:$E$381='Team Position by Round'!$B9)*('England 1'!$F$372:$F$381='England 1'!$D$372:$D$381))</f>
        <v>1</v>
      </c>
      <c r="AO9">
        <f t="shared" si="0"/>
        <v>16</v>
      </c>
      <c r="AP9">
        <f t="shared" si="1"/>
        <v>11</v>
      </c>
      <c r="AQ9">
        <f t="shared" si="2"/>
        <v>11</v>
      </c>
      <c r="AR9" s="78">
        <f>SUMIF('Tottenham Hotspur FC'!C:C,'Tottenham Hotspur FC'!N18,'Tottenham Hotspur FC'!D:D)+SUMIF('Tottenham Hotspur FC'!E:E,'Tottenham Hotspur FC'!N18,'Tottenham Hotspur FC'!F:F)</f>
        <v>61</v>
      </c>
      <c r="AS9" s="78">
        <f>SUMIF('Tottenham Hotspur FC'!C:C,"&lt;&gt;Tottenham Hotspur FC",'Tottenham Hotspur FC'!D:D)+SUMIF('Tottenham Hotspur FC'!E:E,"&lt;&gt;Tottenham Hotspur FC",'Tottenham Hotspur FC'!F:F)</f>
        <v>47</v>
      </c>
      <c r="AT9" s="84">
        <f>MAX('Tottenham Hotspur FC'!I:I)</f>
        <v>3</v>
      </c>
      <c r="AU9" s="84">
        <f>MAX('Tottenham Hotspur FC'!J:J)</f>
        <v>2</v>
      </c>
      <c r="AV9">
        <f>MAX('Tottenham Hotspur FC'!K:K)</f>
        <v>6</v>
      </c>
      <c r="AW9">
        <f>MAX('Tottenham Hotspur FC'!L:L)</f>
        <v>5</v>
      </c>
    </row>
    <row r="10" spans="2:49" x14ac:dyDescent="0.2">
      <c r="B10" t="str">
        <v>Leicester City FC</v>
      </c>
      <c r="C10" s="75" cm="1">
        <f t="array" ref="C10">SUMPRODUCT(('England 1'!$C$2:$C$11='Team Position by Round'!$B10)*('England 1'!$D$2:$D$11&gt;'England 1'!$F$2:$F$11))*3+SUMPRODUCT(('England 1'!$E$2:$E$11='Team Position by Round'!$B10)*('England 1'!$F$2:$F$11&gt;'England 1'!$D$2:$D$11))*3+SUMPRODUCT(('England 1'!$C$2:$C$11='Team Position by Round'!$B10)*('England 1'!$D$2:$D$11='England 1'!$F$2:$F$11))+SUMPRODUCT(('England 1'!$E$2:$E$11='Team Position by Round'!$B10)*('England 1'!$F$2:$F$11='England 1'!$D$2:$D$11))</f>
        <v>1</v>
      </c>
      <c r="D10" s="75" cm="1">
        <f t="array" ref="D10">SUMPRODUCT(('England 1'!$C$12:$C$21='Team Position by Round'!$B10)*('England 1'!$D$12:$D$21&gt;'England 1'!$F$12:$F$21))*3+SUMPRODUCT(('England 1'!$E$12:$E$21='Team Position by Round'!$B10)*('England 1'!$F$12:$F$21&gt;'England 1'!$D$12:$D$21))*3+SUMPRODUCT(('England 1'!$C$12:$C$21='Team Position by Round'!$B10)*('England 1'!$D$12:$D$21='England 1'!$F$12:$F$21))+SUMPRODUCT(('England 1'!$E$12:$E$21='Team Position by Round'!$B10)*('England 1'!$F$12:$F$21='England 1'!$D$12:$D$21))</f>
        <v>1</v>
      </c>
      <c r="E10" s="75" cm="1">
        <f t="array" ref="E10">SUMPRODUCT(('England 1'!$C$22:$C$31='Team Position by Round'!$B10)*('England 1'!$D$22:$D$31&gt;'England 1'!$F$22:$F$31))*3+SUMPRODUCT(('England 1'!$E$22:$E$31='Team Position by Round'!$B10)*('England 1'!$F$22:$F$31&gt;'England 1'!$D$22:$D$31))*3+SUMPRODUCT(('England 1'!$C$22:$C$31='Team Position by Round'!$B10)*('England 1'!$D$22:$D$31='England 1'!$F$22:$F$31))+SUMPRODUCT(('England 1'!$E$22:$E$31='Team Position by Round'!$B10)*('England 1'!$F$22:$F$31='England 1'!$D$22:$D$31))</f>
        <v>3</v>
      </c>
      <c r="F10" s="75" cm="1">
        <f t="array" ref="F10">SUMPRODUCT(('England 1'!$C$32:$C$41='Team Position by Round'!$B10)*('England 1'!$D$32:$D$41&gt;'England 1'!$F$32:$F$41))*3+SUMPRODUCT(('England 1'!$E$32:$E$41='Team Position by Round'!$B10)*('England 1'!$F$32:$F$41&gt;'England 1'!$D$32:$D$41))*3+SUMPRODUCT(('England 1'!$C$32:$C$41='Team Position by Round'!$B10)*('England 1'!$D$32:$D$41='England 1'!$F$32:$F$41))+SUMPRODUCT(('England 1'!$E$32:$E$41='Team Position by Round'!$B10)*('England 1'!$F$32:$F$41='England 1'!$D$32:$D$41))</f>
        <v>3</v>
      </c>
      <c r="G10" s="75" cm="1">
        <f t="array" ref="G10">SUMPRODUCT(('England 1'!$C$42:$C$51='Team Position by Round'!$B10)*('England 1'!$D$42:$D$51&gt;'England 1'!$F$42:$F$51))*3+SUMPRODUCT(('England 1'!$E$42:$E$51='Team Position by Round'!$B10)*('England 1'!$F$42:$F$51&gt;'England 1'!$D$42:$D$51))*3+SUMPRODUCT(('England 1'!$C$42:$C$51='Team Position by Round'!$B10)*('England 1'!$D$42:$D$51='England 1'!$F$42:$F$51))+SUMPRODUCT(('England 1'!$E$42:$E$51='Team Position by Round'!$B10)*('England 1'!$F$42:$F$51='England 1'!$D$42:$D$51))</f>
        <v>0</v>
      </c>
      <c r="H10" s="75" cm="1">
        <f t="array" ref="H10">SUMPRODUCT(('England 1'!$C$52:$C$61='Team Position by Round'!$B10)*('England 1'!$D$52:$D$61&gt;'England 1'!$F$52:$F$61))*3+SUMPRODUCT(('England 1'!$E$52:$E$61='Team Position by Round'!$B10)*('England 1'!$F$52:$F$61&gt;'England 1'!$D$52:$D$61))*3+SUMPRODUCT(('England 1'!$C$52:$C$61='Team Position by Round'!$B10)*('England 1'!$D$52:$D$61='England 1'!$F$52:$F$61))+SUMPRODUCT(('England 1'!$E$52:$E$61='Team Position by Round'!$B10)*('England 1'!$F$52:$F$61='England 1'!$D$52:$D$61))</f>
        <v>3</v>
      </c>
      <c r="I10" s="75" cm="1">
        <f t="array" ref="I10">SUMPRODUCT(('England 1'!$C$62:$C$71='Team Position by Round'!$B10)*('England 1'!$D$62:$D$71&gt;'England 1'!$F$62:$F$71))*3+SUMPRODUCT(('England 1'!$E$62:$E$71='Team Position by Round'!$B10)*('England 1'!$F$62:$F$71&gt;'England 1'!$D$62:$D$71))*3+SUMPRODUCT(('England 1'!$C$62:$C$71='Team Position by Round'!$B10)*('England 1'!$D$62:$D$71='England 1'!$F$62:$F$71))+SUMPRODUCT(('England 1'!$E$62:$E$71='Team Position by Round'!$B10)*('England 1'!$F$62:$F$71='England 1'!$D$62:$D$71))</f>
        <v>3</v>
      </c>
      <c r="J10" s="76" cm="1">
        <f t="array" ref="J10">SUMPRODUCT(('England 1'!$C$72:$C$81='Team Position by Round'!$B10)*('England 1'!$D$72:$D$81&gt;'England 1'!$F$72:$F$81))*3+SUMPRODUCT(('England 1'!$E$72:$E$81='Team Position by Round'!$B10)*('England 1'!$F$72:$F$81&gt;'England 1'!$D$72:$D$81))*3+SUMPRODUCT(('England 1'!$C$72:$C$81='Team Position by Round'!$B10)*('England 1'!$D$72:$D$81='England 1'!$F$72:$F$81))+SUMPRODUCT(('England 1'!$E$72:$E$81='Team Position by Round'!$B10)*('England 1'!$F$72:$F$81='England 1'!$D$72:$D$81))</f>
        <v>0</v>
      </c>
      <c r="K10" s="75" cm="1">
        <f t="array" ref="K10">SUMPRODUCT(('England 1'!$C$82:$C$91='Team Position by Round'!$B10)*('England 1'!$D$82:$D$91&gt;'England 1'!$F$82:$F$91))*3+SUMPRODUCT(('England 1'!$E$82:$E$91='Team Position by Round'!$B10)*('England 1'!$F$82:$F$91&gt;'England 1'!$D$82:$D$91))*3+SUMPRODUCT(('England 1'!$C$82:$C$91='Team Position by Round'!$B10)*('England 1'!$D$82:$D$91='England 1'!$F$82:$F$91))+SUMPRODUCT(('England 1'!$E$82:$E$91='Team Position by Round'!$B10)*('England 1'!$F$82:$F$91='England 1'!$D$82:$D$91))</f>
        <v>3</v>
      </c>
      <c r="L10" s="75" cm="1">
        <f t="array" ref="L10">SUMPRODUCT(('England 1'!$C$92:$C$101='Team Position by Round'!$B10)*('England 1'!$D$92:$D$101&gt;'England 1'!$F$92:$F$101))*3+SUMPRODUCT(('England 1'!$E$92:$E$101='Team Position by Round'!$B10)*('England 1'!$F$92:$F$101&gt;'England 1'!$D$92:$D$101))*3+SUMPRODUCT(('England 1'!$C$92:$C$101='Team Position by Round'!$B10)*('England 1'!$D$92:$D$101='England 1'!$F$92:$F$101))+SUMPRODUCT(('England 1'!$E$92:$E$101='Team Position by Round'!$B10)*('England 1'!$F$92:$F$101='England 1'!$D$92:$D$101))</f>
        <v>3</v>
      </c>
      <c r="M10" s="75" cm="1">
        <f t="array" ref="M10">SUMPRODUCT(('England 1'!$C$102:$C$111='Team Position by Round'!$B10)*('England 1'!$D$102:$D$111&gt;'England 1'!$F$102:$F$111))*3+SUMPRODUCT(('England 1'!$E$102:$E$111='Team Position by Round'!$B10)*('England 1'!$F$102:$F$111&gt;'England 1'!$D$102:$D$111))*3+SUMPRODUCT(('England 1'!$C$102:$C$111='Team Position by Round'!$B10)*('England 1'!$D$102:$D$111='England 1'!$F$102:$F$111))+SUMPRODUCT(('England 1'!$E$102:$E$111='Team Position by Round'!$B10)*('England 1'!$F$102:$F$111='England 1'!$D$102:$D$111))</f>
        <v>3</v>
      </c>
      <c r="N10" s="75" cm="1">
        <f t="array" ref="N10">SUMPRODUCT(('England 1'!$C$112:$C$121='Team Position by Round'!$B10)*('England 1'!$D$112:$D$121&gt;'England 1'!$F$112:$F$121))*3+SUMPRODUCT(('England 1'!$E$112:$E$121='Team Position by Round'!$B10)*('England 1'!$F$112:$F$121&gt;'England 1'!$D$112:$D$121))*3+SUMPRODUCT(('England 1'!$C$112:$C$121='Team Position by Round'!$B10)*('England 1'!$D$112:$D$121='England 1'!$F$112:$F$121))+SUMPRODUCT(('England 1'!$E$112:$E$121='Team Position by Round'!$B10)*('England 1'!$F$112:$F$121='England 1'!$D$112:$D$121))</f>
        <v>3</v>
      </c>
      <c r="O10" s="75" cm="1">
        <f t="array" ref="O10">SUMPRODUCT(('England 1'!$C$122:$C$131='Team Position by Round'!$B10)*('England 1'!$D$122:$D$131&gt;'England 1'!$F$122:$F$131))*3+SUMPRODUCT(('England 1'!$E$122:$E$131='Team Position by Round'!$B10)*('England 1'!$F$122:$F$131&gt;'England 1'!$D$122:$D$131))*3+SUMPRODUCT(('England 1'!$C$122:$C$131='Team Position by Round'!$B10)*('England 1'!$D$122:$D$131='England 1'!$F$122:$F$131))+SUMPRODUCT(('England 1'!$E$122:$E$131='Team Position by Round'!$B10)*('England 1'!$F$122:$F$131='England 1'!$D$122:$D$131))</f>
        <v>3</v>
      </c>
      <c r="P10" s="75" cm="1">
        <f t="array" ref="P10">SUMPRODUCT(('England 1'!$C$132:$C$141='Team Position by Round'!$B10)*('England 1'!$D$132:$D$141&gt;'England 1'!$F$132:$F$141))*3+SUMPRODUCT(('England 1'!$E$132:$E$141='Team Position by Round'!$B10)*('England 1'!$F$132:$F$141&gt;'England 1'!$D$132:$D$141))*3+SUMPRODUCT(('England 1'!$C$132:$C$141='Team Position by Round'!$B10)*('England 1'!$D$132:$D$141='England 1'!$F$132:$F$141))+SUMPRODUCT(('England 1'!$E$132:$E$141='Team Position by Round'!$B10)*('England 1'!$F$132:$F$141='England 1'!$D$132:$D$141))</f>
        <v>3</v>
      </c>
      <c r="Q10" s="75" cm="1">
        <f t="array" ref="Q10">SUMPRODUCT(('England 1'!$C$142:$C$151='Team Position by Round'!$B10)*('England 1'!$D$142:$D$151&gt;'England 1'!$F$142:$F$151))*3+SUMPRODUCT(('England 1'!$E$142:$E$151='Team Position by Round'!$B10)*('England 1'!$F$142:$F$151&gt;'England 1'!$D$142:$D$151))*3+SUMPRODUCT(('England 1'!$C$142:$C$151='Team Position by Round'!$B10)*('England 1'!$D$142:$D$151='England 1'!$F$142:$F$151))+SUMPRODUCT(('England 1'!$E$142:$E$151='Team Position by Round'!$B10)*('England 1'!$F$142:$F$151='England 1'!$D$142:$D$151))</f>
        <v>3</v>
      </c>
      <c r="R10" s="75" cm="1">
        <f t="array" ref="R10">SUMPRODUCT(('England 1'!$C$152:$C$161='Team Position by Round'!$B10)*('England 1'!$D$152:$D$161&gt;'England 1'!$F$152:$F$161))*3+SUMPRODUCT(('England 1'!$E$152:$E$161='Team Position by Round'!$B10)*('England 1'!$F$152:$F$161&gt;'England 1'!$D$152:$D$161))*3+SUMPRODUCT(('England 1'!$C$152:$C$161='Team Position by Round'!$B10)*('England 1'!$D$152:$D$161='England 1'!$F$152:$F$161))+SUMPRODUCT(('England 1'!$E$152:$E$161='Team Position by Round'!$B10)*('England 1'!$F$152:$F$161='England 1'!$D$152:$D$161))</f>
        <v>3</v>
      </c>
      <c r="S10" s="75" cm="1">
        <f t="array" ref="S10">SUMPRODUCT(('England 1'!$C$162:$C$171='Team Position by Round'!$B10)*('England 1'!$D$162:$D$171&gt;'England 1'!$F$162:$F$171))*3+SUMPRODUCT(('England 1'!$E$162:$E$171='Team Position by Round'!$B10)*('England 1'!$F$162:$F$171&gt;'England 1'!$D$162:$D$171))*3+SUMPRODUCT(('England 1'!$C$162:$C$171='Team Position by Round'!$B10)*('England 1'!$D$162:$D$171='England 1'!$F$162:$F$171))+SUMPRODUCT(('England 1'!$E$162:$E$171='Team Position by Round'!$B10)*('England 1'!$F$162:$F$171='England 1'!$D$162:$D$171))</f>
        <v>1</v>
      </c>
      <c r="T10" s="75" cm="1">
        <f t="array" ref="T10">SUMPRODUCT(('England 1'!$C$172:$C$181='Team Position by Round'!$B10)*('England 1'!$D$172:$D$181&gt;'England 1'!$F$172:$F$181))*3+SUMPRODUCT(('England 1'!$E$172:$E$181='Team Position by Round'!$B10)*('England 1'!$F$172:$F$181&gt;'England 1'!$D$172:$D$181))*3+SUMPRODUCT(('England 1'!$C$172:$C$181='Team Position by Round'!$B10)*('England 1'!$D$172:$D$181='England 1'!$F$172:$F$181))+SUMPRODUCT(('England 1'!$E$172:$E$181='Team Position by Round'!$B10)*('England 1'!$F$172:$F$181='England 1'!$D$172:$D$181))</f>
        <v>0</v>
      </c>
      <c r="U10" s="75" cm="1">
        <f t="array" ref="U10">SUMPRODUCT(('England 1'!$C$182:$C$191='Team Position by Round'!$B10)*('England 1'!$D$182:$D$191&gt;'England 1'!$F$182:$F$191))*3+SUMPRODUCT(('England 1'!$E$182:$E$191='Team Position by Round'!$B10)*('England 1'!$F$182:$F$191&gt;'England 1'!$D$182:$D$191))*3+SUMPRODUCT(('England 1'!$C$182:$C$191='Team Position by Round'!$B10)*('England 1'!$D$182:$D$191='England 1'!$F$182:$F$191))+SUMPRODUCT(('England 1'!$E$182:$E$191='Team Position by Round'!$B10)*('England 1'!$F$182:$F$191='England 1'!$D$182:$D$191))</f>
        <v>0</v>
      </c>
      <c r="V10" s="75" cm="1">
        <f t="array" ref="V10">SUMPRODUCT(('England 1'!$C$192:$C$201='Team Position by Round'!$B10)*('England 1'!$D$192:$D$201&gt;'England 1'!$F$192:$F$201))*3+SUMPRODUCT(('England 1'!$E$192:$E$201='Team Position by Round'!$B10)*('England 1'!$F$192:$F$201&gt;'England 1'!$D$192:$D$201))*3+SUMPRODUCT(('England 1'!$C$192:$C$201='Team Position by Round'!$B10)*('England 1'!$D$192:$D$201='England 1'!$F$192:$F$201))+SUMPRODUCT(('England 1'!$E$192:$E$201='Team Position by Round'!$B10)*('England 1'!$F$192:$F$201='England 1'!$D$192:$D$201))</f>
        <v>3</v>
      </c>
      <c r="W10" s="75" cm="1">
        <f t="array" ref="W10">SUMPRODUCT(('England 1'!$C$202:$C$211='Team Position by Round'!$B10)*('England 1'!$D$202:$D$211&gt;'England 1'!$F$202:$F$211))*3+SUMPRODUCT(('England 1'!$E$202:$E$211='Team Position by Round'!$B10)*('England 1'!$F$202:$F$211&gt;'England 1'!$D$202:$D$211))*3+SUMPRODUCT(('England 1'!$C$202:$C$211='Team Position by Round'!$B10)*('England 1'!$D$202:$D$211='England 1'!$F$202:$F$211))+SUMPRODUCT(('England 1'!$E$202:$E$211='Team Position by Round'!$B10)*('England 1'!$F$202:$F$211='England 1'!$D$202:$D$211))</f>
        <v>3</v>
      </c>
      <c r="X10" s="75" cm="1">
        <f t="array" ref="X10">SUMPRODUCT(('England 1'!$C$212:$C$221='Team Position by Round'!$B10)*('England 1'!$D$212:$D$221&gt;'England 1'!$F$212:$F$221))*3+SUMPRODUCT(('England 1'!$E$212:$E$221='Team Position by Round'!$B10)*('England 1'!$F$212:$F$221&gt;'England 1'!$D$212:$D$221))*3+SUMPRODUCT(('England 1'!$C$212:$C$221='Team Position by Round'!$B10)*('England 1'!$D$212:$D$221='England 1'!$F$212:$F$221))+SUMPRODUCT(('England 1'!$E$212:$E$221='Team Position by Round'!$B10)*('England 1'!$F$212:$F$221='England 1'!$D$212:$D$221))</f>
        <v>0</v>
      </c>
      <c r="Y10" s="75" cm="1">
        <f t="array" ref="Y10">SUMPRODUCT(('England 1'!$C$222:$C$231='Team Position by Round'!$B10)*('England 1'!$D$222:$D$231&gt;'England 1'!$F$222:$F$231))*3+SUMPRODUCT(('England 1'!$E$222:$E$231='Team Position by Round'!$B10)*('England 1'!$F$222:$F$231&gt;'England 1'!$D$222:$D$231))*3+SUMPRODUCT(('England 1'!$C$222:$C$231='Team Position by Round'!$B10)*('England 1'!$D$222:$D$231='England 1'!$F$222:$F$231))+SUMPRODUCT(('England 1'!$E$222:$E$231='Team Position by Round'!$B10)*('England 1'!$F$222:$F$231='England 1'!$D$222:$D$231))</f>
        <v>0</v>
      </c>
      <c r="Z10" s="75" cm="1">
        <f t="array" ref="Z10">SUMPRODUCT(('England 1'!$C$232:$C$241='Team Position by Round'!$B10)*('England 1'!$D$232:$D$241&gt;'England 1'!$F$232:$F$241))*3+SUMPRODUCT(('England 1'!$E$232:$E$241='Team Position by Round'!$B10)*('England 1'!$F$232:$F$241&gt;'England 1'!$D$232:$D$241))*3+SUMPRODUCT(('England 1'!$C$232:$C$241='Team Position by Round'!$B10)*('England 1'!$D$232:$D$241='England 1'!$F$232:$F$241))+SUMPRODUCT(('England 1'!$E$232:$E$241='Team Position by Round'!$B10)*('England 1'!$F$232:$F$241='England 1'!$D$232:$D$241))</f>
        <v>3</v>
      </c>
      <c r="AA10" s="75" cm="1">
        <f t="array" ref="AA10">SUMPRODUCT(('England 1'!$C$242:$C$251='Team Position by Round'!$B10)*('England 1'!$D$242:$D$251&gt;'England 1'!$F$242:$F$251))*3+SUMPRODUCT(('England 1'!$E$242:$E$251='Team Position by Round'!$B10)*('England 1'!$F$242:$F$251&gt;'England 1'!$D$242:$D$251))*3+SUMPRODUCT(('England 1'!$C$242:$C$251='Team Position by Round'!$B10)*('England 1'!$D$242:$D$251='England 1'!$F$242:$F$251))+SUMPRODUCT(('England 1'!$E$242:$E$251='Team Position by Round'!$B10)*('England 1'!$F$242:$F$251='England 1'!$D$242:$D$251))</f>
        <v>1</v>
      </c>
      <c r="AB10" s="75" cm="1">
        <f t="array" ref="AB10">SUMPRODUCT(('England 1'!$C$252:$C$261='Team Position by Round'!$B10)*('England 1'!$D$252:$D$261&gt;'England 1'!$F$252:$F$261))*3+SUMPRODUCT(('England 1'!$E$252:$E$261='Team Position by Round'!$B10)*('England 1'!$F$252:$F$261&gt;'England 1'!$D$252:$D$261))*3+SUMPRODUCT(('England 1'!$C$252:$C$261='Team Position by Round'!$B10)*('England 1'!$D$252:$D$261='England 1'!$F$252:$F$261))+SUMPRODUCT(('England 1'!$E$252:$E$261='Team Position by Round'!$B10)*('England 1'!$F$252:$F$261='England 1'!$D$252:$D$261))</f>
        <v>1</v>
      </c>
      <c r="AC10" s="75" cm="1">
        <f t="array" ref="AC10">SUMPRODUCT(('England 1'!$C$262:$C$271='Team Position by Round'!$B10)*('England 1'!$D$262:$D$271&gt;'England 1'!$F$262:$F$271))*3+SUMPRODUCT(('England 1'!$E$262:$E$271='Team Position by Round'!$B10)*('England 1'!$F$262:$F$271&gt;'England 1'!$D$262:$D$271))*3+SUMPRODUCT(('England 1'!$C$262:$C$271='Team Position by Round'!$B10)*('England 1'!$D$262:$D$271='England 1'!$F$262:$F$271))+SUMPRODUCT(('England 1'!$E$262:$E$271='Team Position by Round'!$B10)*('England 1'!$F$262:$F$271='England 1'!$D$262:$D$271))</f>
        <v>0</v>
      </c>
      <c r="AD10" s="75" cm="1">
        <f t="array" ref="AD10">SUMPRODUCT(('England 1'!$C$272:$C$281='Team Position by Round'!$B10)*('England 1'!$D$272:$D$281&gt;'England 1'!$F$272:$F$281))*3+SUMPRODUCT(('England 1'!$E$272:$E$281='Team Position by Round'!$B10)*('England 1'!$F$272:$F$281&gt;'England 1'!$D$272:$D$281))*3+SUMPRODUCT(('England 1'!$C$272:$C$281='Team Position by Round'!$B10)*('England 1'!$D$272:$D$281='England 1'!$F$272:$F$281))+SUMPRODUCT(('England 1'!$E$272:$E$281='Team Position by Round'!$B10)*('England 1'!$F$272:$F$281='England 1'!$D$272:$D$281))</f>
        <v>0</v>
      </c>
      <c r="AE10" s="75" cm="1">
        <f t="array" ref="AE10">SUMPRODUCT(('England 1'!$C$282:$C$291='Team Position by Round'!$B10)*('England 1'!$D$282:$D$291&gt;'England 1'!$F$282:$F$291))*3+SUMPRODUCT(('England 1'!$E$282:$E$291='Team Position by Round'!$B10)*('England 1'!$F$282:$F$291&gt;'England 1'!$D$282:$D$291))*3+SUMPRODUCT(('England 1'!$C$282:$C$291='Team Position by Round'!$B10)*('England 1'!$D$282:$D$291='England 1'!$F$282:$F$291))+SUMPRODUCT(('England 1'!$E$282:$E$291='Team Position by Round'!$B10)*('England 1'!$F$282:$F$291='England 1'!$D$282:$D$291))</f>
        <v>3</v>
      </c>
      <c r="AF10" s="75" cm="1">
        <f t="array" ref="AF10">SUMPRODUCT(('England 1'!$C$292:$C$301='Team Position by Round'!$B10)*('England 1'!$D$292:$D$301&gt;'England 1'!$F$292:$F$301))*3+SUMPRODUCT(('England 1'!$E$292:$E$301='Team Position by Round'!$B10)*('England 1'!$F$292:$F$301&gt;'England 1'!$D$292:$D$301))*3+SUMPRODUCT(('England 1'!$C$292:$C$301='Team Position by Round'!$B10)*('England 1'!$D$292:$D$301='England 1'!$F$292:$F$301))+SUMPRODUCT(('England 1'!$E$292:$E$301='Team Position by Round'!$B10)*('England 1'!$F$292:$F$301='England 1'!$D$292:$D$301))</f>
        <v>1</v>
      </c>
      <c r="AG10" s="75" cm="1">
        <f t="array" ref="AG10">SUMPRODUCT(('England 1'!$C$302:$C$311='Team Position by Round'!$B10)*('England 1'!$D$302:$D$311&gt;'England 1'!$F$302:$F$311))*3+SUMPRODUCT(('England 1'!$E$302:$E$311='Team Position by Round'!$B10)*('England 1'!$F$302:$F$311&gt;'England 1'!$D$302:$D$311))*3+SUMPRODUCT(('England 1'!$C$302:$C$311='Team Position by Round'!$B10)*('England 1'!$D$302:$D$311='England 1'!$F$302:$F$311))+SUMPRODUCT(('England 1'!$E$302:$E$311='Team Position by Round'!$B10)*('England 1'!$F$302:$F$311='England 1'!$D$302:$D$311))</f>
        <v>1</v>
      </c>
      <c r="AH10" s="75" cm="1">
        <f t="array" ref="AH10">SUMPRODUCT(('England 1'!$C$312:$C$321='Team Position by Round'!$B10)*('England 1'!$D$312:$D$321&gt;'England 1'!$F$312:$F$321))*3+SUMPRODUCT(('England 1'!$E$312:$E$321='Team Position by Round'!$B10)*('England 1'!$F$312:$F$321&gt;'England 1'!$D$312:$D$321))*3+SUMPRODUCT(('England 1'!$C$312:$C$321='Team Position by Round'!$B10)*('England 1'!$D$312:$D$321='England 1'!$F$312:$F$321))+SUMPRODUCT(('England 1'!$E$312:$E$321='Team Position by Round'!$B10)*('England 1'!$F$312:$F$321='England 1'!$D$312:$D$321))</f>
        <v>0</v>
      </c>
      <c r="AI10" s="75" cm="1">
        <f t="array" ref="AI10">SUMPRODUCT(('England 1'!$C$322:$C$331='Team Position by Round'!$B10)*('England 1'!$D$322:$D$331&gt;'England 1'!$F$322:$F$331))*3+SUMPRODUCT(('England 1'!$E$322:$E$331='Team Position by Round'!$B10)*('England 1'!$F$322:$F$331&gt;'England 1'!$D$322:$D$331))*3+SUMPRODUCT(('England 1'!$C$322:$C$331='Team Position by Round'!$B10)*('England 1'!$D$322:$D$331='England 1'!$F$322:$F$331))+SUMPRODUCT(('England 1'!$E$322:$E$331='Team Position by Round'!$B10)*('England 1'!$F$322:$F$331='England 1'!$D$322:$D$331))</f>
        <v>3</v>
      </c>
      <c r="AJ10" s="75" cm="1">
        <f t="array" ref="AJ10">SUMPRODUCT(('England 1'!$C$332:$C$341='Team Position by Round'!$B10)*('England 1'!$D$332:$D$341&gt;'England 1'!$F$332:$F$341))*3+SUMPRODUCT(('England 1'!$E$332:$E$341='Team Position by Round'!$B10)*('England 1'!$F$332:$F$341&gt;'England 1'!$D$332:$D$341))*3+SUMPRODUCT(('England 1'!$C$332:$C$341='Team Position by Round'!$B10)*('England 1'!$D$332:$D$341='England 1'!$F$332:$F$341))+SUMPRODUCT(('England 1'!$E$332:$E$341='Team Position by Round'!$B10)*('England 1'!$F$332:$F$341='England 1'!$D$332:$D$341))</f>
        <v>1</v>
      </c>
      <c r="AK10" s="75" cm="1">
        <f t="array" ref="AK10">SUMPRODUCT(('England 1'!$C$342:$C$351='Team Position by Round'!$B10)*('England 1'!$D$342:$D$351&gt;'England 1'!$F$342:$F$351))*3+SUMPRODUCT(('England 1'!$E$342:$E$351='Team Position by Round'!$B10)*('England 1'!$F$342:$F$351&gt;'England 1'!$D$342:$D$351))*3+SUMPRODUCT(('England 1'!$C$342:$C$351='Team Position by Round'!$B10)*('England 1'!$D$342:$D$351='England 1'!$F$342:$F$351))+SUMPRODUCT(('England 1'!$E$342:$E$351='Team Position by Round'!$B10)*('England 1'!$F$342:$F$351='England 1'!$D$342:$D$351))</f>
        <v>0</v>
      </c>
      <c r="AL10" s="75" cm="1">
        <f t="array" ref="AL10">SUMPRODUCT(('England 1'!$C$352:$C$361='Team Position by Round'!$B10)*('England 1'!$D$352:$D$361&gt;'England 1'!$F$352:$F$361))*3+SUMPRODUCT(('England 1'!$E$352:$E$361='Team Position by Round'!$B10)*('England 1'!$F$352:$F$361&gt;'England 1'!$D$352:$D$361))*3+SUMPRODUCT(('England 1'!$C$352:$C$361='Team Position by Round'!$B10)*('England 1'!$D$352:$D$361='England 1'!$F$352:$F$361))+SUMPRODUCT(('England 1'!$E$352:$E$361='Team Position by Round'!$B10)*('England 1'!$F$352:$F$361='England 1'!$D$352:$D$361))</f>
        <v>3</v>
      </c>
      <c r="AM10" s="75" cm="1">
        <f t="array" ref="AM10">SUMPRODUCT(('England 1'!$C$362:$C$371='Team Position by Round'!$B10)*('England 1'!$D$362:$D$371&gt;'England 1'!$F$362:$F$371))*3+SUMPRODUCT(('England 1'!$E$362:$E$371='Team Position by Round'!$B10)*('England 1'!$F$362:$F$371&gt;'England 1'!$D$362:$D$371))*3+SUMPRODUCT(('England 1'!$C$362:$C$371='Team Position by Round'!$B10)*('England 1'!$D$362:$D$371='England 1'!$F$362:$F$371))+SUMPRODUCT(('England 1'!$E$362:$E$371='Team Position by Round'!$B10)*('England 1'!$F$362:$F$371='England 1'!$D$362:$D$371))</f>
        <v>0</v>
      </c>
      <c r="AN10" s="75" cm="1">
        <f t="array" ref="AN10">SUMPRODUCT(('England 1'!$C$372:$C$381='Team Position by Round'!$B10)*('England 1'!$D$372:$D$381&gt;'England 1'!$F$372:$F$381))*3+SUMPRODUCT(('England 1'!$E$372:$E$381='Team Position by Round'!$B10)*('England 1'!$F$372:$F$381&gt;'England 1'!$D$372:$D$381))*3+SUMPRODUCT(('England 1'!$C$372:$C$381='Team Position by Round'!$B10)*('England 1'!$D$372:$D$381='England 1'!$F$372:$F$381))+SUMPRODUCT(('England 1'!$E$372:$E$381='Team Position by Round'!$B10)*('England 1'!$F$372:$F$381='England 1'!$D$372:$D$381))</f>
        <v>0</v>
      </c>
      <c r="AO10">
        <f t="shared" si="0"/>
        <v>18</v>
      </c>
      <c r="AP10">
        <f t="shared" si="1"/>
        <v>8</v>
      </c>
      <c r="AQ10">
        <f t="shared" si="2"/>
        <v>12</v>
      </c>
      <c r="AR10" s="78">
        <f>SUMIF('Leicester City FC'!C:C,'Leicester City FC'!N18,'Leicester City FC'!D:D)+SUMIF('Leicester City FC'!E:E,'Leicester City FC'!N18,'Leicester City FC'!F:F)</f>
        <v>67</v>
      </c>
      <c r="AS10" s="78">
        <f>SUMIF('Leicester City FC'!C:C,"&lt;&gt;Leicester City FC",'Leicester City FC'!D:D)+SUMIF('Leicester City FC'!E:E,"&lt;&gt;Leicester City FC",'Leicester City FC'!F:F)</f>
        <v>41</v>
      </c>
      <c r="AT10" s="84">
        <f>MAX('Leicester City FC'!I:I)</f>
        <v>8</v>
      </c>
      <c r="AU10" s="84">
        <f>MAX('Leicester City FC'!J:J)</f>
        <v>2</v>
      </c>
      <c r="AV10">
        <f>MAX('Leicester City FC'!K:K)</f>
        <v>9</v>
      </c>
      <c r="AW10">
        <f>MAX('Leicester City FC'!L:L)</f>
        <v>4</v>
      </c>
    </row>
    <row r="11" spans="2:49" x14ac:dyDescent="0.2">
      <c r="B11" t="str">
        <v>Newcastle United FC</v>
      </c>
      <c r="C11" s="75" cm="1">
        <f t="array" ref="C11">SUMPRODUCT(('England 1'!$C$2:$C$11='Team Position by Round'!$B11)*('England 1'!$D$2:$D$11&gt;'England 1'!$F$2:$F$11))*3+SUMPRODUCT(('England 1'!$E$2:$E$11='Team Position by Round'!$B11)*('England 1'!$F$2:$F$11&gt;'England 1'!$D$2:$D$11))*3+SUMPRODUCT(('England 1'!$C$2:$C$11='Team Position by Round'!$B11)*('England 1'!$D$2:$D$11='England 1'!$F$2:$F$11))+SUMPRODUCT(('England 1'!$E$2:$E$11='Team Position by Round'!$B11)*('England 1'!$F$2:$F$11='England 1'!$D$2:$D$11))</f>
        <v>0</v>
      </c>
      <c r="D11" s="75" cm="1">
        <f t="array" ref="D11">SUMPRODUCT(('England 1'!$C$12:$C$21='Team Position by Round'!$B11)*('England 1'!$D$12:$D$21&gt;'England 1'!$F$12:$F$21))*3+SUMPRODUCT(('England 1'!$E$12:$E$21='Team Position by Round'!$B11)*('England 1'!$F$12:$F$21&gt;'England 1'!$D$12:$D$21))*3+SUMPRODUCT(('England 1'!$C$12:$C$21='Team Position by Round'!$B11)*('England 1'!$D$12:$D$21='England 1'!$F$12:$F$21))+SUMPRODUCT(('England 1'!$E$12:$E$21='Team Position by Round'!$B11)*('England 1'!$F$12:$F$21='England 1'!$D$12:$D$21))</f>
        <v>0</v>
      </c>
      <c r="E11" s="75" cm="1">
        <f t="array" ref="E11">SUMPRODUCT(('England 1'!$C$22:$C$31='Team Position by Round'!$B11)*('England 1'!$D$22:$D$31&gt;'England 1'!$F$22:$F$31))*3+SUMPRODUCT(('England 1'!$E$22:$E$31='Team Position by Round'!$B11)*('England 1'!$F$22:$F$31&gt;'England 1'!$D$22:$D$31))*3+SUMPRODUCT(('England 1'!$C$22:$C$31='Team Position by Round'!$B11)*('England 1'!$D$22:$D$31='England 1'!$F$22:$F$31))+SUMPRODUCT(('England 1'!$E$22:$E$31='Team Position by Round'!$B11)*('England 1'!$F$22:$F$31='England 1'!$D$22:$D$31))</f>
        <v>3</v>
      </c>
      <c r="F11" s="75" cm="1">
        <f t="array" ref="F11">SUMPRODUCT(('England 1'!$C$32:$C$41='Team Position by Round'!$B11)*('England 1'!$D$32:$D$41&gt;'England 1'!$F$32:$F$41))*3+SUMPRODUCT(('England 1'!$E$32:$E$41='Team Position by Round'!$B11)*('England 1'!$F$32:$F$41&gt;'England 1'!$D$32:$D$41))*3+SUMPRODUCT(('England 1'!$C$32:$C$41='Team Position by Round'!$B11)*('England 1'!$D$32:$D$41='England 1'!$F$32:$F$41))+SUMPRODUCT(('England 1'!$E$32:$E$41='Team Position by Round'!$B11)*('England 1'!$F$32:$F$41='England 1'!$D$32:$D$41))</f>
        <v>1</v>
      </c>
      <c r="G11" s="75" cm="1">
        <f t="array" ref="G11">SUMPRODUCT(('England 1'!$C$42:$C$51='Team Position by Round'!$B11)*('England 1'!$D$42:$D$51&gt;'England 1'!$F$42:$F$51))*3+SUMPRODUCT(('England 1'!$E$42:$E$51='Team Position by Round'!$B11)*('England 1'!$F$42:$F$51&gt;'England 1'!$D$42:$D$51))*3+SUMPRODUCT(('England 1'!$C$42:$C$51='Team Position by Round'!$B11)*('England 1'!$D$42:$D$51='England 1'!$F$42:$F$51))+SUMPRODUCT(('England 1'!$E$42:$E$51='Team Position by Round'!$B11)*('England 1'!$F$42:$F$51='England 1'!$D$42:$D$51))</f>
        <v>0</v>
      </c>
      <c r="H11" s="75" cm="1">
        <f t="array" ref="H11">SUMPRODUCT(('England 1'!$C$52:$C$61='Team Position by Round'!$B11)*('England 1'!$D$52:$D$61&gt;'England 1'!$F$52:$F$61))*3+SUMPRODUCT(('England 1'!$E$52:$E$61='Team Position by Round'!$B11)*('England 1'!$F$52:$F$61&gt;'England 1'!$D$52:$D$61))*3+SUMPRODUCT(('England 1'!$C$52:$C$61='Team Position by Round'!$B11)*('England 1'!$D$52:$D$61='England 1'!$F$52:$F$61))+SUMPRODUCT(('England 1'!$E$52:$E$61='Team Position by Round'!$B11)*('England 1'!$F$52:$F$61='England 1'!$D$52:$D$61))</f>
        <v>1</v>
      </c>
      <c r="I11" s="75" cm="1">
        <f t="array" ref="I11">SUMPRODUCT(('England 1'!$C$62:$C$71='Team Position by Round'!$B11)*('England 1'!$D$62:$D$71&gt;'England 1'!$F$62:$F$71))*3+SUMPRODUCT(('England 1'!$E$62:$E$71='Team Position by Round'!$B11)*('England 1'!$F$62:$F$71&gt;'England 1'!$D$62:$D$71))*3+SUMPRODUCT(('England 1'!$C$62:$C$71='Team Position by Round'!$B11)*('England 1'!$D$62:$D$71='England 1'!$F$62:$F$71))+SUMPRODUCT(('England 1'!$E$62:$E$71='Team Position by Round'!$B11)*('England 1'!$F$62:$F$71='England 1'!$D$62:$D$71))</f>
        <v>0</v>
      </c>
      <c r="J11" s="76" cm="1">
        <f t="array" ref="J11">SUMPRODUCT(('England 1'!$C$72:$C$81='Team Position by Round'!$B11)*('England 1'!$D$72:$D$81&gt;'England 1'!$F$72:$F$81))*3+SUMPRODUCT(('England 1'!$E$72:$E$81='Team Position by Round'!$B11)*('England 1'!$F$72:$F$81&gt;'England 1'!$D$72:$D$81))*3+SUMPRODUCT(('England 1'!$C$72:$C$81='Team Position by Round'!$B11)*('England 1'!$D$72:$D$81='England 1'!$F$72:$F$81))+SUMPRODUCT(('England 1'!$E$72:$E$81='Team Position by Round'!$B11)*('England 1'!$F$72:$F$81='England 1'!$D$72:$D$81))</f>
        <v>3</v>
      </c>
      <c r="K11" s="75" cm="1">
        <f t="array" ref="K11">SUMPRODUCT(('England 1'!$C$82:$C$91='Team Position by Round'!$B11)*('England 1'!$D$82:$D$91&gt;'England 1'!$F$82:$F$91))*3+SUMPRODUCT(('England 1'!$E$82:$E$91='Team Position by Round'!$B11)*('England 1'!$F$82:$F$91&gt;'England 1'!$D$82:$D$91))*3+SUMPRODUCT(('England 1'!$C$82:$C$91='Team Position by Round'!$B11)*('England 1'!$D$82:$D$91='England 1'!$F$82:$F$91))+SUMPRODUCT(('England 1'!$E$82:$E$91='Team Position by Round'!$B11)*('England 1'!$F$82:$F$91='England 1'!$D$82:$D$91))</f>
        <v>0</v>
      </c>
      <c r="L11" s="75" cm="1">
        <f t="array" ref="L11">SUMPRODUCT(('England 1'!$C$92:$C$101='Team Position by Round'!$B11)*('England 1'!$D$92:$D$101&gt;'England 1'!$F$92:$F$101))*3+SUMPRODUCT(('England 1'!$E$92:$E$101='Team Position by Round'!$B11)*('England 1'!$F$92:$F$101&gt;'England 1'!$D$92:$D$101))*3+SUMPRODUCT(('England 1'!$C$92:$C$101='Team Position by Round'!$B11)*('England 1'!$D$92:$D$101='England 1'!$F$92:$F$101))+SUMPRODUCT(('England 1'!$E$92:$E$101='Team Position by Round'!$B11)*('England 1'!$F$92:$F$101='England 1'!$D$92:$D$101))</f>
        <v>1</v>
      </c>
      <c r="M11" s="75" cm="1">
        <f t="array" ref="M11">SUMPRODUCT(('England 1'!$C$102:$C$111='Team Position by Round'!$B11)*('England 1'!$D$102:$D$111&gt;'England 1'!$F$102:$F$111))*3+SUMPRODUCT(('England 1'!$E$102:$E$111='Team Position by Round'!$B11)*('England 1'!$F$102:$F$111&gt;'England 1'!$D$102:$D$111))*3+SUMPRODUCT(('England 1'!$C$102:$C$111='Team Position by Round'!$B11)*('England 1'!$D$102:$D$111='England 1'!$F$102:$F$111))+SUMPRODUCT(('England 1'!$E$102:$E$111='Team Position by Round'!$B11)*('England 1'!$F$102:$F$111='England 1'!$D$102:$D$111))</f>
        <v>3</v>
      </c>
      <c r="N11" s="75" cm="1">
        <f t="array" ref="N11">SUMPRODUCT(('England 1'!$C$112:$C$121='Team Position by Round'!$B11)*('England 1'!$D$112:$D$121&gt;'England 1'!$F$112:$F$121))*3+SUMPRODUCT(('England 1'!$E$112:$E$121='Team Position by Round'!$B11)*('England 1'!$F$112:$F$121&gt;'England 1'!$D$112:$D$121))*3+SUMPRODUCT(('England 1'!$C$112:$C$121='Team Position by Round'!$B11)*('England 1'!$D$112:$D$121='England 1'!$F$112:$F$121))+SUMPRODUCT(('England 1'!$E$112:$E$121='Team Position by Round'!$B11)*('England 1'!$F$112:$F$121='England 1'!$D$112:$D$121))</f>
        <v>3</v>
      </c>
      <c r="O11" s="75" cm="1">
        <f t="array" ref="O11">SUMPRODUCT(('England 1'!$C$122:$C$131='Team Position by Round'!$B11)*('England 1'!$D$122:$D$131&gt;'England 1'!$F$122:$F$131))*3+SUMPRODUCT(('England 1'!$E$122:$E$131='Team Position by Round'!$B11)*('England 1'!$F$122:$F$131&gt;'England 1'!$D$122:$D$131))*3+SUMPRODUCT(('England 1'!$C$122:$C$131='Team Position by Round'!$B11)*('England 1'!$D$122:$D$131='England 1'!$F$122:$F$131))+SUMPRODUCT(('England 1'!$E$122:$E$131='Team Position by Round'!$B11)*('England 1'!$F$122:$F$131='England 1'!$D$122:$D$131))</f>
        <v>0</v>
      </c>
      <c r="P11" s="75" cm="1">
        <f t="array" ref="P11">SUMPRODUCT(('England 1'!$C$132:$C$141='Team Position by Round'!$B11)*('England 1'!$D$132:$D$141&gt;'England 1'!$F$132:$F$141))*3+SUMPRODUCT(('England 1'!$E$132:$E$141='Team Position by Round'!$B11)*('England 1'!$F$132:$F$141&gt;'England 1'!$D$132:$D$141))*3+SUMPRODUCT(('England 1'!$C$132:$C$141='Team Position by Round'!$B11)*('England 1'!$D$132:$D$141='England 1'!$F$132:$F$141))+SUMPRODUCT(('England 1'!$E$132:$E$141='Team Position by Round'!$B11)*('England 1'!$F$132:$F$141='England 1'!$D$132:$D$141))</f>
        <v>1</v>
      </c>
      <c r="Q11" s="75" cm="1">
        <f t="array" ref="Q11">SUMPRODUCT(('England 1'!$C$142:$C$151='Team Position by Round'!$B11)*('England 1'!$D$142:$D$151&gt;'England 1'!$F$142:$F$151))*3+SUMPRODUCT(('England 1'!$E$142:$E$151='Team Position by Round'!$B11)*('England 1'!$F$142:$F$151&gt;'England 1'!$D$142:$D$151))*3+SUMPRODUCT(('England 1'!$C$142:$C$151='Team Position by Round'!$B11)*('England 1'!$D$142:$D$151='England 1'!$F$142:$F$151))+SUMPRODUCT(('England 1'!$E$142:$E$151='Team Position by Round'!$B11)*('England 1'!$F$142:$F$151='England 1'!$D$142:$D$151))</f>
        <v>3</v>
      </c>
      <c r="R11" s="75" cm="1">
        <f t="array" ref="R11">SUMPRODUCT(('England 1'!$C$152:$C$161='Team Position by Round'!$B11)*('England 1'!$D$152:$D$161&gt;'England 1'!$F$152:$F$161))*3+SUMPRODUCT(('England 1'!$E$152:$E$161='Team Position by Round'!$B11)*('England 1'!$F$152:$F$161&gt;'England 1'!$D$152:$D$161))*3+SUMPRODUCT(('England 1'!$C$152:$C$161='Team Position by Round'!$B11)*('England 1'!$D$152:$D$161='England 1'!$F$152:$F$161))+SUMPRODUCT(('England 1'!$E$152:$E$161='Team Position by Round'!$B11)*('England 1'!$F$152:$F$161='England 1'!$D$152:$D$161))</f>
        <v>3</v>
      </c>
      <c r="S11" s="75" cm="1">
        <f t="array" ref="S11">SUMPRODUCT(('England 1'!$C$162:$C$171='Team Position by Round'!$B11)*('England 1'!$D$162:$D$171&gt;'England 1'!$F$162:$F$171))*3+SUMPRODUCT(('England 1'!$E$162:$E$171='Team Position by Round'!$B11)*('England 1'!$F$162:$F$171&gt;'England 1'!$D$162:$D$171))*3+SUMPRODUCT(('England 1'!$C$162:$C$171='Team Position by Round'!$B11)*('England 1'!$D$162:$D$171='England 1'!$F$162:$F$171))+SUMPRODUCT(('England 1'!$E$162:$E$171='Team Position by Round'!$B11)*('England 1'!$F$162:$F$171='England 1'!$D$162:$D$171))</f>
        <v>0</v>
      </c>
      <c r="T11" s="75" cm="1">
        <f t="array" ref="T11">SUMPRODUCT(('England 1'!$C$172:$C$181='Team Position by Round'!$B11)*('England 1'!$D$172:$D$181&gt;'England 1'!$F$172:$F$181))*3+SUMPRODUCT(('England 1'!$E$172:$E$181='Team Position by Round'!$B11)*('England 1'!$F$172:$F$181&gt;'England 1'!$D$172:$D$181))*3+SUMPRODUCT(('England 1'!$C$172:$C$181='Team Position by Round'!$B11)*('England 1'!$D$172:$D$181='England 1'!$F$172:$F$181))+SUMPRODUCT(('England 1'!$E$172:$E$181='Team Position by Round'!$B11)*('England 1'!$F$172:$F$181='England 1'!$D$172:$D$181))</f>
        <v>3</v>
      </c>
      <c r="U11" s="75" cm="1">
        <f t="array" ref="U11">SUMPRODUCT(('England 1'!$C$182:$C$191='Team Position by Round'!$B11)*('England 1'!$D$182:$D$191&gt;'England 1'!$F$182:$F$191))*3+SUMPRODUCT(('England 1'!$E$182:$E$191='Team Position by Round'!$B11)*('England 1'!$F$182:$F$191&gt;'England 1'!$D$182:$D$191))*3+SUMPRODUCT(('England 1'!$C$182:$C$191='Team Position by Round'!$B11)*('England 1'!$D$182:$D$191='England 1'!$F$182:$F$191))+SUMPRODUCT(('England 1'!$E$182:$E$191='Team Position by Round'!$B11)*('England 1'!$F$182:$F$191='England 1'!$D$182:$D$191))</f>
        <v>0</v>
      </c>
      <c r="V11" s="75" cm="1">
        <f t="array" ref="V11">SUMPRODUCT(('England 1'!$C$192:$C$201='Team Position by Round'!$B11)*('England 1'!$D$192:$D$201&gt;'England 1'!$F$192:$F$201))*3+SUMPRODUCT(('England 1'!$E$192:$E$201='Team Position by Round'!$B11)*('England 1'!$F$192:$F$201&gt;'England 1'!$D$192:$D$201))*3+SUMPRODUCT(('England 1'!$C$192:$C$201='Team Position by Round'!$B11)*('England 1'!$D$192:$D$201='England 1'!$F$192:$F$201))+SUMPRODUCT(('England 1'!$E$192:$E$201='Team Position by Round'!$B11)*('England 1'!$F$192:$F$201='England 1'!$D$192:$D$201))</f>
        <v>0</v>
      </c>
      <c r="W11" s="75" cm="1">
        <f t="array" ref="W11">SUMPRODUCT(('England 1'!$C$202:$C$211='Team Position by Round'!$B11)*('England 1'!$D$202:$D$211&gt;'England 1'!$F$202:$F$211))*3+SUMPRODUCT(('England 1'!$E$202:$E$211='Team Position by Round'!$B11)*('England 1'!$F$202:$F$211&gt;'England 1'!$D$202:$D$211))*3+SUMPRODUCT(('England 1'!$C$202:$C$211='Team Position by Round'!$B11)*('England 1'!$D$202:$D$211='England 1'!$F$202:$F$211))+SUMPRODUCT(('England 1'!$E$202:$E$211='Team Position by Round'!$B11)*('England 1'!$F$202:$F$211='England 1'!$D$202:$D$211))</f>
        <v>0</v>
      </c>
      <c r="X11" s="75" cm="1">
        <f t="array" ref="X11">SUMPRODUCT(('England 1'!$C$212:$C$221='Team Position by Round'!$B11)*('England 1'!$D$212:$D$221&gt;'England 1'!$F$212:$F$221))*3+SUMPRODUCT(('England 1'!$E$212:$E$221='Team Position by Round'!$B11)*('England 1'!$F$212:$F$221&gt;'England 1'!$D$212:$D$221))*3+SUMPRODUCT(('England 1'!$C$212:$C$221='Team Position by Round'!$B11)*('England 1'!$D$212:$D$221='England 1'!$F$212:$F$221))+SUMPRODUCT(('England 1'!$E$212:$E$221='Team Position by Round'!$B11)*('England 1'!$F$212:$F$221='England 1'!$D$212:$D$221))</f>
        <v>1</v>
      </c>
      <c r="Y11" s="75" cm="1">
        <f t="array" ref="Y11">SUMPRODUCT(('England 1'!$C$222:$C$231='Team Position by Round'!$B11)*('England 1'!$D$222:$D$231&gt;'England 1'!$F$222:$F$231))*3+SUMPRODUCT(('England 1'!$E$222:$E$231='Team Position by Round'!$B11)*('England 1'!$F$222:$F$231&gt;'England 1'!$D$222:$D$231))*3+SUMPRODUCT(('England 1'!$C$222:$C$231='Team Position by Round'!$B11)*('England 1'!$D$222:$D$231='England 1'!$F$222:$F$231))+SUMPRODUCT(('England 1'!$E$222:$E$231='Team Position by Round'!$B11)*('England 1'!$F$222:$F$231='England 1'!$D$222:$D$231))</f>
        <v>3</v>
      </c>
      <c r="Z11" s="75" cm="1">
        <f t="array" ref="Z11">SUMPRODUCT(('England 1'!$C$232:$C$241='Team Position by Round'!$B11)*('England 1'!$D$232:$D$241&gt;'England 1'!$F$232:$F$241))*3+SUMPRODUCT(('England 1'!$E$232:$E$241='Team Position by Round'!$B11)*('England 1'!$F$232:$F$241&gt;'England 1'!$D$232:$D$241))*3+SUMPRODUCT(('England 1'!$C$232:$C$241='Team Position by Round'!$B11)*('England 1'!$D$232:$D$241='England 1'!$F$232:$F$241))+SUMPRODUCT(('England 1'!$E$232:$E$241='Team Position by Round'!$B11)*('England 1'!$F$232:$F$241='England 1'!$D$232:$D$241))</f>
        <v>1</v>
      </c>
      <c r="AA11" s="75" cm="1">
        <f t="array" ref="AA11">SUMPRODUCT(('England 1'!$C$242:$C$251='Team Position by Round'!$B11)*('England 1'!$D$242:$D$251&gt;'England 1'!$F$242:$F$251))*3+SUMPRODUCT(('England 1'!$E$242:$E$251='Team Position by Round'!$B11)*('England 1'!$F$242:$F$251&gt;'England 1'!$D$242:$D$251))*3+SUMPRODUCT(('England 1'!$C$242:$C$251='Team Position by Round'!$B11)*('England 1'!$D$242:$D$251='England 1'!$F$242:$F$251))+SUMPRODUCT(('England 1'!$E$242:$E$251='Team Position by Round'!$B11)*('England 1'!$F$242:$F$251='England 1'!$D$242:$D$251))</f>
        <v>1</v>
      </c>
      <c r="AB11" s="75" cm="1">
        <f t="array" ref="AB11">SUMPRODUCT(('England 1'!$C$252:$C$261='Team Position by Round'!$B11)*('England 1'!$D$252:$D$261&gt;'England 1'!$F$252:$F$261))*3+SUMPRODUCT(('England 1'!$E$252:$E$261='Team Position by Round'!$B11)*('England 1'!$F$252:$F$261&gt;'England 1'!$D$252:$D$261))*3+SUMPRODUCT(('England 1'!$C$252:$C$261='Team Position by Round'!$B11)*('England 1'!$D$252:$D$261='England 1'!$F$252:$F$261))+SUMPRODUCT(('England 1'!$E$252:$E$261='Team Position by Round'!$B11)*('England 1'!$F$252:$F$261='England 1'!$D$252:$D$261))</f>
        <v>0</v>
      </c>
      <c r="AC11" s="75" cm="1">
        <f t="array" ref="AC11">SUMPRODUCT(('England 1'!$C$262:$C$271='Team Position by Round'!$B11)*('England 1'!$D$262:$D$271&gt;'England 1'!$F$262:$F$271))*3+SUMPRODUCT(('England 1'!$E$262:$E$271='Team Position by Round'!$B11)*('England 1'!$F$262:$F$271&gt;'England 1'!$D$262:$D$271))*3+SUMPRODUCT(('England 1'!$C$262:$C$271='Team Position by Round'!$B11)*('England 1'!$D$262:$D$271='England 1'!$F$262:$F$271))+SUMPRODUCT(('England 1'!$E$262:$E$271='Team Position by Round'!$B11)*('England 1'!$F$262:$F$271='England 1'!$D$262:$D$271))</f>
        <v>0</v>
      </c>
      <c r="AD11" s="75" cm="1">
        <f t="array" ref="AD11">SUMPRODUCT(('England 1'!$C$272:$C$281='Team Position by Round'!$B11)*('England 1'!$D$272:$D$281&gt;'England 1'!$F$272:$F$281))*3+SUMPRODUCT(('England 1'!$E$272:$E$281='Team Position by Round'!$B11)*('England 1'!$F$272:$F$281&gt;'England 1'!$D$272:$D$281))*3+SUMPRODUCT(('England 1'!$C$272:$C$281='Team Position by Round'!$B11)*('England 1'!$D$272:$D$281='England 1'!$F$272:$F$281))+SUMPRODUCT(('England 1'!$E$272:$E$281='Team Position by Round'!$B11)*('England 1'!$F$272:$F$281='England 1'!$D$272:$D$281))</f>
        <v>1</v>
      </c>
      <c r="AE11" s="75" cm="1">
        <f t="array" ref="AE11">SUMPRODUCT(('England 1'!$C$282:$C$291='Team Position by Round'!$B11)*('England 1'!$D$282:$D$291&gt;'England 1'!$F$282:$F$291))*3+SUMPRODUCT(('England 1'!$E$282:$E$291='Team Position by Round'!$B11)*('England 1'!$F$282:$F$291&gt;'England 1'!$D$282:$D$291))*3+SUMPRODUCT(('England 1'!$C$282:$C$291='Team Position by Round'!$B11)*('England 1'!$D$282:$D$291='England 1'!$F$282:$F$291))+SUMPRODUCT(('England 1'!$E$282:$E$291='Team Position by Round'!$B11)*('England 1'!$F$282:$F$291='England 1'!$D$282:$D$291))</f>
        <v>3</v>
      </c>
      <c r="AF11" s="75" cm="1">
        <f t="array" ref="AF11">SUMPRODUCT(('England 1'!$C$292:$C$301='Team Position by Round'!$B11)*('England 1'!$D$292:$D$301&gt;'England 1'!$F$292:$F$301))*3+SUMPRODUCT(('England 1'!$E$292:$E$301='Team Position by Round'!$B11)*('England 1'!$F$292:$F$301&gt;'England 1'!$D$292:$D$301))*3+SUMPRODUCT(('England 1'!$C$292:$C$301='Team Position by Round'!$B11)*('England 1'!$D$292:$D$301='England 1'!$F$292:$F$301))+SUMPRODUCT(('England 1'!$E$292:$E$301='Team Position by Round'!$B11)*('England 1'!$F$292:$F$301='England 1'!$D$292:$D$301))</f>
        <v>3</v>
      </c>
      <c r="AG11" s="75" cm="1">
        <f t="array" ref="AG11">SUMPRODUCT(('England 1'!$C$302:$C$311='Team Position by Round'!$B11)*('England 1'!$D$302:$D$311&gt;'England 1'!$F$302:$F$311))*3+SUMPRODUCT(('England 1'!$E$302:$E$311='Team Position by Round'!$B11)*('England 1'!$F$302:$F$311&gt;'England 1'!$D$302:$D$311))*3+SUMPRODUCT(('England 1'!$C$302:$C$311='Team Position by Round'!$B11)*('England 1'!$D$302:$D$311='England 1'!$F$302:$F$311))+SUMPRODUCT(('England 1'!$E$302:$E$311='Team Position by Round'!$B11)*('England 1'!$F$302:$F$311='England 1'!$D$302:$D$311))</f>
        <v>1</v>
      </c>
      <c r="AH11" s="75" cm="1">
        <f t="array" ref="AH11">SUMPRODUCT(('England 1'!$C$312:$C$321='Team Position by Round'!$B11)*('England 1'!$D$312:$D$321&gt;'England 1'!$F$312:$F$321))*3+SUMPRODUCT(('England 1'!$E$312:$E$321='Team Position by Round'!$B11)*('England 1'!$F$312:$F$321&gt;'England 1'!$D$312:$D$321))*3+SUMPRODUCT(('England 1'!$C$312:$C$321='Team Position by Round'!$B11)*('England 1'!$D$312:$D$321='England 1'!$F$312:$F$321))+SUMPRODUCT(('England 1'!$E$312:$E$321='Team Position by Round'!$B11)*('England 1'!$F$312:$F$321='England 1'!$D$312:$D$321))</f>
        <v>3</v>
      </c>
      <c r="AI11" s="75" cm="1">
        <f t="array" ref="AI11">SUMPRODUCT(('England 1'!$C$322:$C$331='Team Position by Round'!$B11)*('England 1'!$D$322:$D$331&gt;'England 1'!$F$322:$F$331))*3+SUMPRODUCT(('England 1'!$E$322:$E$331='Team Position by Round'!$B11)*('England 1'!$F$322:$F$331&gt;'England 1'!$D$322:$D$331))*3+SUMPRODUCT(('England 1'!$C$322:$C$331='Team Position by Round'!$B11)*('England 1'!$D$322:$D$331='England 1'!$F$322:$F$331))+SUMPRODUCT(('England 1'!$E$322:$E$331='Team Position by Round'!$B11)*('England 1'!$F$322:$F$331='England 1'!$D$322:$D$331))</f>
        <v>1</v>
      </c>
      <c r="AJ11" s="75" cm="1">
        <f t="array" ref="AJ11">SUMPRODUCT(('England 1'!$C$332:$C$341='Team Position by Round'!$B11)*('England 1'!$D$332:$D$341&gt;'England 1'!$F$332:$F$341))*3+SUMPRODUCT(('England 1'!$E$332:$E$341='Team Position by Round'!$B11)*('England 1'!$F$332:$F$341&gt;'England 1'!$D$332:$D$341))*3+SUMPRODUCT(('England 1'!$C$332:$C$341='Team Position by Round'!$B11)*('England 1'!$D$332:$D$341='England 1'!$F$332:$F$341))+SUMPRODUCT(('England 1'!$E$332:$E$341='Team Position by Round'!$B11)*('England 1'!$F$332:$F$341='England 1'!$D$332:$D$341))</f>
        <v>0</v>
      </c>
      <c r="AK11" s="75" cm="1">
        <f t="array" ref="AK11">SUMPRODUCT(('England 1'!$C$342:$C$351='Team Position by Round'!$B11)*('England 1'!$D$342:$D$351&gt;'England 1'!$F$342:$F$351))*3+SUMPRODUCT(('England 1'!$E$342:$E$351='Team Position by Round'!$B11)*('England 1'!$F$342:$F$351&gt;'England 1'!$D$342:$D$351))*3+SUMPRODUCT(('England 1'!$C$342:$C$351='Team Position by Round'!$B11)*('England 1'!$D$342:$D$351='England 1'!$F$342:$F$351))+SUMPRODUCT(('England 1'!$E$342:$E$351='Team Position by Round'!$B11)*('England 1'!$F$342:$F$351='England 1'!$D$342:$D$351))</f>
        <v>0</v>
      </c>
      <c r="AL11" s="75" cm="1">
        <f t="array" ref="AL11">SUMPRODUCT(('England 1'!$C$352:$C$361='Team Position by Round'!$B11)*('England 1'!$D$352:$D$361&gt;'England 1'!$F$352:$F$361))*3+SUMPRODUCT(('England 1'!$E$352:$E$361='Team Position by Round'!$B11)*('England 1'!$F$352:$F$361&gt;'England 1'!$D$352:$D$361))*3+SUMPRODUCT(('England 1'!$C$352:$C$361='Team Position by Round'!$B11)*('England 1'!$D$352:$D$361='England 1'!$F$352:$F$361))+SUMPRODUCT(('England 1'!$E$352:$E$361='Team Position by Round'!$B11)*('England 1'!$F$352:$F$361='England 1'!$D$352:$D$361))</f>
        <v>0</v>
      </c>
      <c r="AM11" s="75" cm="1">
        <f t="array" ref="AM11">SUMPRODUCT(('England 1'!$C$362:$C$371='Team Position by Round'!$B11)*('England 1'!$D$362:$D$371&gt;'England 1'!$F$362:$F$371))*3+SUMPRODUCT(('England 1'!$E$362:$E$371='Team Position by Round'!$B11)*('England 1'!$F$362:$F$371&gt;'England 1'!$D$362:$D$371))*3+SUMPRODUCT(('England 1'!$C$362:$C$371='Team Position by Round'!$B11)*('England 1'!$D$362:$D$371='England 1'!$F$362:$F$371))+SUMPRODUCT(('England 1'!$E$362:$E$371='Team Position by Round'!$B11)*('England 1'!$F$362:$F$371='England 1'!$D$362:$D$371))</f>
        <v>1</v>
      </c>
      <c r="AN11" s="75" cm="1">
        <f t="array" ref="AN11">SUMPRODUCT(('England 1'!$C$372:$C$381='Team Position by Round'!$B11)*('England 1'!$D$372:$D$381&gt;'England 1'!$F$372:$F$381))*3+SUMPRODUCT(('England 1'!$E$372:$E$381='Team Position by Round'!$B11)*('England 1'!$F$372:$F$381&gt;'England 1'!$D$372:$D$381))*3+SUMPRODUCT(('England 1'!$C$372:$C$381='Team Position by Round'!$B11)*('England 1'!$D$372:$D$381='England 1'!$F$372:$F$381))+SUMPRODUCT(('England 1'!$E$372:$E$381='Team Position by Round'!$B11)*('England 1'!$F$372:$F$381='England 1'!$D$372:$D$381))</f>
        <v>0</v>
      </c>
      <c r="AO11">
        <f t="shared" si="0"/>
        <v>11</v>
      </c>
      <c r="AP11">
        <f t="shared" si="1"/>
        <v>11</v>
      </c>
      <c r="AQ11">
        <f t="shared" si="2"/>
        <v>16</v>
      </c>
      <c r="AR11" s="78">
        <f>SUMIF('Newcastle United FC'!C:C,'Newcastle United FC'!N18,'Newcastle United FC'!D:D)+SUMIF('Newcastle United FC'!E:E,'Newcastle United FC'!N18,'Newcastle United FC'!F:F)</f>
        <v>38</v>
      </c>
      <c r="AS11" s="78">
        <f>SUMIF('Newcastle United FC'!C:C,"&lt;&gt;Newcastle United FC",'Newcastle United FC'!D:D)+SUMIF('Newcastle United FC'!E:E,"&lt;&gt;Newcastle United FC",'Newcastle United FC'!F:F)</f>
        <v>58</v>
      </c>
      <c r="AT11" s="84">
        <f>MAX('Newcastle United FC'!I:I)</f>
        <v>2</v>
      </c>
      <c r="AU11" s="84">
        <f>MAX('Newcastle United FC'!J:J)</f>
        <v>3</v>
      </c>
      <c r="AV11">
        <f>MAX('Newcastle United FC'!K:K)</f>
        <v>6</v>
      </c>
      <c r="AW11">
        <f>MAX('Newcastle United FC'!L:L)</f>
        <v>6</v>
      </c>
    </row>
    <row r="12" spans="2:49" x14ac:dyDescent="0.2">
      <c r="B12" t="str">
        <v>Manchester United FC</v>
      </c>
      <c r="C12" s="75" cm="1">
        <f t="array" ref="C12">SUMPRODUCT(('England 1'!$C$2:$C$11='Team Position by Round'!$B12)*('England 1'!$D$2:$D$11&gt;'England 1'!$F$2:$F$11))*3+SUMPRODUCT(('England 1'!$E$2:$E$11='Team Position by Round'!$B12)*('England 1'!$F$2:$F$11&gt;'England 1'!$D$2:$D$11))*3+SUMPRODUCT(('England 1'!$C$2:$C$11='Team Position by Round'!$B12)*('England 1'!$D$2:$D$11='England 1'!$F$2:$F$11))+SUMPRODUCT(('England 1'!$E$2:$E$11='Team Position by Round'!$B12)*('England 1'!$F$2:$F$11='England 1'!$D$2:$D$11))</f>
        <v>3</v>
      </c>
      <c r="D12" s="75" cm="1">
        <f t="array" ref="D12">SUMPRODUCT(('England 1'!$C$12:$C$21='Team Position by Round'!$B12)*('England 1'!$D$12:$D$21&gt;'England 1'!$F$12:$F$21))*3+SUMPRODUCT(('England 1'!$E$12:$E$21='Team Position by Round'!$B12)*('England 1'!$F$12:$F$21&gt;'England 1'!$D$12:$D$21))*3+SUMPRODUCT(('England 1'!$C$12:$C$21='Team Position by Round'!$B12)*('England 1'!$D$12:$D$21='England 1'!$F$12:$F$21))+SUMPRODUCT(('England 1'!$E$12:$E$21='Team Position by Round'!$B12)*('England 1'!$F$12:$F$21='England 1'!$D$12:$D$21))</f>
        <v>1</v>
      </c>
      <c r="E12" s="75" cm="1">
        <f t="array" ref="E12">SUMPRODUCT(('England 1'!$C$22:$C$31='Team Position by Round'!$B12)*('England 1'!$D$22:$D$31&gt;'England 1'!$F$22:$F$31))*3+SUMPRODUCT(('England 1'!$E$22:$E$31='Team Position by Round'!$B12)*('England 1'!$F$22:$F$31&gt;'England 1'!$D$22:$D$31))*3+SUMPRODUCT(('England 1'!$C$22:$C$31='Team Position by Round'!$B12)*('England 1'!$D$22:$D$31='England 1'!$F$22:$F$31))+SUMPRODUCT(('England 1'!$E$22:$E$31='Team Position by Round'!$B12)*('England 1'!$F$22:$F$31='England 1'!$D$22:$D$31))</f>
        <v>0</v>
      </c>
      <c r="F12" s="75" cm="1">
        <f t="array" ref="F12">SUMPRODUCT(('England 1'!$C$32:$C$41='Team Position by Round'!$B12)*('England 1'!$D$32:$D$41&gt;'England 1'!$F$32:$F$41))*3+SUMPRODUCT(('England 1'!$E$32:$E$41='Team Position by Round'!$B12)*('England 1'!$F$32:$F$41&gt;'England 1'!$D$32:$D$41))*3+SUMPRODUCT(('England 1'!$C$32:$C$41='Team Position by Round'!$B12)*('England 1'!$D$32:$D$41='England 1'!$F$32:$F$41))+SUMPRODUCT(('England 1'!$E$32:$E$41='Team Position by Round'!$B12)*('England 1'!$F$32:$F$41='England 1'!$D$32:$D$41))</f>
        <v>1</v>
      </c>
      <c r="G12" s="75" cm="1">
        <f t="array" ref="G12">SUMPRODUCT(('England 1'!$C$42:$C$51='Team Position by Round'!$B12)*('England 1'!$D$42:$D$51&gt;'England 1'!$F$42:$F$51))*3+SUMPRODUCT(('England 1'!$E$42:$E$51='Team Position by Round'!$B12)*('England 1'!$F$42:$F$51&gt;'England 1'!$D$42:$D$51))*3+SUMPRODUCT(('England 1'!$C$42:$C$51='Team Position by Round'!$B12)*('England 1'!$D$42:$D$51='England 1'!$F$42:$F$51))+SUMPRODUCT(('England 1'!$E$42:$E$51='Team Position by Round'!$B12)*('England 1'!$F$42:$F$51='England 1'!$D$42:$D$51))</f>
        <v>3</v>
      </c>
      <c r="H12" s="75" cm="1">
        <f t="array" ref="H12">SUMPRODUCT(('England 1'!$C$52:$C$61='Team Position by Round'!$B12)*('England 1'!$D$52:$D$61&gt;'England 1'!$F$52:$F$61))*3+SUMPRODUCT(('England 1'!$E$52:$E$61='Team Position by Round'!$B12)*('England 1'!$F$52:$F$61&gt;'England 1'!$D$52:$D$61))*3+SUMPRODUCT(('England 1'!$C$52:$C$61='Team Position by Round'!$B12)*('England 1'!$D$52:$D$61='England 1'!$F$52:$F$61))+SUMPRODUCT(('England 1'!$E$52:$E$61='Team Position by Round'!$B12)*('England 1'!$F$52:$F$61='England 1'!$D$52:$D$61))</f>
        <v>0</v>
      </c>
      <c r="I12" s="75" cm="1">
        <f t="array" ref="I12">SUMPRODUCT(('England 1'!$C$62:$C$71='Team Position by Round'!$B12)*('England 1'!$D$62:$D$71&gt;'England 1'!$F$62:$F$71))*3+SUMPRODUCT(('England 1'!$E$62:$E$71='Team Position by Round'!$B12)*('England 1'!$F$62:$F$71&gt;'England 1'!$D$62:$D$71))*3+SUMPRODUCT(('England 1'!$C$62:$C$71='Team Position by Round'!$B12)*('England 1'!$D$62:$D$71='England 1'!$F$62:$F$71))+SUMPRODUCT(('England 1'!$E$62:$E$71='Team Position by Round'!$B12)*('England 1'!$F$62:$F$71='England 1'!$D$62:$D$71))</f>
        <v>1</v>
      </c>
      <c r="J12" s="76" cm="1">
        <f t="array" ref="J12">SUMPRODUCT(('England 1'!$C$72:$C$81='Team Position by Round'!$B12)*('England 1'!$D$72:$D$81&gt;'England 1'!$F$72:$F$81))*3+SUMPRODUCT(('England 1'!$E$72:$E$81='Team Position by Round'!$B12)*('England 1'!$F$72:$F$81&gt;'England 1'!$D$72:$D$81))*3+SUMPRODUCT(('England 1'!$C$72:$C$81='Team Position by Round'!$B12)*('England 1'!$D$72:$D$81='England 1'!$F$72:$F$81))+SUMPRODUCT(('England 1'!$E$72:$E$81='Team Position by Round'!$B12)*('England 1'!$F$72:$F$81='England 1'!$D$72:$D$81))</f>
        <v>0</v>
      </c>
      <c r="K12" s="75" cm="1">
        <f t="array" ref="K12">SUMPRODUCT(('England 1'!$C$82:$C$91='Team Position by Round'!$B12)*('England 1'!$D$82:$D$91&gt;'England 1'!$F$82:$F$91))*3+SUMPRODUCT(('England 1'!$E$82:$E$91='Team Position by Round'!$B12)*('England 1'!$F$82:$F$91&gt;'England 1'!$D$82:$D$91))*3+SUMPRODUCT(('England 1'!$C$82:$C$91='Team Position by Round'!$B12)*('England 1'!$D$82:$D$91='England 1'!$F$82:$F$91))+SUMPRODUCT(('England 1'!$E$82:$E$91='Team Position by Round'!$B12)*('England 1'!$F$82:$F$91='England 1'!$D$82:$D$91))</f>
        <v>1</v>
      </c>
      <c r="L12" s="75" cm="1">
        <f t="array" ref="L12">SUMPRODUCT(('England 1'!$C$92:$C$101='Team Position by Round'!$B12)*('England 1'!$D$92:$D$101&gt;'England 1'!$F$92:$F$101))*3+SUMPRODUCT(('England 1'!$E$92:$E$101='Team Position by Round'!$B12)*('England 1'!$F$92:$F$101&gt;'England 1'!$D$92:$D$101))*3+SUMPRODUCT(('England 1'!$C$92:$C$101='Team Position by Round'!$B12)*('England 1'!$D$92:$D$101='England 1'!$F$92:$F$101))+SUMPRODUCT(('England 1'!$E$92:$E$101='Team Position by Round'!$B12)*('England 1'!$F$92:$F$101='England 1'!$D$92:$D$101))</f>
        <v>3</v>
      </c>
      <c r="M12" s="75" cm="1">
        <f t="array" ref="M12">SUMPRODUCT(('England 1'!$C$102:$C$111='Team Position by Round'!$B12)*('England 1'!$D$102:$D$111&gt;'England 1'!$F$102:$F$111))*3+SUMPRODUCT(('England 1'!$E$102:$E$111='Team Position by Round'!$B12)*('England 1'!$F$102:$F$111&gt;'England 1'!$D$102:$D$111))*3+SUMPRODUCT(('England 1'!$C$102:$C$111='Team Position by Round'!$B12)*('England 1'!$D$102:$D$111='England 1'!$F$102:$F$111))+SUMPRODUCT(('England 1'!$E$102:$E$111='Team Position by Round'!$B12)*('England 1'!$F$102:$F$111='England 1'!$D$102:$D$111))</f>
        <v>0</v>
      </c>
      <c r="N12" s="75" cm="1">
        <f t="array" ref="N12">SUMPRODUCT(('England 1'!$C$112:$C$121='Team Position by Round'!$B12)*('England 1'!$D$112:$D$121&gt;'England 1'!$F$112:$F$121))*3+SUMPRODUCT(('England 1'!$E$112:$E$121='Team Position by Round'!$B12)*('England 1'!$F$112:$F$121&gt;'England 1'!$D$112:$D$121))*3+SUMPRODUCT(('England 1'!$C$112:$C$121='Team Position by Round'!$B12)*('England 1'!$D$112:$D$121='England 1'!$F$112:$F$121))+SUMPRODUCT(('England 1'!$E$112:$E$121='Team Position by Round'!$B12)*('England 1'!$F$112:$F$121='England 1'!$D$112:$D$121))</f>
        <v>3</v>
      </c>
      <c r="O12" s="75" cm="1">
        <f t="array" ref="O12">SUMPRODUCT(('England 1'!$C$122:$C$131='Team Position by Round'!$B12)*('England 1'!$D$122:$D$131&gt;'England 1'!$F$122:$F$131))*3+SUMPRODUCT(('England 1'!$E$122:$E$131='Team Position by Round'!$B12)*('England 1'!$F$122:$F$131&gt;'England 1'!$D$122:$D$131))*3+SUMPRODUCT(('England 1'!$C$122:$C$131='Team Position by Round'!$B12)*('England 1'!$D$122:$D$131='England 1'!$F$122:$F$131))+SUMPRODUCT(('England 1'!$E$122:$E$131='Team Position by Round'!$B12)*('England 1'!$F$122:$F$131='England 1'!$D$122:$D$131))</f>
        <v>1</v>
      </c>
      <c r="P12" s="75" cm="1">
        <f t="array" ref="P12">SUMPRODUCT(('England 1'!$C$132:$C$141='Team Position by Round'!$B12)*('England 1'!$D$132:$D$141&gt;'England 1'!$F$132:$F$141))*3+SUMPRODUCT(('England 1'!$E$132:$E$141='Team Position by Round'!$B12)*('England 1'!$F$132:$F$141&gt;'England 1'!$D$132:$D$141))*3+SUMPRODUCT(('England 1'!$C$132:$C$141='Team Position by Round'!$B12)*('England 1'!$D$132:$D$141='England 1'!$F$132:$F$141))+SUMPRODUCT(('England 1'!$E$132:$E$141='Team Position by Round'!$B12)*('England 1'!$F$132:$F$141='England 1'!$D$132:$D$141))</f>
        <v>1</v>
      </c>
      <c r="Q12" s="75" cm="1">
        <f t="array" ref="Q12">SUMPRODUCT(('England 1'!$C$142:$C$151='Team Position by Round'!$B12)*('England 1'!$D$142:$D$151&gt;'England 1'!$F$142:$F$151))*3+SUMPRODUCT(('England 1'!$E$142:$E$151='Team Position by Round'!$B12)*('England 1'!$F$142:$F$151&gt;'England 1'!$D$142:$D$151))*3+SUMPRODUCT(('England 1'!$C$142:$C$151='Team Position by Round'!$B12)*('England 1'!$D$142:$D$151='England 1'!$F$142:$F$151))+SUMPRODUCT(('England 1'!$E$142:$E$151='Team Position by Round'!$B12)*('England 1'!$F$142:$F$151='England 1'!$D$142:$D$151))</f>
        <v>3</v>
      </c>
      <c r="R12" s="75" cm="1">
        <f t="array" ref="R12">SUMPRODUCT(('England 1'!$C$152:$C$161='Team Position by Round'!$B12)*('England 1'!$D$152:$D$161&gt;'England 1'!$F$152:$F$161))*3+SUMPRODUCT(('England 1'!$E$152:$E$161='Team Position by Round'!$B12)*('England 1'!$F$152:$F$161&gt;'England 1'!$D$152:$D$161))*3+SUMPRODUCT(('England 1'!$C$152:$C$161='Team Position by Round'!$B12)*('England 1'!$D$152:$D$161='England 1'!$F$152:$F$161))+SUMPRODUCT(('England 1'!$E$152:$E$161='Team Position by Round'!$B12)*('England 1'!$F$152:$F$161='England 1'!$D$152:$D$161))</f>
        <v>3</v>
      </c>
      <c r="S12" s="75" cm="1">
        <f t="array" ref="S12">SUMPRODUCT(('England 1'!$C$162:$C$171='Team Position by Round'!$B12)*('England 1'!$D$162:$D$171&gt;'England 1'!$F$162:$F$171))*3+SUMPRODUCT(('England 1'!$E$162:$E$171='Team Position by Round'!$B12)*('England 1'!$F$162:$F$171&gt;'England 1'!$D$162:$D$171))*3+SUMPRODUCT(('England 1'!$C$162:$C$171='Team Position by Round'!$B12)*('England 1'!$D$162:$D$171='England 1'!$F$162:$F$171))+SUMPRODUCT(('England 1'!$E$162:$E$171='Team Position by Round'!$B12)*('England 1'!$F$162:$F$171='England 1'!$D$162:$D$171))</f>
        <v>1</v>
      </c>
      <c r="T12" s="75" cm="1">
        <f t="array" ref="T12">SUMPRODUCT(('England 1'!$C$172:$C$181='Team Position by Round'!$B12)*('England 1'!$D$172:$D$181&gt;'England 1'!$F$172:$F$181))*3+SUMPRODUCT(('England 1'!$E$172:$E$181='Team Position by Round'!$B12)*('England 1'!$F$172:$F$181&gt;'England 1'!$D$172:$D$181))*3+SUMPRODUCT(('England 1'!$C$172:$C$181='Team Position by Round'!$B12)*('England 1'!$D$172:$D$181='England 1'!$F$172:$F$181))+SUMPRODUCT(('England 1'!$E$172:$E$181='Team Position by Round'!$B12)*('England 1'!$F$172:$F$181='England 1'!$D$172:$D$181))</f>
        <v>0</v>
      </c>
      <c r="U12" s="75" cm="1">
        <f t="array" ref="U12">SUMPRODUCT(('England 1'!$C$182:$C$191='Team Position by Round'!$B12)*('England 1'!$D$182:$D$191&gt;'England 1'!$F$182:$F$191))*3+SUMPRODUCT(('England 1'!$E$182:$E$191='Team Position by Round'!$B12)*('England 1'!$F$182:$F$191&gt;'England 1'!$D$182:$D$191))*3+SUMPRODUCT(('England 1'!$C$182:$C$191='Team Position by Round'!$B12)*('England 1'!$D$182:$D$191='England 1'!$F$182:$F$191))+SUMPRODUCT(('England 1'!$E$182:$E$191='Team Position by Round'!$B12)*('England 1'!$F$182:$F$191='England 1'!$D$182:$D$191))</f>
        <v>3</v>
      </c>
      <c r="V12" s="75" cm="1">
        <f t="array" ref="V12">SUMPRODUCT(('England 1'!$C$192:$C$201='Team Position by Round'!$B12)*('England 1'!$D$192:$D$201&gt;'England 1'!$F$192:$F$201))*3+SUMPRODUCT(('England 1'!$E$192:$E$201='Team Position by Round'!$B12)*('England 1'!$F$192:$F$201&gt;'England 1'!$D$192:$D$201))*3+SUMPRODUCT(('England 1'!$C$192:$C$201='Team Position by Round'!$B12)*('England 1'!$D$192:$D$201='England 1'!$F$192:$F$201))+SUMPRODUCT(('England 1'!$E$192:$E$201='Team Position by Round'!$B12)*('England 1'!$F$192:$F$201='England 1'!$D$192:$D$201))</f>
        <v>3</v>
      </c>
      <c r="W12" s="75" cm="1">
        <f t="array" ref="W12">SUMPRODUCT(('England 1'!$C$202:$C$211='Team Position by Round'!$B12)*('England 1'!$D$202:$D$211&gt;'England 1'!$F$202:$F$211))*3+SUMPRODUCT(('England 1'!$E$202:$E$211='Team Position by Round'!$B12)*('England 1'!$F$202:$F$211&gt;'England 1'!$D$202:$D$211))*3+SUMPRODUCT(('England 1'!$C$202:$C$211='Team Position by Round'!$B12)*('England 1'!$D$202:$D$211='England 1'!$F$202:$F$211))+SUMPRODUCT(('England 1'!$E$202:$E$211='Team Position by Round'!$B12)*('England 1'!$F$202:$F$211='England 1'!$D$202:$D$211))</f>
        <v>0</v>
      </c>
      <c r="X12" s="75" cm="1">
        <f t="array" ref="X12">SUMPRODUCT(('England 1'!$C$212:$C$221='Team Position by Round'!$B12)*('England 1'!$D$212:$D$221&gt;'England 1'!$F$212:$F$221))*3+SUMPRODUCT(('England 1'!$E$212:$E$221='Team Position by Round'!$B12)*('England 1'!$F$212:$F$221&gt;'England 1'!$D$212:$D$221))*3+SUMPRODUCT(('England 1'!$C$212:$C$221='Team Position by Round'!$B12)*('England 1'!$D$212:$D$221='England 1'!$F$212:$F$221))+SUMPRODUCT(('England 1'!$E$212:$E$221='Team Position by Round'!$B12)*('England 1'!$F$212:$F$221='England 1'!$D$212:$D$221))</f>
        <v>3</v>
      </c>
      <c r="Y12" s="75" cm="1">
        <f t="array" ref="Y12">SUMPRODUCT(('England 1'!$C$222:$C$231='Team Position by Round'!$B12)*('England 1'!$D$222:$D$231&gt;'England 1'!$F$222:$F$231))*3+SUMPRODUCT(('England 1'!$E$222:$E$231='Team Position by Round'!$B12)*('England 1'!$F$222:$F$231&gt;'England 1'!$D$222:$D$231))*3+SUMPRODUCT(('England 1'!$C$222:$C$231='Team Position by Round'!$B12)*('England 1'!$D$222:$D$231='England 1'!$F$222:$F$231))+SUMPRODUCT(('England 1'!$E$222:$E$231='Team Position by Round'!$B12)*('England 1'!$F$222:$F$231='England 1'!$D$222:$D$231))</f>
        <v>0</v>
      </c>
      <c r="Z12" s="75" cm="1">
        <f t="array" ref="Z12">SUMPRODUCT(('England 1'!$C$232:$C$241='Team Position by Round'!$B12)*('England 1'!$D$232:$D$241&gt;'England 1'!$F$232:$F$241))*3+SUMPRODUCT(('England 1'!$E$232:$E$241='Team Position by Round'!$B12)*('England 1'!$F$232:$F$241&gt;'England 1'!$D$232:$D$241))*3+SUMPRODUCT(('England 1'!$C$232:$C$241='Team Position by Round'!$B12)*('England 1'!$D$232:$D$241='England 1'!$F$232:$F$241))+SUMPRODUCT(('England 1'!$E$232:$E$241='Team Position by Round'!$B12)*('England 1'!$F$232:$F$241='England 1'!$D$232:$D$241))</f>
        <v>0</v>
      </c>
      <c r="AA12" s="75" cm="1">
        <f t="array" ref="AA12">SUMPRODUCT(('England 1'!$C$242:$C$251='Team Position by Round'!$B12)*('England 1'!$D$242:$D$251&gt;'England 1'!$F$242:$F$251))*3+SUMPRODUCT(('England 1'!$E$242:$E$251='Team Position by Round'!$B12)*('England 1'!$F$242:$F$251&gt;'England 1'!$D$242:$D$251))*3+SUMPRODUCT(('England 1'!$C$242:$C$251='Team Position by Round'!$B12)*('England 1'!$D$242:$D$251='England 1'!$F$242:$F$251))+SUMPRODUCT(('England 1'!$E$242:$E$251='Team Position by Round'!$B12)*('England 1'!$F$242:$F$251='England 1'!$D$242:$D$251))</f>
        <v>1</v>
      </c>
      <c r="AB12" s="75" cm="1">
        <f t="array" ref="AB12">SUMPRODUCT(('England 1'!$C$252:$C$261='Team Position by Round'!$B12)*('England 1'!$D$252:$D$261&gt;'England 1'!$F$252:$F$261))*3+SUMPRODUCT(('England 1'!$E$252:$E$261='Team Position by Round'!$B12)*('England 1'!$F$252:$F$261&gt;'England 1'!$D$252:$D$261))*3+SUMPRODUCT(('England 1'!$C$252:$C$261='Team Position by Round'!$B12)*('England 1'!$D$252:$D$261='England 1'!$F$252:$F$261))+SUMPRODUCT(('England 1'!$E$252:$E$261='Team Position by Round'!$B12)*('England 1'!$F$252:$F$261='England 1'!$D$252:$D$261))</f>
        <v>3</v>
      </c>
      <c r="AC12" s="75" cm="1">
        <f t="array" ref="AC12">SUMPRODUCT(('England 1'!$C$262:$C$271='Team Position by Round'!$B12)*('England 1'!$D$262:$D$271&gt;'England 1'!$F$262:$F$271))*3+SUMPRODUCT(('England 1'!$E$262:$E$271='Team Position by Round'!$B12)*('England 1'!$F$262:$F$271&gt;'England 1'!$D$262:$D$271))*3+SUMPRODUCT(('England 1'!$C$262:$C$271='Team Position by Round'!$B12)*('England 1'!$D$262:$D$271='England 1'!$F$262:$F$271))+SUMPRODUCT(('England 1'!$E$262:$E$271='Team Position by Round'!$B12)*('England 1'!$F$262:$F$271='England 1'!$D$262:$D$271))</f>
        <v>3</v>
      </c>
      <c r="AD12" s="75" cm="1">
        <f t="array" ref="AD12">SUMPRODUCT(('England 1'!$C$272:$C$281='Team Position by Round'!$B12)*('England 1'!$D$272:$D$281&gt;'England 1'!$F$272:$F$281))*3+SUMPRODUCT(('England 1'!$E$272:$E$281='Team Position by Round'!$B12)*('England 1'!$F$272:$F$281&gt;'England 1'!$D$272:$D$281))*3+SUMPRODUCT(('England 1'!$C$272:$C$281='Team Position by Round'!$B12)*('England 1'!$D$272:$D$281='England 1'!$F$272:$F$281))+SUMPRODUCT(('England 1'!$E$272:$E$281='Team Position by Round'!$B12)*('England 1'!$F$272:$F$281='England 1'!$D$272:$D$281))</f>
        <v>1</v>
      </c>
      <c r="AE12" s="75" cm="1">
        <f t="array" ref="AE12">SUMPRODUCT(('England 1'!$C$282:$C$291='Team Position by Round'!$B12)*('England 1'!$D$282:$D$291&gt;'England 1'!$F$282:$F$291))*3+SUMPRODUCT(('England 1'!$E$282:$E$291='Team Position by Round'!$B12)*('England 1'!$F$282:$F$291&gt;'England 1'!$D$282:$D$291))*3+SUMPRODUCT(('England 1'!$C$282:$C$291='Team Position by Round'!$B12)*('England 1'!$D$282:$D$291='England 1'!$F$282:$F$291))+SUMPRODUCT(('England 1'!$E$282:$E$291='Team Position by Round'!$B12)*('England 1'!$F$282:$F$291='England 1'!$D$282:$D$291))</f>
        <v>3</v>
      </c>
      <c r="AF12" s="75" cm="1">
        <f t="array" ref="AF12">SUMPRODUCT(('England 1'!$C$292:$C$301='Team Position by Round'!$B12)*('England 1'!$D$292:$D$301&gt;'England 1'!$F$292:$F$301))*3+SUMPRODUCT(('England 1'!$E$292:$E$301='Team Position by Round'!$B12)*('England 1'!$F$292:$F$301&gt;'England 1'!$D$292:$D$301))*3+SUMPRODUCT(('England 1'!$C$292:$C$301='Team Position by Round'!$B12)*('England 1'!$D$292:$D$301='England 1'!$F$292:$F$301))+SUMPRODUCT(('England 1'!$E$292:$E$301='Team Position by Round'!$B12)*('England 1'!$F$292:$F$301='England 1'!$D$292:$D$301))</f>
        <v>1</v>
      </c>
      <c r="AG12" s="75" cm="1">
        <f t="array" ref="AG12">SUMPRODUCT(('England 1'!$C$302:$C$311='Team Position by Round'!$B12)*('England 1'!$D$302:$D$311&gt;'England 1'!$F$302:$F$311))*3+SUMPRODUCT(('England 1'!$E$302:$E$311='Team Position by Round'!$B12)*('England 1'!$F$302:$F$311&gt;'England 1'!$D$302:$D$311))*3+SUMPRODUCT(('England 1'!$C$302:$C$311='Team Position by Round'!$B12)*('England 1'!$D$302:$D$311='England 1'!$F$302:$F$311))+SUMPRODUCT(('England 1'!$E$302:$E$311='Team Position by Round'!$B12)*('England 1'!$F$302:$F$311='England 1'!$D$302:$D$311))</f>
        <v>3</v>
      </c>
      <c r="AH12" s="75" cm="1">
        <f t="array" ref="AH12">SUMPRODUCT(('England 1'!$C$312:$C$321='Team Position by Round'!$B12)*('England 1'!$D$312:$D$321&gt;'England 1'!$F$312:$F$321))*3+SUMPRODUCT(('England 1'!$E$312:$E$321='Team Position by Round'!$B12)*('England 1'!$F$312:$F$321&gt;'England 1'!$D$312:$D$321))*3+SUMPRODUCT(('England 1'!$C$312:$C$321='Team Position by Round'!$B12)*('England 1'!$D$312:$D$321='England 1'!$F$312:$F$321))+SUMPRODUCT(('England 1'!$E$312:$E$321='Team Position by Round'!$B12)*('England 1'!$F$312:$F$321='England 1'!$D$312:$D$321))</f>
        <v>3</v>
      </c>
      <c r="AI12" s="75" cm="1">
        <f t="array" ref="AI12">SUMPRODUCT(('England 1'!$C$322:$C$331='Team Position by Round'!$B12)*('England 1'!$D$322:$D$331&gt;'England 1'!$F$322:$F$331))*3+SUMPRODUCT(('England 1'!$E$322:$E$331='Team Position by Round'!$B12)*('England 1'!$F$322:$F$331&gt;'England 1'!$D$322:$D$331))*3+SUMPRODUCT(('England 1'!$C$322:$C$331='Team Position by Round'!$B12)*('England 1'!$D$322:$D$331='England 1'!$F$322:$F$331))+SUMPRODUCT(('England 1'!$E$322:$E$331='Team Position by Round'!$B12)*('England 1'!$F$322:$F$331='England 1'!$D$322:$D$331))</f>
        <v>3</v>
      </c>
      <c r="AJ12" s="75" cm="1">
        <f t="array" ref="AJ12">SUMPRODUCT(('England 1'!$C$332:$C$341='Team Position by Round'!$B12)*('England 1'!$D$332:$D$341&gt;'England 1'!$F$332:$F$341))*3+SUMPRODUCT(('England 1'!$E$332:$E$341='Team Position by Round'!$B12)*('England 1'!$F$332:$F$341&gt;'England 1'!$D$332:$D$341))*3+SUMPRODUCT(('England 1'!$C$332:$C$341='Team Position by Round'!$B12)*('England 1'!$D$332:$D$341='England 1'!$F$332:$F$341))+SUMPRODUCT(('England 1'!$E$332:$E$341='Team Position by Round'!$B12)*('England 1'!$F$332:$F$341='England 1'!$D$332:$D$341))</f>
        <v>3</v>
      </c>
      <c r="AK12" s="75" cm="1">
        <f t="array" ref="AK12">SUMPRODUCT(('England 1'!$C$342:$C$351='Team Position by Round'!$B12)*('England 1'!$D$342:$D$351&gt;'England 1'!$F$342:$F$351))*3+SUMPRODUCT(('England 1'!$E$342:$E$351='Team Position by Round'!$B12)*('England 1'!$F$342:$F$351&gt;'England 1'!$D$342:$D$351))*3+SUMPRODUCT(('England 1'!$C$342:$C$351='Team Position by Round'!$B12)*('England 1'!$D$342:$D$351='England 1'!$F$342:$F$351))+SUMPRODUCT(('England 1'!$E$342:$E$351='Team Position by Round'!$B12)*('England 1'!$F$342:$F$351='England 1'!$D$342:$D$351))</f>
        <v>1</v>
      </c>
      <c r="AL12" s="75" cm="1">
        <f t="array" ref="AL12">SUMPRODUCT(('England 1'!$C$352:$C$361='Team Position by Round'!$B12)*('England 1'!$D$352:$D$361&gt;'England 1'!$F$352:$F$361))*3+SUMPRODUCT(('England 1'!$E$352:$E$361='Team Position by Round'!$B12)*('England 1'!$F$352:$F$361&gt;'England 1'!$D$352:$D$361))*3+SUMPRODUCT(('England 1'!$C$352:$C$361='Team Position by Round'!$B12)*('England 1'!$D$352:$D$361='England 1'!$F$352:$F$361))+SUMPRODUCT(('England 1'!$E$352:$E$361='Team Position by Round'!$B12)*('England 1'!$F$352:$F$361='England 1'!$D$352:$D$361))</f>
        <v>3</v>
      </c>
      <c r="AM12" s="75" cm="1">
        <f t="array" ref="AM12">SUMPRODUCT(('England 1'!$C$362:$C$371='Team Position by Round'!$B12)*('England 1'!$D$362:$D$371&gt;'England 1'!$F$362:$F$371))*3+SUMPRODUCT(('England 1'!$E$362:$E$371='Team Position by Round'!$B12)*('England 1'!$F$362:$F$371&gt;'England 1'!$D$362:$D$371))*3+SUMPRODUCT(('England 1'!$C$362:$C$371='Team Position by Round'!$B12)*('England 1'!$D$362:$D$371='England 1'!$F$362:$F$371))+SUMPRODUCT(('England 1'!$E$362:$E$371='Team Position by Round'!$B12)*('England 1'!$F$362:$F$371='England 1'!$D$362:$D$371))</f>
        <v>1</v>
      </c>
      <c r="AN12" s="75" cm="1">
        <f t="array" ref="AN12">SUMPRODUCT(('England 1'!$C$372:$C$381='Team Position by Round'!$B12)*('England 1'!$D$372:$D$381&gt;'England 1'!$F$372:$F$381))*3+SUMPRODUCT(('England 1'!$E$372:$E$381='Team Position by Round'!$B12)*('England 1'!$F$372:$F$381&gt;'England 1'!$D$372:$D$381))*3+SUMPRODUCT(('England 1'!$C$372:$C$381='Team Position by Round'!$B12)*('England 1'!$D$372:$D$381='England 1'!$F$372:$F$381))+SUMPRODUCT(('England 1'!$E$372:$E$381='Team Position by Round'!$B12)*('England 1'!$F$372:$F$381='England 1'!$D$372:$D$381))</f>
        <v>3</v>
      </c>
      <c r="AO12">
        <f t="shared" si="0"/>
        <v>18</v>
      </c>
      <c r="AP12">
        <f t="shared" si="1"/>
        <v>12</v>
      </c>
      <c r="AQ12">
        <f t="shared" si="2"/>
        <v>8</v>
      </c>
      <c r="AR12" s="78">
        <f>SUMIF('Manchester United FC'!C:C,'Manchester United FC'!N18,'Manchester United FC'!D:D)+SUMIF('Manchester United FC'!E:E,'Manchester United FC'!N18,'Manchester United FC'!F:F)</f>
        <v>66</v>
      </c>
      <c r="AS12" s="78">
        <f>SUMIF('Manchester United FC'!C:C,"&lt;&gt;Manchester United FC",'Manchester United FC'!D:D)+SUMIF('Manchester United FC'!E:E,"&lt;&gt;Manchester United FC",'Manchester United FC'!F:F)</f>
        <v>36</v>
      </c>
      <c r="AT12" s="84">
        <f>MAX('Manchester United FC'!I:I)</f>
        <v>4</v>
      </c>
      <c r="AU12" s="84">
        <f>MAX('Manchester United FC'!J:J)</f>
        <v>2</v>
      </c>
      <c r="AV12">
        <f>MAX('Manchester United FC'!K:K)</f>
        <v>14</v>
      </c>
      <c r="AW12">
        <f>MAX('Manchester United FC'!L:L)</f>
        <v>4</v>
      </c>
    </row>
    <row r="13" spans="2:49" x14ac:dyDescent="0.2">
      <c r="B13" t="str">
        <v>Arsenal FC</v>
      </c>
      <c r="C13" s="75" cm="1">
        <f t="array" ref="C13">SUMPRODUCT(('England 1'!$C$2:$C$11='Team Position by Round'!$B13)*('England 1'!$D$2:$D$11&gt;'England 1'!$F$2:$F$11))*3+SUMPRODUCT(('England 1'!$E$2:$E$11='Team Position by Round'!$B13)*('England 1'!$F$2:$F$11&gt;'England 1'!$D$2:$D$11))*3+SUMPRODUCT(('England 1'!$C$2:$C$11='Team Position by Round'!$B13)*('England 1'!$D$2:$D$11='England 1'!$F$2:$F$11))+SUMPRODUCT(('England 1'!$E$2:$E$11='Team Position by Round'!$B13)*('England 1'!$F$2:$F$11='England 1'!$D$2:$D$11))</f>
        <v>3</v>
      </c>
      <c r="D13" s="75" cm="1">
        <f t="array" ref="D13">SUMPRODUCT(('England 1'!$C$12:$C$21='Team Position by Round'!$B13)*('England 1'!$D$12:$D$21&gt;'England 1'!$F$12:$F$21))*3+SUMPRODUCT(('England 1'!$E$12:$E$21='Team Position by Round'!$B13)*('England 1'!$F$12:$F$21&gt;'England 1'!$D$12:$D$21))*3+SUMPRODUCT(('England 1'!$C$12:$C$21='Team Position by Round'!$B13)*('England 1'!$D$12:$D$21='England 1'!$F$12:$F$21))+SUMPRODUCT(('England 1'!$E$12:$E$21='Team Position by Round'!$B13)*('England 1'!$F$12:$F$21='England 1'!$D$12:$D$21))</f>
        <v>3</v>
      </c>
      <c r="E13" s="75" cm="1">
        <f t="array" ref="E13">SUMPRODUCT(('England 1'!$C$22:$C$31='Team Position by Round'!$B13)*('England 1'!$D$22:$D$31&gt;'England 1'!$F$22:$F$31))*3+SUMPRODUCT(('England 1'!$E$22:$E$31='Team Position by Round'!$B13)*('England 1'!$F$22:$F$31&gt;'England 1'!$D$22:$D$31))*3+SUMPRODUCT(('England 1'!$C$22:$C$31='Team Position by Round'!$B13)*('England 1'!$D$22:$D$31='England 1'!$F$22:$F$31))+SUMPRODUCT(('England 1'!$E$22:$E$31='Team Position by Round'!$B13)*('England 1'!$F$22:$F$31='England 1'!$D$22:$D$31))</f>
        <v>0</v>
      </c>
      <c r="F13" s="75" cm="1">
        <f t="array" ref="F13">SUMPRODUCT(('England 1'!$C$32:$C$41='Team Position by Round'!$B13)*('England 1'!$D$32:$D$41&gt;'England 1'!$F$32:$F$41))*3+SUMPRODUCT(('England 1'!$E$32:$E$41='Team Position by Round'!$B13)*('England 1'!$F$32:$F$41&gt;'England 1'!$D$32:$D$41))*3+SUMPRODUCT(('England 1'!$C$32:$C$41='Team Position by Round'!$B13)*('England 1'!$D$32:$D$41='England 1'!$F$32:$F$41))+SUMPRODUCT(('England 1'!$E$32:$E$41='Team Position by Round'!$B13)*('England 1'!$F$32:$F$41='England 1'!$D$32:$D$41))</f>
        <v>1</v>
      </c>
      <c r="G13" s="75" cm="1">
        <f t="array" ref="G13">SUMPRODUCT(('England 1'!$C$42:$C$51='Team Position by Round'!$B13)*('England 1'!$D$42:$D$51&gt;'England 1'!$F$42:$F$51))*3+SUMPRODUCT(('England 1'!$E$42:$E$51='Team Position by Round'!$B13)*('England 1'!$F$42:$F$51&gt;'England 1'!$D$42:$D$51))*3+SUMPRODUCT(('England 1'!$C$42:$C$51='Team Position by Round'!$B13)*('England 1'!$D$42:$D$51='England 1'!$F$42:$F$51))+SUMPRODUCT(('England 1'!$E$42:$E$51='Team Position by Round'!$B13)*('England 1'!$F$42:$F$51='England 1'!$D$42:$D$51))</f>
        <v>1</v>
      </c>
      <c r="H13" s="75" cm="1">
        <f t="array" ref="H13">SUMPRODUCT(('England 1'!$C$52:$C$61='Team Position by Round'!$B13)*('England 1'!$D$52:$D$61&gt;'England 1'!$F$52:$F$61))*3+SUMPRODUCT(('England 1'!$E$52:$E$61='Team Position by Round'!$B13)*('England 1'!$F$52:$F$61&gt;'England 1'!$D$52:$D$61))*3+SUMPRODUCT(('England 1'!$C$52:$C$61='Team Position by Round'!$B13)*('England 1'!$D$52:$D$61='England 1'!$F$52:$F$61))+SUMPRODUCT(('England 1'!$E$52:$E$61='Team Position by Round'!$B13)*('England 1'!$F$52:$F$61='England 1'!$D$52:$D$61))</f>
        <v>3</v>
      </c>
      <c r="I13" s="75" cm="1">
        <f t="array" ref="I13">SUMPRODUCT(('England 1'!$C$62:$C$71='Team Position by Round'!$B13)*('England 1'!$D$62:$D$71&gt;'England 1'!$F$62:$F$71))*3+SUMPRODUCT(('England 1'!$E$62:$E$71='Team Position by Round'!$B13)*('England 1'!$F$62:$F$71&gt;'England 1'!$D$62:$D$71))*3+SUMPRODUCT(('England 1'!$C$62:$C$71='Team Position by Round'!$B13)*('England 1'!$D$62:$D$71='England 1'!$F$62:$F$71))+SUMPRODUCT(('England 1'!$E$62:$E$71='Team Position by Round'!$B13)*('England 1'!$F$62:$F$71='England 1'!$D$62:$D$71))</f>
        <v>1</v>
      </c>
      <c r="J13" s="76" cm="1">
        <f t="array" ref="J13">SUMPRODUCT(('England 1'!$C$72:$C$81='Team Position by Round'!$B13)*('England 1'!$D$72:$D$81&gt;'England 1'!$F$72:$F$81))*3+SUMPRODUCT(('England 1'!$E$72:$E$81='Team Position by Round'!$B13)*('England 1'!$F$72:$F$81&gt;'England 1'!$D$72:$D$81))*3+SUMPRODUCT(('England 1'!$C$72:$C$81='Team Position by Round'!$B13)*('England 1'!$D$72:$D$81='England 1'!$F$72:$F$81))+SUMPRODUCT(('England 1'!$E$72:$E$81='Team Position by Round'!$B13)*('England 1'!$F$72:$F$81='England 1'!$D$72:$D$81))</f>
        <v>3</v>
      </c>
      <c r="K13" s="75" cm="1">
        <f t="array" ref="K13">SUMPRODUCT(('England 1'!$C$82:$C$91='Team Position by Round'!$B13)*('England 1'!$D$82:$D$91&gt;'England 1'!$F$82:$F$91))*3+SUMPRODUCT(('England 1'!$E$82:$E$91='Team Position by Round'!$B13)*('England 1'!$F$82:$F$91&gt;'England 1'!$D$82:$D$91))*3+SUMPRODUCT(('England 1'!$C$82:$C$91='Team Position by Round'!$B13)*('England 1'!$D$82:$D$91='England 1'!$F$82:$F$91))+SUMPRODUCT(('England 1'!$E$82:$E$91='Team Position by Round'!$B13)*('England 1'!$F$82:$F$91='England 1'!$D$82:$D$91))</f>
        <v>0</v>
      </c>
      <c r="L13" s="75" cm="1">
        <f t="array" ref="L13">SUMPRODUCT(('England 1'!$C$92:$C$101='Team Position by Round'!$B13)*('England 1'!$D$92:$D$101&gt;'England 1'!$F$92:$F$101))*3+SUMPRODUCT(('England 1'!$E$92:$E$101='Team Position by Round'!$B13)*('England 1'!$F$92:$F$101&gt;'England 1'!$D$92:$D$101))*3+SUMPRODUCT(('England 1'!$C$92:$C$101='Team Position by Round'!$B13)*('England 1'!$D$92:$D$101='England 1'!$F$92:$F$101))+SUMPRODUCT(('England 1'!$E$92:$E$101='Team Position by Round'!$B13)*('England 1'!$F$92:$F$101='England 1'!$D$92:$D$101))</f>
        <v>1</v>
      </c>
      <c r="M13" s="75" cm="1">
        <f t="array" ref="M13">SUMPRODUCT(('England 1'!$C$102:$C$111='Team Position by Round'!$B13)*('England 1'!$D$102:$D$111&gt;'England 1'!$F$102:$F$111))*3+SUMPRODUCT(('England 1'!$E$102:$E$111='Team Position by Round'!$B13)*('England 1'!$F$102:$F$111&gt;'England 1'!$D$102:$D$111))*3+SUMPRODUCT(('England 1'!$C$102:$C$111='Team Position by Round'!$B13)*('England 1'!$D$102:$D$111='England 1'!$F$102:$F$111))+SUMPRODUCT(('England 1'!$E$102:$E$111='Team Position by Round'!$B13)*('England 1'!$F$102:$F$111='England 1'!$D$102:$D$111))</f>
        <v>1</v>
      </c>
      <c r="N13" s="75" cm="1">
        <f t="array" ref="N13">SUMPRODUCT(('England 1'!$C$112:$C$121='Team Position by Round'!$B13)*('England 1'!$D$112:$D$121&gt;'England 1'!$F$112:$F$121))*3+SUMPRODUCT(('England 1'!$E$112:$E$121='Team Position by Round'!$B13)*('England 1'!$F$112:$F$121&gt;'England 1'!$D$112:$D$121))*3+SUMPRODUCT(('England 1'!$C$112:$C$121='Team Position by Round'!$B13)*('England 1'!$D$112:$D$121='England 1'!$F$112:$F$121))+SUMPRODUCT(('England 1'!$E$112:$E$121='Team Position by Round'!$B13)*('England 1'!$F$112:$F$121='England 1'!$D$112:$D$121))</f>
        <v>0</v>
      </c>
      <c r="O13" s="75" cm="1">
        <f t="array" ref="O13">SUMPRODUCT(('England 1'!$C$122:$C$131='Team Position by Round'!$B13)*('England 1'!$D$122:$D$131&gt;'England 1'!$F$122:$F$131))*3+SUMPRODUCT(('England 1'!$E$122:$E$131='Team Position by Round'!$B13)*('England 1'!$F$122:$F$131&gt;'England 1'!$D$122:$D$131))*3+SUMPRODUCT(('England 1'!$C$122:$C$131='Team Position by Round'!$B13)*('England 1'!$D$122:$D$131='England 1'!$F$122:$F$131))+SUMPRODUCT(('England 1'!$E$122:$E$131='Team Position by Round'!$B13)*('England 1'!$F$122:$F$131='England 1'!$D$122:$D$131))</f>
        <v>1</v>
      </c>
      <c r="P13" s="75" cm="1">
        <f t="array" ref="P13">SUMPRODUCT(('England 1'!$C$132:$C$141='Team Position by Round'!$B13)*('England 1'!$D$132:$D$141&gt;'England 1'!$F$132:$F$141))*3+SUMPRODUCT(('England 1'!$E$132:$E$141='Team Position by Round'!$B13)*('England 1'!$F$132:$F$141&gt;'England 1'!$D$132:$D$141))*3+SUMPRODUCT(('England 1'!$C$132:$C$141='Team Position by Round'!$B13)*('England 1'!$D$132:$D$141='England 1'!$F$132:$F$141))+SUMPRODUCT(('England 1'!$E$132:$E$141='Team Position by Round'!$B13)*('England 1'!$F$132:$F$141='England 1'!$D$132:$D$141))</f>
        <v>1</v>
      </c>
      <c r="Q13" s="75" cm="1">
        <f t="array" ref="Q13">SUMPRODUCT(('England 1'!$C$142:$C$151='Team Position by Round'!$B13)*('England 1'!$D$142:$D$151&gt;'England 1'!$F$142:$F$151))*3+SUMPRODUCT(('England 1'!$E$142:$E$151='Team Position by Round'!$B13)*('England 1'!$F$142:$F$151&gt;'England 1'!$D$142:$D$151))*3+SUMPRODUCT(('England 1'!$C$142:$C$151='Team Position by Round'!$B13)*('England 1'!$D$142:$D$151='England 1'!$F$142:$F$151))+SUMPRODUCT(('England 1'!$E$142:$E$151='Team Position by Round'!$B13)*('England 1'!$F$142:$F$151='England 1'!$D$142:$D$151))</f>
        <v>0</v>
      </c>
      <c r="R13" s="75" cm="1">
        <f t="array" ref="R13">SUMPRODUCT(('England 1'!$C$152:$C$161='Team Position by Round'!$B13)*('England 1'!$D$152:$D$161&gt;'England 1'!$F$152:$F$161))*3+SUMPRODUCT(('England 1'!$E$152:$E$161='Team Position by Round'!$B13)*('England 1'!$F$152:$F$161&gt;'England 1'!$D$152:$D$161))*3+SUMPRODUCT(('England 1'!$C$152:$C$161='Team Position by Round'!$B13)*('England 1'!$D$152:$D$161='England 1'!$F$152:$F$161))+SUMPRODUCT(('England 1'!$E$152:$E$161='Team Position by Round'!$B13)*('England 1'!$F$152:$F$161='England 1'!$D$152:$D$161))</f>
        <v>3</v>
      </c>
      <c r="S13" s="75" cm="1">
        <f t="array" ref="S13">SUMPRODUCT(('England 1'!$C$162:$C$171='Team Position by Round'!$B13)*('England 1'!$D$162:$D$171&gt;'England 1'!$F$162:$F$171))*3+SUMPRODUCT(('England 1'!$E$162:$E$171='Team Position by Round'!$B13)*('England 1'!$F$162:$F$171&gt;'England 1'!$D$162:$D$171))*3+SUMPRODUCT(('England 1'!$C$162:$C$171='Team Position by Round'!$B13)*('England 1'!$D$162:$D$171='England 1'!$F$162:$F$171))+SUMPRODUCT(('England 1'!$E$162:$E$171='Team Position by Round'!$B13)*('England 1'!$F$162:$F$171='England 1'!$D$162:$D$171))</f>
        <v>0</v>
      </c>
      <c r="T13" s="75" cm="1">
        <f t="array" ref="T13">SUMPRODUCT(('England 1'!$C$172:$C$181='Team Position by Round'!$B13)*('England 1'!$D$172:$D$181&gt;'England 1'!$F$172:$F$181))*3+SUMPRODUCT(('England 1'!$E$172:$E$181='Team Position by Round'!$B13)*('England 1'!$F$172:$F$181&gt;'England 1'!$D$172:$D$181))*3+SUMPRODUCT(('England 1'!$C$172:$C$181='Team Position by Round'!$B13)*('England 1'!$D$172:$D$181='England 1'!$F$172:$F$181))+SUMPRODUCT(('England 1'!$E$172:$E$181='Team Position by Round'!$B13)*('England 1'!$F$172:$F$181='England 1'!$D$172:$D$181))</f>
        <v>1</v>
      </c>
      <c r="U13" s="75" cm="1">
        <f t="array" ref="U13">SUMPRODUCT(('England 1'!$C$182:$C$191='Team Position by Round'!$B13)*('England 1'!$D$182:$D$191&gt;'England 1'!$F$182:$F$191))*3+SUMPRODUCT(('England 1'!$E$182:$E$191='Team Position by Round'!$B13)*('England 1'!$F$182:$F$191&gt;'England 1'!$D$182:$D$191))*3+SUMPRODUCT(('England 1'!$C$182:$C$191='Team Position by Round'!$B13)*('England 1'!$D$182:$D$191='England 1'!$F$182:$F$191))+SUMPRODUCT(('England 1'!$E$182:$E$191='Team Position by Round'!$B13)*('England 1'!$F$182:$F$191='England 1'!$D$182:$D$191))</f>
        <v>1</v>
      </c>
      <c r="V13" s="75" cm="1">
        <f t="array" ref="V13">SUMPRODUCT(('England 1'!$C$192:$C$201='Team Position by Round'!$B13)*('England 1'!$D$192:$D$201&gt;'England 1'!$F$192:$F$201))*3+SUMPRODUCT(('England 1'!$E$192:$E$201='Team Position by Round'!$B13)*('England 1'!$F$192:$F$201&gt;'England 1'!$D$192:$D$201))*3+SUMPRODUCT(('England 1'!$C$192:$C$201='Team Position by Round'!$B13)*('England 1'!$D$192:$D$201='England 1'!$F$192:$F$201))+SUMPRODUCT(('England 1'!$E$192:$E$201='Team Position by Round'!$B13)*('England 1'!$F$192:$F$201='England 1'!$D$192:$D$201))</f>
        <v>0</v>
      </c>
      <c r="W13" s="75" cm="1">
        <f t="array" ref="W13">SUMPRODUCT(('England 1'!$C$202:$C$211='Team Position by Round'!$B13)*('England 1'!$D$202:$D$211&gt;'England 1'!$F$202:$F$211))*3+SUMPRODUCT(('England 1'!$E$202:$E$211='Team Position by Round'!$B13)*('England 1'!$F$202:$F$211&gt;'England 1'!$D$202:$D$211))*3+SUMPRODUCT(('England 1'!$C$202:$C$211='Team Position by Round'!$B13)*('England 1'!$D$202:$D$211='England 1'!$F$202:$F$211))+SUMPRODUCT(('England 1'!$E$202:$E$211='Team Position by Round'!$B13)*('England 1'!$F$202:$F$211='England 1'!$D$202:$D$211))</f>
        <v>3</v>
      </c>
      <c r="X13" s="75" cm="1">
        <f t="array" ref="X13">SUMPRODUCT(('England 1'!$C$212:$C$221='Team Position by Round'!$B13)*('England 1'!$D$212:$D$221&gt;'England 1'!$F$212:$F$221))*3+SUMPRODUCT(('England 1'!$E$212:$E$221='Team Position by Round'!$B13)*('England 1'!$F$212:$F$221&gt;'England 1'!$D$212:$D$221))*3+SUMPRODUCT(('England 1'!$C$212:$C$221='Team Position by Round'!$B13)*('England 1'!$D$212:$D$221='England 1'!$F$212:$F$221))+SUMPRODUCT(('England 1'!$E$212:$E$221='Team Position by Round'!$B13)*('England 1'!$F$212:$F$221='England 1'!$D$212:$D$221))</f>
        <v>1</v>
      </c>
      <c r="Y13" s="75" cm="1">
        <f t="array" ref="Y13">SUMPRODUCT(('England 1'!$C$222:$C$231='Team Position by Round'!$B13)*('England 1'!$D$222:$D$231&gt;'England 1'!$F$222:$F$231))*3+SUMPRODUCT(('England 1'!$E$222:$E$231='Team Position by Round'!$B13)*('England 1'!$F$222:$F$231&gt;'England 1'!$D$222:$D$231))*3+SUMPRODUCT(('England 1'!$C$222:$C$231='Team Position by Round'!$B13)*('England 1'!$D$222:$D$231='England 1'!$F$222:$F$231))+SUMPRODUCT(('England 1'!$E$222:$E$231='Team Position by Round'!$B13)*('England 1'!$F$222:$F$231='England 1'!$D$222:$D$231))</f>
        <v>1</v>
      </c>
      <c r="Z13" s="75" cm="1">
        <f t="array" ref="Z13">SUMPRODUCT(('England 1'!$C$232:$C$241='Team Position by Round'!$B13)*('England 1'!$D$232:$D$241&gt;'England 1'!$F$232:$F$241))*3+SUMPRODUCT(('England 1'!$E$232:$E$241='Team Position by Round'!$B13)*('England 1'!$F$232:$F$241&gt;'England 1'!$D$232:$D$241))*3+SUMPRODUCT(('England 1'!$C$232:$C$241='Team Position by Round'!$B13)*('England 1'!$D$232:$D$241='England 1'!$F$232:$F$241))+SUMPRODUCT(('England 1'!$E$232:$E$241='Team Position by Round'!$B13)*('England 1'!$F$232:$F$241='England 1'!$D$232:$D$241))</f>
        <v>1</v>
      </c>
      <c r="AA13" s="75" cm="1">
        <f t="array" ref="AA13">SUMPRODUCT(('England 1'!$C$242:$C$251='Team Position by Round'!$B13)*('England 1'!$D$242:$D$251&gt;'England 1'!$F$242:$F$251))*3+SUMPRODUCT(('England 1'!$E$242:$E$251='Team Position by Round'!$B13)*('England 1'!$F$242:$F$251&gt;'England 1'!$D$242:$D$251))*3+SUMPRODUCT(('England 1'!$C$242:$C$251='Team Position by Round'!$B13)*('England 1'!$D$242:$D$251='England 1'!$F$242:$F$251))+SUMPRODUCT(('England 1'!$E$242:$E$251='Team Position by Round'!$B13)*('England 1'!$F$242:$F$251='England 1'!$D$242:$D$251))</f>
        <v>1</v>
      </c>
      <c r="AB13" s="75" cm="1">
        <f t="array" ref="AB13">SUMPRODUCT(('England 1'!$C$252:$C$261='Team Position by Round'!$B13)*('England 1'!$D$252:$D$261&gt;'England 1'!$F$252:$F$261))*3+SUMPRODUCT(('England 1'!$E$252:$E$261='Team Position by Round'!$B13)*('England 1'!$F$252:$F$261&gt;'England 1'!$D$252:$D$261))*3+SUMPRODUCT(('England 1'!$C$252:$C$261='Team Position by Round'!$B13)*('England 1'!$D$252:$D$261='England 1'!$F$252:$F$261))+SUMPRODUCT(('England 1'!$E$252:$E$261='Team Position by Round'!$B13)*('England 1'!$F$252:$F$261='England 1'!$D$252:$D$261))</f>
        <v>3</v>
      </c>
      <c r="AC13" s="75" cm="1">
        <f t="array" ref="AC13">SUMPRODUCT(('England 1'!$C$262:$C$271='Team Position by Round'!$B13)*('England 1'!$D$262:$D$271&gt;'England 1'!$F$262:$F$271))*3+SUMPRODUCT(('England 1'!$E$262:$E$271='Team Position by Round'!$B13)*('England 1'!$F$262:$F$271&gt;'England 1'!$D$262:$D$271))*3+SUMPRODUCT(('England 1'!$C$262:$C$271='Team Position by Round'!$B13)*('England 1'!$D$262:$D$271='England 1'!$F$262:$F$271))+SUMPRODUCT(('England 1'!$E$262:$E$271='Team Position by Round'!$B13)*('England 1'!$F$262:$F$271='England 1'!$D$262:$D$271))</f>
        <v>3</v>
      </c>
      <c r="AD13" s="75" cm="1">
        <f t="array" ref="AD13">SUMPRODUCT(('England 1'!$C$272:$C$281='Team Position by Round'!$B13)*('England 1'!$D$272:$D$281&gt;'England 1'!$F$272:$F$281))*3+SUMPRODUCT(('England 1'!$E$272:$E$281='Team Position by Round'!$B13)*('England 1'!$F$272:$F$281&gt;'England 1'!$D$272:$D$281))*3+SUMPRODUCT(('England 1'!$C$272:$C$281='Team Position by Round'!$B13)*('England 1'!$D$272:$D$281='England 1'!$F$272:$F$281))+SUMPRODUCT(('England 1'!$E$272:$E$281='Team Position by Round'!$B13)*('England 1'!$F$272:$F$281='England 1'!$D$272:$D$281))</f>
        <v>0</v>
      </c>
      <c r="AE13" s="75" cm="1">
        <f t="array" ref="AE13">SUMPRODUCT(('England 1'!$C$282:$C$291='Team Position by Round'!$B13)*('England 1'!$D$282:$D$291&gt;'England 1'!$F$282:$F$291))*3+SUMPRODUCT(('England 1'!$E$282:$E$291='Team Position by Round'!$B13)*('England 1'!$F$282:$F$291&gt;'England 1'!$D$282:$D$291))*3+SUMPRODUCT(('England 1'!$C$282:$C$291='Team Position by Round'!$B13)*('England 1'!$D$282:$D$291='England 1'!$F$282:$F$291))+SUMPRODUCT(('England 1'!$E$282:$E$291='Team Position by Round'!$B13)*('England 1'!$F$282:$F$291='England 1'!$D$282:$D$291))</f>
        <v>3</v>
      </c>
      <c r="AF13" s="75" cm="1">
        <f t="array" ref="AF13">SUMPRODUCT(('England 1'!$C$292:$C$301='Team Position by Round'!$B13)*('England 1'!$D$292:$D$301&gt;'England 1'!$F$292:$F$301))*3+SUMPRODUCT(('England 1'!$E$292:$E$301='Team Position by Round'!$B13)*('England 1'!$F$292:$F$301&gt;'England 1'!$D$292:$D$301))*3+SUMPRODUCT(('England 1'!$C$292:$C$301='Team Position by Round'!$B13)*('England 1'!$D$292:$D$301='England 1'!$F$292:$F$301))+SUMPRODUCT(('England 1'!$E$292:$E$301='Team Position by Round'!$B13)*('England 1'!$F$292:$F$301='England 1'!$D$292:$D$301))</f>
        <v>0</v>
      </c>
      <c r="AG13" s="75" cm="1">
        <f t="array" ref="AG13">SUMPRODUCT(('England 1'!$C$302:$C$311='Team Position by Round'!$B13)*('England 1'!$D$302:$D$311&gt;'England 1'!$F$302:$F$311))*3+SUMPRODUCT(('England 1'!$E$302:$E$311='Team Position by Round'!$B13)*('England 1'!$F$302:$F$311&gt;'England 1'!$D$302:$D$311))*3+SUMPRODUCT(('England 1'!$C$302:$C$311='Team Position by Round'!$B13)*('England 1'!$D$302:$D$311='England 1'!$F$302:$F$311))+SUMPRODUCT(('England 1'!$E$302:$E$311='Team Position by Round'!$B13)*('England 1'!$F$302:$F$311='England 1'!$D$302:$D$311))</f>
        <v>3</v>
      </c>
      <c r="AH13" s="75" cm="1">
        <f t="array" ref="AH13">SUMPRODUCT(('England 1'!$C$312:$C$321='Team Position by Round'!$B13)*('England 1'!$D$312:$D$321&gt;'England 1'!$F$312:$F$321))*3+SUMPRODUCT(('England 1'!$E$312:$E$321='Team Position by Round'!$B13)*('England 1'!$F$312:$F$321&gt;'England 1'!$D$312:$D$321))*3+SUMPRODUCT(('England 1'!$C$312:$C$321='Team Position by Round'!$B13)*('England 1'!$D$312:$D$321='England 1'!$F$312:$F$321))+SUMPRODUCT(('England 1'!$E$312:$E$321='Team Position by Round'!$B13)*('England 1'!$F$312:$F$321='England 1'!$D$312:$D$321))</f>
        <v>3</v>
      </c>
      <c r="AI13" s="75" cm="1">
        <f t="array" ref="AI13">SUMPRODUCT(('England 1'!$C$322:$C$331='Team Position by Round'!$B13)*('England 1'!$D$322:$D$331&gt;'England 1'!$F$322:$F$331))*3+SUMPRODUCT(('England 1'!$E$322:$E$331='Team Position by Round'!$B13)*('England 1'!$F$322:$F$331&gt;'England 1'!$D$322:$D$331))*3+SUMPRODUCT(('England 1'!$C$322:$C$331='Team Position by Round'!$B13)*('England 1'!$D$322:$D$331='England 1'!$F$322:$F$331))+SUMPRODUCT(('England 1'!$E$322:$E$331='Team Position by Round'!$B13)*('England 1'!$F$322:$F$331='England 1'!$D$322:$D$331))</f>
        <v>3</v>
      </c>
      <c r="AJ13" s="75" cm="1">
        <f t="array" ref="AJ13">SUMPRODUCT(('England 1'!$C$332:$C$341='Team Position by Round'!$B13)*('England 1'!$D$332:$D$341&gt;'England 1'!$F$332:$F$341))*3+SUMPRODUCT(('England 1'!$E$332:$E$341='Team Position by Round'!$B13)*('England 1'!$F$332:$F$341&gt;'England 1'!$D$332:$D$341))*3+SUMPRODUCT(('England 1'!$C$332:$C$341='Team Position by Round'!$B13)*('England 1'!$D$332:$D$341='England 1'!$F$332:$F$341))+SUMPRODUCT(('England 1'!$E$332:$E$341='Team Position by Round'!$B13)*('England 1'!$F$332:$F$341='England 1'!$D$332:$D$341))</f>
        <v>1</v>
      </c>
      <c r="AK13" s="75" cm="1">
        <f t="array" ref="AK13">SUMPRODUCT(('England 1'!$C$342:$C$351='Team Position by Round'!$B13)*('England 1'!$D$342:$D$351&gt;'England 1'!$F$342:$F$351))*3+SUMPRODUCT(('England 1'!$E$342:$E$351='Team Position by Round'!$B13)*('England 1'!$F$342:$F$351&gt;'England 1'!$D$342:$D$351))*3+SUMPRODUCT(('England 1'!$C$342:$C$351='Team Position by Round'!$B13)*('England 1'!$D$342:$D$351='England 1'!$F$342:$F$351))+SUMPRODUCT(('England 1'!$E$342:$E$351='Team Position by Round'!$B13)*('England 1'!$F$342:$F$351='England 1'!$D$342:$D$351))</f>
        <v>0</v>
      </c>
      <c r="AL13" s="75" cm="1">
        <f t="array" ref="AL13">SUMPRODUCT(('England 1'!$C$352:$C$361='Team Position by Round'!$B13)*('England 1'!$D$352:$D$361&gt;'England 1'!$F$352:$F$361))*3+SUMPRODUCT(('England 1'!$E$352:$E$361='Team Position by Round'!$B13)*('England 1'!$F$352:$F$361&gt;'England 1'!$D$352:$D$361))*3+SUMPRODUCT(('England 1'!$C$352:$C$361='Team Position by Round'!$B13)*('England 1'!$D$352:$D$361='England 1'!$F$352:$F$361))+SUMPRODUCT(('England 1'!$E$352:$E$361='Team Position by Round'!$B13)*('England 1'!$F$352:$F$361='England 1'!$D$352:$D$361))</f>
        <v>3</v>
      </c>
      <c r="AM13" s="75" cm="1">
        <f t="array" ref="AM13">SUMPRODUCT(('England 1'!$C$362:$C$371='Team Position by Round'!$B13)*('England 1'!$D$362:$D$371&gt;'England 1'!$F$362:$F$371))*3+SUMPRODUCT(('England 1'!$E$362:$E$371='Team Position by Round'!$B13)*('England 1'!$F$362:$F$371&gt;'England 1'!$D$362:$D$371))*3+SUMPRODUCT(('England 1'!$C$362:$C$371='Team Position by Round'!$B13)*('England 1'!$D$362:$D$371='England 1'!$F$362:$F$371))+SUMPRODUCT(('England 1'!$E$362:$E$371='Team Position by Round'!$B13)*('England 1'!$F$362:$F$371='England 1'!$D$362:$D$371))</f>
        <v>0</v>
      </c>
      <c r="AN13" s="75" cm="1">
        <f t="array" ref="AN13">SUMPRODUCT(('England 1'!$C$372:$C$381='Team Position by Round'!$B13)*('England 1'!$D$372:$D$381&gt;'England 1'!$F$372:$F$381))*3+SUMPRODUCT(('England 1'!$E$372:$E$381='Team Position by Round'!$B13)*('England 1'!$F$372:$F$381&gt;'England 1'!$D$372:$D$381))*3+SUMPRODUCT(('England 1'!$C$372:$C$381='Team Position by Round'!$B13)*('England 1'!$D$372:$D$381='England 1'!$F$372:$F$381))+SUMPRODUCT(('England 1'!$E$372:$E$381='Team Position by Round'!$B13)*('England 1'!$F$372:$F$381='England 1'!$D$372:$D$381))</f>
        <v>3</v>
      </c>
      <c r="AO13">
        <f t="shared" si="0"/>
        <v>14</v>
      </c>
      <c r="AP13">
        <f t="shared" si="1"/>
        <v>14</v>
      </c>
      <c r="AQ13">
        <f t="shared" si="2"/>
        <v>10</v>
      </c>
      <c r="AR13" s="78">
        <f>SUMIF('Arsenal FC'!C:C,'Arsenal FC'!N18,'Arsenal FC'!D:D)+SUMIF('Arsenal FC'!E:E,'Arsenal FC'!N18,'Arsenal FC'!F:F)</f>
        <v>56</v>
      </c>
      <c r="AS13" s="78">
        <f>SUMIF('Arsenal FC'!C:C,"&lt;&gt;Arsenal FC",'Arsenal FC'!D:D)+SUMIF('Arsenal FC'!E:E,"&lt;&gt;Arsenal FC",'Arsenal FC'!F:F)</f>
        <v>48</v>
      </c>
      <c r="AT13" s="84">
        <f>MAX('Arsenal FC'!I:I)</f>
        <v>3</v>
      </c>
      <c r="AU13" s="84">
        <f>MAX('Arsenal FC'!J:J)</f>
        <v>1</v>
      </c>
      <c r="AV13">
        <f>MAX('Arsenal FC'!K:K)</f>
        <v>7</v>
      </c>
      <c r="AW13">
        <f>MAX('Arsenal FC'!L:L)</f>
        <v>7</v>
      </c>
    </row>
    <row r="14" spans="2:49" x14ac:dyDescent="0.2">
      <c r="B14" t="str">
        <v>Everton FC</v>
      </c>
      <c r="C14" s="75" cm="1">
        <f t="array" ref="C14">SUMPRODUCT(('England 1'!$C$2:$C$11='Team Position by Round'!$B14)*('England 1'!$D$2:$D$11&gt;'England 1'!$F$2:$F$11))*3+SUMPRODUCT(('England 1'!$E$2:$E$11='Team Position by Round'!$B14)*('England 1'!$F$2:$F$11&gt;'England 1'!$D$2:$D$11))*3+SUMPRODUCT(('England 1'!$C$2:$C$11='Team Position by Round'!$B14)*('England 1'!$D$2:$D$11='England 1'!$F$2:$F$11))+SUMPRODUCT(('England 1'!$E$2:$E$11='Team Position by Round'!$B14)*('England 1'!$F$2:$F$11='England 1'!$D$2:$D$11))</f>
        <v>1</v>
      </c>
      <c r="D14" s="75" cm="1">
        <f t="array" ref="D14">SUMPRODUCT(('England 1'!$C$12:$C$21='Team Position by Round'!$B14)*('England 1'!$D$12:$D$21&gt;'England 1'!$F$12:$F$21))*3+SUMPRODUCT(('England 1'!$E$12:$E$21='Team Position by Round'!$B14)*('England 1'!$F$12:$F$21&gt;'England 1'!$D$12:$D$21))*3+SUMPRODUCT(('England 1'!$C$12:$C$21='Team Position by Round'!$B14)*('England 1'!$D$12:$D$21='England 1'!$F$12:$F$21))+SUMPRODUCT(('England 1'!$E$12:$E$21='Team Position by Round'!$B14)*('England 1'!$F$12:$F$21='England 1'!$D$12:$D$21))</f>
        <v>3</v>
      </c>
      <c r="E14" s="75" cm="1">
        <f t="array" ref="E14">SUMPRODUCT(('England 1'!$C$22:$C$31='Team Position by Round'!$B14)*('England 1'!$D$22:$D$31&gt;'England 1'!$F$22:$F$31))*3+SUMPRODUCT(('England 1'!$E$22:$E$31='Team Position by Round'!$B14)*('England 1'!$F$22:$F$31&gt;'England 1'!$D$22:$D$31))*3+SUMPRODUCT(('England 1'!$C$22:$C$31='Team Position by Round'!$B14)*('England 1'!$D$22:$D$31='England 1'!$F$22:$F$31))+SUMPRODUCT(('England 1'!$E$22:$E$31='Team Position by Round'!$B14)*('England 1'!$F$22:$F$31='England 1'!$D$22:$D$31))</f>
        <v>0</v>
      </c>
      <c r="F14" s="75" cm="1">
        <f t="array" ref="F14">SUMPRODUCT(('England 1'!$C$32:$C$41='Team Position by Round'!$B14)*('England 1'!$D$32:$D$41&gt;'England 1'!$F$32:$F$41))*3+SUMPRODUCT(('England 1'!$E$32:$E$41='Team Position by Round'!$B14)*('England 1'!$F$32:$F$41&gt;'England 1'!$D$32:$D$41))*3+SUMPRODUCT(('England 1'!$C$32:$C$41='Team Position by Round'!$B14)*('England 1'!$D$32:$D$41='England 1'!$F$32:$F$41))+SUMPRODUCT(('England 1'!$E$32:$E$41='Team Position by Round'!$B14)*('England 1'!$F$32:$F$41='England 1'!$D$32:$D$41))</f>
        <v>3</v>
      </c>
      <c r="G14" s="75" cm="1">
        <f t="array" ref="G14">SUMPRODUCT(('England 1'!$C$42:$C$51='Team Position by Round'!$B14)*('England 1'!$D$42:$D$51&gt;'England 1'!$F$42:$F$51))*3+SUMPRODUCT(('England 1'!$E$42:$E$51='Team Position by Round'!$B14)*('England 1'!$F$42:$F$51&gt;'England 1'!$D$42:$D$51))*3+SUMPRODUCT(('England 1'!$C$42:$C$51='Team Position by Round'!$B14)*('England 1'!$D$42:$D$51='England 1'!$F$42:$F$51))+SUMPRODUCT(('England 1'!$E$42:$E$51='Team Position by Round'!$B14)*('England 1'!$F$42:$F$51='England 1'!$D$42:$D$51))</f>
        <v>0</v>
      </c>
      <c r="H14" s="75" cm="1">
        <f t="array" ref="H14">SUMPRODUCT(('England 1'!$C$52:$C$61='Team Position by Round'!$B14)*('England 1'!$D$52:$D$61&gt;'England 1'!$F$52:$F$61))*3+SUMPRODUCT(('England 1'!$E$52:$E$61='Team Position by Round'!$B14)*('England 1'!$F$52:$F$61&gt;'England 1'!$D$52:$D$61))*3+SUMPRODUCT(('England 1'!$C$52:$C$61='Team Position by Round'!$B14)*('England 1'!$D$52:$D$61='England 1'!$F$52:$F$61))+SUMPRODUCT(('England 1'!$E$52:$E$61='Team Position by Round'!$B14)*('England 1'!$F$52:$F$61='England 1'!$D$52:$D$61))</f>
        <v>0</v>
      </c>
      <c r="I14" s="75" cm="1">
        <f t="array" ref="I14">SUMPRODUCT(('England 1'!$C$62:$C$71='Team Position by Round'!$B14)*('England 1'!$D$62:$D$71&gt;'England 1'!$F$62:$F$71))*3+SUMPRODUCT(('England 1'!$E$62:$E$71='Team Position by Round'!$B14)*('England 1'!$F$62:$F$71&gt;'England 1'!$D$62:$D$71))*3+SUMPRODUCT(('England 1'!$C$62:$C$71='Team Position by Round'!$B14)*('England 1'!$D$62:$D$71='England 1'!$F$62:$F$71))+SUMPRODUCT(('England 1'!$E$62:$E$71='Team Position by Round'!$B14)*('England 1'!$F$62:$F$71='England 1'!$D$62:$D$71))</f>
        <v>0</v>
      </c>
      <c r="J14" s="76" cm="1">
        <f t="array" ref="J14">SUMPRODUCT(('England 1'!$C$72:$C$81='Team Position by Round'!$B14)*('England 1'!$D$72:$D$81&gt;'England 1'!$F$72:$F$81))*3+SUMPRODUCT(('England 1'!$E$72:$E$81='Team Position by Round'!$B14)*('England 1'!$F$72:$F$81&gt;'England 1'!$D$72:$D$81))*3+SUMPRODUCT(('England 1'!$C$72:$C$81='Team Position by Round'!$B14)*('England 1'!$D$72:$D$81='England 1'!$F$72:$F$81))+SUMPRODUCT(('England 1'!$E$72:$E$81='Team Position by Round'!$B14)*('England 1'!$F$72:$F$81='England 1'!$D$72:$D$81))</f>
        <v>0</v>
      </c>
      <c r="K14" s="75" cm="1">
        <f t="array" ref="K14">SUMPRODUCT(('England 1'!$C$82:$C$91='Team Position by Round'!$B14)*('England 1'!$D$82:$D$91&gt;'England 1'!$F$82:$F$91))*3+SUMPRODUCT(('England 1'!$E$82:$E$91='Team Position by Round'!$B14)*('England 1'!$F$82:$F$91&gt;'England 1'!$D$82:$D$91))*3+SUMPRODUCT(('England 1'!$C$82:$C$91='Team Position by Round'!$B14)*('England 1'!$D$82:$D$91='England 1'!$F$82:$F$91))+SUMPRODUCT(('England 1'!$E$82:$E$91='Team Position by Round'!$B14)*('England 1'!$F$82:$F$91='England 1'!$D$82:$D$91))</f>
        <v>3</v>
      </c>
      <c r="L14" s="75" cm="1">
        <f t="array" ref="L14">SUMPRODUCT(('England 1'!$C$92:$C$101='Team Position by Round'!$B14)*('England 1'!$D$92:$D$101&gt;'England 1'!$F$92:$F$101))*3+SUMPRODUCT(('England 1'!$E$92:$E$101='Team Position by Round'!$B14)*('England 1'!$F$92:$F$101&gt;'England 1'!$D$92:$D$101))*3+SUMPRODUCT(('England 1'!$C$92:$C$101='Team Position by Round'!$B14)*('England 1'!$D$92:$D$101='England 1'!$F$92:$F$101))+SUMPRODUCT(('England 1'!$E$92:$E$101='Team Position by Round'!$B14)*('England 1'!$F$92:$F$101='England 1'!$D$92:$D$101))</f>
        <v>0</v>
      </c>
      <c r="M14" s="75" cm="1">
        <f t="array" ref="M14">SUMPRODUCT(('England 1'!$C$102:$C$111='Team Position by Round'!$B14)*('England 1'!$D$102:$D$111&gt;'England 1'!$F$102:$F$111))*3+SUMPRODUCT(('England 1'!$E$102:$E$111='Team Position by Round'!$B14)*('England 1'!$F$102:$F$111&gt;'England 1'!$D$102:$D$111))*3+SUMPRODUCT(('England 1'!$C$102:$C$111='Team Position by Round'!$B14)*('England 1'!$D$102:$D$111='England 1'!$F$102:$F$111))+SUMPRODUCT(('England 1'!$E$102:$E$111='Team Position by Round'!$B14)*('England 1'!$F$102:$F$111='England 1'!$D$102:$D$111))</f>
        <v>1</v>
      </c>
      <c r="N14" s="75" cm="1">
        <f t="array" ref="N14">SUMPRODUCT(('England 1'!$C$112:$C$121='Team Position by Round'!$B14)*('England 1'!$D$112:$D$121&gt;'England 1'!$F$112:$F$121))*3+SUMPRODUCT(('England 1'!$E$112:$E$121='Team Position by Round'!$B14)*('England 1'!$F$112:$F$121&gt;'England 1'!$D$112:$D$121))*3+SUMPRODUCT(('England 1'!$C$112:$C$121='Team Position by Round'!$B14)*('England 1'!$D$112:$D$121='England 1'!$F$112:$F$121))+SUMPRODUCT(('England 1'!$E$112:$E$121='Team Position by Round'!$B14)*('England 1'!$F$112:$F$121='England 1'!$D$112:$D$121))</f>
        <v>3</v>
      </c>
      <c r="O14" s="75" cm="1">
        <f t="array" ref="O14">SUMPRODUCT(('England 1'!$C$122:$C$131='Team Position by Round'!$B14)*('England 1'!$D$122:$D$131&gt;'England 1'!$F$122:$F$131))*3+SUMPRODUCT(('England 1'!$E$122:$E$131='Team Position by Round'!$B14)*('England 1'!$F$122:$F$131&gt;'England 1'!$D$122:$D$131))*3+SUMPRODUCT(('England 1'!$C$122:$C$131='Team Position by Round'!$B14)*('England 1'!$D$122:$D$131='England 1'!$F$122:$F$131))+SUMPRODUCT(('England 1'!$E$122:$E$131='Team Position by Round'!$B14)*('England 1'!$F$122:$F$131='England 1'!$D$122:$D$131))</f>
        <v>0</v>
      </c>
      <c r="P14" s="75" cm="1">
        <f t="array" ref="P14">SUMPRODUCT(('England 1'!$C$132:$C$141='Team Position by Round'!$B14)*('England 1'!$D$132:$D$141&gt;'England 1'!$F$132:$F$141))*3+SUMPRODUCT(('England 1'!$E$132:$E$141='Team Position by Round'!$B14)*('England 1'!$F$132:$F$141&gt;'England 1'!$D$132:$D$141))*3+SUMPRODUCT(('England 1'!$C$132:$C$141='Team Position by Round'!$B14)*('England 1'!$D$132:$D$141='England 1'!$F$132:$F$141))+SUMPRODUCT(('England 1'!$E$132:$E$141='Team Position by Round'!$B14)*('England 1'!$F$132:$F$141='England 1'!$D$132:$D$141))</f>
        <v>0</v>
      </c>
      <c r="Q14" s="75" cm="1">
        <f t="array" ref="Q14">SUMPRODUCT(('England 1'!$C$142:$C$151='Team Position by Round'!$B14)*('England 1'!$D$142:$D$151&gt;'England 1'!$F$142:$F$151))*3+SUMPRODUCT(('England 1'!$E$142:$E$151='Team Position by Round'!$B14)*('England 1'!$F$142:$F$151&gt;'England 1'!$D$142:$D$151))*3+SUMPRODUCT(('England 1'!$C$142:$C$151='Team Position by Round'!$B14)*('England 1'!$D$142:$D$151='England 1'!$F$142:$F$151))+SUMPRODUCT(('England 1'!$E$142:$E$151='Team Position by Round'!$B14)*('England 1'!$F$142:$F$151='England 1'!$D$142:$D$151))</f>
        <v>0</v>
      </c>
      <c r="R14" s="75" cm="1">
        <f t="array" ref="R14">SUMPRODUCT(('England 1'!$C$152:$C$161='Team Position by Round'!$B14)*('England 1'!$D$152:$D$161&gt;'England 1'!$F$152:$F$161))*3+SUMPRODUCT(('England 1'!$E$152:$E$161='Team Position by Round'!$B14)*('England 1'!$F$152:$F$161&gt;'England 1'!$D$152:$D$161))*3+SUMPRODUCT(('England 1'!$C$152:$C$161='Team Position by Round'!$B14)*('England 1'!$D$152:$D$161='England 1'!$F$152:$F$161))+SUMPRODUCT(('England 1'!$E$152:$E$161='Team Position by Round'!$B14)*('England 1'!$F$152:$F$161='England 1'!$D$152:$D$161))</f>
        <v>3</v>
      </c>
      <c r="S14" s="75" cm="1">
        <f t="array" ref="S14">SUMPRODUCT(('England 1'!$C$162:$C$171='Team Position by Round'!$B14)*('England 1'!$D$162:$D$171&gt;'England 1'!$F$162:$F$171))*3+SUMPRODUCT(('England 1'!$E$162:$E$171='Team Position by Round'!$B14)*('England 1'!$F$162:$F$171&gt;'England 1'!$D$162:$D$171))*3+SUMPRODUCT(('England 1'!$C$162:$C$171='Team Position by Round'!$B14)*('England 1'!$D$162:$D$171='England 1'!$F$162:$F$171))+SUMPRODUCT(('England 1'!$E$162:$E$171='Team Position by Round'!$B14)*('England 1'!$F$162:$F$171='England 1'!$D$162:$D$171))</f>
        <v>1</v>
      </c>
      <c r="T14" s="75" cm="1">
        <f t="array" ref="T14">SUMPRODUCT(('England 1'!$C$172:$C$181='Team Position by Round'!$B14)*('England 1'!$D$172:$D$181&gt;'England 1'!$F$172:$F$181))*3+SUMPRODUCT(('England 1'!$E$172:$E$181='Team Position by Round'!$B14)*('England 1'!$F$172:$F$181&gt;'England 1'!$D$172:$D$181))*3+SUMPRODUCT(('England 1'!$C$172:$C$181='Team Position by Round'!$B14)*('England 1'!$D$172:$D$181='England 1'!$F$172:$F$181))+SUMPRODUCT(('England 1'!$E$172:$E$181='Team Position by Round'!$B14)*('England 1'!$F$172:$F$181='England 1'!$D$172:$D$181))</f>
        <v>1</v>
      </c>
      <c r="U14" s="75" cm="1">
        <f t="array" ref="U14">SUMPRODUCT(('England 1'!$C$182:$C$191='Team Position by Round'!$B14)*('England 1'!$D$182:$D$191&gt;'England 1'!$F$182:$F$191))*3+SUMPRODUCT(('England 1'!$E$182:$E$191='Team Position by Round'!$B14)*('England 1'!$F$182:$F$191&gt;'England 1'!$D$182:$D$191))*3+SUMPRODUCT(('England 1'!$C$182:$C$191='Team Position by Round'!$B14)*('England 1'!$D$182:$D$191='England 1'!$F$182:$F$191))+SUMPRODUCT(('England 1'!$E$182:$E$191='Team Position by Round'!$B14)*('England 1'!$F$182:$F$191='England 1'!$D$182:$D$191))</f>
        <v>3</v>
      </c>
      <c r="V14" s="75" cm="1">
        <f t="array" ref="V14">SUMPRODUCT(('England 1'!$C$192:$C$201='Team Position by Round'!$B14)*('England 1'!$D$192:$D$201&gt;'England 1'!$F$192:$F$201))*3+SUMPRODUCT(('England 1'!$E$192:$E$201='Team Position by Round'!$B14)*('England 1'!$F$192:$F$201&gt;'England 1'!$D$192:$D$201))*3+SUMPRODUCT(('England 1'!$C$192:$C$201='Team Position by Round'!$B14)*('England 1'!$D$192:$D$201='England 1'!$F$192:$F$201))+SUMPRODUCT(('England 1'!$E$192:$E$201='Team Position by Round'!$B14)*('England 1'!$F$192:$F$201='England 1'!$D$192:$D$201))</f>
        <v>3</v>
      </c>
      <c r="W14" s="75" cm="1">
        <f t="array" ref="W14">SUMPRODUCT(('England 1'!$C$202:$C$211='Team Position by Round'!$B14)*('England 1'!$D$202:$D$211&gt;'England 1'!$F$202:$F$211))*3+SUMPRODUCT(('England 1'!$E$202:$E$211='Team Position by Round'!$B14)*('England 1'!$F$202:$F$211&gt;'England 1'!$D$202:$D$211))*3+SUMPRODUCT(('England 1'!$C$202:$C$211='Team Position by Round'!$B14)*('England 1'!$D$202:$D$211='England 1'!$F$202:$F$211))+SUMPRODUCT(('England 1'!$E$202:$E$211='Team Position by Round'!$B14)*('England 1'!$F$202:$F$211='England 1'!$D$202:$D$211))</f>
        <v>0</v>
      </c>
      <c r="X14" s="75" cm="1">
        <f t="array" ref="X14">SUMPRODUCT(('England 1'!$C$212:$C$221='Team Position by Round'!$B14)*('England 1'!$D$212:$D$221&gt;'England 1'!$F$212:$F$221))*3+SUMPRODUCT(('England 1'!$E$212:$E$221='Team Position by Round'!$B14)*('England 1'!$F$212:$F$221&gt;'England 1'!$D$212:$D$221))*3+SUMPRODUCT(('England 1'!$C$212:$C$221='Team Position by Round'!$B14)*('England 1'!$D$212:$D$221='England 1'!$F$212:$F$221))+SUMPRODUCT(('England 1'!$E$212:$E$221='Team Position by Round'!$B14)*('England 1'!$F$212:$F$221='England 1'!$D$212:$D$221))</f>
        <v>3</v>
      </c>
      <c r="Y14" s="75" cm="1">
        <f t="array" ref="Y14">SUMPRODUCT(('England 1'!$C$222:$C$231='Team Position by Round'!$B14)*('England 1'!$D$222:$D$231&gt;'England 1'!$F$222:$F$231))*3+SUMPRODUCT(('England 1'!$E$222:$E$231='Team Position by Round'!$B14)*('England 1'!$F$222:$F$231&gt;'England 1'!$D$222:$D$231))*3+SUMPRODUCT(('England 1'!$C$222:$C$231='Team Position by Round'!$B14)*('England 1'!$D$222:$D$231='England 1'!$F$222:$F$231))+SUMPRODUCT(('England 1'!$E$222:$E$231='Team Position by Round'!$B14)*('England 1'!$F$222:$F$231='England 1'!$D$222:$D$231))</f>
        <v>1</v>
      </c>
      <c r="Z14" s="75" cm="1">
        <f t="array" ref="Z14">SUMPRODUCT(('England 1'!$C$232:$C$241='Team Position by Round'!$B14)*('England 1'!$D$232:$D$241&gt;'England 1'!$F$232:$F$241))*3+SUMPRODUCT(('England 1'!$E$232:$E$241='Team Position by Round'!$B14)*('England 1'!$F$232:$F$241&gt;'England 1'!$D$232:$D$241))*3+SUMPRODUCT(('England 1'!$C$232:$C$241='Team Position by Round'!$B14)*('England 1'!$D$232:$D$241='England 1'!$F$232:$F$241))+SUMPRODUCT(('England 1'!$E$232:$E$241='Team Position by Round'!$B14)*('England 1'!$F$232:$F$241='England 1'!$D$232:$D$241))</f>
        <v>1</v>
      </c>
      <c r="AA14" s="75" cm="1">
        <f t="array" ref="AA14">SUMPRODUCT(('England 1'!$C$242:$C$251='Team Position by Round'!$B14)*('England 1'!$D$242:$D$251&gt;'England 1'!$F$242:$F$251))*3+SUMPRODUCT(('England 1'!$E$242:$E$251='Team Position by Round'!$B14)*('England 1'!$F$242:$F$251&gt;'England 1'!$D$242:$D$251))*3+SUMPRODUCT(('England 1'!$C$242:$C$251='Team Position by Round'!$B14)*('England 1'!$D$242:$D$251='England 1'!$F$242:$F$251))+SUMPRODUCT(('England 1'!$E$242:$E$251='Team Position by Round'!$B14)*('England 1'!$F$242:$F$251='England 1'!$D$242:$D$251))</f>
        <v>3</v>
      </c>
      <c r="AB14" s="75" cm="1">
        <f t="array" ref="AB14">SUMPRODUCT(('England 1'!$C$252:$C$261='Team Position by Round'!$B14)*('England 1'!$D$252:$D$261&gt;'England 1'!$F$252:$F$261))*3+SUMPRODUCT(('England 1'!$E$252:$E$261='Team Position by Round'!$B14)*('England 1'!$F$252:$F$261&gt;'England 1'!$D$252:$D$261))*3+SUMPRODUCT(('England 1'!$C$252:$C$261='Team Position by Round'!$B14)*('England 1'!$D$252:$D$261='England 1'!$F$252:$F$261))+SUMPRODUCT(('England 1'!$E$252:$E$261='Team Position by Round'!$B14)*('England 1'!$F$252:$F$261='England 1'!$D$252:$D$261))</f>
        <v>3</v>
      </c>
      <c r="AC14" s="75" cm="1">
        <f t="array" ref="AC14">SUMPRODUCT(('England 1'!$C$262:$C$271='Team Position by Round'!$B14)*('England 1'!$D$262:$D$271&gt;'England 1'!$F$262:$F$271))*3+SUMPRODUCT(('England 1'!$E$262:$E$271='Team Position by Round'!$B14)*('England 1'!$F$262:$F$271&gt;'England 1'!$D$262:$D$271))*3+SUMPRODUCT(('England 1'!$C$262:$C$271='Team Position by Round'!$B14)*('England 1'!$D$262:$D$271='England 1'!$F$262:$F$271))+SUMPRODUCT(('England 1'!$E$262:$E$271='Team Position by Round'!$B14)*('England 1'!$F$262:$F$271='England 1'!$D$262:$D$271))</f>
        <v>0</v>
      </c>
      <c r="AD14" s="75" cm="1">
        <f t="array" ref="AD14">SUMPRODUCT(('England 1'!$C$272:$C$281='Team Position by Round'!$B14)*('England 1'!$D$272:$D$281&gt;'England 1'!$F$272:$F$281))*3+SUMPRODUCT(('England 1'!$E$272:$E$281='Team Position by Round'!$B14)*('England 1'!$F$272:$F$281&gt;'England 1'!$D$272:$D$281))*3+SUMPRODUCT(('England 1'!$C$272:$C$281='Team Position by Round'!$B14)*('England 1'!$D$272:$D$281='England 1'!$F$272:$F$281))+SUMPRODUCT(('England 1'!$E$272:$E$281='Team Position by Round'!$B14)*('England 1'!$F$272:$F$281='England 1'!$D$272:$D$281))</f>
        <v>1</v>
      </c>
      <c r="AE14" s="75" cm="1">
        <f t="array" ref="AE14">SUMPRODUCT(('England 1'!$C$282:$C$291='Team Position by Round'!$B14)*('England 1'!$D$282:$D$291&gt;'England 1'!$F$282:$F$291))*3+SUMPRODUCT(('England 1'!$E$282:$E$291='Team Position by Round'!$B14)*('England 1'!$F$282:$F$291&gt;'England 1'!$D$282:$D$291))*3+SUMPRODUCT(('England 1'!$C$282:$C$291='Team Position by Round'!$B14)*('England 1'!$D$282:$D$291='England 1'!$F$282:$F$291))+SUMPRODUCT(('England 1'!$E$282:$E$291='Team Position by Round'!$B14)*('England 1'!$F$282:$F$291='England 1'!$D$282:$D$291))</f>
        <v>0</v>
      </c>
      <c r="AF14" s="75" cm="1">
        <f t="array" ref="AF14">SUMPRODUCT(('England 1'!$C$292:$C$301='Team Position by Round'!$B14)*('England 1'!$D$292:$D$301&gt;'England 1'!$F$292:$F$301))*3+SUMPRODUCT(('England 1'!$E$292:$E$301='Team Position by Round'!$B14)*('England 1'!$F$292:$F$301&gt;'England 1'!$D$292:$D$301))*3+SUMPRODUCT(('England 1'!$C$292:$C$301='Team Position by Round'!$B14)*('England 1'!$D$292:$D$301='England 1'!$F$292:$F$301))+SUMPRODUCT(('England 1'!$E$292:$E$301='Team Position by Round'!$B14)*('England 1'!$F$292:$F$301='England 1'!$D$292:$D$301))</f>
        <v>1</v>
      </c>
      <c r="AG14" s="75" cm="1">
        <f t="array" ref="AG14">SUMPRODUCT(('England 1'!$C$302:$C$311='Team Position by Round'!$B14)*('England 1'!$D$302:$D$311&gt;'England 1'!$F$302:$F$311))*3+SUMPRODUCT(('England 1'!$E$302:$E$311='Team Position by Round'!$B14)*('England 1'!$F$302:$F$311&gt;'England 1'!$D$302:$D$311))*3+SUMPRODUCT(('England 1'!$C$302:$C$311='Team Position by Round'!$B14)*('England 1'!$D$302:$D$311='England 1'!$F$302:$F$311))+SUMPRODUCT(('England 1'!$E$302:$E$311='Team Position by Round'!$B14)*('England 1'!$F$302:$F$311='England 1'!$D$302:$D$311))</f>
        <v>3</v>
      </c>
      <c r="AH14" s="75" cm="1">
        <f t="array" ref="AH14">SUMPRODUCT(('England 1'!$C$312:$C$321='Team Position by Round'!$B14)*('England 1'!$D$312:$D$321&gt;'England 1'!$F$312:$F$321))*3+SUMPRODUCT(('England 1'!$E$312:$E$321='Team Position by Round'!$B14)*('England 1'!$F$312:$F$321&gt;'England 1'!$D$312:$D$321))*3+SUMPRODUCT(('England 1'!$C$312:$C$321='Team Position by Round'!$B14)*('England 1'!$D$312:$D$321='England 1'!$F$312:$F$321))+SUMPRODUCT(('England 1'!$E$312:$E$321='Team Position by Round'!$B14)*('England 1'!$F$312:$F$321='England 1'!$D$312:$D$321))</f>
        <v>3</v>
      </c>
      <c r="AI14" s="75" cm="1">
        <f t="array" ref="AI14">SUMPRODUCT(('England 1'!$C$322:$C$331='Team Position by Round'!$B14)*('England 1'!$D$322:$D$331&gt;'England 1'!$F$322:$F$331))*3+SUMPRODUCT(('England 1'!$E$322:$E$331='Team Position by Round'!$B14)*('England 1'!$F$322:$F$331&gt;'England 1'!$D$322:$D$331))*3+SUMPRODUCT(('England 1'!$C$322:$C$331='Team Position by Round'!$B14)*('England 1'!$D$322:$D$331='England 1'!$F$322:$F$331))+SUMPRODUCT(('England 1'!$E$322:$E$331='Team Position by Round'!$B14)*('England 1'!$F$322:$F$331='England 1'!$D$322:$D$331))</f>
        <v>0</v>
      </c>
      <c r="AJ14" s="75" cm="1">
        <f t="array" ref="AJ14">SUMPRODUCT(('England 1'!$C$332:$C$341='Team Position by Round'!$B14)*('England 1'!$D$332:$D$341&gt;'England 1'!$F$332:$F$341))*3+SUMPRODUCT(('England 1'!$E$332:$E$341='Team Position by Round'!$B14)*('England 1'!$F$332:$F$341&gt;'England 1'!$D$332:$D$341))*3+SUMPRODUCT(('England 1'!$C$332:$C$341='Team Position by Round'!$B14)*('England 1'!$D$332:$D$341='England 1'!$F$332:$F$341))+SUMPRODUCT(('England 1'!$E$332:$E$341='Team Position by Round'!$B14)*('England 1'!$F$332:$F$341='England 1'!$D$332:$D$341))</f>
        <v>1</v>
      </c>
      <c r="AK14" s="75" cm="1">
        <f t="array" ref="AK14">SUMPRODUCT(('England 1'!$C$342:$C$351='Team Position by Round'!$B14)*('England 1'!$D$342:$D$351&gt;'England 1'!$F$342:$F$351))*3+SUMPRODUCT(('England 1'!$E$342:$E$351='Team Position by Round'!$B14)*('England 1'!$F$342:$F$351&gt;'England 1'!$D$342:$D$351))*3+SUMPRODUCT(('England 1'!$C$342:$C$351='Team Position by Round'!$B14)*('England 1'!$D$342:$D$351='England 1'!$F$342:$F$351))+SUMPRODUCT(('England 1'!$E$342:$E$351='Team Position by Round'!$B14)*('England 1'!$F$342:$F$351='England 1'!$D$342:$D$351))</f>
        <v>0</v>
      </c>
      <c r="AL14" s="75" cm="1">
        <f t="array" ref="AL14">SUMPRODUCT(('England 1'!$C$352:$C$361='Team Position by Round'!$B14)*('England 1'!$D$352:$D$361&gt;'England 1'!$F$352:$F$361))*3+SUMPRODUCT(('England 1'!$E$352:$E$361='Team Position by Round'!$B14)*('England 1'!$F$352:$F$361&gt;'England 1'!$D$352:$D$361))*3+SUMPRODUCT(('England 1'!$C$352:$C$361='Team Position by Round'!$B14)*('England 1'!$D$352:$D$361='England 1'!$F$352:$F$361))+SUMPRODUCT(('England 1'!$E$352:$E$361='Team Position by Round'!$B14)*('England 1'!$F$352:$F$361='England 1'!$D$352:$D$361))</f>
        <v>1</v>
      </c>
      <c r="AM14" s="75" cm="1">
        <f t="array" ref="AM14">SUMPRODUCT(('England 1'!$C$362:$C$371='Team Position by Round'!$B14)*('England 1'!$D$362:$D$371&gt;'England 1'!$F$362:$F$371))*3+SUMPRODUCT(('England 1'!$E$362:$E$371='Team Position by Round'!$B14)*('England 1'!$F$362:$F$371&gt;'England 1'!$D$362:$D$371))*3+SUMPRODUCT(('England 1'!$C$362:$C$371='Team Position by Round'!$B14)*('England 1'!$D$362:$D$371='England 1'!$F$362:$F$371))+SUMPRODUCT(('England 1'!$E$362:$E$371='Team Position by Round'!$B14)*('England 1'!$F$362:$F$371='England 1'!$D$362:$D$371))</f>
        <v>3</v>
      </c>
      <c r="AN14" s="75" cm="1">
        <f t="array" ref="AN14">SUMPRODUCT(('England 1'!$C$372:$C$381='Team Position by Round'!$B14)*('England 1'!$D$372:$D$381&gt;'England 1'!$F$372:$F$381))*3+SUMPRODUCT(('England 1'!$E$372:$E$381='Team Position by Round'!$B14)*('England 1'!$F$372:$F$381&gt;'England 1'!$D$372:$D$381))*3+SUMPRODUCT(('England 1'!$C$372:$C$381='Team Position by Round'!$B14)*('England 1'!$D$372:$D$381='England 1'!$F$372:$F$381))+SUMPRODUCT(('England 1'!$E$372:$E$381='Team Position by Round'!$B14)*('England 1'!$F$372:$F$381='England 1'!$D$372:$D$381))</f>
        <v>0</v>
      </c>
      <c r="AO14">
        <f t="shared" si="0"/>
        <v>13</v>
      </c>
      <c r="AP14">
        <f t="shared" si="1"/>
        <v>10</v>
      </c>
      <c r="AQ14">
        <f t="shared" si="2"/>
        <v>15</v>
      </c>
      <c r="AR14" s="78">
        <f>SUMIF('Everton FC'!C:C,'Everton FC'!N18,'Everton FC'!D:D)+SUMIF('Everton FC'!E:E,'Everton FC'!N18,'Everton FC'!F:F)</f>
        <v>44</v>
      </c>
      <c r="AS14" s="78">
        <f>SUMIF('Everton FC'!C:C,"&lt;&gt;Everton FC",'Everton FC'!D:D)+SUMIF('Everton FC'!E:E,"&lt;&gt;Everton FC",'Everton FC'!F:F)</f>
        <v>56</v>
      </c>
      <c r="AT14" s="84">
        <f>MAX('Everton FC'!I:I)</f>
        <v>2</v>
      </c>
      <c r="AU14" s="84">
        <f>MAX('Everton FC'!J:J)</f>
        <v>4</v>
      </c>
      <c r="AV14">
        <f>MAX('Everton FC'!K:K)</f>
        <v>5</v>
      </c>
      <c r="AW14">
        <f>MAX('Everton FC'!L:L)</f>
        <v>4</v>
      </c>
    </row>
    <row r="15" spans="2:49" x14ac:dyDescent="0.2">
      <c r="B15" t="str">
        <v>Brighton &amp; Hove Albion FC</v>
      </c>
      <c r="C15" s="75" cm="1">
        <f t="array" ref="C15">SUMPRODUCT(('England 1'!$C$2:$C$11='Team Position by Round'!$B15)*('England 1'!$D$2:$D$11&gt;'England 1'!$F$2:$F$11))*3+SUMPRODUCT(('England 1'!$E$2:$E$11='Team Position by Round'!$B15)*('England 1'!$F$2:$F$11&gt;'England 1'!$D$2:$D$11))*3+SUMPRODUCT(('England 1'!$C$2:$C$11='Team Position by Round'!$B15)*('England 1'!$D$2:$D$11='England 1'!$F$2:$F$11))+SUMPRODUCT(('England 1'!$E$2:$E$11='Team Position by Round'!$B15)*('England 1'!$F$2:$F$11='England 1'!$D$2:$D$11))</f>
        <v>3</v>
      </c>
      <c r="D15" s="75" cm="1">
        <f t="array" ref="D15">SUMPRODUCT(('England 1'!$C$12:$C$21='Team Position by Round'!$B15)*('England 1'!$D$12:$D$21&gt;'England 1'!$F$12:$F$21))*3+SUMPRODUCT(('England 1'!$E$12:$E$21='Team Position by Round'!$B15)*('England 1'!$F$12:$F$21&gt;'England 1'!$D$12:$D$21))*3+SUMPRODUCT(('England 1'!$C$12:$C$21='Team Position by Round'!$B15)*('England 1'!$D$12:$D$21='England 1'!$F$12:$F$21))+SUMPRODUCT(('England 1'!$E$12:$E$21='Team Position by Round'!$B15)*('England 1'!$F$12:$F$21='England 1'!$D$12:$D$21))</f>
        <v>1</v>
      </c>
      <c r="E15" s="75" cm="1">
        <f t="array" ref="E15">SUMPRODUCT(('England 1'!$C$22:$C$31='Team Position by Round'!$B15)*('England 1'!$D$22:$D$31&gt;'England 1'!$F$22:$F$31))*3+SUMPRODUCT(('England 1'!$E$22:$E$31='Team Position by Round'!$B15)*('England 1'!$F$22:$F$31&gt;'England 1'!$D$22:$D$31))*3+SUMPRODUCT(('England 1'!$C$22:$C$31='Team Position by Round'!$B15)*('England 1'!$D$22:$D$31='England 1'!$F$22:$F$31))+SUMPRODUCT(('England 1'!$E$22:$E$31='Team Position by Round'!$B15)*('England 1'!$F$22:$F$31='England 1'!$D$22:$D$31))</f>
        <v>0</v>
      </c>
      <c r="F15" s="75" cm="1">
        <f t="array" ref="F15">SUMPRODUCT(('England 1'!$C$32:$C$41='Team Position by Round'!$B15)*('England 1'!$D$32:$D$41&gt;'England 1'!$F$32:$F$41))*3+SUMPRODUCT(('England 1'!$E$32:$E$41='Team Position by Round'!$B15)*('England 1'!$F$32:$F$41&gt;'England 1'!$D$32:$D$41))*3+SUMPRODUCT(('England 1'!$C$32:$C$41='Team Position by Round'!$B15)*('England 1'!$D$32:$D$41='England 1'!$F$32:$F$41))+SUMPRODUCT(('England 1'!$E$32:$E$41='Team Position by Round'!$B15)*('England 1'!$F$32:$F$41='England 1'!$D$32:$D$41))</f>
        <v>0</v>
      </c>
      <c r="G15" s="75" cm="1">
        <f t="array" ref="G15">SUMPRODUCT(('England 1'!$C$42:$C$51='Team Position by Round'!$B15)*('England 1'!$D$42:$D$51&gt;'England 1'!$F$42:$F$51))*3+SUMPRODUCT(('England 1'!$E$42:$E$51='Team Position by Round'!$B15)*('England 1'!$F$42:$F$51&gt;'England 1'!$D$42:$D$51))*3+SUMPRODUCT(('England 1'!$C$42:$C$51='Team Position by Round'!$B15)*('England 1'!$D$42:$D$51='England 1'!$F$42:$F$51))+SUMPRODUCT(('England 1'!$E$42:$E$51='Team Position by Round'!$B15)*('England 1'!$F$42:$F$51='England 1'!$D$42:$D$51))</f>
        <v>1</v>
      </c>
      <c r="H15" s="75" cm="1">
        <f t="array" ref="H15">SUMPRODUCT(('England 1'!$C$52:$C$61='Team Position by Round'!$B15)*('England 1'!$D$52:$D$61&gt;'England 1'!$F$52:$F$61))*3+SUMPRODUCT(('England 1'!$E$52:$E$61='Team Position by Round'!$B15)*('England 1'!$F$52:$F$61&gt;'England 1'!$D$52:$D$61))*3+SUMPRODUCT(('England 1'!$C$52:$C$61='Team Position by Round'!$B15)*('England 1'!$D$52:$D$61='England 1'!$F$52:$F$61))+SUMPRODUCT(('England 1'!$E$52:$E$61='Team Position by Round'!$B15)*('England 1'!$F$52:$F$61='England 1'!$D$52:$D$61))</f>
        <v>1</v>
      </c>
      <c r="I15" s="75" cm="1">
        <f t="array" ref="I15">SUMPRODUCT(('England 1'!$C$62:$C$71='Team Position by Round'!$B15)*('England 1'!$D$62:$D$71&gt;'England 1'!$F$62:$F$71))*3+SUMPRODUCT(('England 1'!$E$62:$E$71='Team Position by Round'!$B15)*('England 1'!$F$62:$F$71&gt;'England 1'!$D$62:$D$71))*3+SUMPRODUCT(('England 1'!$C$62:$C$71='Team Position by Round'!$B15)*('England 1'!$D$62:$D$71='England 1'!$F$62:$F$71))+SUMPRODUCT(('England 1'!$E$62:$E$71='Team Position by Round'!$B15)*('England 1'!$F$62:$F$71='England 1'!$D$62:$D$71))</f>
        <v>0</v>
      </c>
      <c r="J15" s="76" cm="1">
        <f t="array" ref="J15">SUMPRODUCT(('England 1'!$C$72:$C$81='Team Position by Round'!$B15)*('England 1'!$D$72:$D$81&gt;'England 1'!$F$72:$F$81))*3+SUMPRODUCT(('England 1'!$E$72:$E$81='Team Position by Round'!$B15)*('England 1'!$F$72:$F$81&gt;'England 1'!$D$72:$D$81))*3+SUMPRODUCT(('England 1'!$C$72:$C$81='Team Position by Round'!$B15)*('England 1'!$D$72:$D$81='England 1'!$F$72:$F$81))+SUMPRODUCT(('England 1'!$E$72:$E$81='Team Position by Round'!$B15)*('England 1'!$F$72:$F$81='England 1'!$D$72:$D$81))</f>
        <v>3</v>
      </c>
      <c r="K15" s="75" cm="1">
        <f t="array" ref="K15">SUMPRODUCT(('England 1'!$C$82:$C$91='Team Position by Round'!$B15)*('England 1'!$D$82:$D$91&gt;'England 1'!$F$82:$F$91))*3+SUMPRODUCT(('England 1'!$E$82:$E$91='Team Position by Round'!$B15)*('England 1'!$F$82:$F$91&gt;'England 1'!$D$82:$D$91))*3+SUMPRODUCT(('England 1'!$C$82:$C$91='Team Position by Round'!$B15)*('England 1'!$D$82:$D$91='England 1'!$F$82:$F$91))+SUMPRODUCT(('England 1'!$E$82:$E$91='Team Position by Round'!$B15)*('England 1'!$F$82:$F$91='England 1'!$D$82:$D$91))</f>
        <v>0</v>
      </c>
      <c r="L15" s="75" cm="1">
        <f t="array" ref="L15">SUMPRODUCT(('England 1'!$C$92:$C$101='Team Position by Round'!$B15)*('England 1'!$D$92:$D$101&gt;'England 1'!$F$92:$F$101))*3+SUMPRODUCT(('England 1'!$E$92:$E$101='Team Position by Round'!$B15)*('England 1'!$F$92:$F$101&gt;'England 1'!$D$92:$D$101))*3+SUMPRODUCT(('England 1'!$C$92:$C$101='Team Position by Round'!$B15)*('England 1'!$D$92:$D$101='England 1'!$F$92:$F$101))+SUMPRODUCT(('England 1'!$E$92:$E$101='Team Position by Round'!$B15)*('England 1'!$F$92:$F$101='England 1'!$D$92:$D$101))</f>
        <v>3</v>
      </c>
      <c r="M15" s="75" cm="1">
        <f t="array" ref="M15">SUMPRODUCT(('England 1'!$C$102:$C$111='Team Position by Round'!$B15)*('England 1'!$D$102:$D$111&gt;'England 1'!$F$102:$F$111))*3+SUMPRODUCT(('England 1'!$E$102:$E$111='Team Position by Round'!$B15)*('England 1'!$F$102:$F$111&gt;'England 1'!$D$102:$D$111))*3+SUMPRODUCT(('England 1'!$C$102:$C$111='Team Position by Round'!$B15)*('England 1'!$D$102:$D$111='England 1'!$F$102:$F$111))+SUMPRODUCT(('England 1'!$E$102:$E$111='Team Position by Round'!$B15)*('England 1'!$F$102:$F$111='England 1'!$D$102:$D$111))</f>
        <v>3</v>
      </c>
      <c r="N15" s="75" cm="1">
        <f t="array" ref="N15">SUMPRODUCT(('England 1'!$C$112:$C$121='Team Position by Round'!$B15)*('England 1'!$D$112:$D$121&gt;'England 1'!$F$112:$F$121))*3+SUMPRODUCT(('England 1'!$E$112:$E$121='Team Position by Round'!$B15)*('England 1'!$F$112:$F$121&gt;'England 1'!$D$112:$D$121))*3+SUMPRODUCT(('England 1'!$C$112:$C$121='Team Position by Round'!$B15)*('England 1'!$D$112:$D$121='England 1'!$F$112:$F$121))+SUMPRODUCT(('England 1'!$E$112:$E$121='Team Position by Round'!$B15)*('England 1'!$F$112:$F$121='England 1'!$D$112:$D$121))</f>
        <v>0</v>
      </c>
      <c r="O15" s="75" cm="1">
        <f t="array" ref="O15">SUMPRODUCT(('England 1'!$C$122:$C$131='Team Position by Round'!$B15)*('England 1'!$D$122:$D$131&gt;'England 1'!$F$122:$F$131))*3+SUMPRODUCT(('England 1'!$E$122:$E$131='Team Position by Round'!$B15)*('England 1'!$F$122:$F$131&gt;'England 1'!$D$122:$D$131))*3+SUMPRODUCT(('England 1'!$C$122:$C$131='Team Position by Round'!$B15)*('England 1'!$D$122:$D$131='England 1'!$F$122:$F$131))+SUMPRODUCT(('England 1'!$E$122:$E$131='Team Position by Round'!$B15)*('England 1'!$F$122:$F$131='England 1'!$D$122:$D$131))</f>
        <v>0</v>
      </c>
      <c r="P15" s="75" cm="1">
        <f t="array" ref="P15">SUMPRODUCT(('England 1'!$C$132:$C$141='Team Position by Round'!$B15)*('England 1'!$D$132:$D$141&gt;'England 1'!$F$132:$F$141))*3+SUMPRODUCT(('England 1'!$E$132:$E$141='Team Position by Round'!$B15)*('England 1'!$F$132:$F$141&gt;'England 1'!$D$132:$D$141))*3+SUMPRODUCT(('England 1'!$C$132:$C$141='Team Position by Round'!$B15)*('England 1'!$D$132:$D$141='England 1'!$F$132:$F$141))+SUMPRODUCT(('England 1'!$E$132:$E$141='Team Position by Round'!$B15)*('England 1'!$F$132:$F$141='England 1'!$D$132:$D$141))</f>
        <v>0</v>
      </c>
      <c r="Q15" s="75" cm="1">
        <f t="array" ref="Q15">SUMPRODUCT(('England 1'!$C$142:$C$151='Team Position by Round'!$B15)*('England 1'!$D$142:$D$151&gt;'England 1'!$F$142:$F$151))*3+SUMPRODUCT(('England 1'!$E$142:$E$151='Team Position by Round'!$B15)*('England 1'!$F$142:$F$151&gt;'England 1'!$D$142:$D$151))*3+SUMPRODUCT(('England 1'!$C$142:$C$151='Team Position by Round'!$B15)*('England 1'!$D$142:$D$151='England 1'!$F$142:$F$151))+SUMPRODUCT(('England 1'!$E$142:$E$151='Team Position by Round'!$B15)*('England 1'!$F$142:$F$151='England 1'!$D$142:$D$151))</f>
        <v>3</v>
      </c>
      <c r="R15" s="75" cm="1">
        <f t="array" ref="R15">SUMPRODUCT(('England 1'!$C$152:$C$161='Team Position by Round'!$B15)*('England 1'!$D$152:$D$161&gt;'England 1'!$F$152:$F$161))*3+SUMPRODUCT(('England 1'!$E$152:$E$161='Team Position by Round'!$B15)*('England 1'!$F$152:$F$161&gt;'England 1'!$D$152:$D$161))*3+SUMPRODUCT(('England 1'!$C$152:$C$161='Team Position by Round'!$B15)*('England 1'!$D$152:$D$161='England 1'!$F$152:$F$161))+SUMPRODUCT(('England 1'!$E$152:$E$161='Team Position by Round'!$B15)*('England 1'!$F$152:$F$161='England 1'!$D$152:$D$161))</f>
        <v>1</v>
      </c>
      <c r="S15" s="75" cm="1">
        <f t="array" ref="S15">SUMPRODUCT(('England 1'!$C$162:$C$171='Team Position by Round'!$B15)*('England 1'!$D$162:$D$171&gt;'England 1'!$F$162:$F$171))*3+SUMPRODUCT(('England 1'!$E$162:$E$171='Team Position by Round'!$B15)*('England 1'!$F$162:$F$171&gt;'England 1'!$D$162:$D$171))*3+SUMPRODUCT(('England 1'!$C$162:$C$171='Team Position by Round'!$B15)*('England 1'!$D$162:$D$171='England 1'!$F$162:$F$171))+SUMPRODUCT(('England 1'!$E$162:$E$171='Team Position by Round'!$B15)*('England 1'!$F$162:$F$171='England 1'!$D$162:$D$171))</f>
        <v>1</v>
      </c>
      <c r="T15" s="75" cm="1">
        <f t="array" ref="T15">SUMPRODUCT(('England 1'!$C$172:$C$181='Team Position by Round'!$B15)*('England 1'!$D$172:$D$181&gt;'England 1'!$F$172:$F$181))*3+SUMPRODUCT(('England 1'!$E$172:$E$181='Team Position by Round'!$B15)*('England 1'!$F$172:$F$181&gt;'England 1'!$D$172:$D$181))*3+SUMPRODUCT(('England 1'!$C$172:$C$181='Team Position by Round'!$B15)*('England 1'!$D$172:$D$181='England 1'!$F$172:$F$181))+SUMPRODUCT(('England 1'!$E$172:$E$181='Team Position by Round'!$B15)*('England 1'!$F$172:$F$181='England 1'!$D$172:$D$181))</f>
        <v>0</v>
      </c>
      <c r="U15" s="75" cm="1">
        <f t="array" ref="U15">SUMPRODUCT(('England 1'!$C$182:$C$191='Team Position by Round'!$B15)*('England 1'!$D$182:$D$191&gt;'England 1'!$F$182:$F$191))*3+SUMPRODUCT(('England 1'!$E$182:$E$191='Team Position by Round'!$B15)*('England 1'!$F$182:$F$191&gt;'England 1'!$D$182:$D$191))*3+SUMPRODUCT(('England 1'!$C$182:$C$191='Team Position by Round'!$B15)*('England 1'!$D$182:$D$191='England 1'!$F$182:$F$191))+SUMPRODUCT(('England 1'!$E$182:$E$191='Team Position by Round'!$B15)*('England 1'!$F$182:$F$191='England 1'!$D$182:$D$191))</f>
        <v>0</v>
      </c>
      <c r="V15" s="75" cm="1">
        <f t="array" ref="V15">SUMPRODUCT(('England 1'!$C$192:$C$201='Team Position by Round'!$B15)*('England 1'!$D$192:$D$201&gt;'England 1'!$F$192:$F$201))*3+SUMPRODUCT(('England 1'!$E$192:$E$201='Team Position by Round'!$B15)*('England 1'!$F$192:$F$201&gt;'England 1'!$D$192:$D$201))*3+SUMPRODUCT(('England 1'!$C$192:$C$201='Team Position by Round'!$B15)*('England 1'!$D$192:$D$201='England 1'!$F$192:$F$201))+SUMPRODUCT(('England 1'!$E$192:$E$201='Team Position by Round'!$B15)*('England 1'!$F$192:$F$201='England 1'!$D$192:$D$201))</f>
        <v>3</v>
      </c>
      <c r="W15" s="75" cm="1">
        <f t="array" ref="W15">SUMPRODUCT(('England 1'!$C$202:$C$211='Team Position by Round'!$B15)*('England 1'!$D$202:$D$211&gt;'England 1'!$F$202:$F$211))*3+SUMPRODUCT(('England 1'!$E$202:$E$211='Team Position by Round'!$B15)*('England 1'!$F$202:$F$211&gt;'England 1'!$D$202:$D$211))*3+SUMPRODUCT(('England 1'!$C$202:$C$211='Team Position by Round'!$B15)*('England 1'!$D$202:$D$211='England 1'!$F$202:$F$211))+SUMPRODUCT(('England 1'!$E$202:$E$211='Team Position by Round'!$B15)*('England 1'!$F$202:$F$211='England 1'!$D$202:$D$211))</f>
        <v>1</v>
      </c>
      <c r="X15" s="75" cm="1">
        <f t="array" ref="X15">SUMPRODUCT(('England 1'!$C$212:$C$221='Team Position by Round'!$B15)*('England 1'!$D$212:$D$221&gt;'England 1'!$F$212:$F$221))*3+SUMPRODUCT(('England 1'!$E$212:$E$221='Team Position by Round'!$B15)*('England 1'!$F$212:$F$221&gt;'England 1'!$D$212:$D$221))*3+SUMPRODUCT(('England 1'!$C$212:$C$221='Team Position by Round'!$B15)*('England 1'!$D$212:$D$221='England 1'!$F$212:$F$221))+SUMPRODUCT(('England 1'!$E$212:$E$221='Team Position by Round'!$B15)*('England 1'!$F$212:$F$221='England 1'!$D$212:$D$221))</f>
        <v>0</v>
      </c>
      <c r="Y15" s="75" cm="1">
        <f t="array" ref="Y15">SUMPRODUCT(('England 1'!$C$222:$C$231='Team Position by Round'!$B15)*('England 1'!$D$222:$D$231&gt;'England 1'!$F$222:$F$231))*3+SUMPRODUCT(('England 1'!$E$222:$E$231='Team Position by Round'!$B15)*('England 1'!$F$222:$F$231&gt;'England 1'!$D$222:$D$231))*3+SUMPRODUCT(('England 1'!$C$222:$C$231='Team Position by Round'!$B15)*('England 1'!$D$222:$D$231='England 1'!$F$222:$F$231))+SUMPRODUCT(('England 1'!$E$222:$E$231='Team Position by Round'!$B15)*('England 1'!$F$222:$F$231='England 1'!$D$222:$D$231))</f>
        <v>1</v>
      </c>
      <c r="Z15" s="75" cm="1">
        <f t="array" ref="Z15">SUMPRODUCT(('England 1'!$C$232:$C$241='Team Position by Round'!$B15)*('England 1'!$D$232:$D$241&gt;'England 1'!$F$232:$F$241))*3+SUMPRODUCT(('England 1'!$E$232:$E$241='Team Position by Round'!$B15)*('England 1'!$F$232:$F$241&gt;'England 1'!$D$232:$D$241))*3+SUMPRODUCT(('England 1'!$C$232:$C$241='Team Position by Round'!$B15)*('England 1'!$D$232:$D$241='England 1'!$F$232:$F$241))+SUMPRODUCT(('England 1'!$E$232:$E$241='Team Position by Round'!$B15)*('England 1'!$F$232:$F$241='England 1'!$D$232:$D$241))</f>
        <v>0</v>
      </c>
      <c r="AA15" s="75" cm="1">
        <f t="array" ref="AA15">SUMPRODUCT(('England 1'!$C$242:$C$251='Team Position by Round'!$B15)*('England 1'!$D$242:$D$251&gt;'England 1'!$F$242:$F$251))*3+SUMPRODUCT(('England 1'!$E$242:$E$251='Team Position by Round'!$B15)*('England 1'!$F$242:$F$251&gt;'England 1'!$D$242:$D$251))*3+SUMPRODUCT(('England 1'!$C$242:$C$251='Team Position by Round'!$B15)*('England 1'!$D$242:$D$251='England 1'!$F$242:$F$251))+SUMPRODUCT(('England 1'!$E$242:$E$251='Team Position by Round'!$B15)*('England 1'!$F$242:$F$251='England 1'!$D$242:$D$251))</f>
        <v>1</v>
      </c>
      <c r="AB15" s="75" cm="1">
        <f t="array" ref="AB15">SUMPRODUCT(('England 1'!$C$252:$C$261='Team Position by Round'!$B15)*('England 1'!$D$252:$D$261&gt;'England 1'!$F$252:$F$261))*3+SUMPRODUCT(('England 1'!$E$252:$E$261='Team Position by Round'!$B15)*('England 1'!$F$252:$F$261&gt;'England 1'!$D$252:$D$261))*3+SUMPRODUCT(('England 1'!$C$252:$C$261='Team Position by Round'!$B15)*('England 1'!$D$252:$D$261='England 1'!$F$252:$F$261))+SUMPRODUCT(('England 1'!$E$252:$E$261='Team Position by Round'!$B15)*('England 1'!$F$252:$F$261='England 1'!$D$252:$D$261))</f>
        <v>1</v>
      </c>
      <c r="AC15" s="75" cm="1">
        <f t="array" ref="AC15">SUMPRODUCT(('England 1'!$C$262:$C$271='Team Position by Round'!$B15)*('England 1'!$D$262:$D$271&gt;'England 1'!$F$262:$F$271))*3+SUMPRODUCT(('England 1'!$E$262:$E$271='Team Position by Round'!$B15)*('England 1'!$F$262:$F$271&gt;'England 1'!$D$262:$D$271))*3+SUMPRODUCT(('England 1'!$C$262:$C$271='Team Position by Round'!$B15)*('England 1'!$D$262:$D$271='England 1'!$F$262:$F$271))+SUMPRODUCT(('England 1'!$E$262:$E$271='Team Position by Round'!$B15)*('England 1'!$F$262:$F$271='England 1'!$D$262:$D$271))</f>
        <v>1</v>
      </c>
      <c r="AD15" s="75" cm="1">
        <f t="array" ref="AD15">SUMPRODUCT(('England 1'!$C$272:$C$281='Team Position by Round'!$B15)*('England 1'!$D$272:$D$281&gt;'England 1'!$F$272:$F$281))*3+SUMPRODUCT(('England 1'!$E$272:$E$281='Team Position by Round'!$B15)*('England 1'!$F$272:$F$281&gt;'England 1'!$D$272:$D$281))*3+SUMPRODUCT(('England 1'!$C$272:$C$281='Team Position by Round'!$B15)*('England 1'!$D$272:$D$281='England 1'!$F$272:$F$281))+SUMPRODUCT(('England 1'!$E$272:$E$281='Team Position by Round'!$B15)*('England 1'!$F$272:$F$281='England 1'!$D$272:$D$281))</f>
        <v>0</v>
      </c>
      <c r="AE15" s="75" cm="1">
        <f t="array" ref="AE15">SUMPRODUCT(('England 1'!$C$282:$C$291='Team Position by Round'!$B15)*('England 1'!$D$282:$D$291&gt;'England 1'!$F$282:$F$291))*3+SUMPRODUCT(('England 1'!$E$282:$E$291='Team Position by Round'!$B15)*('England 1'!$F$282:$F$291&gt;'England 1'!$D$282:$D$291))*3+SUMPRODUCT(('England 1'!$C$282:$C$291='Team Position by Round'!$B15)*('England 1'!$D$282:$D$291='England 1'!$F$282:$F$291))+SUMPRODUCT(('England 1'!$E$282:$E$291='Team Position by Round'!$B15)*('England 1'!$F$282:$F$291='England 1'!$D$282:$D$291))</f>
        <v>1</v>
      </c>
      <c r="AF15" s="75" cm="1">
        <f t="array" ref="AF15">SUMPRODUCT(('England 1'!$C$292:$C$301='Team Position by Round'!$B15)*('England 1'!$D$292:$D$301&gt;'England 1'!$F$292:$F$301))*3+SUMPRODUCT(('England 1'!$E$292:$E$301='Team Position by Round'!$B15)*('England 1'!$F$292:$F$301&gt;'England 1'!$D$292:$D$301))*3+SUMPRODUCT(('England 1'!$C$292:$C$301='Team Position by Round'!$B15)*('England 1'!$D$292:$D$301='England 1'!$F$292:$F$301))+SUMPRODUCT(('England 1'!$E$292:$E$301='Team Position by Round'!$B15)*('England 1'!$F$292:$F$301='England 1'!$D$292:$D$301))</f>
        <v>3</v>
      </c>
      <c r="AG15" s="75" cm="1">
        <f t="array" ref="AG15">SUMPRODUCT(('England 1'!$C$302:$C$311='Team Position by Round'!$B15)*('England 1'!$D$302:$D$311&gt;'England 1'!$F$302:$F$311))*3+SUMPRODUCT(('England 1'!$E$302:$E$311='Team Position by Round'!$B15)*('England 1'!$F$302:$F$311&gt;'England 1'!$D$302:$D$311))*3+SUMPRODUCT(('England 1'!$C$302:$C$311='Team Position by Round'!$B15)*('England 1'!$D$302:$D$311='England 1'!$F$302:$F$311))+SUMPRODUCT(('England 1'!$E$302:$E$311='Team Position by Round'!$B15)*('England 1'!$F$302:$F$311='England 1'!$D$302:$D$311))</f>
        <v>1</v>
      </c>
      <c r="AH15" s="75" cm="1">
        <f t="array" ref="AH15">SUMPRODUCT(('England 1'!$C$312:$C$321='Team Position by Round'!$B15)*('England 1'!$D$312:$D$321&gt;'England 1'!$F$312:$F$321))*3+SUMPRODUCT(('England 1'!$E$312:$E$321='Team Position by Round'!$B15)*('England 1'!$F$312:$F$321&gt;'England 1'!$D$312:$D$321))*3+SUMPRODUCT(('England 1'!$C$312:$C$321='Team Position by Round'!$B15)*('England 1'!$D$312:$D$321='England 1'!$F$312:$F$321))+SUMPRODUCT(('England 1'!$E$312:$E$321='Team Position by Round'!$B15)*('England 1'!$F$312:$F$321='England 1'!$D$312:$D$321))</f>
        <v>0</v>
      </c>
      <c r="AI15" s="75" cm="1">
        <f t="array" ref="AI15">SUMPRODUCT(('England 1'!$C$322:$C$331='Team Position by Round'!$B15)*('England 1'!$D$322:$D$331&gt;'England 1'!$F$322:$F$331))*3+SUMPRODUCT(('England 1'!$E$322:$E$331='Team Position by Round'!$B15)*('England 1'!$F$322:$F$331&gt;'England 1'!$D$322:$D$331))*3+SUMPRODUCT(('England 1'!$C$322:$C$331='Team Position by Round'!$B15)*('England 1'!$D$322:$D$331='England 1'!$F$322:$F$331))+SUMPRODUCT(('England 1'!$E$322:$E$331='Team Position by Round'!$B15)*('England 1'!$F$322:$F$331='England 1'!$D$322:$D$331))</f>
        <v>3</v>
      </c>
      <c r="AJ15" s="75" cm="1">
        <f t="array" ref="AJ15">SUMPRODUCT(('England 1'!$C$332:$C$341='Team Position by Round'!$B15)*('England 1'!$D$332:$D$341&gt;'England 1'!$F$332:$F$341))*3+SUMPRODUCT(('England 1'!$E$332:$E$341='Team Position by Round'!$B15)*('England 1'!$F$332:$F$341&gt;'England 1'!$D$332:$D$341))*3+SUMPRODUCT(('England 1'!$C$332:$C$341='Team Position by Round'!$B15)*('England 1'!$D$332:$D$341='England 1'!$F$332:$F$341))+SUMPRODUCT(('England 1'!$E$332:$E$341='Team Position by Round'!$B15)*('England 1'!$F$332:$F$341='England 1'!$D$332:$D$341))</f>
        <v>0</v>
      </c>
      <c r="AK15" s="75" cm="1">
        <f t="array" ref="AK15">SUMPRODUCT(('England 1'!$C$342:$C$351='Team Position by Round'!$B15)*('England 1'!$D$342:$D$351&gt;'England 1'!$F$342:$F$351))*3+SUMPRODUCT(('England 1'!$E$342:$E$351='Team Position by Round'!$B15)*('England 1'!$F$342:$F$351&gt;'England 1'!$D$342:$D$351))*3+SUMPRODUCT(('England 1'!$C$342:$C$351='Team Position by Round'!$B15)*('England 1'!$D$342:$D$351='England 1'!$F$342:$F$351))+SUMPRODUCT(('England 1'!$E$342:$E$351='Team Position by Round'!$B15)*('England 1'!$F$342:$F$351='England 1'!$D$342:$D$351))</f>
        <v>0</v>
      </c>
      <c r="AL15" s="75" cm="1">
        <f t="array" ref="AL15">SUMPRODUCT(('England 1'!$C$352:$C$361='Team Position by Round'!$B15)*('England 1'!$D$352:$D$361&gt;'England 1'!$F$352:$F$361))*3+SUMPRODUCT(('England 1'!$E$352:$E$361='Team Position by Round'!$B15)*('England 1'!$F$352:$F$361&gt;'England 1'!$D$352:$D$361))*3+SUMPRODUCT(('England 1'!$C$352:$C$361='Team Position by Round'!$B15)*('England 1'!$D$352:$D$361='England 1'!$F$352:$F$361))+SUMPRODUCT(('England 1'!$E$352:$E$361='Team Position by Round'!$B15)*('England 1'!$F$352:$F$361='England 1'!$D$352:$D$361))</f>
        <v>1</v>
      </c>
      <c r="AM15" s="75" cm="1">
        <f t="array" ref="AM15">SUMPRODUCT(('England 1'!$C$362:$C$371='Team Position by Round'!$B15)*('England 1'!$D$362:$D$371&gt;'England 1'!$F$362:$F$371))*3+SUMPRODUCT(('England 1'!$E$362:$E$371='Team Position by Round'!$B15)*('England 1'!$F$362:$F$371&gt;'England 1'!$D$362:$D$371))*3+SUMPRODUCT(('England 1'!$C$362:$C$371='Team Position by Round'!$B15)*('England 1'!$D$362:$D$371='England 1'!$F$362:$F$371))+SUMPRODUCT(('England 1'!$E$362:$E$371='Team Position by Round'!$B15)*('England 1'!$F$362:$F$371='England 1'!$D$362:$D$371))</f>
        <v>1</v>
      </c>
      <c r="AN15" s="75" cm="1">
        <f t="array" ref="AN15">SUMPRODUCT(('England 1'!$C$372:$C$381='Team Position by Round'!$B15)*('England 1'!$D$372:$D$381&gt;'England 1'!$F$372:$F$381))*3+SUMPRODUCT(('England 1'!$E$372:$E$381='Team Position by Round'!$B15)*('England 1'!$F$372:$F$381&gt;'England 1'!$D$372:$D$381))*3+SUMPRODUCT(('England 1'!$C$372:$C$381='Team Position by Round'!$B15)*('England 1'!$D$372:$D$381='England 1'!$F$372:$F$381))+SUMPRODUCT(('England 1'!$E$372:$E$381='Team Position by Round'!$B15)*('England 1'!$F$372:$F$381='England 1'!$D$372:$D$381))</f>
        <v>3</v>
      </c>
      <c r="AO15">
        <f t="shared" si="0"/>
        <v>9</v>
      </c>
      <c r="AP15">
        <f t="shared" si="1"/>
        <v>14</v>
      </c>
      <c r="AQ15">
        <f t="shared" si="2"/>
        <v>15</v>
      </c>
      <c r="AR15" s="78">
        <f>SUMIF('Brighton &amp; Hove Albion FC'!C:C,'Brighton &amp; Hove Albion FC'!N18,'Brighton &amp; Hove Albion FC'!D:D)+SUMIF('Brighton &amp; Hove Albion FC'!E:E,'Brighton &amp; Hove Albion FC'!N18,'Brighton &amp; Hove Albion FC'!F:F)</f>
        <v>39</v>
      </c>
      <c r="AS15" s="78">
        <f>SUMIF('Brighton &amp; Hove Albion FC'!C:C,"&lt;&gt;Brighton &amp; Hove Albion FC",'Brighton &amp; Hove Albion FC'!D:D)+SUMIF('Brighton &amp; Hove Albion FC'!E:E,"&lt;&gt;Brighton &amp; Hove Albion FC",'Brighton &amp; Hove Albion FC'!F:F)</f>
        <v>54</v>
      </c>
      <c r="AT15" s="84">
        <f>MAX('Brighton &amp; Hove Albion FC'!I:I)</f>
        <v>2</v>
      </c>
      <c r="AU15" s="84">
        <f>MAX('Brighton &amp; Hove Albion FC'!J:J)</f>
        <v>3</v>
      </c>
      <c r="AV15">
        <f>MAX('Brighton &amp; Hove Albion FC'!K:K)</f>
        <v>3</v>
      </c>
      <c r="AW15">
        <f>MAX('Brighton &amp; Hove Albion FC'!L:L)</f>
        <v>9</v>
      </c>
    </row>
    <row r="16" spans="2:49" x14ac:dyDescent="0.2">
      <c r="B16" t="str">
        <v>Aston Villa FC</v>
      </c>
      <c r="C16" s="75" cm="1">
        <f t="array" ref="C16">SUMPRODUCT(('England 1'!$C$2:$C$11='Team Position by Round'!$B16)*('England 1'!$D$2:$D$11&gt;'England 1'!$F$2:$F$11))*3+SUMPRODUCT(('England 1'!$E$2:$E$11='Team Position by Round'!$B16)*('England 1'!$F$2:$F$11&gt;'England 1'!$D$2:$D$11))*3+SUMPRODUCT(('England 1'!$C$2:$C$11='Team Position by Round'!$B16)*('England 1'!$D$2:$D$11='England 1'!$F$2:$F$11))+SUMPRODUCT(('England 1'!$E$2:$E$11='Team Position by Round'!$B16)*('England 1'!$F$2:$F$11='England 1'!$D$2:$D$11))</f>
        <v>0</v>
      </c>
      <c r="D16" s="75" cm="1">
        <f t="array" ref="D16">SUMPRODUCT(('England 1'!$C$12:$C$21='Team Position by Round'!$B16)*('England 1'!$D$12:$D$21&gt;'England 1'!$F$12:$F$21))*3+SUMPRODUCT(('England 1'!$E$12:$E$21='Team Position by Round'!$B16)*('England 1'!$F$12:$F$21&gt;'England 1'!$D$12:$D$21))*3+SUMPRODUCT(('England 1'!$C$12:$C$21='Team Position by Round'!$B16)*('England 1'!$D$12:$D$21='England 1'!$F$12:$F$21))+SUMPRODUCT(('England 1'!$E$12:$E$21='Team Position by Round'!$B16)*('England 1'!$F$12:$F$21='England 1'!$D$12:$D$21))</f>
        <v>0</v>
      </c>
      <c r="E16" s="75" cm="1">
        <f t="array" ref="E16">SUMPRODUCT(('England 1'!$C$22:$C$31='Team Position by Round'!$B16)*('England 1'!$D$22:$D$31&gt;'England 1'!$F$22:$F$31))*3+SUMPRODUCT(('England 1'!$E$22:$E$31='Team Position by Round'!$B16)*('England 1'!$F$22:$F$31&gt;'England 1'!$D$22:$D$31))*3+SUMPRODUCT(('England 1'!$C$22:$C$31='Team Position by Round'!$B16)*('England 1'!$D$22:$D$31='England 1'!$F$22:$F$31))+SUMPRODUCT(('England 1'!$E$22:$E$31='Team Position by Round'!$B16)*('England 1'!$F$22:$F$31='England 1'!$D$22:$D$31))</f>
        <v>3</v>
      </c>
      <c r="F16" s="75" cm="1">
        <f t="array" ref="F16">SUMPRODUCT(('England 1'!$C$32:$C$41='Team Position by Round'!$B16)*('England 1'!$D$32:$D$41&gt;'England 1'!$F$32:$F$41))*3+SUMPRODUCT(('England 1'!$E$32:$E$41='Team Position by Round'!$B16)*('England 1'!$F$32:$F$41&gt;'England 1'!$D$32:$D$41))*3+SUMPRODUCT(('England 1'!$C$32:$C$41='Team Position by Round'!$B16)*('England 1'!$D$32:$D$41='England 1'!$F$32:$F$41))+SUMPRODUCT(('England 1'!$E$32:$E$41='Team Position by Round'!$B16)*('England 1'!$F$32:$F$41='England 1'!$D$32:$D$41))</f>
        <v>0</v>
      </c>
      <c r="G16" s="75" cm="1">
        <f t="array" ref="G16">SUMPRODUCT(('England 1'!$C$42:$C$51='Team Position by Round'!$B16)*('England 1'!$D$42:$D$51&gt;'England 1'!$F$42:$F$51))*3+SUMPRODUCT(('England 1'!$E$42:$E$51='Team Position by Round'!$B16)*('England 1'!$F$42:$F$51&gt;'England 1'!$D$42:$D$51))*3+SUMPRODUCT(('England 1'!$C$42:$C$51='Team Position by Round'!$B16)*('England 1'!$D$42:$D$51='England 1'!$F$42:$F$51))+SUMPRODUCT(('England 1'!$E$42:$E$51='Team Position by Round'!$B16)*('England 1'!$F$42:$F$51='England 1'!$D$42:$D$51))</f>
        <v>1</v>
      </c>
      <c r="H16" s="75" cm="1">
        <f t="array" ref="H16">SUMPRODUCT(('England 1'!$C$52:$C$61='Team Position by Round'!$B16)*('England 1'!$D$52:$D$61&gt;'England 1'!$F$52:$F$61))*3+SUMPRODUCT(('England 1'!$E$52:$E$61='Team Position by Round'!$B16)*('England 1'!$F$52:$F$61&gt;'England 1'!$D$52:$D$61))*3+SUMPRODUCT(('England 1'!$C$52:$C$61='Team Position by Round'!$B16)*('England 1'!$D$52:$D$61='England 1'!$F$52:$F$61))+SUMPRODUCT(('England 1'!$E$52:$E$61='Team Position by Round'!$B16)*('England 1'!$F$52:$F$61='England 1'!$D$52:$D$61))</f>
        <v>0</v>
      </c>
      <c r="I16" s="75" cm="1">
        <f t="array" ref="I16">SUMPRODUCT(('England 1'!$C$62:$C$71='Team Position by Round'!$B16)*('England 1'!$D$62:$D$71&gt;'England 1'!$F$62:$F$71))*3+SUMPRODUCT(('England 1'!$E$62:$E$71='Team Position by Round'!$B16)*('England 1'!$F$62:$F$71&gt;'England 1'!$D$62:$D$71))*3+SUMPRODUCT(('England 1'!$C$62:$C$71='Team Position by Round'!$B16)*('England 1'!$D$62:$D$71='England 1'!$F$62:$F$71))+SUMPRODUCT(('England 1'!$E$62:$E$71='Team Position by Round'!$B16)*('England 1'!$F$62:$F$71='England 1'!$D$62:$D$71))</f>
        <v>1</v>
      </c>
      <c r="J16" s="76" cm="1">
        <f t="array" ref="J16">SUMPRODUCT(('England 1'!$C$72:$C$81='Team Position by Round'!$B16)*('England 1'!$D$72:$D$81&gt;'England 1'!$F$72:$F$81))*3+SUMPRODUCT(('England 1'!$E$72:$E$81='Team Position by Round'!$B16)*('England 1'!$F$72:$F$81&gt;'England 1'!$D$72:$D$81))*3+SUMPRODUCT(('England 1'!$C$72:$C$81='Team Position by Round'!$B16)*('England 1'!$D$72:$D$81='England 1'!$F$72:$F$81))+SUMPRODUCT(('England 1'!$E$72:$E$81='Team Position by Round'!$B16)*('England 1'!$F$72:$F$81='England 1'!$D$72:$D$81))</f>
        <v>3</v>
      </c>
      <c r="K16" s="75" cm="1">
        <f t="array" ref="K16">SUMPRODUCT(('England 1'!$C$82:$C$91='Team Position by Round'!$B16)*('England 1'!$D$82:$D$91&gt;'England 1'!$F$82:$F$91))*3+SUMPRODUCT(('England 1'!$E$82:$E$91='Team Position by Round'!$B16)*('England 1'!$F$82:$F$91&gt;'England 1'!$D$82:$D$91))*3+SUMPRODUCT(('England 1'!$C$82:$C$91='Team Position by Round'!$B16)*('England 1'!$D$82:$D$91='England 1'!$F$82:$F$91))+SUMPRODUCT(('England 1'!$E$82:$E$91='Team Position by Round'!$B16)*('England 1'!$F$82:$F$91='England 1'!$D$82:$D$91))</f>
        <v>3</v>
      </c>
      <c r="L16" s="75" cm="1">
        <f t="array" ref="L16">SUMPRODUCT(('England 1'!$C$92:$C$101='Team Position by Round'!$B16)*('England 1'!$D$92:$D$101&gt;'England 1'!$F$92:$F$101))*3+SUMPRODUCT(('England 1'!$E$92:$E$101='Team Position by Round'!$B16)*('England 1'!$F$92:$F$101&gt;'England 1'!$D$92:$D$101))*3+SUMPRODUCT(('England 1'!$C$92:$C$101='Team Position by Round'!$B16)*('England 1'!$D$92:$D$101='England 1'!$F$92:$F$101))+SUMPRODUCT(('England 1'!$E$92:$E$101='Team Position by Round'!$B16)*('England 1'!$F$92:$F$101='England 1'!$D$92:$D$101))</f>
        <v>0</v>
      </c>
      <c r="M16" s="75" cm="1">
        <f t="array" ref="M16">SUMPRODUCT(('England 1'!$C$102:$C$111='Team Position by Round'!$B16)*('England 1'!$D$102:$D$111&gt;'England 1'!$F$102:$F$111))*3+SUMPRODUCT(('England 1'!$E$102:$E$111='Team Position by Round'!$B16)*('England 1'!$F$102:$F$111&gt;'England 1'!$D$102:$D$111))*3+SUMPRODUCT(('England 1'!$C$102:$C$111='Team Position by Round'!$B16)*('England 1'!$D$102:$D$111='England 1'!$F$102:$F$111))+SUMPRODUCT(('England 1'!$E$102:$E$111='Team Position by Round'!$B16)*('England 1'!$F$102:$F$111='England 1'!$D$102:$D$111))</f>
        <v>0</v>
      </c>
      <c r="N16" s="75" cm="1">
        <f t="array" ref="N16">SUMPRODUCT(('England 1'!$C$112:$C$121='Team Position by Round'!$B16)*('England 1'!$D$112:$D$121&gt;'England 1'!$F$112:$F$121))*3+SUMPRODUCT(('England 1'!$E$112:$E$121='Team Position by Round'!$B16)*('England 1'!$F$112:$F$121&gt;'England 1'!$D$112:$D$121))*3+SUMPRODUCT(('England 1'!$C$112:$C$121='Team Position by Round'!$B16)*('England 1'!$D$112:$D$121='England 1'!$F$112:$F$121))+SUMPRODUCT(('England 1'!$E$112:$E$121='Team Position by Round'!$B16)*('England 1'!$F$112:$F$121='England 1'!$D$112:$D$121))</f>
        <v>0</v>
      </c>
      <c r="O16" s="75" cm="1">
        <f t="array" ref="O16">SUMPRODUCT(('England 1'!$C$122:$C$131='Team Position by Round'!$B16)*('England 1'!$D$122:$D$131&gt;'England 1'!$F$122:$F$131))*3+SUMPRODUCT(('England 1'!$E$122:$E$131='Team Position by Round'!$B16)*('England 1'!$F$122:$F$131&gt;'England 1'!$D$122:$D$131))*3+SUMPRODUCT(('England 1'!$C$122:$C$131='Team Position by Round'!$B16)*('England 1'!$D$122:$D$131='England 1'!$F$122:$F$131))+SUMPRODUCT(('England 1'!$E$122:$E$131='Team Position by Round'!$B16)*('England 1'!$F$122:$F$131='England 1'!$D$122:$D$131))</f>
        <v>3</v>
      </c>
      <c r="P16" s="75" cm="1">
        <f t="array" ref="P16">SUMPRODUCT(('England 1'!$C$132:$C$141='Team Position by Round'!$B16)*('England 1'!$D$132:$D$141&gt;'England 1'!$F$132:$F$141))*3+SUMPRODUCT(('England 1'!$E$132:$E$141='Team Position by Round'!$B16)*('England 1'!$F$132:$F$141&gt;'England 1'!$D$132:$D$141))*3+SUMPRODUCT(('England 1'!$C$132:$C$141='Team Position by Round'!$B16)*('England 1'!$D$132:$D$141='England 1'!$F$132:$F$141))+SUMPRODUCT(('England 1'!$E$132:$E$141='Team Position by Round'!$B16)*('England 1'!$F$132:$F$141='England 1'!$D$132:$D$141))</f>
        <v>1</v>
      </c>
      <c r="Q16" s="75" cm="1">
        <f t="array" ref="Q16">SUMPRODUCT(('England 1'!$C$142:$C$151='Team Position by Round'!$B16)*('England 1'!$D$142:$D$151&gt;'England 1'!$F$142:$F$151))*3+SUMPRODUCT(('England 1'!$E$142:$E$151='Team Position by Round'!$B16)*('England 1'!$F$142:$F$151&gt;'England 1'!$D$142:$D$151))*3+SUMPRODUCT(('England 1'!$C$142:$C$151='Team Position by Round'!$B16)*('England 1'!$D$142:$D$151='England 1'!$F$142:$F$151))+SUMPRODUCT(('England 1'!$E$142:$E$151='Team Position by Round'!$B16)*('England 1'!$F$142:$F$151='England 1'!$D$142:$D$151))</f>
        <v>0</v>
      </c>
      <c r="R16" s="75" cm="1">
        <f t="array" ref="R16">SUMPRODUCT(('England 1'!$C$152:$C$161='Team Position by Round'!$B16)*('England 1'!$D$152:$D$161&gt;'England 1'!$F$152:$F$161))*3+SUMPRODUCT(('England 1'!$E$152:$E$161='Team Position by Round'!$B16)*('England 1'!$F$152:$F$161&gt;'England 1'!$D$152:$D$161))*3+SUMPRODUCT(('England 1'!$C$152:$C$161='Team Position by Round'!$B16)*('England 1'!$D$152:$D$161='England 1'!$F$152:$F$161))+SUMPRODUCT(('England 1'!$E$152:$E$161='Team Position by Round'!$B16)*('England 1'!$F$152:$F$161='England 1'!$D$152:$D$161))</f>
        <v>0</v>
      </c>
      <c r="S16" s="75" cm="1">
        <f t="array" ref="S16">SUMPRODUCT(('England 1'!$C$162:$C$171='Team Position by Round'!$B16)*('England 1'!$D$162:$D$171&gt;'England 1'!$F$162:$F$171))*3+SUMPRODUCT(('England 1'!$E$162:$E$171='Team Position by Round'!$B16)*('England 1'!$F$162:$F$171&gt;'England 1'!$D$162:$D$171))*3+SUMPRODUCT(('England 1'!$C$162:$C$171='Team Position by Round'!$B16)*('England 1'!$D$162:$D$171='England 1'!$F$162:$F$171))+SUMPRODUCT(('England 1'!$E$162:$E$171='Team Position by Round'!$B16)*('England 1'!$F$162:$F$171='England 1'!$D$162:$D$171))</f>
        <v>0</v>
      </c>
      <c r="T16" s="75" cm="1">
        <f t="array" ref="T16">SUMPRODUCT(('England 1'!$C$172:$C$181='Team Position by Round'!$B16)*('England 1'!$D$172:$D$181&gt;'England 1'!$F$172:$F$181))*3+SUMPRODUCT(('England 1'!$E$172:$E$181='Team Position by Round'!$B16)*('England 1'!$F$172:$F$181&gt;'England 1'!$D$172:$D$181))*3+SUMPRODUCT(('England 1'!$C$172:$C$181='Team Position by Round'!$B16)*('England 1'!$D$172:$D$181='England 1'!$F$172:$F$181))+SUMPRODUCT(('England 1'!$E$172:$E$181='Team Position by Round'!$B16)*('England 1'!$F$172:$F$181='England 1'!$D$172:$D$181))</f>
        <v>0</v>
      </c>
      <c r="U16" s="75" cm="1">
        <f t="array" ref="U16">SUMPRODUCT(('England 1'!$C$182:$C$191='Team Position by Round'!$B16)*('England 1'!$D$182:$D$191&gt;'England 1'!$F$182:$F$191))*3+SUMPRODUCT(('England 1'!$E$182:$E$191='Team Position by Round'!$B16)*('England 1'!$F$182:$F$191&gt;'England 1'!$D$182:$D$191))*3+SUMPRODUCT(('England 1'!$C$182:$C$191='Team Position by Round'!$B16)*('England 1'!$D$182:$D$191='England 1'!$F$182:$F$191))+SUMPRODUCT(('England 1'!$E$182:$E$191='Team Position by Round'!$B16)*('England 1'!$F$182:$F$191='England 1'!$D$182:$D$191))</f>
        <v>3</v>
      </c>
      <c r="V16" s="75" cm="1">
        <f t="array" ref="V16">SUMPRODUCT(('England 1'!$C$192:$C$201='Team Position by Round'!$B16)*('England 1'!$D$192:$D$201&gt;'England 1'!$F$192:$F$201))*3+SUMPRODUCT(('England 1'!$E$192:$E$201='Team Position by Round'!$B16)*('England 1'!$F$192:$F$201&gt;'England 1'!$D$192:$D$201))*3+SUMPRODUCT(('England 1'!$C$192:$C$201='Team Position by Round'!$B16)*('England 1'!$D$192:$D$201='England 1'!$F$192:$F$201))+SUMPRODUCT(('England 1'!$E$192:$E$201='Team Position by Round'!$B16)*('England 1'!$F$192:$F$201='England 1'!$D$192:$D$201))</f>
        <v>0</v>
      </c>
      <c r="W16" s="75" cm="1">
        <f t="array" ref="W16">SUMPRODUCT(('England 1'!$C$202:$C$211='Team Position by Round'!$B16)*('England 1'!$D$202:$D$211&gt;'England 1'!$F$202:$F$211))*3+SUMPRODUCT(('England 1'!$E$202:$E$211='Team Position by Round'!$B16)*('England 1'!$F$202:$F$211&gt;'England 1'!$D$202:$D$211))*3+SUMPRODUCT(('England 1'!$C$202:$C$211='Team Position by Round'!$B16)*('England 1'!$D$202:$D$211='England 1'!$F$202:$F$211))+SUMPRODUCT(('England 1'!$E$202:$E$211='Team Position by Round'!$B16)*('England 1'!$F$202:$F$211='England 1'!$D$202:$D$211))</f>
        <v>3</v>
      </c>
      <c r="X16" s="75" cm="1">
        <f t="array" ref="X16">SUMPRODUCT(('England 1'!$C$212:$C$221='Team Position by Round'!$B16)*('England 1'!$D$212:$D$221&gt;'England 1'!$F$212:$F$221))*3+SUMPRODUCT(('England 1'!$E$212:$E$221='Team Position by Round'!$B16)*('England 1'!$F$212:$F$221&gt;'England 1'!$D$212:$D$221))*3+SUMPRODUCT(('England 1'!$C$212:$C$221='Team Position by Round'!$B16)*('England 1'!$D$212:$D$221='England 1'!$F$212:$F$221))+SUMPRODUCT(('England 1'!$E$212:$E$221='Team Position by Round'!$B16)*('England 1'!$F$212:$F$221='England 1'!$D$212:$D$221))</f>
        <v>0</v>
      </c>
      <c r="Y16" s="75" cm="1">
        <f t="array" ref="Y16">SUMPRODUCT(('England 1'!$C$222:$C$231='Team Position by Round'!$B16)*('England 1'!$D$222:$D$231&gt;'England 1'!$F$222:$F$231))*3+SUMPRODUCT(('England 1'!$E$222:$E$231='Team Position by Round'!$B16)*('England 1'!$F$222:$F$231&gt;'England 1'!$D$222:$D$231))*3+SUMPRODUCT(('England 1'!$C$222:$C$231='Team Position by Round'!$B16)*('England 1'!$D$222:$D$231='England 1'!$F$222:$F$231))+SUMPRODUCT(('England 1'!$E$222:$E$231='Team Position by Round'!$B16)*('England 1'!$F$222:$F$231='England 1'!$D$222:$D$231))</f>
        <v>1</v>
      </c>
      <c r="Z16" s="75" cm="1">
        <f t="array" ref="Z16">SUMPRODUCT(('England 1'!$C$232:$C$241='Team Position by Round'!$B16)*('England 1'!$D$232:$D$241&gt;'England 1'!$F$232:$F$241))*3+SUMPRODUCT(('England 1'!$E$232:$E$241='Team Position by Round'!$B16)*('England 1'!$F$232:$F$241&gt;'England 1'!$D$232:$D$241))*3+SUMPRODUCT(('England 1'!$C$232:$C$241='Team Position by Round'!$B16)*('England 1'!$D$232:$D$241='England 1'!$F$232:$F$241))+SUMPRODUCT(('England 1'!$E$232:$E$241='Team Position by Round'!$B16)*('England 1'!$F$232:$F$241='England 1'!$D$232:$D$241))</f>
        <v>3</v>
      </c>
      <c r="AA16" s="75" cm="1">
        <f t="array" ref="AA16">SUMPRODUCT(('England 1'!$C$242:$C$251='Team Position by Round'!$B16)*('England 1'!$D$242:$D$251&gt;'England 1'!$F$242:$F$251))*3+SUMPRODUCT(('England 1'!$E$242:$E$251='Team Position by Round'!$B16)*('England 1'!$F$242:$F$251&gt;'England 1'!$D$242:$D$251))*3+SUMPRODUCT(('England 1'!$C$242:$C$251='Team Position by Round'!$B16)*('England 1'!$D$242:$D$251='England 1'!$F$242:$F$251))+SUMPRODUCT(('England 1'!$E$242:$E$251='Team Position by Round'!$B16)*('England 1'!$F$242:$F$251='England 1'!$D$242:$D$251))</f>
        <v>0</v>
      </c>
      <c r="AB16" s="75" cm="1">
        <f t="array" ref="AB16">SUMPRODUCT(('England 1'!$C$252:$C$261='Team Position by Round'!$B16)*('England 1'!$D$252:$D$261&gt;'England 1'!$F$252:$F$261))*3+SUMPRODUCT(('England 1'!$E$252:$E$261='Team Position by Round'!$B16)*('England 1'!$F$252:$F$261&gt;'England 1'!$D$252:$D$261))*3+SUMPRODUCT(('England 1'!$C$252:$C$261='Team Position by Round'!$B16)*('England 1'!$D$252:$D$261='England 1'!$F$252:$F$261))+SUMPRODUCT(('England 1'!$E$252:$E$261='Team Position by Round'!$B16)*('England 1'!$F$252:$F$261='England 1'!$D$252:$D$261))</f>
        <v>0</v>
      </c>
      <c r="AC16" s="75" cm="1">
        <f t="array" ref="AC16">SUMPRODUCT(('England 1'!$C$262:$C$271='Team Position by Round'!$B16)*('England 1'!$D$262:$D$271&gt;'England 1'!$F$262:$F$271))*3+SUMPRODUCT(('England 1'!$E$262:$E$271='Team Position by Round'!$B16)*('England 1'!$F$262:$F$271&gt;'England 1'!$D$262:$D$271))*3+SUMPRODUCT(('England 1'!$C$262:$C$271='Team Position by Round'!$B16)*('England 1'!$D$262:$D$271='England 1'!$F$262:$F$271))+SUMPRODUCT(('England 1'!$E$262:$E$271='Team Position by Round'!$B16)*('England 1'!$F$262:$F$271='England 1'!$D$262:$D$271))</f>
        <v>0</v>
      </c>
      <c r="AD16" s="75" cm="1">
        <f t="array" ref="AD16">SUMPRODUCT(('England 1'!$C$272:$C$281='Team Position by Round'!$B16)*('England 1'!$D$272:$D$281&gt;'England 1'!$F$272:$F$281))*3+SUMPRODUCT(('England 1'!$E$272:$E$281='Team Position by Round'!$B16)*('England 1'!$F$272:$F$281&gt;'England 1'!$D$272:$D$281))*3+SUMPRODUCT(('England 1'!$C$272:$C$281='Team Position by Round'!$B16)*('England 1'!$D$272:$D$281='England 1'!$F$272:$F$281))+SUMPRODUCT(('England 1'!$E$272:$E$281='Team Position by Round'!$B16)*('England 1'!$F$272:$F$281='England 1'!$D$272:$D$281))</f>
        <v>1</v>
      </c>
      <c r="AE16" s="75" cm="1">
        <f t="array" ref="AE16">SUMPRODUCT(('England 1'!$C$282:$C$291='Team Position by Round'!$B16)*('England 1'!$D$282:$D$291&gt;'England 1'!$F$282:$F$291))*3+SUMPRODUCT(('England 1'!$E$282:$E$291='Team Position by Round'!$B16)*('England 1'!$F$282:$F$291&gt;'England 1'!$D$282:$D$291))*3+SUMPRODUCT(('England 1'!$C$282:$C$291='Team Position by Round'!$B16)*('England 1'!$D$282:$D$291='England 1'!$F$282:$F$291))+SUMPRODUCT(('England 1'!$E$282:$E$291='Team Position by Round'!$B16)*('England 1'!$F$282:$F$291='England 1'!$D$282:$D$291))</f>
        <v>0</v>
      </c>
      <c r="AF16" s="75" cm="1">
        <f t="array" ref="AF16">SUMPRODUCT(('England 1'!$C$292:$C$301='Team Position by Round'!$B16)*('England 1'!$D$292:$D$301&gt;'England 1'!$F$292:$F$301))*3+SUMPRODUCT(('England 1'!$E$292:$E$301='Team Position by Round'!$B16)*('England 1'!$F$292:$F$301&gt;'England 1'!$D$292:$D$301))*3+SUMPRODUCT(('England 1'!$C$292:$C$301='Team Position by Round'!$B16)*('England 1'!$D$292:$D$301='England 1'!$F$292:$F$301))+SUMPRODUCT(('England 1'!$E$292:$E$301='Team Position by Round'!$B16)*('England 1'!$F$292:$F$301='England 1'!$D$292:$D$301))</f>
        <v>0</v>
      </c>
      <c r="AG16" s="75" cm="1">
        <f t="array" ref="AG16">SUMPRODUCT(('England 1'!$C$302:$C$311='Team Position by Round'!$B16)*('England 1'!$D$302:$D$311&gt;'England 1'!$F$302:$F$311))*3+SUMPRODUCT(('England 1'!$E$302:$E$311='Team Position by Round'!$B16)*('England 1'!$F$302:$F$311&gt;'England 1'!$D$302:$D$311))*3+SUMPRODUCT(('England 1'!$C$302:$C$311='Team Position by Round'!$B16)*('England 1'!$D$302:$D$311='England 1'!$F$302:$F$311))+SUMPRODUCT(('England 1'!$E$302:$E$311='Team Position by Round'!$B16)*('England 1'!$F$302:$F$311='England 1'!$D$302:$D$311))</f>
        <v>1</v>
      </c>
      <c r="AH16" s="75" cm="1">
        <f t="array" ref="AH16">SUMPRODUCT(('England 1'!$C$312:$C$321='Team Position by Round'!$B16)*('England 1'!$D$312:$D$321&gt;'England 1'!$F$312:$F$321))*3+SUMPRODUCT(('England 1'!$E$312:$E$321='Team Position by Round'!$B16)*('England 1'!$F$312:$F$321&gt;'England 1'!$D$312:$D$321))*3+SUMPRODUCT(('England 1'!$C$312:$C$321='Team Position by Round'!$B16)*('England 1'!$D$312:$D$321='England 1'!$F$312:$F$321))+SUMPRODUCT(('England 1'!$E$312:$E$321='Team Position by Round'!$B16)*('England 1'!$F$312:$F$321='England 1'!$D$312:$D$321))</f>
        <v>0</v>
      </c>
      <c r="AI16" s="75" cm="1">
        <f t="array" ref="AI16">SUMPRODUCT(('England 1'!$C$322:$C$331='Team Position by Round'!$B16)*('England 1'!$D$322:$D$331&gt;'England 1'!$F$322:$F$331))*3+SUMPRODUCT(('England 1'!$E$322:$E$331='Team Position by Round'!$B16)*('England 1'!$F$322:$F$331&gt;'England 1'!$D$322:$D$331))*3+SUMPRODUCT(('England 1'!$C$322:$C$331='Team Position by Round'!$B16)*('England 1'!$D$322:$D$331='England 1'!$F$322:$F$331))+SUMPRODUCT(('England 1'!$E$322:$E$331='Team Position by Round'!$B16)*('England 1'!$F$322:$F$331='England 1'!$D$322:$D$331))</f>
        <v>0</v>
      </c>
      <c r="AJ16" s="75" cm="1">
        <f t="array" ref="AJ16">SUMPRODUCT(('England 1'!$C$332:$C$341='Team Position by Round'!$B16)*('England 1'!$D$332:$D$341&gt;'England 1'!$F$332:$F$341))*3+SUMPRODUCT(('England 1'!$E$332:$E$341='Team Position by Round'!$B16)*('England 1'!$F$332:$F$341&gt;'England 1'!$D$332:$D$341))*3+SUMPRODUCT(('England 1'!$C$332:$C$341='Team Position by Round'!$B16)*('England 1'!$D$332:$D$341='England 1'!$F$332:$F$341))+SUMPRODUCT(('England 1'!$E$332:$E$341='Team Position by Round'!$B16)*('England 1'!$F$332:$F$341='England 1'!$D$332:$D$341))</f>
        <v>0</v>
      </c>
      <c r="AK16" s="75" cm="1">
        <f t="array" ref="AK16">SUMPRODUCT(('England 1'!$C$342:$C$351='Team Position by Round'!$B16)*('England 1'!$D$342:$D$351&gt;'England 1'!$F$342:$F$351))*3+SUMPRODUCT(('England 1'!$E$342:$E$351='Team Position by Round'!$B16)*('England 1'!$F$342:$F$351&gt;'England 1'!$D$342:$D$351))*3+SUMPRODUCT(('England 1'!$C$342:$C$351='Team Position by Round'!$B16)*('England 1'!$D$342:$D$351='England 1'!$F$342:$F$351))+SUMPRODUCT(('England 1'!$E$342:$E$351='Team Position by Round'!$B16)*('England 1'!$F$342:$F$351='England 1'!$D$342:$D$351))</f>
        <v>3</v>
      </c>
      <c r="AL16" s="75" cm="1">
        <f t="array" ref="AL16">SUMPRODUCT(('England 1'!$C$352:$C$361='Team Position by Round'!$B16)*('England 1'!$D$352:$D$361&gt;'England 1'!$F$352:$F$361))*3+SUMPRODUCT(('England 1'!$E$352:$E$361='Team Position by Round'!$B16)*('England 1'!$F$352:$F$361&gt;'England 1'!$D$352:$D$361))*3+SUMPRODUCT(('England 1'!$C$352:$C$361='Team Position by Round'!$B16)*('England 1'!$D$352:$D$361='England 1'!$F$352:$F$361))+SUMPRODUCT(('England 1'!$E$352:$E$361='Team Position by Round'!$B16)*('England 1'!$F$352:$F$361='England 1'!$D$352:$D$361))</f>
        <v>1</v>
      </c>
      <c r="AM16" s="75" cm="1">
        <f t="array" ref="AM16">SUMPRODUCT(('England 1'!$C$362:$C$371='Team Position by Round'!$B16)*('England 1'!$D$362:$D$371&gt;'England 1'!$F$362:$F$371))*3+SUMPRODUCT(('England 1'!$E$362:$E$371='Team Position by Round'!$B16)*('England 1'!$F$362:$F$371&gt;'England 1'!$D$362:$D$371))*3+SUMPRODUCT(('England 1'!$C$362:$C$371='Team Position by Round'!$B16)*('England 1'!$D$362:$D$371='England 1'!$F$362:$F$371))+SUMPRODUCT(('England 1'!$E$362:$E$371='Team Position by Round'!$B16)*('England 1'!$F$362:$F$371='England 1'!$D$362:$D$371))</f>
        <v>3</v>
      </c>
      <c r="AN16" s="75" cm="1">
        <f t="array" ref="AN16">SUMPRODUCT(('England 1'!$C$372:$C$381='Team Position by Round'!$B16)*('England 1'!$D$372:$D$381&gt;'England 1'!$F$372:$F$381))*3+SUMPRODUCT(('England 1'!$E$372:$E$381='Team Position by Round'!$B16)*('England 1'!$F$372:$F$381&gt;'England 1'!$D$372:$D$381))*3+SUMPRODUCT(('England 1'!$C$372:$C$381='Team Position by Round'!$B16)*('England 1'!$D$372:$D$381='England 1'!$F$372:$F$381))+SUMPRODUCT(('England 1'!$E$372:$E$381='Team Position by Round'!$B16)*('England 1'!$F$372:$F$381='England 1'!$D$372:$D$381))</f>
        <v>1</v>
      </c>
      <c r="AO16">
        <f t="shared" si="0"/>
        <v>9</v>
      </c>
      <c r="AP16">
        <f t="shared" si="1"/>
        <v>8</v>
      </c>
      <c r="AQ16">
        <f t="shared" si="2"/>
        <v>21</v>
      </c>
      <c r="AR16" s="78">
        <f>SUMIF('Aston Villa FC'!C:C,'Aston Villa FC'!N18,'Aston Villa FC'!D:D)+SUMIF('Aston Villa FC'!E:E,'Aston Villa FC'!N18,'Aston Villa FC'!F:F)</f>
        <v>41</v>
      </c>
      <c r="AS16" s="78">
        <f>SUMIF('Aston Villa FC'!C:C,"&lt;&gt;Aston Villa FC",'Aston Villa FC'!D:D)+SUMIF('Aston Villa FC'!E:E,"&lt;&gt;Aston Villa FC",'Aston Villa FC'!F:F)</f>
        <v>67</v>
      </c>
      <c r="AT16" s="84">
        <f>MAX('Aston Villa FC'!I:I)</f>
        <v>2</v>
      </c>
      <c r="AU16" s="84">
        <f>MAX('Aston Villa FC'!J:J)</f>
        <v>4</v>
      </c>
      <c r="AV16">
        <f>MAX('Aston Villa FC'!K:K)</f>
        <v>4</v>
      </c>
      <c r="AW16">
        <f>MAX('Aston Villa FC'!L:L)</f>
        <v>10</v>
      </c>
    </row>
    <row r="17" spans="2:49" x14ac:dyDescent="0.2">
      <c r="B17" t="str">
        <v>Norwich City FC</v>
      </c>
      <c r="C17" s="75" cm="1">
        <f t="array" ref="C17">SUMPRODUCT(('England 1'!$C$2:$C$11='Team Position by Round'!$B17)*('England 1'!$D$2:$D$11&gt;'England 1'!$F$2:$F$11))*3+SUMPRODUCT(('England 1'!$E$2:$E$11='Team Position by Round'!$B17)*('England 1'!$F$2:$F$11&gt;'England 1'!$D$2:$D$11))*3+SUMPRODUCT(('England 1'!$C$2:$C$11='Team Position by Round'!$B17)*('England 1'!$D$2:$D$11='England 1'!$F$2:$F$11))+SUMPRODUCT(('England 1'!$E$2:$E$11='Team Position by Round'!$B17)*('England 1'!$F$2:$F$11='England 1'!$D$2:$D$11))</f>
        <v>0</v>
      </c>
      <c r="D17" s="75" cm="1">
        <f t="array" ref="D17">SUMPRODUCT(('England 1'!$C$12:$C$21='Team Position by Round'!$B17)*('England 1'!$D$12:$D$21&gt;'England 1'!$F$12:$F$21))*3+SUMPRODUCT(('England 1'!$E$12:$E$21='Team Position by Round'!$B17)*('England 1'!$F$12:$F$21&gt;'England 1'!$D$12:$D$21))*3+SUMPRODUCT(('England 1'!$C$12:$C$21='Team Position by Round'!$B17)*('England 1'!$D$12:$D$21='England 1'!$F$12:$F$21))+SUMPRODUCT(('England 1'!$E$12:$E$21='Team Position by Round'!$B17)*('England 1'!$F$12:$F$21='England 1'!$D$12:$D$21))</f>
        <v>3</v>
      </c>
      <c r="E17" s="75" cm="1">
        <f t="array" ref="E17">SUMPRODUCT(('England 1'!$C$22:$C$31='Team Position by Round'!$B17)*('England 1'!$D$22:$D$31&gt;'England 1'!$F$22:$F$31))*3+SUMPRODUCT(('England 1'!$E$22:$E$31='Team Position by Round'!$B17)*('England 1'!$F$22:$F$31&gt;'England 1'!$D$22:$D$31))*3+SUMPRODUCT(('England 1'!$C$22:$C$31='Team Position by Round'!$B17)*('England 1'!$D$22:$D$31='England 1'!$F$22:$F$31))+SUMPRODUCT(('England 1'!$E$22:$E$31='Team Position by Round'!$B17)*('England 1'!$F$22:$F$31='England 1'!$D$22:$D$31))</f>
        <v>0</v>
      </c>
      <c r="F17" s="75" cm="1">
        <f t="array" ref="F17">SUMPRODUCT(('England 1'!$C$32:$C$41='Team Position by Round'!$B17)*('England 1'!$D$32:$D$41&gt;'England 1'!$F$32:$F$41))*3+SUMPRODUCT(('England 1'!$E$32:$E$41='Team Position by Round'!$B17)*('England 1'!$F$32:$F$41&gt;'England 1'!$D$32:$D$41))*3+SUMPRODUCT(('England 1'!$C$32:$C$41='Team Position by Round'!$B17)*('England 1'!$D$32:$D$41='England 1'!$F$32:$F$41))+SUMPRODUCT(('England 1'!$E$32:$E$41='Team Position by Round'!$B17)*('England 1'!$F$32:$F$41='England 1'!$D$32:$D$41))</f>
        <v>0</v>
      </c>
      <c r="G17" s="75" cm="1">
        <f t="array" ref="G17">SUMPRODUCT(('England 1'!$C$42:$C$51='Team Position by Round'!$B17)*('England 1'!$D$42:$D$51&gt;'England 1'!$F$42:$F$51))*3+SUMPRODUCT(('England 1'!$E$42:$E$51='Team Position by Round'!$B17)*('England 1'!$F$42:$F$51&gt;'England 1'!$D$42:$D$51))*3+SUMPRODUCT(('England 1'!$C$42:$C$51='Team Position by Round'!$B17)*('England 1'!$D$42:$D$51='England 1'!$F$42:$F$51))+SUMPRODUCT(('England 1'!$E$42:$E$51='Team Position by Round'!$B17)*('England 1'!$F$42:$F$51='England 1'!$D$42:$D$51))</f>
        <v>3</v>
      </c>
      <c r="H17" s="75" cm="1">
        <f t="array" ref="H17">SUMPRODUCT(('England 1'!$C$52:$C$61='Team Position by Round'!$B17)*('England 1'!$D$52:$D$61&gt;'England 1'!$F$52:$F$61))*3+SUMPRODUCT(('England 1'!$E$52:$E$61='Team Position by Round'!$B17)*('England 1'!$F$52:$F$61&gt;'England 1'!$D$52:$D$61))*3+SUMPRODUCT(('England 1'!$C$52:$C$61='Team Position by Round'!$B17)*('England 1'!$D$52:$D$61='England 1'!$F$52:$F$61))+SUMPRODUCT(('England 1'!$E$52:$E$61='Team Position by Round'!$B17)*('England 1'!$F$52:$F$61='England 1'!$D$52:$D$61))</f>
        <v>0</v>
      </c>
      <c r="I17" s="75" cm="1">
        <f t="array" ref="I17">SUMPRODUCT(('England 1'!$C$62:$C$71='Team Position by Round'!$B17)*('England 1'!$D$62:$D$71&gt;'England 1'!$F$62:$F$71))*3+SUMPRODUCT(('England 1'!$E$62:$E$71='Team Position by Round'!$B17)*('England 1'!$F$62:$F$71&gt;'England 1'!$D$62:$D$71))*3+SUMPRODUCT(('England 1'!$C$62:$C$71='Team Position by Round'!$B17)*('England 1'!$D$62:$D$71='England 1'!$F$62:$F$71))+SUMPRODUCT(('England 1'!$E$62:$E$71='Team Position by Round'!$B17)*('England 1'!$F$62:$F$71='England 1'!$D$62:$D$71))</f>
        <v>0</v>
      </c>
      <c r="J17" s="76" cm="1">
        <f t="array" ref="J17">SUMPRODUCT(('England 1'!$C$72:$C$81='Team Position by Round'!$B17)*('England 1'!$D$72:$D$81&gt;'England 1'!$F$72:$F$81))*3+SUMPRODUCT(('England 1'!$E$72:$E$81='Team Position by Round'!$B17)*('England 1'!$F$72:$F$81&gt;'England 1'!$D$72:$D$81))*3+SUMPRODUCT(('England 1'!$C$72:$C$81='Team Position by Round'!$B17)*('England 1'!$D$72:$D$81='England 1'!$F$72:$F$81))+SUMPRODUCT(('England 1'!$E$72:$E$81='Team Position by Round'!$B17)*('England 1'!$F$72:$F$81='England 1'!$D$72:$D$81))</f>
        <v>0</v>
      </c>
      <c r="K17" s="75" cm="1">
        <f t="array" ref="K17">SUMPRODUCT(('England 1'!$C$82:$C$91='Team Position by Round'!$B17)*('England 1'!$D$82:$D$91&gt;'England 1'!$F$82:$F$91))*3+SUMPRODUCT(('England 1'!$E$82:$E$91='Team Position by Round'!$B17)*('England 1'!$F$82:$F$91&gt;'England 1'!$D$82:$D$91))*3+SUMPRODUCT(('England 1'!$C$82:$C$91='Team Position by Round'!$B17)*('England 1'!$D$82:$D$91='England 1'!$F$82:$F$91))+SUMPRODUCT(('England 1'!$E$82:$E$91='Team Position by Round'!$B17)*('England 1'!$F$82:$F$91='England 1'!$D$82:$D$91))</f>
        <v>1</v>
      </c>
      <c r="L17" s="75" cm="1">
        <f t="array" ref="L17">SUMPRODUCT(('England 1'!$C$92:$C$101='Team Position by Round'!$B17)*('England 1'!$D$92:$D$101&gt;'England 1'!$F$92:$F$101))*3+SUMPRODUCT(('England 1'!$E$92:$E$101='Team Position by Round'!$B17)*('England 1'!$F$92:$F$101&gt;'England 1'!$D$92:$D$101))*3+SUMPRODUCT(('England 1'!$C$92:$C$101='Team Position by Round'!$B17)*('England 1'!$D$92:$D$101='England 1'!$F$92:$F$101))+SUMPRODUCT(('England 1'!$E$92:$E$101='Team Position by Round'!$B17)*('England 1'!$F$92:$F$101='England 1'!$D$92:$D$101))</f>
        <v>0</v>
      </c>
      <c r="M17" s="75" cm="1">
        <f t="array" ref="M17">SUMPRODUCT(('England 1'!$C$102:$C$111='Team Position by Round'!$B17)*('England 1'!$D$102:$D$111&gt;'England 1'!$F$102:$F$111))*3+SUMPRODUCT(('England 1'!$E$102:$E$111='Team Position by Round'!$B17)*('England 1'!$F$102:$F$111&gt;'England 1'!$D$102:$D$111))*3+SUMPRODUCT(('England 1'!$C$102:$C$111='Team Position by Round'!$B17)*('England 1'!$D$102:$D$111='England 1'!$F$102:$F$111))+SUMPRODUCT(('England 1'!$E$102:$E$111='Team Position by Round'!$B17)*('England 1'!$F$102:$F$111='England 1'!$D$102:$D$111))</f>
        <v>0</v>
      </c>
      <c r="N17" s="75" cm="1">
        <f t="array" ref="N17">SUMPRODUCT(('England 1'!$C$112:$C$121='Team Position by Round'!$B17)*('England 1'!$D$112:$D$121&gt;'England 1'!$F$112:$F$121))*3+SUMPRODUCT(('England 1'!$E$112:$E$121='Team Position by Round'!$B17)*('England 1'!$F$112:$F$121&gt;'England 1'!$D$112:$D$121))*3+SUMPRODUCT(('England 1'!$C$112:$C$121='Team Position by Round'!$B17)*('England 1'!$D$112:$D$121='England 1'!$F$112:$F$121))+SUMPRODUCT(('England 1'!$E$112:$E$121='Team Position by Round'!$B17)*('England 1'!$F$112:$F$121='England 1'!$D$112:$D$121))</f>
        <v>0</v>
      </c>
      <c r="O17" s="75" cm="1">
        <f t="array" ref="O17">SUMPRODUCT(('England 1'!$C$122:$C$131='Team Position by Round'!$B17)*('England 1'!$D$122:$D$131&gt;'England 1'!$F$122:$F$131))*3+SUMPRODUCT(('England 1'!$E$122:$E$131='Team Position by Round'!$B17)*('England 1'!$F$122:$F$131&gt;'England 1'!$D$122:$D$131))*3+SUMPRODUCT(('England 1'!$C$122:$C$131='Team Position by Round'!$B17)*('England 1'!$D$122:$D$131='England 1'!$F$122:$F$131))+SUMPRODUCT(('England 1'!$E$122:$E$131='Team Position by Round'!$B17)*('England 1'!$F$122:$F$131='England 1'!$D$122:$D$131))</f>
        <v>3</v>
      </c>
      <c r="P17" s="75" cm="1">
        <f t="array" ref="P17">SUMPRODUCT(('England 1'!$C$132:$C$141='Team Position by Round'!$B17)*('England 1'!$D$132:$D$141&gt;'England 1'!$F$132:$F$141))*3+SUMPRODUCT(('England 1'!$E$132:$E$141='Team Position by Round'!$B17)*('England 1'!$F$132:$F$141&gt;'England 1'!$D$132:$D$141))*3+SUMPRODUCT(('England 1'!$C$132:$C$141='Team Position by Round'!$B17)*('England 1'!$D$132:$D$141='England 1'!$F$132:$F$141))+SUMPRODUCT(('England 1'!$E$132:$E$141='Team Position by Round'!$B17)*('England 1'!$F$132:$F$141='England 1'!$D$132:$D$141))</f>
        <v>1</v>
      </c>
      <c r="Q17" s="75" cm="1">
        <f t="array" ref="Q17">SUMPRODUCT(('England 1'!$C$142:$C$151='Team Position by Round'!$B17)*('England 1'!$D$142:$D$151&gt;'England 1'!$F$142:$F$151))*3+SUMPRODUCT(('England 1'!$E$142:$E$151='Team Position by Round'!$B17)*('England 1'!$F$142:$F$151&gt;'England 1'!$D$142:$D$151))*3+SUMPRODUCT(('England 1'!$C$142:$C$151='Team Position by Round'!$B17)*('England 1'!$D$142:$D$151='England 1'!$F$142:$F$151))+SUMPRODUCT(('England 1'!$E$142:$E$151='Team Position by Round'!$B17)*('England 1'!$F$142:$F$151='England 1'!$D$142:$D$151))</f>
        <v>0</v>
      </c>
      <c r="R17" s="75" cm="1">
        <f t="array" ref="R17">SUMPRODUCT(('England 1'!$C$152:$C$161='Team Position by Round'!$B17)*('England 1'!$D$152:$D$161&gt;'England 1'!$F$152:$F$161))*3+SUMPRODUCT(('England 1'!$E$152:$E$161='Team Position by Round'!$B17)*('England 1'!$F$152:$F$161&gt;'England 1'!$D$152:$D$161))*3+SUMPRODUCT(('England 1'!$C$152:$C$161='Team Position by Round'!$B17)*('England 1'!$D$152:$D$161='England 1'!$F$152:$F$161))+SUMPRODUCT(('England 1'!$E$152:$E$161='Team Position by Round'!$B17)*('England 1'!$F$152:$F$161='England 1'!$D$152:$D$161))</f>
        <v>0</v>
      </c>
      <c r="S17" s="75" cm="1">
        <f t="array" ref="S17">SUMPRODUCT(('England 1'!$C$162:$C$171='Team Position by Round'!$B17)*('England 1'!$D$162:$D$171&gt;'England 1'!$F$162:$F$171))*3+SUMPRODUCT(('England 1'!$E$162:$E$171='Team Position by Round'!$B17)*('England 1'!$F$162:$F$171&gt;'England 1'!$D$162:$D$171))*3+SUMPRODUCT(('England 1'!$C$162:$C$171='Team Position by Round'!$B17)*('England 1'!$D$162:$D$171='England 1'!$F$162:$F$171))+SUMPRODUCT(('England 1'!$E$162:$E$171='Team Position by Round'!$B17)*('England 1'!$F$162:$F$171='England 1'!$D$162:$D$171))</f>
        <v>1</v>
      </c>
      <c r="T17" s="75" cm="1">
        <f t="array" ref="T17">SUMPRODUCT(('England 1'!$C$172:$C$181='Team Position by Round'!$B17)*('England 1'!$D$172:$D$181&gt;'England 1'!$F$172:$F$181))*3+SUMPRODUCT(('England 1'!$E$172:$E$181='Team Position by Round'!$B17)*('England 1'!$F$172:$F$181&gt;'England 1'!$D$172:$D$181))*3+SUMPRODUCT(('England 1'!$C$172:$C$181='Team Position by Round'!$B17)*('England 1'!$D$172:$D$181='England 1'!$F$172:$F$181))+SUMPRODUCT(('England 1'!$E$172:$E$181='Team Position by Round'!$B17)*('England 1'!$F$172:$F$181='England 1'!$D$172:$D$181))</f>
        <v>0</v>
      </c>
      <c r="U17" s="75" cm="1">
        <f t="array" ref="U17">SUMPRODUCT(('England 1'!$C$182:$C$191='Team Position by Round'!$B17)*('England 1'!$D$182:$D$191&gt;'England 1'!$F$182:$F$191))*3+SUMPRODUCT(('England 1'!$E$182:$E$191='Team Position by Round'!$B17)*('England 1'!$F$182:$F$191&gt;'England 1'!$D$182:$D$191))*3+SUMPRODUCT(('England 1'!$C$182:$C$191='Team Position by Round'!$B17)*('England 1'!$D$182:$D$191='England 1'!$F$182:$F$191))+SUMPRODUCT(('England 1'!$E$182:$E$191='Team Position by Round'!$B17)*('England 1'!$F$182:$F$191='England 1'!$D$182:$D$191))</f>
        <v>0</v>
      </c>
      <c r="V17" s="75" cm="1">
        <f t="array" ref="V17">SUMPRODUCT(('England 1'!$C$192:$C$201='Team Position by Round'!$B17)*('England 1'!$D$192:$D$201&gt;'England 1'!$F$192:$F$201))*3+SUMPRODUCT(('England 1'!$E$192:$E$201='Team Position by Round'!$B17)*('England 1'!$F$192:$F$201&gt;'England 1'!$D$192:$D$201))*3+SUMPRODUCT(('England 1'!$C$192:$C$201='Team Position by Round'!$B17)*('England 1'!$D$192:$D$201='England 1'!$F$192:$F$201))+SUMPRODUCT(('England 1'!$E$192:$E$201='Team Position by Round'!$B17)*('England 1'!$F$192:$F$201='England 1'!$D$192:$D$201))</f>
        <v>1</v>
      </c>
      <c r="W17" s="75" cm="1">
        <f t="array" ref="W17">SUMPRODUCT(('England 1'!$C$202:$C$211='Team Position by Round'!$B17)*('England 1'!$D$202:$D$211&gt;'England 1'!$F$202:$F$211))*3+SUMPRODUCT(('England 1'!$E$202:$E$211='Team Position by Round'!$B17)*('England 1'!$F$202:$F$211&gt;'England 1'!$D$202:$D$211))*3+SUMPRODUCT(('England 1'!$C$202:$C$211='Team Position by Round'!$B17)*('England 1'!$D$202:$D$211='England 1'!$F$202:$F$211))+SUMPRODUCT(('England 1'!$E$202:$E$211='Team Position by Round'!$B17)*('England 1'!$F$202:$F$211='England 1'!$D$202:$D$211))</f>
        <v>1</v>
      </c>
      <c r="X17" s="75" cm="1">
        <f t="array" ref="X17">SUMPRODUCT(('England 1'!$C$212:$C$221='Team Position by Round'!$B17)*('England 1'!$D$212:$D$221&gt;'England 1'!$F$212:$F$221))*3+SUMPRODUCT(('England 1'!$E$212:$E$221='Team Position by Round'!$B17)*('England 1'!$F$212:$F$221&gt;'England 1'!$D$212:$D$221))*3+SUMPRODUCT(('England 1'!$C$212:$C$221='Team Position by Round'!$B17)*('England 1'!$D$212:$D$221='England 1'!$F$212:$F$221))+SUMPRODUCT(('England 1'!$E$212:$E$221='Team Position by Round'!$B17)*('England 1'!$F$212:$F$221='England 1'!$D$212:$D$221))</f>
        <v>0</v>
      </c>
      <c r="Y17" s="75" cm="1">
        <f t="array" ref="Y17">SUMPRODUCT(('England 1'!$C$222:$C$231='Team Position by Round'!$B17)*('England 1'!$D$222:$D$231&gt;'England 1'!$F$222:$F$231))*3+SUMPRODUCT(('England 1'!$E$222:$E$231='Team Position by Round'!$B17)*('England 1'!$F$222:$F$231&gt;'England 1'!$D$222:$D$231))*3+SUMPRODUCT(('England 1'!$C$222:$C$231='Team Position by Round'!$B17)*('England 1'!$D$222:$D$231='England 1'!$F$222:$F$231))+SUMPRODUCT(('England 1'!$E$222:$E$231='Team Position by Round'!$B17)*('England 1'!$F$222:$F$231='England 1'!$D$222:$D$231))</f>
        <v>3</v>
      </c>
      <c r="Z17" s="75" cm="1">
        <f t="array" ref="Z17">SUMPRODUCT(('England 1'!$C$232:$C$241='Team Position by Round'!$B17)*('England 1'!$D$232:$D$241&gt;'England 1'!$F$232:$F$241))*3+SUMPRODUCT(('England 1'!$E$232:$E$241='Team Position by Round'!$B17)*('England 1'!$F$232:$F$241&gt;'England 1'!$D$232:$D$241))*3+SUMPRODUCT(('England 1'!$C$232:$C$241='Team Position by Round'!$B17)*('England 1'!$D$232:$D$241='England 1'!$F$232:$F$241))+SUMPRODUCT(('England 1'!$E$232:$E$241='Team Position by Round'!$B17)*('England 1'!$F$232:$F$241='England 1'!$D$232:$D$241))</f>
        <v>0</v>
      </c>
      <c r="AA17" s="75" cm="1">
        <f t="array" ref="AA17">SUMPRODUCT(('England 1'!$C$242:$C$251='Team Position by Round'!$B17)*('England 1'!$D$242:$D$251&gt;'England 1'!$F$242:$F$251))*3+SUMPRODUCT(('England 1'!$E$242:$E$251='Team Position by Round'!$B17)*('England 1'!$F$242:$F$251&gt;'England 1'!$D$242:$D$251))*3+SUMPRODUCT(('England 1'!$C$242:$C$251='Team Position by Round'!$B17)*('England 1'!$D$242:$D$251='England 1'!$F$242:$F$251))+SUMPRODUCT(('England 1'!$E$242:$E$251='Team Position by Round'!$B17)*('England 1'!$F$242:$F$251='England 1'!$D$242:$D$251))</f>
        <v>1</v>
      </c>
      <c r="AB17" s="75" cm="1">
        <f t="array" ref="AB17">SUMPRODUCT(('England 1'!$C$252:$C$261='Team Position by Round'!$B17)*('England 1'!$D$252:$D$261&gt;'England 1'!$F$252:$F$261))*3+SUMPRODUCT(('England 1'!$E$252:$E$261='Team Position by Round'!$B17)*('England 1'!$F$252:$F$261&gt;'England 1'!$D$252:$D$261))*3+SUMPRODUCT(('England 1'!$C$252:$C$261='Team Position by Round'!$B17)*('England 1'!$D$252:$D$261='England 1'!$F$252:$F$261))+SUMPRODUCT(('England 1'!$E$252:$E$261='Team Position by Round'!$B17)*('England 1'!$F$252:$F$261='England 1'!$D$252:$D$261))</f>
        <v>0</v>
      </c>
      <c r="AC17" s="75" cm="1">
        <f t="array" ref="AC17">SUMPRODUCT(('England 1'!$C$262:$C$271='Team Position by Round'!$B17)*('England 1'!$D$262:$D$271&gt;'England 1'!$F$262:$F$271))*3+SUMPRODUCT(('England 1'!$E$262:$E$271='Team Position by Round'!$B17)*('England 1'!$F$262:$F$271&gt;'England 1'!$D$262:$D$271))*3+SUMPRODUCT(('England 1'!$C$262:$C$271='Team Position by Round'!$B17)*('England 1'!$D$262:$D$271='England 1'!$F$262:$F$271))+SUMPRODUCT(('England 1'!$E$262:$E$271='Team Position by Round'!$B17)*('England 1'!$F$262:$F$271='England 1'!$D$262:$D$271))</f>
        <v>0</v>
      </c>
      <c r="AD17" s="75" cm="1">
        <f t="array" ref="AD17">SUMPRODUCT(('England 1'!$C$272:$C$281='Team Position by Round'!$B17)*('England 1'!$D$272:$D$281&gt;'England 1'!$F$272:$F$281))*3+SUMPRODUCT(('England 1'!$E$272:$E$281='Team Position by Round'!$B17)*('England 1'!$F$272:$F$281&gt;'England 1'!$D$272:$D$281))*3+SUMPRODUCT(('England 1'!$C$272:$C$281='Team Position by Round'!$B17)*('England 1'!$D$272:$D$281='England 1'!$F$272:$F$281))+SUMPRODUCT(('England 1'!$E$272:$E$281='Team Position by Round'!$B17)*('England 1'!$F$272:$F$281='England 1'!$D$272:$D$281))</f>
        <v>3</v>
      </c>
      <c r="AE17" s="75" cm="1">
        <f t="array" ref="AE17">SUMPRODUCT(('England 1'!$C$282:$C$291='Team Position by Round'!$B17)*('England 1'!$D$282:$D$291&gt;'England 1'!$F$282:$F$291))*3+SUMPRODUCT(('England 1'!$E$282:$E$291='Team Position by Round'!$B17)*('England 1'!$F$282:$F$291&gt;'England 1'!$D$282:$D$291))*3+SUMPRODUCT(('England 1'!$C$282:$C$291='Team Position by Round'!$B17)*('England 1'!$D$282:$D$291='England 1'!$F$282:$F$291))+SUMPRODUCT(('England 1'!$E$282:$E$291='Team Position by Round'!$B17)*('England 1'!$F$282:$F$291='England 1'!$D$282:$D$291))</f>
        <v>0</v>
      </c>
      <c r="AF17" s="75" cm="1">
        <f t="array" ref="AF17">SUMPRODUCT(('England 1'!$C$292:$C$301='Team Position by Round'!$B17)*('England 1'!$D$292:$D$301&gt;'England 1'!$F$292:$F$301))*3+SUMPRODUCT(('England 1'!$E$292:$E$301='Team Position by Round'!$B17)*('England 1'!$F$292:$F$301&gt;'England 1'!$D$292:$D$301))*3+SUMPRODUCT(('England 1'!$C$292:$C$301='Team Position by Round'!$B17)*('England 1'!$D$292:$D$301='England 1'!$F$292:$F$301))+SUMPRODUCT(('England 1'!$E$292:$E$301='Team Position by Round'!$B17)*('England 1'!$F$292:$F$301='England 1'!$D$292:$D$301))</f>
        <v>0</v>
      </c>
      <c r="AG17" s="75" cm="1">
        <f t="array" ref="AG17">SUMPRODUCT(('England 1'!$C$302:$C$311='Team Position by Round'!$B17)*('England 1'!$D$302:$D$311&gt;'England 1'!$F$302:$F$311))*3+SUMPRODUCT(('England 1'!$E$302:$E$311='Team Position by Round'!$B17)*('England 1'!$F$302:$F$311&gt;'England 1'!$D$302:$D$311))*3+SUMPRODUCT(('England 1'!$C$302:$C$311='Team Position by Round'!$B17)*('England 1'!$D$302:$D$311='England 1'!$F$302:$F$311))+SUMPRODUCT(('England 1'!$E$302:$E$311='Team Position by Round'!$B17)*('England 1'!$F$302:$F$311='England 1'!$D$302:$D$311))</f>
        <v>0</v>
      </c>
      <c r="AH17" s="75" cm="1">
        <f t="array" ref="AH17">SUMPRODUCT(('England 1'!$C$312:$C$321='Team Position by Round'!$B17)*('England 1'!$D$312:$D$321&gt;'England 1'!$F$312:$F$321))*3+SUMPRODUCT(('England 1'!$E$312:$E$321='Team Position by Round'!$B17)*('England 1'!$F$312:$F$321&gt;'England 1'!$D$312:$D$321))*3+SUMPRODUCT(('England 1'!$C$312:$C$321='Team Position by Round'!$B17)*('England 1'!$D$312:$D$321='England 1'!$F$312:$F$321))+SUMPRODUCT(('England 1'!$E$312:$E$321='Team Position by Round'!$B17)*('England 1'!$F$312:$F$321='England 1'!$D$312:$D$321))</f>
        <v>0</v>
      </c>
      <c r="AI17" s="75" cm="1">
        <f t="array" ref="AI17">SUMPRODUCT(('England 1'!$C$322:$C$331='Team Position by Round'!$B17)*('England 1'!$D$322:$D$331&gt;'England 1'!$F$322:$F$331))*3+SUMPRODUCT(('England 1'!$E$322:$E$331='Team Position by Round'!$B17)*('England 1'!$F$322:$F$331&gt;'England 1'!$D$322:$D$331))*3+SUMPRODUCT(('England 1'!$C$322:$C$331='Team Position by Round'!$B17)*('England 1'!$D$322:$D$331='England 1'!$F$322:$F$331))+SUMPRODUCT(('England 1'!$E$322:$E$331='Team Position by Round'!$B17)*('England 1'!$F$322:$F$331='England 1'!$D$322:$D$331))</f>
        <v>0</v>
      </c>
      <c r="AJ17" s="75" cm="1">
        <f t="array" ref="AJ17">SUMPRODUCT(('England 1'!$C$332:$C$341='Team Position by Round'!$B17)*('England 1'!$D$332:$D$341&gt;'England 1'!$F$332:$F$341))*3+SUMPRODUCT(('England 1'!$E$332:$E$341='Team Position by Round'!$B17)*('England 1'!$F$332:$F$341&gt;'England 1'!$D$332:$D$341))*3+SUMPRODUCT(('England 1'!$C$332:$C$341='Team Position by Round'!$B17)*('England 1'!$D$332:$D$341='England 1'!$F$332:$F$341))+SUMPRODUCT(('England 1'!$E$332:$E$341='Team Position by Round'!$B17)*('England 1'!$F$332:$F$341='England 1'!$D$332:$D$341))</f>
        <v>0</v>
      </c>
      <c r="AK17" s="75" cm="1">
        <f t="array" ref="AK17">SUMPRODUCT(('England 1'!$C$342:$C$351='Team Position by Round'!$B17)*('England 1'!$D$342:$D$351&gt;'England 1'!$F$342:$F$351))*3+SUMPRODUCT(('England 1'!$E$342:$E$351='Team Position by Round'!$B17)*('England 1'!$F$342:$F$351&gt;'England 1'!$D$342:$D$351))*3+SUMPRODUCT(('England 1'!$C$342:$C$351='Team Position by Round'!$B17)*('England 1'!$D$342:$D$351='England 1'!$F$342:$F$351))+SUMPRODUCT(('England 1'!$E$342:$E$351='Team Position by Round'!$B17)*('England 1'!$F$342:$F$351='England 1'!$D$342:$D$351))</f>
        <v>0</v>
      </c>
      <c r="AL17" s="75" cm="1">
        <f t="array" ref="AL17">SUMPRODUCT(('England 1'!$C$352:$C$361='Team Position by Round'!$B17)*('England 1'!$D$352:$D$361&gt;'England 1'!$F$352:$F$361))*3+SUMPRODUCT(('England 1'!$E$352:$E$361='Team Position by Round'!$B17)*('England 1'!$F$352:$F$361&gt;'England 1'!$D$352:$D$361))*3+SUMPRODUCT(('England 1'!$C$352:$C$361='Team Position by Round'!$B17)*('England 1'!$D$352:$D$361='England 1'!$F$352:$F$361))+SUMPRODUCT(('England 1'!$E$352:$E$361='Team Position by Round'!$B17)*('England 1'!$F$352:$F$361='England 1'!$D$352:$D$361))</f>
        <v>0</v>
      </c>
      <c r="AM17" s="75" cm="1">
        <f t="array" ref="AM17">SUMPRODUCT(('England 1'!$C$362:$C$371='Team Position by Round'!$B17)*('England 1'!$D$362:$D$371&gt;'England 1'!$F$362:$F$371))*3+SUMPRODUCT(('England 1'!$E$362:$E$371='Team Position by Round'!$B17)*('England 1'!$F$362:$F$371&gt;'England 1'!$D$362:$D$371))*3+SUMPRODUCT(('England 1'!$C$362:$C$371='Team Position by Round'!$B17)*('England 1'!$D$362:$D$371='England 1'!$F$362:$F$371))+SUMPRODUCT(('England 1'!$E$362:$E$371='Team Position by Round'!$B17)*('England 1'!$F$362:$F$371='England 1'!$D$362:$D$371))</f>
        <v>0</v>
      </c>
      <c r="AN17" s="75" cm="1">
        <f t="array" ref="AN17">SUMPRODUCT(('England 1'!$C$372:$C$381='Team Position by Round'!$B17)*('England 1'!$D$372:$D$381&gt;'England 1'!$F$372:$F$381))*3+SUMPRODUCT(('England 1'!$E$372:$E$381='Team Position by Round'!$B17)*('England 1'!$F$372:$F$381&gt;'England 1'!$D$372:$D$381))*3+SUMPRODUCT(('England 1'!$C$372:$C$381='Team Position by Round'!$B17)*('England 1'!$D$372:$D$381='England 1'!$F$372:$F$381))+SUMPRODUCT(('England 1'!$E$372:$E$381='Team Position by Round'!$B17)*('England 1'!$F$372:$F$381='England 1'!$D$372:$D$381))</f>
        <v>0</v>
      </c>
      <c r="AO17">
        <f t="shared" si="0"/>
        <v>5</v>
      </c>
      <c r="AP17">
        <f t="shared" si="1"/>
        <v>6</v>
      </c>
      <c r="AQ17">
        <f t="shared" si="2"/>
        <v>27</v>
      </c>
      <c r="AR17" s="78">
        <f>SUMIF('Norwich City FC'!C:C,'Norwich City FC'!N18,'Norwich City FC'!D:D)+SUMIF('Norwich City FC'!E:E,'Norwich City FC'!N18,'Norwich City FC'!F:F)</f>
        <v>26</v>
      </c>
      <c r="AS17" s="78">
        <f>SUMIF('Norwich City FC'!C:C,"&lt;&gt;Norwich City FC",'Norwich City FC'!D:D)+SUMIF('Norwich City FC'!E:E,"&lt;&gt;Norwich City FC",'Norwich City FC'!F:F)</f>
        <v>75</v>
      </c>
      <c r="AT17" s="84">
        <f>MAX('Norwich City FC'!I:I)</f>
        <v>1</v>
      </c>
      <c r="AU17" s="84">
        <f>MAX('Norwich City FC'!J:J)</f>
        <v>10</v>
      </c>
      <c r="AV17">
        <f>MAX('Norwich City FC'!K:K)</f>
        <v>2</v>
      </c>
      <c r="AW17">
        <f>MAX('Norwich City FC'!L:L)</f>
        <v>10</v>
      </c>
    </row>
    <row r="18" spans="2:49" x14ac:dyDescent="0.2">
      <c r="B18" t="str">
        <v>Southampton FC</v>
      </c>
      <c r="C18" s="75" cm="1">
        <f t="array" ref="C18">SUMPRODUCT(('England 1'!$C$2:$C$11='Team Position by Round'!$B18)*('England 1'!$D$2:$D$11&gt;'England 1'!$F$2:$F$11))*3+SUMPRODUCT(('England 1'!$E$2:$E$11='Team Position by Round'!$B18)*('England 1'!$F$2:$F$11&gt;'England 1'!$D$2:$D$11))*3+SUMPRODUCT(('England 1'!$C$2:$C$11='Team Position by Round'!$B18)*('England 1'!$D$2:$D$11='England 1'!$F$2:$F$11))+SUMPRODUCT(('England 1'!$E$2:$E$11='Team Position by Round'!$B18)*('England 1'!$F$2:$F$11='England 1'!$D$2:$D$11))</f>
        <v>0</v>
      </c>
      <c r="D18" s="75" cm="1">
        <f t="array" ref="D18">SUMPRODUCT(('England 1'!$C$12:$C$21='Team Position by Round'!$B18)*('England 1'!$D$12:$D$21&gt;'England 1'!$F$12:$F$21))*3+SUMPRODUCT(('England 1'!$E$12:$E$21='Team Position by Round'!$B18)*('England 1'!$F$12:$F$21&gt;'England 1'!$D$12:$D$21))*3+SUMPRODUCT(('England 1'!$C$12:$C$21='Team Position by Round'!$B18)*('England 1'!$D$12:$D$21='England 1'!$F$12:$F$21))+SUMPRODUCT(('England 1'!$E$12:$E$21='Team Position by Round'!$B18)*('England 1'!$F$12:$F$21='England 1'!$D$12:$D$21))</f>
        <v>0</v>
      </c>
      <c r="E18" s="75" cm="1">
        <f t="array" ref="E18">SUMPRODUCT(('England 1'!$C$22:$C$31='Team Position by Round'!$B18)*('England 1'!$D$22:$D$31&gt;'England 1'!$F$22:$F$31))*3+SUMPRODUCT(('England 1'!$E$22:$E$31='Team Position by Round'!$B18)*('England 1'!$F$22:$F$31&gt;'England 1'!$D$22:$D$31))*3+SUMPRODUCT(('England 1'!$C$22:$C$31='Team Position by Round'!$B18)*('England 1'!$D$22:$D$31='England 1'!$F$22:$F$31))+SUMPRODUCT(('England 1'!$E$22:$E$31='Team Position by Round'!$B18)*('England 1'!$F$22:$F$31='England 1'!$D$22:$D$31))</f>
        <v>3</v>
      </c>
      <c r="F18" s="75" cm="1">
        <f t="array" ref="F18">SUMPRODUCT(('England 1'!$C$32:$C$41='Team Position by Round'!$B18)*('England 1'!$D$32:$D$41&gt;'England 1'!$F$32:$F$41))*3+SUMPRODUCT(('England 1'!$E$32:$E$41='Team Position by Round'!$B18)*('England 1'!$F$32:$F$41&gt;'England 1'!$D$32:$D$41))*3+SUMPRODUCT(('England 1'!$C$32:$C$41='Team Position by Round'!$B18)*('England 1'!$D$32:$D$41='England 1'!$F$32:$F$41))+SUMPRODUCT(('England 1'!$E$32:$E$41='Team Position by Round'!$B18)*('England 1'!$F$32:$F$41='England 1'!$D$32:$D$41))</f>
        <v>1</v>
      </c>
      <c r="G18" s="75" cm="1">
        <f t="array" ref="G18">SUMPRODUCT(('England 1'!$C$42:$C$51='Team Position by Round'!$B18)*('England 1'!$D$42:$D$51&gt;'England 1'!$F$42:$F$51))*3+SUMPRODUCT(('England 1'!$E$42:$E$51='Team Position by Round'!$B18)*('England 1'!$F$42:$F$51&gt;'England 1'!$D$42:$D$51))*3+SUMPRODUCT(('England 1'!$C$42:$C$51='Team Position by Round'!$B18)*('England 1'!$D$42:$D$51='England 1'!$F$42:$F$51))+SUMPRODUCT(('England 1'!$E$42:$E$51='Team Position by Round'!$B18)*('England 1'!$F$42:$F$51='England 1'!$D$42:$D$51))</f>
        <v>3</v>
      </c>
      <c r="H18" s="75" cm="1">
        <f t="array" ref="H18">SUMPRODUCT(('England 1'!$C$52:$C$61='Team Position by Round'!$B18)*('England 1'!$D$52:$D$61&gt;'England 1'!$F$52:$F$61))*3+SUMPRODUCT(('England 1'!$E$52:$E$61='Team Position by Round'!$B18)*('England 1'!$F$52:$F$61&gt;'England 1'!$D$52:$D$61))*3+SUMPRODUCT(('England 1'!$C$52:$C$61='Team Position by Round'!$B18)*('England 1'!$D$52:$D$61='England 1'!$F$52:$F$61))+SUMPRODUCT(('England 1'!$E$52:$E$61='Team Position by Round'!$B18)*('England 1'!$F$52:$F$61='England 1'!$D$52:$D$61))</f>
        <v>0</v>
      </c>
      <c r="I18" s="75" cm="1">
        <f t="array" ref="I18">SUMPRODUCT(('England 1'!$C$62:$C$71='Team Position by Round'!$B18)*('England 1'!$D$62:$D$71&gt;'England 1'!$F$62:$F$71))*3+SUMPRODUCT(('England 1'!$E$62:$E$71='Team Position by Round'!$B18)*('England 1'!$F$62:$F$71&gt;'England 1'!$D$62:$D$71))*3+SUMPRODUCT(('England 1'!$C$62:$C$71='Team Position by Round'!$B18)*('England 1'!$D$62:$D$71='England 1'!$F$62:$F$71))+SUMPRODUCT(('England 1'!$E$62:$E$71='Team Position by Round'!$B18)*('England 1'!$F$62:$F$71='England 1'!$D$62:$D$71))</f>
        <v>0</v>
      </c>
      <c r="J18" s="76" cm="1">
        <f t="array" ref="J18">SUMPRODUCT(('England 1'!$C$72:$C$81='Team Position by Round'!$B18)*('England 1'!$D$72:$D$81&gt;'England 1'!$F$72:$F$81))*3+SUMPRODUCT(('England 1'!$E$72:$E$81='Team Position by Round'!$B18)*('England 1'!$F$72:$F$81&gt;'England 1'!$D$72:$D$81))*3+SUMPRODUCT(('England 1'!$C$72:$C$81='Team Position by Round'!$B18)*('England 1'!$D$72:$D$81='England 1'!$F$72:$F$81))+SUMPRODUCT(('England 1'!$E$72:$E$81='Team Position by Round'!$B18)*('England 1'!$F$72:$F$81='England 1'!$D$72:$D$81))</f>
        <v>0</v>
      </c>
      <c r="K18" s="75" cm="1">
        <f t="array" ref="K18">SUMPRODUCT(('England 1'!$C$82:$C$91='Team Position by Round'!$B18)*('England 1'!$D$82:$D$91&gt;'England 1'!$F$82:$F$91))*3+SUMPRODUCT(('England 1'!$E$82:$E$91='Team Position by Round'!$B18)*('England 1'!$F$82:$F$91&gt;'England 1'!$D$82:$D$91))*3+SUMPRODUCT(('England 1'!$C$82:$C$91='Team Position by Round'!$B18)*('England 1'!$D$82:$D$91='England 1'!$F$82:$F$91))+SUMPRODUCT(('England 1'!$E$82:$E$91='Team Position by Round'!$B18)*('England 1'!$F$82:$F$91='England 1'!$D$82:$D$91))</f>
        <v>1</v>
      </c>
      <c r="L18" s="75" cm="1">
        <f t="array" ref="L18">SUMPRODUCT(('England 1'!$C$92:$C$101='Team Position by Round'!$B18)*('England 1'!$D$92:$D$101&gt;'England 1'!$F$92:$F$101))*3+SUMPRODUCT(('England 1'!$E$92:$E$101='Team Position by Round'!$B18)*('England 1'!$F$92:$F$101&gt;'England 1'!$D$92:$D$101))*3+SUMPRODUCT(('England 1'!$C$92:$C$101='Team Position by Round'!$B18)*('England 1'!$D$92:$D$101='England 1'!$F$92:$F$101))+SUMPRODUCT(('England 1'!$E$92:$E$101='Team Position by Round'!$B18)*('England 1'!$F$92:$F$101='England 1'!$D$92:$D$101))</f>
        <v>0</v>
      </c>
      <c r="M18" s="75" cm="1">
        <f t="array" ref="M18">SUMPRODUCT(('England 1'!$C$102:$C$111='Team Position by Round'!$B18)*('England 1'!$D$102:$D$111&gt;'England 1'!$F$102:$F$111))*3+SUMPRODUCT(('England 1'!$E$102:$E$111='Team Position by Round'!$B18)*('England 1'!$F$102:$F$111&gt;'England 1'!$D$102:$D$111))*3+SUMPRODUCT(('England 1'!$C$102:$C$111='Team Position by Round'!$B18)*('England 1'!$D$102:$D$111='England 1'!$F$102:$F$111))+SUMPRODUCT(('England 1'!$E$102:$E$111='Team Position by Round'!$B18)*('England 1'!$F$102:$F$111='England 1'!$D$102:$D$111))</f>
        <v>0</v>
      </c>
      <c r="N18" s="75" cm="1">
        <f t="array" ref="N18">SUMPRODUCT(('England 1'!$C$112:$C$121='Team Position by Round'!$B18)*('England 1'!$D$112:$D$121&gt;'England 1'!$F$112:$F$121))*3+SUMPRODUCT(('England 1'!$E$112:$E$121='Team Position by Round'!$B18)*('England 1'!$F$112:$F$121&gt;'England 1'!$D$112:$D$121))*3+SUMPRODUCT(('England 1'!$C$112:$C$121='Team Position by Round'!$B18)*('England 1'!$D$112:$D$121='England 1'!$F$112:$F$121))+SUMPRODUCT(('England 1'!$E$112:$E$121='Team Position by Round'!$B18)*('England 1'!$F$112:$F$121='England 1'!$D$112:$D$121))</f>
        <v>0</v>
      </c>
      <c r="O18" s="75" cm="1">
        <f t="array" ref="O18">SUMPRODUCT(('England 1'!$C$122:$C$131='Team Position by Round'!$B18)*('England 1'!$D$122:$D$131&gt;'England 1'!$F$122:$F$131))*3+SUMPRODUCT(('England 1'!$E$122:$E$131='Team Position by Round'!$B18)*('England 1'!$F$122:$F$131&gt;'England 1'!$D$122:$D$131))*3+SUMPRODUCT(('England 1'!$C$122:$C$131='Team Position by Round'!$B18)*('England 1'!$D$122:$D$131='England 1'!$F$122:$F$131))+SUMPRODUCT(('England 1'!$E$122:$E$131='Team Position by Round'!$B18)*('England 1'!$F$122:$F$131='England 1'!$D$122:$D$131))</f>
        <v>1</v>
      </c>
      <c r="P18" s="75" cm="1">
        <f t="array" ref="P18">SUMPRODUCT(('England 1'!$C$132:$C$141='Team Position by Round'!$B18)*('England 1'!$D$132:$D$141&gt;'England 1'!$F$132:$F$141))*3+SUMPRODUCT(('England 1'!$E$132:$E$141='Team Position by Round'!$B18)*('England 1'!$F$132:$F$141&gt;'England 1'!$D$132:$D$141))*3+SUMPRODUCT(('England 1'!$C$132:$C$141='Team Position by Round'!$B18)*('England 1'!$D$132:$D$141='England 1'!$F$132:$F$141))+SUMPRODUCT(('England 1'!$E$132:$E$141='Team Position by Round'!$B18)*('England 1'!$F$132:$F$141='England 1'!$D$132:$D$141))</f>
        <v>3</v>
      </c>
      <c r="Q18" s="75" cm="1">
        <f t="array" ref="Q18">SUMPRODUCT(('England 1'!$C$142:$C$151='Team Position by Round'!$B18)*('England 1'!$D$142:$D$151&gt;'England 1'!$F$142:$F$151))*3+SUMPRODUCT(('England 1'!$E$142:$E$151='Team Position by Round'!$B18)*('England 1'!$F$142:$F$151&gt;'England 1'!$D$142:$D$151))*3+SUMPRODUCT(('England 1'!$C$142:$C$151='Team Position by Round'!$B18)*('England 1'!$D$142:$D$151='England 1'!$F$142:$F$151))+SUMPRODUCT(('England 1'!$E$142:$E$151='Team Position by Round'!$B18)*('England 1'!$F$142:$F$151='England 1'!$D$142:$D$151))</f>
        <v>3</v>
      </c>
      <c r="R18" s="75" cm="1">
        <f t="array" ref="R18">SUMPRODUCT(('England 1'!$C$152:$C$161='Team Position by Round'!$B18)*('England 1'!$D$152:$D$161&gt;'England 1'!$F$152:$F$161))*3+SUMPRODUCT(('England 1'!$E$152:$E$161='Team Position by Round'!$B18)*('England 1'!$F$152:$F$161&gt;'England 1'!$D$152:$D$161))*3+SUMPRODUCT(('England 1'!$C$152:$C$161='Team Position by Round'!$B18)*('England 1'!$D$152:$D$161='England 1'!$F$152:$F$161))+SUMPRODUCT(('England 1'!$E$152:$E$161='Team Position by Round'!$B18)*('England 1'!$F$152:$F$161='England 1'!$D$152:$D$161))</f>
        <v>0</v>
      </c>
      <c r="S18" s="75" cm="1">
        <f t="array" ref="S18">SUMPRODUCT(('England 1'!$C$162:$C$171='Team Position by Round'!$B18)*('England 1'!$D$162:$D$171&gt;'England 1'!$F$162:$F$171))*3+SUMPRODUCT(('England 1'!$E$162:$E$171='Team Position by Round'!$B18)*('England 1'!$F$162:$F$171&gt;'England 1'!$D$162:$D$171))*3+SUMPRODUCT(('England 1'!$C$162:$C$171='Team Position by Round'!$B18)*('England 1'!$D$162:$D$171='England 1'!$F$162:$F$171))+SUMPRODUCT(('England 1'!$E$162:$E$171='Team Position by Round'!$B18)*('England 1'!$F$162:$F$171='England 1'!$D$162:$D$171))</f>
        <v>0</v>
      </c>
      <c r="T18" s="75" cm="1">
        <f t="array" ref="T18">SUMPRODUCT(('England 1'!$C$172:$C$181='Team Position by Round'!$B18)*('England 1'!$D$172:$D$181&gt;'England 1'!$F$172:$F$181))*3+SUMPRODUCT(('England 1'!$E$172:$E$181='Team Position by Round'!$B18)*('England 1'!$F$172:$F$181&gt;'England 1'!$D$172:$D$181))*3+SUMPRODUCT(('England 1'!$C$172:$C$181='Team Position by Round'!$B18)*('England 1'!$D$172:$D$181='England 1'!$F$172:$F$181))+SUMPRODUCT(('England 1'!$E$172:$E$181='Team Position by Round'!$B18)*('England 1'!$F$172:$F$181='England 1'!$D$172:$D$181))</f>
        <v>3</v>
      </c>
      <c r="U18" s="75" cm="1">
        <f t="array" ref="U18">SUMPRODUCT(('England 1'!$C$182:$C$191='Team Position by Round'!$B18)*('England 1'!$D$182:$D$191&gt;'England 1'!$F$182:$F$191))*3+SUMPRODUCT(('England 1'!$E$182:$E$191='Team Position by Round'!$B18)*('England 1'!$F$182:$F$191&gt;'England 1'!$D$182:$D$191))*3+SUMPRODUCT(('England 1'!$C$182:$C$191='Team Position by Round'!$B18)*('England 1'!$D$182:$D$191='England 1'!$F$182:$F$191))+SUMPRODUCT(('England 1'!$E$182:$E$191='Team Position by Round'!$B18)*('England 1'!$F$182:$F$191='England 1'!$D$182:$D$191))</f>
        <v>3</v>
      </c>
      <c r="V18" s="75" cm="1">
        <f t="array" ref="V18">SUMPRODUCT(('England 1'!$C$192:$C$201='Team Position by Round'!$B18)*('England 1'!$D$192:$D$201&gt;'England 1'!$F$192:$F$201))*3+SUMPRODUCT(('England 1'!$E$192:$E$201='Team Position by Round'!$B18)*('England 1'!$F$192:$F$201&gt;'England 1'!$D$192:$D$201))*3+SUMPRODUCT(('England 1'!$C$192:$C$201='Team Position by Round'!$B18)*('England 1'!$D$192:$D$201='England 1'!$F$192:$F$201))+SUMPRODUCT(('England 1'!$E$192:$E$201='Team Position by Round'!$B18)*('England 1'!$F$192:$F$201='England 1'!$D$192:$D$201))</f>
        <v>1</v>
      </c>
      <c r="W18" s="75" cm="1">
        <f t="array" ref="W18">SUMPRODUCT(('England 1'!$C$202:$C$211='Team Position by Round'!$B18)*('England 1'!$D$202:$D$211&gt;'England 1'!$F$202:$F$211))*3+SUMPRODUCT(('England 1'!$E$202:$E$211='Team Position by Round'!$B18)*('England 1'!$F$202:$F$211&gt;'England 1'!$D$202:$D$211))*3+SUMPRODUCT(('England 1'!$C$202:$C$211='Team Position by Round'!$B18)*('England 1'!$D$202:$D$211='England 1'!$F$202:$F$211))+SUMPRODUCT(('England 1'!$E$202:$E$211='Team Position by Round'!$B18)*('England 1'!$F$202:$F$211='England 1'!$D$202:$D$211))</f>
        <v>3</v>
      </c>
      <c r="X18" s="75" cm="1">
        <f t="array" ref="X18">SUMPRODUCT(('England 1'!$C$212:$C$221='Team Position by Round'!$B18)*('England 1'!$D$212:$D$221&gt;'England 1'!$F$212:$F$221))*3+SUMPRODUCT(('England 1'!$E$212:$E$221='Team Position by Round'!$B18)*('England 1'!$F$212:$F$221&gt;'England 1'!$D$212:$D$221))*3+SUMPRODUCT(('England 1'!$C$212:$C$221='Team Position by Round'!$B18)*('England 1'!$D$212:$D$221='England 1'!$F$212:$F$221))+SUMPRODUCT(('England 1'!$E$212:$E$221='Team Position by Round'!$B18)*('England 1'!$F$212:$F$221='England 1'!$D$212:$D$221))</f>
        <v>3</v>
      </c>
      <c r="Y18" s="75" cm="1">
        <f t="array" ref="Y18">SUMPRODUCT(('England 1'!$C$222:$C$231='Team Position by Round'!$B18)*('England 1'!$D$222:$D$231&gt;'England 1'!$F$222:$F$231))*3+SUMPRODUCT(('England 1'!$E$222:$E$231='Team Position by Round'!$B18)*('England 1'!$F$222:$F$231&gt;'England 1'!$D$222:$D$231))*3+SUMPRODUCT(('England 1'!$C$222:$C$231='Team Position by Round'!$B18)*('England 1'!$D$222:$D$231='England 1'!$F$222:$F$231))+SUMPRODUCT(('England 1'!$E$222:$E$231='Team Position by Round'!$B18)*('England 1'!$F$222:$F$231='England 1'!$D$222:$D$231))</f>
        <v>0</v>
      </c>
      <c r="Z18" s="75" cm="1">
        <f t="array" ref="Z18">SUMPRODUCT(('England 1'!$C$232:$C$241='Team Position by Round'!$B18)*('England 1'!$D$232:$D$241&gt;'England 1'!$F$232:$F$241))*3+SUMPRODUCT(('England 1'!$E$232:$E$241='Team Position by Round'!$B18)*('England 1'!$F$232:$F$241&gt;'England 1'!$D$232:$D$241))*3+SUMPRODUCT(('England 1'!$C$232:$C$241='Team Position by Round'!$B18)*('England 1'!$D$232:$D$241='England 1'!$F$232:$F$241))+SUMPRODUCT(('England 1'!$E$232:$E$241='Team Position by Round'!$B18)*('England 1'!$F$232:$F$241='England 1'!$D$232:$D$241))</f>
        <v>3</v>
      </c>
      <c r="AA18" s="75" cm="1">
        <f t="array" ref="AA18">SUMPRODUCT(('England 1'!$C$242:$C$251='Team Position by Round'!$B18)*('England 1'!$D$242:$D$251&gt;'England 1'!$F$242:$F$251))*3+SUMPRODUCT(('England 1'!$E$242:$E$251='Team Position by Round'!$B18)*('England 1'!$F$242:$F$251&gt;'England 1'!$D$242:$D$251))*3+SUMPRODUCT(('England 1'!$C$242:$C$251='Team Position by Round'!$B18)*('England 1'!$D$242:$D$251='England 1'!$F$242:$F$251))+SUMPRODUCT(('England 1'!$E$242:$E$251='Team Position by Round'!$B18)*('England 1'!$F$242:$F$251='England 1'!$D$242:$D$251))</f>
        <v>0</v>
      </c>
      <c r="AB18" s="75" cm="1">
        <f t="array" ref="AB18">SUMPRODUCT(('England 1'!$C$252:$C$261='Team Position by Round'!$B18)*('England 1'!$D$252:$D$261&gt;'England 1'!$F$252:$F$261))*3+SUMPRODUCT(('England 1'!$E$252:$E$261='Team Position by Round'!$B18)*('England 1'!$F$252:$F$261&gt;'England 1'!$D$252:$D$261))*3+SUMPRODUCT(('England 1'!$C$252:$C$261='Team Position by Round'!$B18)*('England 1'!$D$252:$D$261='England 1'!$F$252:$F$261))+SUMPRODUCT(('England 1'!$E$252:$E$261='Team Position by Round'!$B18)*('England 1'!$F$252:$F$261='England 1'!$D$252:$D$261))</f>
        <v>0</v>
      </c>
      <c r="AC18" s="75" cm="1">
        <f t="array" ref="AC18">SUMPRODUCT(('England 1'!$C$262:$C$271='Team Position by Round'!$B18)*('England 1'!$D$262:$D$271&gt;'England 1'!$F$262:$F$271))*3+SUMPRODUCT(('England 1'!$E$262:$E$271='Team Position by Round'!$B18)*('England 1'!$F$262:$F$271&gt;'England 1'!$D$262:$D$271))*3+SUMPRODUCT(('England 1'!$C$262:$C$271='Team Position by Round'!$B18)*('England 1'!$D$262:$D$271='England 1'!$F$262:$F$271))+SUMPRODUCT(('England 1'!$E$262:$E$271='Team Position by Round'!$B18)*('England 1'!$F$262:$F$271='England 1'!$D$262:$D$271))</f>
        <v>3</v>
      </c>
      <c r="AD18" s="75" cm="1">
        <f t="array" ref="AD18">SUMPRODUCT(('England 1'!$C$272:$C$281='Team Position by Round'!$B18)*('England 1'!$D$272:$D$281&gt;'England 1'!$F$272:$F$281))*3+SUMPRODUCT(('England 1'!$E$272:$E$281='Team Position by Round'!$B18)*('England 1'!$F$272:$F$281&gt;'England 1'!$D$272:$D$281))*3+SUMPRODUCT(('England 1'!$C$272:$C$281='Team Position by Round'!$B18)*('England 1'!$D$272:$D$281='England 1'!$F$272:$F$281))+SUMPRODUCT(('England 1'!$E$272:$E$281='Team Position by Round'!$B18)*('England 1'!$F$272:$F$281='England 1'!$D$272:$D$281))</f>
        <v>0</v>
      </c>
      <c r="AE18" s="75" cm="1">
        <f t="array" ref="AE18">SUMPRODUCT(('England 1'!$C$282:$C$291='Team Position by Round'!$B18)*('England 1'!$D$282:$D$291&gt;'England 1'!$F$282:$F$291))*3+SUMPRODUCT(('England 1'!$E$282:$E$291='Team Position by Round'!$B18)*('England 1'!$F$282:$F$291&gt;'England 1'!$D$282:$D$291))*3+SUMPRODUCT(('England 1'!$C$282:$C$291='Team Position by Round'!$B18)*('England 1'!$D$282:$D$291='England 1'!$F$282:$F$291))+SUMPRODUCT(('England 1'!$E$282:$E$291='Team Position by Round'!$B18)*('England 1'!$F$282:$F$291='England 1'!$D$282:$D$291))</f>
        <v>0</v>
      </c>
      <c r="AF18" s="75" cm="1">
        <f t="array" ref="AF18">SUMPRODUCT(('England 1'!$C$292:$C$301='Team Position by Round'!$B18)*('England 1'!$D$292:$D$301&gt;'England 1'!$F$292:$F$301))*3+SUMPRODUCT(('England 1'!$E$292:$E$301='Team Position by Round'!$B18)*('England 1'!$F$292:$F$301&gt;'England 1'!$D$292:$D$301))*3+SUMPRODUCT(('England 1'!$C$292:$C$301='Team Position by Round'!$B18)*('England 1'!$D$292:$D$301='England 1'!$F$292:$F$301))+SUMPRODUCT(('England 1'!$E$292:$E$301='Team Position by Round'!$B18)*('England 1'!$F$292:$F$301='England 1'!$D$292:$D$301))</f>
        <v>3</v>
      </c>
      <c r="AG18" s="75" cm="1">
        <f t="array" ref="AG18">SUMPRODUCT(('England 1'!$C$302:$C$311='Team Position by Round'!$B18)*('England 1'!$D$302:$D$311&gt;'England 1'!$F$302:$F$311))*3+SUMPRODUCT(('England 1'!$E$302:$E$311='Team Position by Round'!$B18)*('England 1'!$F$302:$F$311&gt;'England 1'!$D$302:$D$311))*3+SUMPRODUCT(('England 1'!$C$302:$C$311='Team Position by Round'!$B18)*('England 1'!$D$302:$D$311='England 1'!$F$302:$F$311))+SUMPRODUCT(('England 1'!$E$302:$E$311='Team Position by Round'!$B18)*('England 1'!$F$302:$F$311='England 1'!$D$302:$D$311))</f>
        <v>0</v>
      </c>
      <c r="AH18" s="75" cm="1">
        <f t="array" ref="AH18">SUMPRODUCT(('England 1'!$C$312:$C$321='Team Position by Round'!$B18)*('England 1'!$D$312:$D$321&gt;'England 1'!$F$312:$F$321))*3+SUMPRODUCT(('England 1'!$E$312:$E$321='Team Position by Round'!$B18)*('England 1'!$F$312:$F$321&gt;'England 1'!$D$312:$D$321))*3+SUMPRODUCT(('England 1'!$C$312:$C$321='Team Position by Round'!$B18)*('England 1'!$D$312:$D$321='England 1'!$F$312:$F$321))+SUMPRODUCT(('England 1'!$E$312:$E$321='Team Position by Round'!$B18)*('England 1'!$F$312:$F$321='England 1'!$D$312:$D$321))</f>
        <v>3</v>
      </c>
      <c r="AI18" s="75" cm="1">
        <f t="array" ref="AI18">SUMPRODUCT(('England 1'!$C$322:$C$331='Team Position by Round'!$B18)*('England 1'!$D$322:$D$331&gt;'England 1'!$F$322:$F$331))*3+SUMPRODUCT(('England 1'!$E$322:$E$331='Team Position by Round'!$B18)*('England 1'!$F$322:$F$331&gt;'England 1'!$D$322:$D$331))*3+SUMPRODUCT(('England 1'!$C$322:$C$331='Team Position by Round'!$B18)*('England 1'!$D$322:$D$331='England 1'!$F$322:$F$331))+SUMPRODUCT(('England 1'!$E$322:$E$331='Team Position by Round'!$B18)*('England 1'!$F$322:$F$331='England 1'!$D$322:$D$331))</f>
        <v>3</v>
      </c>
      <c r="AJ18" s="75" cm="1">
        <f t="array" ref="AJ18">SUMPRODUCT(('England 1'!$C$332:$C$341='Team Position by Round'!$B18)*('England 1'!$D$332:$D$341&gt;'England 1'!$F$332:$F$341))*3+SUMPRODUCT(('England 1'!$E$332:$E$341='Team Position by Round'!$B18)*('England 1'!$F$332:$F$341&gt;'England 1'!$D$332:$D$341))*3+SUMPRODUCT(('England 1'!$C$332:$C$341='Team Position by Round'!$B18)*('England 1'!$D$332:$D$341='England 1'!$F$332:$F$341))+SUMPRODUCT(('England 1'!$E$332:$E$341='Team Position by Round'!$B18)*('England 1'!$F$332:$F$341='England 1'!$D$332:$D$341))</f>
        <v>1</v>
      </c>
      <c r="AK18" s="75" cm="1">
        <f t="array" ref="AK18">SUMPRODUCT(('England 1'!$C$342:$C$351='Team Position by Round'!$B18)*('England 1'!$D$342:$D$351&gt;'England 1'!$F$342:$F$351))*3+SUMPRODUCT(('England 1'!$E$342:$E$351='Team Position by Round'!$B18)*('England 1'!$F$342:$F$351&gt;'England 1'!$D$342:$D$351))*3+SUMPRODUCT(('England 1'!$C$342:$C$351='Team Position by Round'!$B18)*('England 1'!$D$342:$D$351='England 1'!$F$342:$F$351))+SUMPRODUCT(('England 1'!$E$342:$E$351='Team Position by Round'!$B18)*('England 1'!$F$342:$F$351='England 1'!$D$342:$D$351))</f>
        <v>1</v>
      </c>
      <c r="AL18" s="75" cm="1">
        <f t="array" ref="AL18">SUMPRODUCT(('England 1'!$C$352:$C$361='Team Position by Round'!$B18)*('England 1'!$D$352:$D$361&gt;'England 1'!$F$352:$F$361))*3+SUMPRODUCT(('England 1'!$E$352:$E$361='Team Position by Round'!$B18)*('England 1'!$F$352:$F$361&gt;'England 1'!$D$352:$D$361))*3+SUMPRODUCT(('England 1'!$C$352:$C$361='Team Position by Round'!$B18)*('England 1'!$D$352:$D$361='England 1'!$F$352:$F$361))+SUMPRODUCT(('England 1'!$E$352:$E$361='Team Position by Round'!$B18)*('England 1'!$F$352:$F$361='England 1'!$D$352:$D$361))</f>
        <v>1</v>
      </c>
      <c r="AM18" s="75" cm="1">
        <f t="array" ref="AM18">SUMPRODUCT(('England 1'!$C$362:$C$371='Team Position by Round'!$B18)*('England 1'!$D$362:$D$371&gt;'England 1'!$F$362:$F$371))*3+SUMPRODUCT(('England 1'!$E$362:$E$371='Team Position by Round'!$B18)*('England 1'!$F$362:$F$371&gt;'England 1'!$D$362:$D$371))*3+SUMPRODUCT(('England 1'!$C$362:$C$371='Team Position by Round'!$B18)*('England 1'!$D$362:$D$371='England 1'!$F$362:$F$371))+SUMPRODUCT(('England 1'!$E$362:$E$371='Team Position by Round'!$B18)*('England 1'!$F$362:$F$371='England 1'!$D$362:$D$371))</f>
        <v>3</v>
      </c>
      <c r="AN18" s="75" cm="1">
        <f t="array" ref="AN18">SUMPRODUCT(('England 1'!$C$372:$C$381='Team Position by Round'!$B18)*('England 1'!$D$372:$D$381&gt;'England 1'!$F$372:$F$381))*3+SUMPRODUCT(('England 1'!$E$372:$E$381='Team Position by Round'!$B18)*('England 1'!$F$372:$F$381&gt;'England 1'!$D$372:$D$381))*3+SUMPRODUCT(('England 1'!$C$372:$C$381='Team Position by Round'!$B18)*('England 1'!$D$372:$D$381='England 1'!$F$372:$F$381))+SUMPRODUCT(('England 1'!$E$372:$E$381='Team Position by Round'!$B18)*('England 1'!$F$372:$F$381='England 1'!$D$372:$D$381))</f>
        <v>3</v>
      </c>
      <c r="AO18">
        <f t="shared" si="0"/>
        <v>15</v>
      </c>
      <c r="AP18">
        <f t="shared" si="1"/>
        <v>7</v>
      </c>
      <c r="AQ18">
        <f t="shared" si="2"/>
        <v>16</v>
      </c>
      <c r="AR18" s="78">
        <f>SUMIF('Southampton FC'!C:C,'Southampton FC'!N18,'Southampton FC'!D:D)+SUMIF('Southampton FC'!E:E,'Southampton FC'!N18,'Southampton FC'!F:F)</f>
        <v>51</v>
      </c>
      <c r="AS18" s="78">
        <f>SUMIF('Southampton FC'!C:C,"&lt;&gt;Southampton FC",'Southampton FC'!D:D)+SUMIF('Southampton FC'!E:E,"&lt;&gt;Southampton FC",'Southampton FC'!F:F)</f>
        <v>60</v>
      </c>
      <c r="AT18" s="84">
        <f>MAX('Southampton FC'!I:I)</f>
        <v>2</v>
      </c>
      <c r="AU18" s="84">
        <f>MAX('Southampton FC'!J:J)</f>
        <v>3</v>
      </c>
      <c r="AV18">
        <f>MAX('Southampton FC'!K:K)</f>
        <v>7</v>
      </c>
      <c r="AW18">
        <f>MAX('Southampton FC'!L:L)</f>
        <v>8</v>
      </c>
    </row>
    <row r="19" spans="2:49" x14ac:dyDescent="0.2">
      <c r="B19" t="str">
        <v>Manchester City FC</v>
      </c>
      <c r="C19" s="75" cm="1">
        <f t="array" ref="C19">SUMPRODUCT(('England 1'!$C$2:$C$11='Team Position by Round'!$B19)*('England 1'!$D$2:$D$11&gt;'England 1'!$F$2:$F$11))*3+SUMPRODUCT(('England 1'!$E$2:$E$11='Team Position by Round'!$B19)*('England 1'!$F$2:$F$11&gt;'England 1'!$D$2:$D$11))*3+SUMPRODUCT(('England 1'!$C$2:$C$11='Team Position by Round'!$B19)*('England 1'!$D$2:$D$11='England 1'!$F$2:$F$11))+SUMPRODUCT(('England 1'!$E$2:$E$11='Team Position by Round'!$B19)*('England 1'!$F$2:$F$11='England 1'!$D$2:$D$11))</f>
        <v>3</v>
      </c>
      <c r="D19" s="75" cm="1">
        <f t="array" ref="D19">SUMPRODUCT(('England 1'!$C$12:$C$21='Team Position by Round'!$B19)*('England 1'!$D$12:$D$21&gt;'England 1'!$F$12:$F$21))*3+SUMPRODUCT(('England 1'!$E$12:$E$21='Team Position by Round'!$B19)*('England 1'!$F$12:$F$21&gt;'England 1'!$D$12:$D$21))*3+SUMPRODUCT(('England 1'!$C$12:$C$21='Team Position by Round'!$B19)*('England 1'!$D$12:$D$21='England 1'!$F$12:$F$21))+SUMPRODUCT(('England 1'!$E$12:$E$21='Team Position by Round'!$B19)*('England 1'!$F$12:$F$21='England 1'!$D$12:$D$21))</f>
        <v>1</v>
      </c>
      <c r="E19" s="75" cm="1">
        <f t="array" ref="E19">SUMPRODUCT(('England 1'!$C$22:$C$31='Team Position by Round'!$B19)*('England 1'!$D$22:$D$31&gt;'England 1'!$F$22:$F$31))*3+SUMPRODUCT(('England 1'!$E$22:$E$31='Team Position by Round'!$B19)*('England 1'!$F$22:$F$31&gt;'England 1'!$D$22:$D$31))*3+SUMPRODUCT(('England 1'!$C$22:$C$31='Team Position by Round'!$B19)*('England 1'!$D$22:$D$31='England 1'!$F$22:$F$31))+SUMPRODUCT(('England 1'!$E$22:$E$31='Team Position by Round'!$B19)*('England 1'!$F$22:$F$31='England 1'!$D$22:$D$31))</f>
        <v>3</v>
      </c>
      <c r="F19" s="75" cm="1">
        <f t="array" ref="F19">SUMPRODUCT(('England 1'!$C$32:$C$41='Team Position by Round'!$B19)*('England 1'!$D$32:$D$41&gt;'England 1'!$F$32:$F$41))*3+SUMPRODUCT(('England 1'!$E$32:$E$41='Team Position by Round'!$B19)*('England 1'!$F$32:$F$41&gt;'England 1'!$D$32:$D$41))*3+SUMPRODUCT(('England 1'!$C$32:$C$41='Team Position by Round'!$B19)*('England 1'!$D$32:$D$41='England 1'!$F$32:$F$41))+SUMPRODUCT(('England 1'!$E$32:$E$41='Team Position by Round'!$B19)*('England 1'!$F$32:$F$41='England 1'!$D$32:$D$41))</f>
        <v>3</v>
      </c>
      <c r="G19" s="75" cm="1">
        <f t="array" ref="G19">SUMPRODUCT(('England 1'!$C$42:$C$51='Team Position by Round'!$B19)*('England 1'!$D$42:$D$51&gt;'England 1'!$F$42:$F$51))*3+SUMPRODUCT(('England 1'!$E$42:$E$51='Team Position by Round'!$B19)*('England 1'!$F$42:$F$51&gt;'England 1'!$D$42:$D$51))*3+SUMPRODUCT(('England 1'!$C$42:$C$51='Team Position by Round'!$B19)*('England 1'!$D$42:$D$51='England 1'!$F$42:$F$51))+SUMPRODUCT(('England 1'!$E$42:$E$51='Team Position by Round'!$B19)*('England 1'!$F$42:$F$51='England 1'!$D$42:$D$51))</f>
        <v>0</v>
      </c>
      <c r="H19" s="75" cm="1">
        <f t="array" ref="H19">SUMPRODUCT(('England 1'!$C$52:$C$61='Team Position by Round'!$B19)*('England 1'!$D$52:$D$61&gt;'England 1'!$F$52:$F$61))*3+SUMPRODUCT(('England 1'!$E$52:$E$61='Team Position by Round'!$B19)*('England 1'!$F$52:$F$61&gt;'England 1'!$D$52:$D$61))*3+SUMPRODUCT(('England 1'!$C$52:$C$61='Team Position by Round'!$B19)*('England 1'!$D$52:$D$61='England 1'!$F$52:$F$61))+SUMPRODUCT(('England 1'!$E$52:$E$61='Team Position by Round'!$B19)*('England 1'!$F$52:$F$61='England 1'!$D$52:$D$61))</f>
        <v>3</v>
      </c>
      <c r="I19" s="75" cm="1">
        <f t="array" ref="I19">SUMPRODUCT(('England 1'!$C$62:$C$71='Team Position by Round'!$B19)*('England 1'!$D$62:$D$71&gt;'England 1'!$F$62:$F$71))*3+SUMPRODUCT(('England 1'!$E$62:$E$71='Team Position by Round'!$B19)*('England 1'!$F$62:$F$71&gt;'England 1'!$D$62:$D$71))*3+SUMPRODUCT(('England 1'!$C$62:$C$71='Team Position by Round'!$B19)*('England 1'!$D$62:$D$71='England 1'!$F$62:$F$71))+SUMPRODUCT(('England 1'!$E$62:$E$71='Team Position by Round'!$B19)*('England 1'!$F$62:$F$71='England 1'!$D$62:$D$71))</f>
        <v>3</v>
      </c>
      <c r="J19" s="76" cm="1">
        <f t="array" ref="J19">SUMPRODUCT(('England 1'!$C$72:$C$81='Team Position by Round'!$B19)*('England 1'!$D$72:$D$81&gt;'England 1'!$F$72:$F$81))*3+SUMPRODUCT(('England 1'!$E$72:$E$81='Team Position by Round'!$B19)*('England 1'!$F$72:$F$81&gt;'England 1'!$D$72:$D$81))*3+SUMPRODUCT(('England 1'!$C$72:$C$81='Team Position by Round'!$B19)*('England 1'!$D$72:$D$81='England 1'!$F$72:$F$81))+SUMPRODUCT(('England 1'!$E$72:$E$81='Team Position by Round'!$B19)*('England 1'!$F$72:$F$81='England 1'!$D$72:$D$81))</f>
        <v>0</v>
      </c>
      <c r="K19" s="75" cm="1">
        <f t="array" ref="K19">SUMPRODUCT(('England 1'!$C$82:$C$91='Team Position by Round'!$B19)*('England 1'!$D$82:$D$91&gt;'England 1'!$F$82:$F$91))*3+SUMPRODUCT(('England 1'!$E$82:$E$91='Team Position by Round'!$B19)*('England 1'!$F$82:$F$91&gt;'England 1'!$D$82:$D$91))*3+SUMPRODUCT(('England 1'!$C$82:$C$91='Team Position by Round'!$B19)*('England 1'!$D$82:$D$91='England 1'!$F$82:$F$91))+SUMPRODUCT(('England 1'!$E$82:$E$91='Team Position by Round'!$B19)*('England 1'!$F$82:$F$91='England 1'!$D$82:$D$91))</f>
        <v>3</v>
      </c>
      <c r="L19" s="75" cm="1">
        <f t="array" ref="L19">SUMPRODUCT(('England 1'!$C$92:$C$101='Team Position by Round'!$B19)*('England 1'!$D$92:$D$101&gt;'England 1'!$F$92:$F$101))*3+SUMPRODUCT(('England 1'!$E$92:$E$101='Team Position by Round'!$B19)*('England 1'!$F$92:$F$101&gt;'England 1'!$D$92:$D$101))*3+SUMPRODUCT(('England 1'!$C$92:$C$101='Team Position by Round'!$B19)*('England 1'!$D$92:$D$101='England 1'!$F$92:$F$101))+SUMPRODUCT(('England 1'!$E$92:$E$101='Team Position by Round'!$B19)*('England 1'!$F$92:$F$101='England 1'!$D$92:$D$101))</f>
        <v>3</v>
      </c>
      <c r="M19" s="75" cm="1">
        <f t="array" ref="M19">SUMPRODUCT(('England 1'!$C$102:$C$111='Team Position by Round'!$B19)*('England 1'!$D$102:$D$111&gt;'England 1'!$F$102:$F$111))*3+SUMPRODUCT(('England 1'!$E$102:$E$111='Team Position by Round'!$B19)*('England 1'!$F$102:$F$111&gt;'England 1'!$D$102:$D$111))*3+SUMPRODUCT(('England 1'!$C$102:$C$111='Team Position by Round'!$B19)*('England 1'!$D$102:$D$111='England 1'!$F$102:$F$111))+SUMPRODUCT(('England 1'!$E$102:$E$111='Team Position by Round'!$B19)*('England 1'!$F$102:$F$111='England 1'!$D$102:$D$111))</f>
        <v>3</v>
      </c>
      <c r="N19" s="75" cm="1">
        <f t="array" ref="N19">SUMPRODUCT(('England 1'!$C$112:$C$121='Team Position by Round'!$B19)*('England 1'!$D$112:$D$121&gt;'England 1'!$F$112:$F$121))*3+SUMPRODUCT(('England 1'!$E$112:$E$121='Team Position by Round'!$B19)*('England 1'!$F$112:$F$121&gt;'England 1'!$D$112:$D$121))*3+SUMPRODUCT(('England 1'!$C$112:$C$121='Team Position by Round'!$B19)*('England 1'!$D$112:$D$121='England 1'!$F$112:$F$121))+SUMPRODUCT(('England 1'!$E$112:$E$121='Team Position by Round'!$B19)*('England 1'!$F$112:$F$121='England 1'!$D$112:$D$121))</f>
        <v>0</v>
      </c>
      <c r="O19" s="75" cm="1">
        <f t="array" ref="O19">SUMPRODUCT(('England 1'!$C$122:$C$131='Team Position by Round'!$B19)*('England 1'!$D$122:$D$131&gt;'England 1'!$F$122:$F$131))*3+SUMPRODUCT(('England 1'!$E$122:$E$131='Team Position by Round'!$B19)*('England 1'!$F$122:$F$131&gt;'England 1'!$D$122:$D$131))*3+SUMPRODUCT(('England 1'!$C$122:$C$131='Team Position by Round'!$B19)*('England 1'!$D$122:$D$131='England 1'!$F$122:$F$131))+SUMPRODUCT(('England 1'!$E$122:$E$131='Team Position by Round'!$B19)*('England 1'!$F$122:$F$131='England 1'!$D$122:$D$131))</f>
        <v>3</v>
      </c>
      <c r="P19" s="75" cm="1">
        <f t="array" ref="P19">SUMPRODUCT(('England 1'!$C$132:$C$141='Team Position by Round'!$B19)*('England 1'!$D$132:$D$141&gt;'England 1'!$F$132:$F$141))*3+SUMPRODUCT(('England 1'!$E$132:$E$141='Team Position by Round'!$B19)*('England 1'!$F$132:$F$141&gt;'England 1'!$D$132:$D$141))*3+SUMPRODUCT(('England 1'!$C$132:$C$141='Team Position by Round'!$B19)*('England 1'!$D$132:$D$141='England 1'!$F$132:$F$141))+SUMPRODUCT(('England 1'!$E$132:$E$141='Team Position by Round'!$B19)*('England 1'!$F$132:$F$141='England 1'!$D$132:$D$141))</f>
        <v>1</v>
      </c>
      <c r="Q19" s="75" cm="1">
        <f t="array" ref="Q19">SUMPRODUCT(('England 1'!$C$142:$C$151='Team Position by Round'!$B19)*('England 1'!$D$142:$D$151&gt;'England 1'!$F$142:$F$151))*3+SUMPRODUCT(('England 1'!$E$142:$E$151='Team Position by Round'!$B19)*('England 1'!$F$142:$F$151&gt;'England 1'!$D$142:$D$151))*3+SUMPRODUCT(('England 1'!$C$142:$C$151='Team Position by Round'!$B19)*('England 1'!$D$142:$D$151='England 1'!$F$142:$F$151))+SUMPRODUCT(('England 1'!$E$142:$E$151='Team Position by Round'!$B19)*('England 1'!$F$142:$F$151='England 1'!$D$142:$D$151))</f>
        <v>3</v>
      </c>
      <c r="R19" s="75" cm="1">
        <f t="array" ref="R19">SUMPRODUCT(('England 1'!$C$152:$C$161='Team Position by Round'!$B19)*('England 1'!$D$152:$D$161&gt;'England 1'!$F$152:$F$161))*3+SUMPRODUCT(('England 1'!$E$152:$E$161='Team Position by Round'!$B19)*('England 1'!$F$152:$F$161&gt;'England 1'!$D$152:$D$161))*3+SUMPRODUCT(('England 1'!$C$152:$C$161='Team Position by Round'!$B19)*('England 1'!$D$152:$D$161='England 1'!$F$152:$F$161))+SUMPRODUCT(('England 1'!$E$152:$E$161='Team Position by Round'!$B19)*('England 1'!$F$152:$F$161='England 1'!$D$152:$D$161))</f>
        <v>0</v>
      </c>
      <c r="S19" s="75" cm="1">
        <f t="array" ref="S19">SUMPRODUCT(('England 1'!$C$162:$C$171='Team Position by Round'!$B19)*('England 1'!$D$162:$D$171&gt;'England 1'!$F$162:$F$171))*3+SUMPRODUCT(('England 1'!$E$162:$E$171='Team Position by Round'!$B19)*('England 1'!$F$162:$F$171&gt;'England 1'!$D$162:$D$171))*3+SUMPRODUCT(('England 1'!$C$162:$C$171='Team Position by Round'!$B19)*('England 1'!$D$162:$D$171='England 1'!$F$162:$F$171))+SUMPRODUCT(('England 1'!$E$162:$E$171='Team Position by Round'!$B19)*('England 1'!$F$162:$F$171='England 1'!$D$162:$D$171))</f>
        <v>3</v>
      </c>
      <c r="T19" s="75" cm="1">
        <f t="array" ref="T19">SUMPRODUCT(('England 1'!$C$172:$C$181='Team Position by Round'!$B19)*('England 1'!$D$172:$D$181&gt;'England 1'!$F$172:$F$181))*3+SUMPRODUCT(('England 1'!$E$172:$E$181='Team Position by Round'!$B19)*('England 1'!$F$172:$F$181&gt;'England 1'!$D$172:$D$181))*3+SUMPRODUCT(('England 1'!$C$172:$C$181='Team Position by Round'!$B19)*('England 1'!$D$172:$D$181='England 1'!$F$172:$F$181))+SUMPRODUCT(('England 1'!$E$172:$E$181='Team Position by Round'!$B19)*('England 1'!$F$172:$F$181='England 1'!$D$172:$D$181))</f>
        <v>3</v>
      </c>
      <c r="U19" s="75" cm="1">
        <f t="array" ref="U19">SUMPRODUCT(('England 1'!$C$182:$C$191='Team Position by Round'!$B19)*('England 1'!$D$182:$D$191&gt;'England 1'!$F$182:$F$191))*3+SUMPRODUCT(('England 1'!$E$182:$E$191='Team Position by Round'!$B19)*('England 1'!$F$182:$F$191&gt;'England 1'!$D$182:$D$191))*3+SUMPRODUCT(('England 1'!$C$182:$C$191='Team Position by Round'!$B19)*('England 1'!$D$182:$D$191='England 1'!$F$182:$F$191))+SUMPRODUCT(('England 1'!$E$182:$E$191='Team Position by Round'!$B19)*('England 1'!$F$182:$F$191='England 1'!$D$182:$D$191))</f>
        <v>0</v>
      </c>
      <c r="V19" s="75" cm="1">
        <f t="array" ref="V19">SUMPRODUCT(('England 1'!$C$192:$C$201='Team Position by Round'!$B19)*('England 1'!$D$192:$D$201&gt;'England 1'!$F$192:$F$201))*3+SUMPRODUCT(('England 1'!$E$192:$E$201='Team Position by Round'!$B19)*('England 1'!$F$192:$F$201&gt;'England 1'!$D$192:$D$201))*3+SUMPRODUCT(('England 1'!$C$192:$C$201='Team Position by Round'!$B19)*('England 1'!$D$192:$D$201='England 1'!$F$192:$F$201))+SUMPRODUCT(('England 1'!$E$192:$E$201='Team Position by Round'!$B19)*('England 1'!$F$192:$F$201='England 1'!$D$192:$D$201))</f>
        <v>3</v>
      </c>
      <c r="W19" s="75" cm="1">
        <f t="array" ref="W19">SUMPRODUCT(('England 1'!$C$202:$C$211='Team Position by Round'!$B19)*('England 1'!$D$202:$D$211&gt;'England 1'!$F$202:$F$211))*3+SUMPRODUCT(('England 1'!$E$202:$E$211='Team Position by Round'!$B19)*('England 1'!$F$202:$F$211&gt;'England 1'!$D$202:$D$211))*3+SUMPRODUCT(('England 1'!$C$202:$C$211='Team Position by Round'!$B19)*('England 1'!$D$202:$D$211='England 1'!$F$202:$F$211))+SUMPRODUCT(('England 1'!$E$202:$E$211='Team Position by Round'!$B19)*('England 1'!$F$202:$F$211='England 1'!$D$202:$D$211))</f>
        <v>3</v>
      </c>
      <c r="X19" s="75" cm="1">
        <f t="array" ref="X19">SUMPRODUCT(('England 1'!$C$212:$C$221='Team Position by Round'!$B19)*('England 1'!$D$212:$D$221&gt;'England 1'!$F$212:$F$221))*3+SUMPRODUCT(('England 1'!$E$212:$E$221='Team Position by Round'!$B19)*('England 1'!$F$212:$F$221&gt;'England 1'!$D$212:$D$221))*3+SUMPRODUCT(('England 1'!$C$212:$C$221='Team Position by Round'!$B19)*('England 1'!$D$212:$D$221='England 1'!$F$212:$F$221))+SUMPRODUCT(('England 1'!$E$212:$E$221='Team Position by Round'!$B19)*('England 1'!$F$212:$F$221='England 1'!$D$212:$D$221))</f>
        <v>3</v>
      </c>
      <c r="Y19" s="75" cm="1">
        <f t="array" ref="Y19">SUMPRODUCT(('England 1'!$C$222:$C$231='Team Position by Round'!$B19)*('England 1'!$D$222:$D$231&gt;'England 1'!$F$222:$F$231))*3+SUMPRODUCT(('England 1'!$E$222:$E$231='Team Position by Round'!$B19)*('England 1'!$F$222:$F$231&gt;'England 1'!$D$222:$D$231))*3+SUMPRODUCT(('England 1'!$C$222:$C$231='Team Position by Round'!$B19)*('England 1'!$D$222:$D$231='England 1'!$F$222:$F$231))+SUMPRODUCT(('England 1'!$E$222:$E$231='Team Position by Round'!$B19)*('England 1'!$F$222:$F$231='England 1'!$D$222:$D$231))</f>
        <v>1</v>
      </c>
      <c r="Z19" s="75" cm="1">
        <f t="array" ref="Z19">SUMPRODUCT(('England 1'!$C$232:$C$241='Team Position by Round'!$B19)*('England 1'!$D$232:$D$241&gt;'England 1'!$F$232:$F$241))*3+SUMPRODUCT(('England 1'!$E$232:$E$241='Team Position by Round'!$B19)*('England 1'!$F$232:$F$241&gt;'England 1'!$D$232:$D$241))*3+SUMPRODUCT(('England 1'!$C$232:$C$241='Team Position by Round'!$B19)*('England 1'!$D$232:$D$241='England 1'!$F$232:$F$241))+SUMPRODUCT(('England 1'!$E$232:$E$241='Team Position by Round'!$B19)*('England 1'!$F$232:$F$241='England 1'!$D$232:$D$241))</f>
        <v>3</v>
      </c>
      <c r="AA19" s="75" cm="1">
        <f t="array" ref="AA19">SUMPRODUCT(('England 1'!$C$242:$C$251='Team Position by Round'!$B19)*('England 1'!$D$242:$D$251&gt;'England 1'!$F$242:$F$251))*3+SUMPRODUCT(('England 1'!$E$242:$E$251='Team Position by Round'!$B19)*('England 1'!$F$242:$F$251&gt;'England 1'!$D$242:$D$251))*3+SUMPRODUCT(('England 1'!$C$242:$C$251='Team Position by Round'!$B19)*('England 1'!$D$242:$D$251='England 1'!$F$242:$F$251))+SUMPRODUCT(('England 1'!$E$242:$E$251='Team Position by Round'!$B19)*('England 1'!$F$242:$F$251='England 1'!$D$242:$D$251))</f>
        <v>0</v>
      </c>
      <c r="AB19" s="75" cm="1">
        <f t="array" ref="AB19">SUMPRODUCT(('England 1'!$C$252:$C$261='Team Position by Round'!$B19)*('England 1'!$D$252:$D$261&gt;'England 1'!$F$252:$F$261))*3+SUMPRODUCT(('England 1'!$E$252:$E$261='Team Position by Round'!$B19)*('England 1'!$F$252:$F$261&gt;'England 1'!$D$252:$D$261))*3+SUMPRODUCT(('England 1'!$C$252:$C$261='Team Position by Round'!$B19)*('England 1'!$D$252:$D$261='England 1'!$F$252:$F$261))+SUMPRODUCT(('England 1'!$E$252:$E$261='Team Position by Round'!$B19)*('England 1'!$F$252:$F$261='England 1'!$D$252:$D$261))</f>
        <v>3</v>
      </c>
      <c r="AC19" s="75" cm="1">
        <f t="array" ref="AC19">SUMPRODUCT(('England 1'!$C$262:$C$271='Team Position by Round'!$B19)*('England 1'!$D$262:$D$271&gt;'England 1'!$F$262:$F$271))*3+SUMPRODUCT(('England 1'!$E$262:$E$271='Team Position by Round'!$B19)*('England 1'!$F$262:$F$271&gt;'England 1'!$D$262:$D$271))*3+SUMPRODUCT(('England 1'!$C$262:$C$271='Team Position by Round'!$B19)*('England 1'!$D$262:$D$271='England 1'!$F$262:$F$271))+SUMPRODUCT(('England 1'!$E$262:$E$271='Team Position by Round'!$B19)*('England 1'!$F$262:$F$271='England 1'!$D$262:$D$271))</f>
        <v>3</v>
      </c>
      <c r="AD19" s="75" cm="1">
        <f t="array" ref="AD19">SUMPRODUCT(('England 1'!$C$272:$C$281='Team Position by Round'!$B19)*('England 1'!$D$272:$D$281&gt;'England 1'!$F$272:$F$281))*3+SUMPRODUCT(('England 1'!$E$272:$E$281='Team Position by Round'!$B19)*('England 1'!$F$272:$F$281&gt;'England 1'!$D$272:$D$281))*3+SUMPRODUCT(('England 1'!$C$272:$C$281='Team Position by Round'!$B19)*('England 1'!$D$272:$D$281='England 1'!$F$272:$F$281))+SUMPRODUCT(('England 1'!$E$272:$E$281='Team Position by Round'!$B19)*('England 1'!$F$272:$F$281='England 1'!$D$272:$D$281))</f>
        <v>3</v>
      </c>
      <c r="AE19" s="75" cm="1">
        <f t="array" ref="AE19">SUMPRODUCT(('England 1'!$C$282:$C$291='Team Position by Round'!$B19)*('England 1'!$D$282:$D$291&gt;'England 1'!$F$282:$F$291))*3+SUMPRODUCT(('England 1'!$E$282:$E$291='Team Position by Round'!$B19)*('England 1'!$F$282:$F$291&gt;'England 1'!$D$282:$D$291))*3+SUMPRODUCT(('England 1'!$C$282:$C$291='Team Position by Round'!$B19)*('England 1'!$D$282:$D$291='England 1'!$F$282:$F$291))+SUMPRODUCT(('England 1'!$E$282:$E$291='Team Position by Round'!$B19)*('England 1'!$F$282:$F$291='England 1'!$D$282:$D$291))</f>
        <v>0</v>
      </c>
      <c r="AF19" s="75" cm="1">
        <f t="array" ref="AF19">SUMPRODUCT(('England 1'!$C$292:$C$301='Team Position by Round'!$B19)*('England 1'!$D$292:$D$301&gt;'England 1'!$F$292:$F$301))*3+SUMPRODUCT(('England 1'!$E$292:$E$301='Team Position by Round'!$B19)*('England 1'!$F$292:$F$301&gt;'England 1'!$D$292:$D$301))*3+SUMPRODUCT(('England 1'!$C$292:$C$301='Team Position by Round'!$B19)*('England 1'!$D$292:$D$301='England 1'!$F$292:$F$301))+SUMPRODUCT(('England 1'!$E$292:$E$301='Team Position by Round'!$B19)*('England 1'!$F$292:$F$301='England 1'!$D$292:$D$301))</f>
        <v>3</v>
      </c>
      <c r="AG19" s="75" cm="1">
        <f t="array" ref="AG19">SUMPRODUCT(('England 1'!$C$302:$C$311='Team Position by Round'!$B19)*('England 1'!$D$302:$D$311&gt;'England 1'!$F$302:$F$311))*3+SUMPRODUCT(('England 1'!$E$302:$E$311='Team Position by Round'!$B19)*('England 1'!$F$302:$F$311&gt;'England 1'!$D$302:$D$311))*3+SUMPRODUCT(('England 1'!$C$302:$C$311='Team Position by Round'!$B19)*('England 1'!$D$302:$D$311='England 1'!$F$302:$F$311))+SUMPRODUCT(('England 1'!$E$302:$E$311='Team Position by Round'!$B19)*('England 1'!$F$302:$F$311='England 1'!$D$302:$D$311))</f>
        <v>0</v>
      </c>
      <c r="AH19" s="75" cm="1">
        <f t="array" ref="AH19">SUMPRODUCT(('England 1'!$C$312:$C$321='Team Position by Round'!$B19)*('England 1'!$D$312:$D$321&gt;'England 1'!$F$312:$F$321))*3+SUMPRODUCT(('England 1'!$E$312:$E$321='Team Position by Round'!$B19)*('England 1'!$F$312:$F$321&gt;'England 1'!$D$312:$D$321))*3+SUMPRODUCT(('England 1'!$C$312:$C$321='Team Position by Round'!$B19)*('England 1'!$D$312:$D$321='England 1'!$F$312:$F$321))+SUMPRODUCT(('England 1'!$E$312:$E$321='Team Position by Round'!$B19)*('England 1'!$F$312:$F$321='England 1'!$D$312:$D$321))</f>
        <v>3</v>
      </c>
      <c r="AI19" s="75" cm="1">
        <f t="array" ref="AI19">SUMPRODUCT(('England 1'!$C$322:$C$331='Team Position by Round'!$B19)*('England 1'!$D$322:$D$331&gt;'England 1'!$F$322:$F$331))*3+SUMPRODUCT(('England 1'!$E$322:$E$331='Team Position by Round'!$B19)*('England 1'!$F$322:$F$331&gt;'England 1'!$D$322:$D$331))*3+SUMPRODUCT(('England 1'!$C$322:$C$331='Team Position by Round'!$B19)*('England 1'!$D$322:$D$331='England 1'!$F$322:$F$331))+SUMPRODUCT(('England 1'!$E$322:$E$331='Team Position by Round'!$B19)*('England 1'!$F$322:$F$331='England 1'!$D$322:$D$331))</f>
        <v>0</v>
      </c>
      <c r="AJ19" s="75" cm="1">
        <f t="array" ref="AJ19">SUMPRODUCT(('England 1'!$C$332:$C$341='Team Position by Round'!$B19)*('England 1'!$D$332:$D$341&gt;'England 1'!$F$332:$F$341))*3+SUMPRODUCT(('England 1'!$E$332:$E$341='Team Position by Round'!$B19)*('England 1'!$F$332:$F$341&gt;'England 1'!$D$332:$D$341))*3+SUMPRODUCT(('England 1'!$C$332:$C$341='Team Position by Round'!$B19)*('England 1'!$D$332:$D$341='England 1'!$F$332:$F$341))+SUMPRODUCT(('England 1'!$E$332:$E$341='Team Position by Round'!$B19)*('England 1'!$F$332:$F$341='England 1'!$D$332:$D$341))</f>
        <v>3</v>
      </c>
      <c r="AK19" s="75" cm="1">
        <f t="array" ref="AK19">SUMPRODUCT(('England 1'!$C$342:$C$351='Team Position by Round'!$B19)*('England 1'!$D$342:$D$351&gt;'England 1'!$F$342:$F$351))*3+SUMPRODUCT(('England 1'!$E$342:$E$351='Team Position by Round'!$B19)*('England 1'!$F$342:$F$351&gt;'England 1'!$D$342:$D$351))*3+SUMPRODUCT(('England 1'!$C$342:$C$351='Team Position by Round'!$B19)*('England 1'!$D$342:$D$351='England 1'!$F$342:$F$351))+SUMPRODUCT(('England 1'!$E$342:$E$351='Team Position by Round'!$B19)*('England 1'!$F$342:$F$351='England 1'!$D$342:$D$351))</f>
        <v>3</v>
      </c>
      <c r="AL19" s="75" cm="1">
        <f t="array" ref="AL19">SUMPRODUCT(('England 1'!$C$352:$C$361='Team Position by Round'!$B19)*('England 1'!$D$352:$D$361&gt;'England 1'!$F$352:$F$361))*3+SUMPRODUCT(('England 1'!$E$352:$E$361='Team Position by Round'!$B19)*('England 1'!$F$352:$F$361&gt;'England 1'!$D$352:$D$361))*3+SUMPRODUCT(('England 1'!$C$352:$C$361='Team Position by Round'!$B19)*('England 1'!$D$352:$D$361='England 1'!$F$352:$F$361))+SUMPRODUCT(('England 1'!$E$352:$E$361='Team Position by Round'!$B19)*('England 1'!$F$352:$F$361='England 1'!$D$352:$D$361))</f>
        <v>3</v>
      </c>
      <c r="AM19" s="75" cm="1">
        <f t="array" ref="AM19">SUMPRODUCT(('England 1'!$C$362:$C$371='Team Position by Round'!$B19)*('England 1'!$D$362:$D$371&gt;'England 1'!$F$362:$F$371))*3+SUMPRODUCT(('England 1'!$E$362:$E$371='Team Position by Round'!$B19)*('England 1'!$F$362:$F$371&gt;'England 1'!$D$362:$D$371))*3+SUMPRODUCT(('England 1'!$C$362:$C$371='Team Position by Round'!$B19)*('England 1'!$D$362:$D$371='England 1'!$F$362:$F$371))+SUMPRODUCT(('England 1'!$E$362:$E$371='Team Position by Round'!$B19)*('England 1'!$F$362:$F$371='England 1'!$D$362:$D$371))</f>
        <v>3</v>
      </c>
      <c r="AN19" s="75" cm="1">
        <f t="array" ref="AN19">SUMPRODUCT(('England 1'!$C$372:$C$381='Team Position by Round'!$B19)*('England 1'!$D$372:$D$381&gt;'England 1'!$F$372:$F$381))*3+SUMPRODUCT(('England 1'!$E$372:$E$381='Team Position by Round'!$B19)*('England 1'!$F$372:$F$381&gt;'England 1'!$D$372:$D$381))*3+SUMPRODUCT(('England 1'!$C$372:$C$381='Team Position by Round'!$B19)*('England 1'!$D$372:$D$381='England 1'!$F$372:$F$381))+SUMPRODUCT(('England 1'!$E$372:$E$381='Team Position by Round'!$B19)*('England 1'!$F$372:$F$381='England 1'!$D$372:$D$381))</f>
        <v>3</v>
      </c>
      <c r="AO19">
        <f t="shared" si="0"/>
        <v>26</v>
      </c>
      <c r="AP19">
        <f t="shared" si="1"/>
        <v>3</v>
      </c>
      <c r="AQ19">
        <f t="shared" si="2"/>
        <v>9</v>
      </c>
      <c r="AR19" s="78">
        <f>SUMIF('Manchester City FC'!C:C,'Manchester City FC'!N18,'Manchester City FC'!D:D)+SUMIF('Manchester City FC'!E:E,'Manchester City FC'!N18,'Manchester City FC'!F:F)</f>
        <v>102</v>
      </c>
      <c r="AS19" s="78">
        <f>SUMIF('Manchester City FC'!C:C,"&lt;&gt;Manchester City FC",'Manchester City FC'!D:D)+SUMIF('Manchester City FC'!E:E,"&lt;&gt;Manchester City FC",'Manchester City FC'!F:F)</f>
        <v>35</v>
      </c>
      <c r="AT19" s="84">
        <f>MAX('Manchester City FC'!I:I)</f>
        <v>5</v>
      </c>
      <c r="AU19" s="84">
        <f>MAX('Manchester City FC'!J:J)</f>
        <v>1</v>
      </c>
      <c r="AV19">
        <f>MAX('Manchester City FC'!K:K)</f>
        <v>5</v>
      </c>
      <c r="AW19">
        <f>MAX('Manchester City FC'!L:L)</f>
        <v>1</v>
      </c>
    </row>
    <row r="20" spans="2:49" x14ac:dyDescent="0.2">
      <c r="B20" t="str">
        <v>Sheffield United FC</v>
      </c>
      <c r="C20" s="75" cm="1">
        <f t="array" ref="C20">SUMPRODUCT(('England 1'!$C$2:$C$11='Team Position by Round'!$B20)*('England 1'!$D$2:$D$11&gt;'England 1'!$F$2:$F$11))*3+SUMPRODUCT(('England 1'!$E$2:$E$11='Team Position by Round'!$B20)*('England 1'!$F$2:$F$11&gt;'England 1'!$D$2:$D$11))*3+SUMPRODUCT(('England 1'!$C$2:$C$11='Team Position by Round'!$B20)*('England 1'!$D$2:$D$11='England 1'!$F$2:$F$11))+SUMPRODUCT(('England 1'!$E$2:$E$11='Team Position by Round'!$B20)*('England 1'!$F$2:$F$11='England 1'!$D$2:$D$11))</f>
        <v>1</v>
      </c>
      <c r="D20" s="75" cm="1">
        <f t="array" ref="D20">SUMPRODUCT(('England 1'!$C$12:$C$21='Team Position by Round'!$B20)*('England 1'!$D$12:$D$21&gt;'England 1'!$F$12:$F$21))*3+SUMPRODUCT(('England 1'!$E$12:$E$21='Team Position by Round'!$B20)*('England 1'!$F$12:$F$21&gt;'England 1'!$D$12:$D$21))*3+SUMPRODUCT(('England 1'!$C$12:$C$21='Team Position by Round'!$B20)*('England 1'!$D$12:$D$21='England 1'!$F$12:$F$21))+SUMPRODUCT(('England 1'!$E$12:$E$21='Team Position by Round'!$B20)*('England 1'!$F$12:$F$21='England 1'!$D$12:$D$21))</f>
        <v>3</v>
      </c>
      <c r="E20" s="75" cm="1">
        <f t="array" ref="E20">SUMPRODUCT(('England 1'!$C$22:$C$31='Team Position by Round'!$B20)*('England 1'!$D$22:$D$31&gt;'England 1'!$F$22:$F$31))*3+SUMPRODUCT(('England 1'!$E$22:$E$31='Team Position by Round'!$B20)*('England 1'!$F$22:$F$31&gt;'England 1'!$D$22:$D$31))*3+SUMPRODUCT(('England 1'!$C$22:$C$31='Team Position by Round'!$B20)*('England 1'!$D$22:$D$31='England 1'!$F$22:$F$31))+SUMPRODUCT(('England 1'!$E$22:$E$31='Team Position by Round'!$B20)*('England 1'!$F$22:$F$31='England 1'!$D$22:$D$31))</f>
        <v>0</v>
      </c>
      <c r="F20" s="75" cm="1">
        <f t="array" ref="F20">SUMPRODUCT(('England 1'!$C$32:$C$41='Team Position by Round'!$B20)*('England 1'!$D$32:$D$41&gt;'England 1'!$F$32:$F$41))*3+SUMPRODUCT(('England 1'!$E$32:$E$41='Team Position by Round'!$B20)*('England 1'!$F$32:$F$41&gt;'England 1'!$D$32:$D$41))*3+SUMPRODUCT(('England 1'!$C$32:$C$41='Team Position by Round'!$B20)*('England 1'!$D$32:$D$41='England 1'!$F$32:$F$41))+SUMPRODUCT(('England 1'!$E$32:$E$41='Team Position by Round'!$B20)*('England 1'!$F$32:$F$41='England 1'!$D$32:$D$41))</f>
        <v>1</v>
      </c>
      <c r="G20" s="75" cm="1">
        <f t="array" ref="G20">SUMPRODUCT(('England 1'!$C$42:$C$51='Team Position by Round'!$B20)*('England 1'!$D$42:$D$51&gt;'England 1'!$F$42:$F$51))*3+SUMPRODUCT(('England 1'!$E$42:$E$51='Team Position by Round'!$B20)*('England 1'!$F$42:$F$51&gt;'England 1'!$D$42:$D$51))*3+SUMPRODUCT(('England 1'!$C$42:$C$51='Team Position by Round'!$B20)*('England 1'!$D$42:$D$51='England 1'!$F$42:$F$51))+SUMPRODUCT(('England 1'!$E$42:$E$51='Team Position by Round'!$B20)*('England 1'!$F$42:$F$51='England 1'!$D$42:$D$51))</f>
        <v>0</v>
      </c>
      <c r="H20" s="75" cm="1">
        <f t="array" ref="H20">SUMPRODUCT(('England 1'!$C$52:$C$61='Team Position by Round'!$B20)*('England 1'!$D$52:$D$61&gt;'England 1'!$F$52:$F$61))*3+SUMPRODUCT(('England 1'!$E$52:$E$61='Team Position by Round'!$B20)*('England 1'!$F$52:$F$61&gt;'England 1'!$D$52:$D$61))*3+SUMPRODUCT(('England 1'!$C$52:$C$61='Team Position by Round'!$B20)*('England 1'!$D$52:$D$61='England 1'!$F$52:$F$61))+SUMPRODUCT(('England 1'!$E$52:$E$61='Team Position by Round'!$B20)*('England 1'!$F$52:$F$61='England 1'!$D$52:$D$61))</f>
        <v>3</v>
      </c>
      <c r="I20" s="75" cm="1">
        <f t="array" ref="I20">SUMPRODUCT(('England 1'!$C$62:$C$71='Team Position by Round'!$B20)*('England 1'!$D$62:$D$71&gt;'England 1'!$F$62:$F$71))*3+SUMPRODUCT(('England 1'!$E$62:$E$71='Team Position by Round'!$B20)*('England 1'!$F$62:$F$71&gt;'England 1'!$D$62:$D$71))*3+SUMPRODUCT(('England 1'!$C$62:$C$71='Team Position by Round'!$B20)*('England 1'!$D$62:$D$71='England 1'!$F$62:$F$71))+SUMPRODUCT(('England 1'!$E$62:$E$71='Team Position by Round'!$B20)*('England 1'!$F$62:$F$71='England 1'!$D$62:$D$71))</f>
        <v>0</v>
      </c>
      <c r="J20" s="76" cm="1">
        <f t="array" ref="J20">SUMPRODUCT(('England 1'!$C$72:$C$81='Team Position by Round'!$B20)*('England 1'!$D$72:$D$81&gt;'England 1'!$F$72:$F$81))*3+SUMPRODUCT(('England 1'!$E$72:$E$81='Team Position by Round'!$B20)*('England 1'!$F$72:$F$81&gt;'England 1'!$D$72:$D$81))*3+SUMPRODUCT(('England 1'!$C$72:$C$81='Team Position by Round'!$B20)*('England 1'!$D$72:$D$81='England 1'!$F$72:$F$81))+SUMPRODUCT(('England 1'!$E$72:$E$81='Team Position by Round'!$B20)*('England 1'!$F$72:$F$81='England 1'!$D$72:$D$81))</f>
        <v>1</v>
      </c>
      <c r="K20" s="75" cm="1">
        <f t="array" ref="K20">SUMPRODUCT(('England 1'!$C$82:$C$91='Team Position by Round'!$B20)*('England 1'!$D$82:$D$91&gt;'England 1'!$F$82:$F$91))*3+SUMPRODUCT(('England 1'!$E$82:$E$91='Team Position by Round'!$B20)*('England 1'!$F$82:$F$91&gt;'England 1'!$D$82:$D$91))*3+SUMPRODUCT(('England 1'!$C$82:$C$91='Team Position by Round'!$B20)*('England 1'!$D$82:$D$91='England 1'!$F$82:$F$91))+SUMPRODUCT(('England 1'!$E$82:$E$91='Team Position by Round'!$B20)*('England 1'!$F$82:$F$91='England 1'!$D$82:$D$91))</f>
        <v>3</v>
      </c>
      <c r="L20" s="75" cm="1">
        <f t="array" ref="L20">SUMPRODUCT(('England 1'!$C$92:$C$101='Team Position by Round'!$B20)*('England 1'!$D$92:$D$101&gt;'England 1'!$F$92:$F$101))*3+SUMPRODUCT(('England 1'!$E$92:$E$101='Team Position by Round'!$B20)*('England 1'!$F$92:$F$101&gt;'England 1'!$D$92:$D$101))*3+SUMPRODUCT(('England 1'!$C$92:$C$101='Team Position by Round'!$B20)*('England 1'!$D$92:$D$101='England 1'!$F$92:$F$101))+SUMPRODUCT(('England 1'!$E$92:$E$101='Team Position by Round'!$B20)*('England 1'!$F$92:$F$101='England 1'!$D$92:$D$101))</f>
        <v>1</v>
      </c>
      <c r="M20" s="75" cm="1">
        <f t="array" ref="M20">SUMPRODUCT(('England 1'!$C$102:$C$111='Team Position by Round'!$B20)*('England 1'!$D$102:$D$111&gt;'England 1'!$F$102:$F$111))*3+SUMPRODUCT(('England 1'!$E$102:$E$111='Team Position by Round'!$B20)*('England 1'!$F$102:$F$111&gt;'England 1'!$D$102:$D$111))*3+SUMPRODUCT(('England 1'!$C$102:$C$111='Team Position by Round'!$B20)*('England 1'!$D$102:$D$111='England 1'!$F$102:$F$111))+SUMPRODUCT(('England 1'!$E$102:$E$111='Team Position by Round'!$B20)*('England 1'!$F$102:$F$111='England 1'!$D$102:$D$111))</f>
        <v>3</v>
      </c>
      <c r="N20" s="75" cm="1">
        <f t="array" ref="N20">SUMPRODUCT(('England 1'!$C$112:$C$121='Team Position by Round'!$B20)*('England 1'!$D$112:$D$121&gt;'England 1'!$F$112:$F$121))*3+SUMPRODUCT(('England 1'!$E$112:$E$121='Team Position by Round'!$B20)*('England 1'!$F$112:$F$121&gt;'England 1'!$D$112:$D$121))*3+SUMPRODUCT(('England 1'!$C$112:$C$121='Team Position by Round'!$B20)*('England 1'!$D$112:$D$121='England 1'!$F$112:$F$121))+SUMPRODUCT(('England 1'!$E$112:$E$121='Team Position by Round'!$B20)*('England 1'!$F$112:$F$121='England 1'!$D$112:$D$121))</f>
        <v>1</v>
      </c>
      <c r="O20" s="75" cm="1">
        <f t="array" ref="O20">SUMPRODUCT(('England 1'!$C$122:$C$131='Team Position by Round'!$B20)*('England 1'!$D$122:$D$131&gt;'England 1'!$F$122:$F$131))*3+SUMPRODUCT(('England 1'!$E$122:$E$131='Team Position by Round'!$B20)*('England 1'!$F$122:$F$131&gt;'England 1'!$D$122:$D$131))*3+SUMPRODUCT(('England 1'!$C$122:$C$131='Team Position by Round'!$B20)*('England 1'!$D$122:$D$131='England 1'!$F$122:$F$131))+SUMPRODUCT(('England 1'!$E$122:$E$131='Team Position by Round'!$B20)*('England 1'!$F$122:$F$131='England 1'!$D$122:$D$131))</f>
        <v>1</v>
      </c>
      <c r="P20" s="75" cm="1">
        <f t="array" ref="P20">SUMPRODUCT(('England 1'!$C$132:$C$141='Team Position by Round'!$B20)*('England 1'!$D$132:$D$141&gt;'England 1'!$F$132:$F$141))*3+SUMPRODUCT(('England 1'!$E$132:$E$141='Team Position by Round'!$B20)*('England 1'!$F$132:$F$141&gt;'England 1'!$D$132:$D$141))*3+SUMPRODUCT(('England 1'!$C$132:$C$141='Team Position by Round'!$B20)*('England 1'!$D$132:$D$141='England 1'!$F$132:$F$141))+SUMPRODUCT(('England 1'!$E$132:$E$141='Team Position by Round'!$B20)*('England 1'!$F$132:$F$141='England 1'!$D$132:$D$141))</f>
        <v>1</v>
      </c>
      <c r="Q20" s="75" cm="1">
        <f t="array" ref="Q20">SUMPRODUCT(('England 1'!$C$142:$C$151='Team Position by Round'!$B20)*('England 1'!$D$142:$D$151&gt;'England 1'!$F$142:$F$151))*3+SUMPRODUCT(('England 1'!$E$142:$E$151='Team Position by Round'!$B20)*('England 1'!$F$142:$F$151&gt;'England 1'!$D$142:$D$151))*3+SUMPRODUCT(('England 1'!$C$142:$C$151='Team Position by Round'!$B20)*('England 1'!$D$142:$D$151='England 1'!$F$142:$F$151))+SUMPRODUCT(('England 1'!$E$142:$E$151='Team Position by Round'!$B20)*('England 1'!$F$142:$F$151='England 1'!$D$142:$D$151))</f>
        <v>0</v>
      </c>
      <c r="R20" s="75" cm="1">
        <f t="array" ref="R20">SUMPRODUCT(('England 1'!$C$152:$C$161='Team Position by Round'!$B20)*('England 1'!$D$152:$D$161&gt;'England 1'!$F$152:$F$161))*3+SUMPRODUCT(('England 1'!$E$152:$E$161='Team Position by Round'!$B20)*('England 1'!$F$152:$F$161&gt;'England 1'!$D$152:$D$161))*3+SUMPRODUCT(('England 1'!$C$152:$C$161='Team Position by Round'!$B20)*('England 1'!$D$152:$D$161='England 1'!$F$152:$F$161))+SUMPRODUCT(('England 1'!$E$152:$E$161='Team Position by Round'!$B20)*('England 1'!$F$152:$F$161='England 1'!$D$152:$D$161))</f>
        <v>3</v>
      </c>
      <c r="S20" s="75" cm="1">
        <f t="array" ref="S20">SUMPRODUCT(('England 1'!$C$162:$C$171='Team Position by Round'!$B20)*('England 1'!$D$162:$D$171&gt;'England 1'!$F$162:$F$171))*3+SUMPRODUCT(('England 1'!$E$162:$E$171='Team Position by Round'!$B20)*('England 1'!$F$162:$F$171&gt;'England 1'!$D$162:$D$171))*3+SUMPRODUCT(('England 1'!$C$162:$C$171='Team Position by Round'!$B20)*('England 1'!$D$162:$D$171='England 1'!$F$162:$F$171))+SUMPRODUCT(('England 1'!$E$162:$E$171='Team Position by Round'!$B20)*('England 1'!$F$162:$F$171='England 1'!$D$162:$D$171))</f>
        <v>3</v>
      </c>
      <c r="T20" s="75" cm="1">
        <f t="array" ref="T20">SUMPRODUCT(('England 1'!$C$172:$C$181='Team Position by Round'!$B20)*('England 1'!$D$172:$D$181&gt;'England 1'!$F$172:$F$181))*3+SUMPRODUCT(('England 1'!$E$172:$E$181='Team Position by Round'!$B20)*('England 1'!$F$172:$F$181&gt;'England 1'!$D$172:$D$181))*3+SUMPRODUCT(('England 1'!$C$172:$C$181='Team Position by Round'!$B20)*('England 1'!$D$172:$D$181='England 1'!$F$172:$F$181))+SUMPRODUCT(('England 1'!$E$172:$E$181='Team Position by Round'!$B20)*('England 1'!$F$172:$F$181='England 1'!$D$172:$D$181))</f>
        <v>3</v>
      </c>
      <c r="U20" s="75" cm="1">
        <f t="array" ref="U20">SUMPRODUCT(('England 1'!$C$182:$C$191='Team Position by Round'!$B20)*('England 1'!$D$182:$D$191&gt;'England 1'!$F$182:$F$191))*3+SUMPRODUCT(('England 1'!$E$182:$E$191='Team Position by Round'!$B20)*('England 1'!$F$182:$F$191&gt;'England 1'!$D$182:$D$191))*3+SUMPRODUCT(('England 1'!$C$182:$C$191='Team Position by Round'!$B20)*('England 1'!$D$182:$D$191='England 1'!$F$182:$F$191))+SUMPRODUCT(('England 1'!$E$182:$E$191='Team Position by Round'!$B20)*('England 1'!$F$182:$F$191='England 1'!$D$182:$D$191))</f>
        <v>1</v>
      </c>
      <c r="V20" s="75" cm="1">
        <f t="array" ref="V20">SUMPRODUCT(('England 1'!$C$192:$C$201='Team Position by Round'!$B20)*('England 1'!$D$192:$D$201&gt;'England 1'!$F$192:$F$201))*3+SUMPRODUCT(('England 1'!$E$192:$E$201='Team Position by Round'!$B20)*('England 1'!$F$192:$F$201&gt;'England 1'!$D$192:$D$201))*3+SUMPRODUCT(('England 1'!$C$192:$C$201='Team Position by Round'!$B20)*('England 1'!$D$192:$D$201='England 1'!$F$192:$F$201))+SUMPRODUCT(('England 1'!$E$192:$E$201='Team Position by Round'!$B20)*('England 1'!$F$192:$F$201='England 1'!$D$192:$D$201))</f>
        <v>0</v>
      </c>
      <c r="W20" s="75" cm="1">
        <f t="array" ref="W20">SUMPRODUCT(('England 1'!$C$202:$C$211='Team Position by Round'!$B20)*('England 1'!$D$202:$D$211&gt;'England 1'!$F$202:$F$211))*3+SUMPRODUCT(('England 1'!$E$202:$E$211='Team Position by Round'!$B20)*('England 1'!$F$202:$F$211&gt;'England 1'!$D$202:$D$211))*3+SUMPRODUCT(('England 1'!$C$202:$C$211='Team Position by Round'!$B20)*('England 1'!$D$202:$D$211='England 1'!$F$202:$F$211))+SUMPRODUCT(('England 1'!$E$202:$E$211='Team Position by Round'!$B20)*('England 1'!$F$202:$F$211='England 1'!$D$202:$D$211))</f>
        <v>0</v>
      </c>
      <c r="X20" s="75" cm="1">
        <f t="array" ref="X20">SUMPRODUCT(('England 1'!$C$212:$C$221='Team Position by Round'!$B20)*('England 1'!$D$212:$D$221&gt;'England 1'!$F$212:$F$221))*3+SUMPRODUCT(('England 1'!$E$212:$E$221='Team Position by Round'!$B20)*('England 1'!$F$212:$F$221&gt;'England 1'!$D$212:$D$221))*3+SUMPRODUCT(('England 1'!$C$212:$C$221='Team Position by Round'!$B20)*('England 1'!$D$212:$D$221='England 1'!$F$212:$F$221))+SUMPRODUCT(('England 1'!$E$212:$E$221='Team Position by Round'!$B20)*('England 1'!$F$212:$F$221='England 1'!$D$212:$D$221))</f>
        <v>3</v>
      </c>
      <c r="Y20" s="75" cm="1">
        <f t="array" ref="Y20">SUMPRODUCT(('England 1'!$C$222:$C$231='Team Position by Round'!$B20)*('England 1'!$D$222:$D$231&gt;'England 1'!$F$222:$F$231))*3+SUMPRODUCT(('England 1'!$E$222:$E$231='Team Position by Round'!$B20)*('England 1'!$F$222:$F$231&gt;'England 1'!$D$222:$D$231))*3+SUMPRODUCT(('England 1'!$C$222:$C$231='Team Position by Round'!$B20)*('England 1'!$D$222:$D$231='England 1'!$F$222:$F$231))+SUMPRODUCT(('England 1'!$E$222:$E$231='Team Position by Round'!$B20)*('England 1'!$F$222:$F$231='England 1'!$D$222:$D$231))</f>
        <v>1</v>
      </c>
      <c r="Z20" s="75" cm="1">
        <f t="array" ref="Z20">SUMPRODUCT(('England 1'!$C$232:$C$241='Team Position by Round'!$B20)*('England 1'!$D$232:$D$241&gt;'England 1'!$F$232:$F$241))*3+SUMPRODUCT(('England 1'!$E$232:$E$241='Team Position by Round'!$B20)*('England 1'!$F$232:$F$241&gt;'England 1'!$D$232:$D$241))*3+SUMPRODUCT(('England 1'!$C$232:$C$241='Team Position by Round'!$B20)*('England 1'!$D$232:$D$241='England 1'!$F$232:$F$241))+SUMPRODUCT(('England 1'!$E$232:$E$241='Team Position by Round'!$B20)*('England 1'!$F$232:$F$241='England 1'!$D$232:$D$241))</f>
        <v>0</v>
      </c>
      <c r="AA20" s="75" cm="1">
        <f t="array" ref="AA20">SUMPRODUCT(('England 1'!$C$242:$C$251='Team Position by Round'!$B20)*('England 1'!$D$242:$D$251&gt;'England 1'!$F$242:$F$251))*3+SUMPRODUCT(('England 1'!$E$242:$E$251='Team Position by Round'!$B20)*('England 1'!$F$242:$F$251&gt;'England 1'!$D$242:$D$251))*3+SUMPRODUCT(('England 1'!$C$242:$C$251='Team Position by Round'!$B20)*('England 1'!$D$242:$D$251='England 1'!$F$242:$F$251))+SUMPRODUCT(('England 1'!$E$242:$E$251='Team Position by Round'!$B20)*('England 1'!$F$242:$F$251='England 1'!$D$242:$D$251))</f>
        <v>3</v>
      </c>
      <c r="AB20" s="75" cm="1">
        <f t="array" ref="AB20">SUMPRODUCT(('England 1'!$C$252:$C$261='Team Position by Round'!$B20)*('England 1'!$D$252:$D$261&gt;'England 1'!$F$252:$F$261))*3+SUMPRODUCT(('England 1'!$E$252:$E$261='Team Position by Round'!$B20)*('England 1'!$F$252:$F$261&gt;'England 1'!$D$252:$D$261))*3+SUMPRODUCT(('England 1'!$C$252:$C$261='Team Position by Round'!$B20)*('England 1'!$D$252:$D$261='England 1'!$F$252:$F$261))+SUMPRODUCT(('England 1'!$E$252:$E$261='Team Position by Round'!$B20)*('England 1'!$F$252:$F$261='England 1'!$D$252:$D$261))</f>
        <v>3</v>
      </c>
      <c r="AC20" s="75" cm="1">
        <f t="array" ref="AC20">SUMPRODUCT(('England 1'!$C$262:$C$271='Team Position by Round'!$B20)*('England 1'!$D$262:$D$271&gt;'England 1'!$F$262:$F$271))*3+SUMPRODUCT(('England 1'!$E$262:$E$271='Team Position by Round'!$B20)*('England 1'!$F$262:$F$271&gt;'England 1'!$D$262:$D$271))*3+SUMPRODUCT(('England 1'!$C$262:$C$271='Team Position by Round'!$B20)*('England 1'!$D$262:$D$271='England 1'!$F$262:$F$271))+SUMPRODUCT(('England 1'!$E$262:$E$271='Team Position by Round'!$B20)*('England 1'!$F$262:$F$271='England 1'!$D$262:$D$271))</f>
        <v>1</v>
      </c>
      <c r="AD20" s="75" cm="1">
        <f t="array" ref="AD20">SUMPRODUCT(('England 1'!$C$272:$C$281='Team Position by Round'!$B20)*('England 1'!$D$272:$D$281&gt;'England 1'!$F$272:$F$281))*3+SUMPRODUCT(('England 1'!$E$272:$E$281='Team Position by Round'!$B20)*('England 1'!$F$272:$F$281&gt;'England 1'!$D$272:$D$281))*3+SUMPRODUCT(('England 1'!$C$272:$C$281='Team Position by Round'!$B20)*('England 1'!$D$272:$D$281='England 1'!$F$272:$F$281))+SUMPRODUCT(('England 1'!$E$272:$E$281='Team Position by Round'!$B20)*('England 1'!$F$272:$F$281='England 1'!$D$272:$D$281))</f>
        <v>1</v>
      </c>
      <c r="AE20" s="75" cm="1">
        <f t="array" ref="AE20">SUMPRODUCT(('England 1'!$C$282:$C$291='Team Position by Round'!$B20)*('England 1'!$D$282:$D$291&gt;'England 1'!$F$282:$F$291))*3+SUMPRODUCT(('England 1'!$E$282:$E$291='Team Position by Round'!$B20)*('England 1'!$F$282:$F$291&gt;'England 1'!$D$282:$D$291))*3+SUMPRODUCT(('England 1'!$C$282:$C$291='Team Position by Round'!$B20)*('England 1'!$D$282:$D$291='England 1'!$F$282:$F$291))+SUMPRODUCT(('England 1'!$E$282:$E$291='Team Position by Round'!$B20)*('England 1'!$F$282:$F$291='England 1'!$D$282:$D$291))</f>
        <v>3</v>
      </c>
      <c r="AF20" s="75" cm="1">
        <f t="array" ref="AF20">SUMPRODUCT(('England 1'!$C$292:$C$301='Team Position by Round'!$B20)*('England 1'!$D$292:$D$301&gt;'England 1'!$F$292:$F$301))*3+SUMPRODUCT(('England 1'!$E$292:$E$301='Team Position by Round'!$B20)*('England 1'!$F$292:$F$301&gt;'England 1'!$D$292:$D$301))*3+SUMPRODUCT(('England 1'!$C$292:$C$301='Team Position by Round'!$B20)*('England 1'!$D$292:$D$301='England 1'!$F$292:$F$301))+SUMPRODUCT(('England 1'!$E$292:$E$301='Team Position by Round'!$B20)*('England 1'!$F$292:$F$301='England 1'!$D$292:$D$301))</f>
        <v>0</v>
      </c>
      <c r="AG20" s="75" cm="1">
        <f t="array" ref="AG20">SUMPRODUCT(('England 1'!$C$302:$C$311='Team Position by Round'!$B20)*('England 1'!$D$302:$D$311&gt;'England 1'!$F$302:$F$311))*3+SUMPRODUCT(('England 1'!$E$302:$E$311='Team Position by Round'!$B20)*('England 1'!$F$302:$F$311&gt;'England 1'!$D$302:$D$311))*3+SUMPRODUCT(('England 1'!$C$302:$C$311='Team Position by Round'!$B20)*('England 1'!$D$302:$D$311='England 1'!$F$302:$F$311))+SUMPRODUCT(('England 1'!$E$302:$E$311='Team Position by Round'!$B20)*('England 1'!$F$302:$F$311='England 1'!$D$302:$D$311))</f>
        <v>0</v>
      </c>
      <c r="AH20" s="75" cm="1">
        <f t="array" ref="AH20">SUMPRODUCT(('England 1'!$C$312:$C$321='Team Position by Round'!$B20)*('England 1'!$D$312:$D$321&gt;'England 1'!$F$312:$F$321))*3+SUMPRODUCT(('England 1'!$E$312:$E$321='Team Position by Round'!$B20)*('England 1'!$F$312:$F$321&gt;'England 1'!$D$312:$D$321))*3+SUMPRODUCT(('England 1'!$C$312:$C$321='Team Position by Round'!$B20)*('England 1'!$D$312:$D$321='England 1'!$F$312:$F$321))+SUMPRODUCT(('England 1'!$E$312:$E$321='Team Position by Round'!$B20)*('England 1'!$F$312:$F$321='England 1'!$D$312:$D$321))</f>
        <v>3</v>
      </c>
      <c r="AI20" s="75" cm="1">
        <f t="array" ref="AI20">SUMPRODUCT(('England 1'!$C$322:$C$331='Team Position by Round'!$B20)*('England 1'!$D$322:$D$331&gt;'England 1'!$F$322:$F$331))*3+SUMPRODUCT(('England 1'!$E$322:$E$331='Team Position by Round'!$B20)*('England 1'!$F$322:$F$331&gt;'England 1'!$D$322:$D$331))*3+SUMPRODUCT(('England 1'!$C$322:$C$331='Team Position by Round'!$B20)*('England 1'!$D$322:$D$331='England 1'!$F$322:$F$331))+SUMPRODUCT(('England 1'!$E$322:$E$331='Team Position by Round'!$B20)*('England 1'!$F$322:$F$331='England 1'!$D$322:$D$331))</f>
        <v>1</v>
      </c>
      <c r="AJ20" s="75" cm="1">
        <f t="array" ref="AJ20">SUMPRODUCT(('England 1'!$C$332:$C$341='Team Position by Round'!$B20)*('England 1'!$D$332:$D$341&gt;'England 1'!$F$332:$F$341))*3+SUMPRODUCT(('England 1'!$E$332:$E$341='Team Position by Round'!$B20)*('England 1'!$F$332:$F$341&gt;'England 1'!$D$332:$D$341))*3+SUMPRODUCT(('England 1'!$C$332:$C$341='Team Position by Round'!$B20)*('England 1'!$D$332:$D$341='England 1'!$F$332:$F$341))+SUMPRODUCT(('England 1'!$E$332:$E$341='Team Position by Round'!$B20)*('England 1'!$F$332:$F$341='England 1'!$D$332:$D$341))</f>
        <v>3</v>
      </c>
      <c r="AK20" s="75" cm="1">
        <f t="array" ref="AK20">SUMPRODUCT(('England 1'!$C$342:$C$351='Team Position by Round'!$B20)*('England 1'!$D$342:$D$351&gt;'England 1'!$F$342:$F$351))*3+SUMPRODUCT(('England 1'!$E$342:$E$351='Team Position by Round'!$B20)*('England 1'!$F$342:$F$351&gt;'England 1'!$D$342:$D$351))*3+SUMPRODUCT(('England 1'!$C$342:$C$351='Team Position by Round'!$B20)*('England 1'!$D$342:$D$351='England 1'!$F$342:$F$351))+SUMPRODUCT(('England 1'!$E$342:$E$351='Team Position by Round'!$B20)*('England 1'!$F$342:$F$351='England 1'!$D$342:$D$351))</f>
        <v>3</v>
      </c>
      <c r="AL20" s="75" cm="1">
        <f t="array" ref="AL20">SUMPRODUCT(('England 1'!$C$352:$C$361='Team Position by Round'!$B20)*('England 1'!$D$352:$D$361&gt;'England 1'!$F$352:$F$361))*3+SUMPRODUCT(('England 1'!$E$352:$E$361='Team Position by Round'!$B20)*('England 1'!$F$352:$F$361&gt;'England 1'!$D$352:$D$361))*3+SUMPRODUCT(('England 1'!$C$352:$C$361='Team Position by Round'!$B20)*('England 1'!$D$352:$D$361='England 1'!$F$352:$F$361))+SUMPRODUCT(('England 1'!$E$352:$E$361='Team Position by Round'!$B20)*('England 1'!$F$352:$F$361='England 1'!$D$352:$D$361))</f>
        <v>0</v>
      </c>
      <c r="AM20" s="75" cm="1">
        <f t="array" ref="AM20">SUMPRODUCT(('England 1'!$C$362:$C$371='Team Position by Round'!$B20)*('England 1'!$D$362:$D$371&gt;'England 1'!$F$362:$F$371))*3+SUMPRODUCT(('England 1'!$E$362:$E$371='Team Position by Round'!$B20)*('England 1'!$F$362:$F$371&gt;'England 1'!$D$362:$D$371))*3+SUMPRODUCT(('England 1'!$C$362:$C$371='Team Position by Round'!$B20)*('England 1'!$D$362:$D$371='England 1'!$F$362:$F$371))+SUMPRODUCT(('England 1'!$E$362:$E$371='Team Position by Round'!$B20)*('England 1'!$F$362:$F$371='England 1'!$D$362:$D$371))</f>
        <v>0</v>
      </c>
      <c r="AN20" s="75" cm="1">
        <f t="array" ref="AN20">SUMPRODUCT(('England 1'!$C$372:$C$381='Team Position by Round'!$B20)*('England 1'!$D$372:$D$381&gt;'England 1'!$F$372:$F$381))*3+SUMPRODUCT(('England 1'!$E$372:$E$381='Team Position by Round'!$B20)*('England 1'!$F$372:$F$381&gt;'England 1'!$D$372:$D$381))*3+SUMPRODUCT(('England 1'!$C$372:$C$381='Team Position by Round'!$B20)*('England 1'!$D$372:$D$381='England 1'!$F$372:$F$381))+SUMPRODUCT(('England 1'!$E$372:$E$381='Team Position by Round'!$B20)*('England 1'!$F$372:$F$381='England 1'!$D$372:$D$381))</f>
        <v>0</v>
      </c>
      <c r="AO20">
        <f t="shared" si="0"/>
        <v>14</v>
      </c>
      <c r="AP20">
        <f t="shared" si="1"/>
        <v>12</v>
      </c>
      <c r="AQ20">
        <f t="shared" si="2"/>
        <v>12</v>
      </c>
      <c r="AR20" s="78">
        <f>SUMIF('Sheffield United FC'!C:C,'Sheffield United FC'!N18,'Sheffield United FC'!D:D)+SUMIF('Sheffield United FC'!E:E,'Sheffield United FC'!N18,'Sheffield United FC'!F:F)</f>
        <v>39</v>
      </c>
      <c r="AS20" s="78">
        <f>SUMIF('Sheffield United FC'!C:C,"&lt;&gt;Sheffield United FC",'Sheffield United FC'!D:D)+SUMIF('Sheffield United FC'!E:E,"&lt;&gt;Sheffield United FC",'Sheffield United FC'!F:F)</f>
        <v>39</v>
      </c>
      <c r="AT20" s="84">
        <f>MAX('Sheffield United FC'!I:I)</f>
        <v>3</v>
      </c>
      <c r="AU20" s="84">
        <f>MAX('Sheffield United FC'!J:J)</f>
        <v>3</v>
      </c>
      <c r="AV20">
        <f>MAX('Sheffield United FC'!K:K)</f>
        <v>7</v>
      </c>
      <c r="AW20">
        <f>MAX('Sheffield United FC'!L:L)</f>
        <v>4</v>
      </c>
    </row>
    <row r="21" spans="2:49" x14ac:dyDescent="0.2">
      <c r="B21" t="str">
        <v>Chelsea FC</v>
      </c>
      <c r="C21" s="75" cm="1">
        <f t="array" ref="C21">SUMPRODUCT(('England 1'!$C$2:$C$11='Team Position by Round'!$B21)*('England 1'!$D$2:$D$11&gt;'England 1'!$F$2:$F$11))*3+SUMPRODUCT(('England 1'!$E$2:$E$11='Team Position by Round'!$B21)*('England 1'!$F$2:$F$11&gt;'England 1'!$D$2:$D$11))*3+SUMPRODUCT(('England 1'!$C$2:$C$11='Team Position by Round'!$B21)*('England 1'!$D$2:$D$11='England 1'!$F$2:$F$11))+SUMPRODUCT(('England 1'!$E$2:$E$11='Team Position by Round'!$B21)*('England 1'!$F$2:$F$11='England 1'!$D$2:$D$11))</f>
        <v>0</v>
      </c>
      <c r="D21" s="75" cm="1">
        <f t="array" ref="D21">SUMPRODUCT(('England 1'!$C$12:$C$21='Team Position by Round'!$B21)*('England 1'!$D$12:$D$21&gt;'England 1'!$F$12:$F$21))*3+SUMPRODUCT(('England 1'!$E$12:$E$21='Team Position by Round'!$B21)*('England 1'!$F$12:$F$21&gt;'England 1'!$D$12:$D$21))*3+SUMPRODUCT(('England 1'!$C$12:$C$21='Team Position by Round'!$B21)*('England 1'!$D$12:$D$21='England 1'!$F$12:$F$21))+SUMPRODUCT(('England 1'!$E$12:$E$21='Team Position by Round'!$B21)*('England 1'!$F$12:$F$21='England 1'!$D$12:$D$21))</f>
        <v>1</v>
      </c>
      <c r="E21" s="75" cm="1">
        <f t="array" ref="E21">SUMPRODUCT(('England 1'!$C$22:$C$31='Team Position by Round'!$B21)*('England 1'!$D$22:$D$31&gt;'England 1'!$F$22:$F$31))*3+SUMPRODUCT(('England 1'!$E$22:$E$31='Team Position by Round'!$B21)*('England 1'!$F$22:$F$31&gt;'England 1'!$D$22:$D$31))*3+SUMPRODUCT(('England 1'!$C$22:$C$31='Team Position by Round'!$B21)*('England 1'!$D$22:$D$31='England 1'!$F$22:$F$31))+SUMPRODUCT(('England 1'!$E$22:$E$31='Team Position by Round'!$B21)*('England 1'!$F$22:$F$31='England 1'!$D$22:$D$31))</f>
        <v>3</v>
      </c>
      <c r="F21" s="75" cm="1">
        <f t="array" ref="F21">SUMPRODUCT(('England 1'!$C$32:$C$41='Team Position by Round'!$B21)*('England 1'!$D$32:$D$41&gt;'England 1'!$F$32:$F$41))*3+SUMPRODUCT(('England 1'!$E$32:$E$41='Team Position by Round'!$B21)*('England 1'!$F$32:$F$41&gt;'England 1'!$D$32:$D$41))*3+SUMPRODUCT(('England 1'!$C$32:$C$41='Team Position by Round'!$B21)*('England 1'!$D$32:$D$41='England 1'!$F$32:$F$41))+SUMPRODUCT(('England 1'!$E$32:$E$41='Team Position by Round'!$B21)*('England 1'!$F$32:$F$41='England 1'!$D$32:$D$41))</f>
        <v>1</v>
      </c>
      <c r="G21" s="75" cm="1">
        <f t="array" ref="G21">SUMPRODUCT(('England 1'!$C$42:$C$51='Team Position by Round'!$B21)*('England 1'!$D$42:$D$51&gt;'England 1'!$F$42:$F$51))*3+SUMPRODUCT(('England 1'!$E$42:$E$51='Team Position by Round'!$B21)*('England 1'!$F$42:$F$51&gt;'England 1'!$D$42:$D$51))*3+SUMPRODUCT(('England 1'!$C$42:$C$51='Team Position by Round'!$B21)*('England 1'!$D$42:$D$51='England 1'!$F$42:$F$51))+SUMPRODUCT(('England 1'!$E$42:$E$51='Team Position by Round'!$B21)*('England 1'!$F$42:$F$51='England 1'!$D$42:$D$51))</f>
        <v>3</v>
      </c>
      <c r="H21" s="75" cm="1">
        <f t="array" ref="H21">SUMPRODUCT(('England 1'!$C$52:$C$61='Team Position by Round'!$B21)*('England 1'!$D$52:$D$61&gt;'England 1'!$F$52:$F$61))*3+SUMPRODUCT(('England 1'!$E$52:$E$61='Team Position by Round'!$B21)*('England 1'!$F$52:$F$61&gt;'England 1'!$D$52:$D$61))*3+SUMPRODUCT(('England 1'!$C$52:$C$61='Team Position by Round'!$B21)*('England 1'!$D$52:$D$61='England 1'!$F$52:$F$61))+SUMPRODUCT(('England 1'!$E$52:$E$61='Team Position by Round'!$B21)*('England 1'!$F$52:$F$61='England 1'!$D$52:$D$61))</f>
        <v>0</v>
      </c>
      <c r="I21" s="75" cm="1">
        <f t="array" ref="I21">SUMPRODUCT(('England 1'!$C$62:$C$71='Team Position by Round'!$B21)*('England 1'!$D$62:$D$71&gt;'England 1'!$F$62:$F$71))*3+SUMPRODUCT(('England 1'!$E$62:$E$71='Team Position by Round'!$B21)*('England 1'!$F$62:$F$71&gt;'England 1'!$D$62:$D$71))*3+SUMPRODUCT(('England 1'!$C$62:$C$71='Team Position by Round'!$B21)*('England 1'!$D$62:$D$71='England 1'!$F$62:$F$71))+SUMPRODUCT(('England 1'!$E$62:$E$71='Team Position by Round'!$B21)*('England 1'!$F$62:$F$71='England 1'!$D$62:$D$71))</f>
        <v>3</v>
      </c>
      <c r="J21" s="76" cm="1">
        <f t="array" ref="J21">SUMPRODUCT(('England 1'!$C$72:$C$81='Team Position by Round'!$B21)*('England 1'!$D$72:$D$81&gt;'England 1'!$F$72:$F$81))*3+SUMPRODUCT(('England 1'!$E$72:$E$81='Team Position by Round'!$B21)*('England 1'!$F$72:$F$81&gt;'England 1'!$D$72:$D$81))*3+SUMPRODUCT(('England 1'!$C$72:$C$81='Team Position by Round'!$B21)*('England 1'!$D$72:$D$81='England 1'!$F$72:$F$81))+SUMPRODUCT(('England 1'!$E$72:$E$81='Team Position by Round'!$B21)*('England 1'!$F$72:$F$81='England 1'!$D$72:$D$81))</f>
        <v>3</v>
      </c>
      <c r="K21" s="75" cm="1">
        <f t="array" ref="K21">SUMPRODUCT(('England 1'!$C$82:$C$91='Team Position by Round'!$B21)*('England 1'!$D$82:$D$91&gt;'England 1'!$F$82:$F$91))*3+SUMPRODUCT(('England 1'!$E$82:$E$91='Team Position by Round'!$B21)*('England 1'!$F$82:$F$91&gt;'England 1'!$D$82:$D$91))*3+SUMPRODUCT(('England 1'!$C$82:$C$91='Team Position by Round'!$B21)*('England 1'!$D$82:$D$91='England 1'!$F$82:$F$91))+SUMPRODUCT(('England 1'!$E$82:$E$91='Team Position by Round'!$B21)*('England 1'!$F$82:$F$91='England 1'!$D$82:$D$91))</f>
        <v>3</v>
      </c>
      <c r="L21" s="75" cm="1">
        <f t="array" ref="L21">SUMPRODUCT(('England 1'!$C$92:$C$101='Team Position by Round'!$B21)*('England 1'!$D$92:$D$101&gt;'England 1'!$F$92:$F$101))*3+SUMPRODUCT(('England 1'!$E$92:$E$101='Team Position by Round'!$B21)*('England 1'!$F$92:$F$101&gt;'England 1'!$D$92:$D$101))*3+SUMPRODUCT(('England 1'!$C$92:$C$101='Team Position by Round'!$B21)*('England 1'!$D$92:$D$101='England 1'!$F$92:$F$101))+SUMPRODUCT(('England 1'!$E$92:$E$101='Team Position by Round'!$B21)*('England 1'!$F$92:$F$101='England 1'!$D$92:$D$101))</f>
        <v>3</v>
      </c>
      <c r="M21" s="75" cm="1">
        <f t="array" ref="M21">SUMPRODUCT(('England 1'!$C$102:$C$111='Team Position by Round'!$B21)*('England 1'!$D$102:$D$111&gt;'England 1'!$F$102:$F$111))*3+SUMPRODUCT(('England 1'!$E$102:$E$111='Team Position by Round'!$B21)*('England 1'!$F$102:$F$111&gt;'England 1'!$D$102:$D$111))*3+SUMPRODUCT(('England 1'!$C$102:$C$111='Team Position by Round'!$B21)*('England 1'!$D$102:$D$111='England 1'!$F$102:$F$111))+SUMPRODUCT(('England 1'!$E$102:$E$111='Team Position by Round'!$B21)*('England 1'!$F$102:$F$111='England 1'!$D$102:$D$111))</f>
        <v>3</v>
      </c>
      <c r="N21" s="75" cm="1">
        <f t="array" ref="N21">SUMPRODUCT(('England 1'!$C$112:$C$121='Team Position by Round'!$B21)*('England 1'!$D$112:$D$121&gt;'England 1'!$F$112:$F$121))*3+SUMPRODUCT(('England 1'!$E$112:$E$121='Team Position by Round'!$B21)*('England 1'!$F$112:$F$121&gt;'England 1'!$D$112:$D$121))*3+SUMPRODUCT(('England 1'!$C$112:$C$121='Team Position by Round'!$B21)*('England 1'!$D$112:$D$121='England 1'!$F$112:$F$121))+SUMPRODUCT(('England 1'!$E$112:$E$121='Team Position by Round'!$B21)*('England 1'!$F$112:$F$121='England 1'!$D$112:$D$121))</f>
        <v>3</v>
      </c>
      <c r="O21" s="75" cm="1">
        <f t="array" ref="O21">SUMPRODUCT(('England 1'!$C$122:$C$131='Team Position by Round'!$B21)*('England 1'!$D$122:$D$131&gt;'England 1'!$F$122:$F$131))*3+SUMPRODUCT(('England 1'!$E$122:$E$131='Team Position by Round'!$B21)*('England 1'!$F$122:$F$131&gt;'England 1'!$D$122:$D$131))*3+SUMPRODUCT(('England 1'!$C$122:$C$131='Team Position by Round'!$B21)*('England 1'!$D$122:$D$131='England 1'!$F$122:$F$131))+SUMPRODUCT(('England 1'!$E$122:$E$131='Team Position by Round'!$B21)*('England 1'!$F$122:$F$131='England 1'!$D$122:$D$131))</f>
        <v>0</v>
      </c>
      <c r="P21" s="75" cm="1">
        <f t="array" ref="P21">SUMPRODUCT(('England 1'!$C$132:$C$141='Team Position by Round'!$B21)*('England 1'!$D$132:$D$141&gt;'England 1'!$F$132:$F$141))*3+SUMPRODUCT(('England 1'!$E$132:$E$141='Team Position by Round'!$B21)*('England 1'!$F$132:$F$141&gt;'England 1'!$D$132:$D$141))*3+SUMPRODUCT(('England 1'!$C$132:$C$141='Team Position by Round'!$B21)*('England 1'!$D$132:$D$141='England 1'!$F$132:$F$141))+SUMPRODUCT(('England 1'!$E$132:$E$141='Team Position by Round'!$B21)*('England 1'!$F$132:$F$141='England 1'!$D$132:$D$141))</f>
        <v>0</v>
      </c>
      <c r="Q21" s="75" cm="1">
        <f t="array" ref="Q21">SUMPRODUCT(('England 1'!$C$142:$C$151='Team Position by Round'!$B21)*('England 1'!$D$142:$D$151&gt;'England 1'!$F$142:$F$151))*3+SUMPRODUCT(('England 1'!$E$142:$E$151='Team Position by Round'!$B21)*('England 1'!$F$142:$F$151&gt;'England 1'!$D$142:$D$151))*3+SUMPRODUCT(('England 1'!$C$142:$C$151='Team Position by Round'!$B21)*('England 1'!$D$142:$D$151='England 1'!$F$142:$F$151))+SUMPRODUCT(('England 1'!$E$142:$E$151='Team Position by Round'!$B21)*('England 1'!$F$142:$F$151='England 1'!$D$142:$D$151))</f>
        <v>3</v>
      </c>
      <c r="R21" s="75" cm="1">
        <f t="array" ref="R21">SUMPRODUCT(('England 1'!$C$152:$C$161='Team Position by Round'!$B21)*('England 1'!$D$152:$D$161&gt;'England 1'!$F$152:$F$161))*3+SUMPRODUCT(('England 1'!$E$152:$E$161='Team Position by Round'!$B21)*('England 1'!$F$152:$F$161&gt;'England 1'!$D$152:$D$161))*3+SUMPRODUCT(('England 1'!$C$152:$C$161='Team Position by Round'!$B21)*('England 1'!$D$152:$D$161='England 1'!$F$152:$F$161))+SUMPRODUCT(('England 1'!$E$152:$E$161='Team Position by Round'!$B21)*('England 1'!$F$152:$F$161='England 1'!$D$152:$D$161))</f>
        <v>0</v>
      </c>
      <c r="S21" s="75" cm="1">
        <f t="array" ref="S21">SUMPRODUCT(('England 1'!$C$162:$C$171='Team Position by Round'!$B21)*('England 1'!$D$162:$D$171&gt;'England 1'!$F$162:$F$171))*3+SUMPRODUCT(('England 1'!$E$162:$E$171='Team Position by Round'!$B21)*('England 1'!$F$162:$F$171&gt;'England 1'!$D$162:$D$171))*3+SUMPRODUCT(('England 1'!$C$162:$C$171='Team Position by Round'!$B21)*('England 1'!$D$162:$D$171='England 1'!$F$162:$F$171))+SUMPRODUCT(('England 1'!$E$162:$E$171='Team Position by Round'!$B21)*('England 1'!$F$162:$F$171='England 1'!$D$162:$D$171))</f>
        <v>0</v>
      </c>
      <c r="T21" s="75" cm="1">
        <f t="array" ref="T21">SUMPRODUCT(('England 1'!$C$172:$C$181='Team Position by Round'!$B21)*('England 1'!$D$172:$D$181&gt;'England 1'!$F$172:$F$181))*3+SUMPRODUCT(('England 1'!$E$172:$E$181='Team Position by Round'!$B21)*('England 1'!$F$172:$F$181&gt;'England 1'!$D$172:$D$181))*3+SUMPRODUCT(('England 1'!$C$172:$C$181='Team Position by Round'!$B21)*('England 1'!$D$172:$D$181='England 1'!$F$172:$F$181))+SUMPRODUCT(('England 1'!$E$172:$E$181='Team Position by Round'!$B21)*('England 1'!$F$172:$F$181='England 1'!$D$172:$D$181))</f>
        <v>3</v>
      </c>
      <c r="U21" s="75" cm="1">
        <f t="array" ref="U21">SUMPRODUCT(('England 1'!$C$182:$C$191='Team Position by Round'!$B21)*('England 1'!$D$182:$D$191&gt;'England 1'!$F$182:$F$191))*3+SUMPRODUCT(('England 1'!$E$182:$E$191='Team Position by Round'!$B21)*('England 1'!$F$182:$F$191&gt;'England 1'!$D$182:$D$191))*3+SUMPRODUCT(('England 1'!$C$182:$C$191='Team Position by Round'!$B21)*('England 1'!$D$182:$D$191='England 1'!$F$182:$F$191))+SUMPRODUCT(('England 1'!$E$182:$E$191='Team Position by Round'!$B21)*('England 1'!$F$182:$F$191='England 1'!$D$182:$D$191))</f>
        <v>0</v>
      </c>
      <c r="V21" s="75" cm="1">
        <f t="array" ref="V21">SUMPRODUCT(('England 1'!$C$192:$C$201='Team Position by Round'!$B21)*('England 1'!$D$192:$D$201&gt;'England 1'!$F$192:$F$201))*3+SUMPRODUCT(('England 1'!$E$192:$E$201='Team Position by Round'!$B21)*('England 1'!$F$192:$F$201&gt;'England 1'!$D$192:$D$201))*3+SUMPRODUCT(('England 1'!$C$192:$C$201='Team Position by Round'!$B21)*('England 1'!$D$192:$D$201='England 1'!$F$192:$F$201))+SUMPRODUCT(('England 1'!$E$192:$E$201='Team Position by Round'!$B21)*('England 1'!$F$192:$F$201='England 1'!$D$192:$D$201))</f>
        <v>3</v>
      </c>
      <c r="W21" s="75" cm="1">
        <f t="array" ref="W21">SUMPRODUCT(('England 1'!$C$202:$C$211='Team Position by Round'!$B21)*('England 1'!$D$202:$D$211&gt;'England 1'!$F$202:$F$211))*3+SUMPRODUCT(('England 1'!$E$202:$E$211='Team Position by Round'!$B21)*('England 1'!$F$202:$F$211&gt;'England 1'!$D$202:$D$211))*3+SUMPRODUCT(('England 1'!$C$202:$C$211='Team Position by Round'!$B21)*('England 1'!$D$202:$D$211='England 1'!$F$202:$F$211))+SUMPRODUCT(('England 1'!$E$202:$E$211='Team Position by Round'!$B21)*('England 1'!$F$202:$F$211='England 1'!$D$202:$D$211))</f>
        <v>1</v>
      </c>
      <c r="X21" s="75" cm="1">
        <f t="array" ref="X21">SUMPRODUCT(('England 1'!$C$212:$C$221='Team Position by Round'!$B21)*('England 1'!$D$212:$D$221&gt;'England 1'!$F$212:$F$221))*3+SUMPRODUCT(('England 1'!$E$212:$E$221='Team Position by Round'!$B21)*('England 1'!$F$212:$F$221&gt;'England 1'!$D$212:$D$221))*3+SUMPRODUCT(('England 1'!$C$212:$C$221='Team Position by Round'!$B21)*('England 1'!$D$212:$D$221='England 1'!$F$212:$F$221))+SUMPRODUCT(('England 1'!$E$212:$E$221='Team Position by Round'!$B21)*('England 1'!$F$212:$F$221='England 1'!$D$212:$D$221))</f>
        <v>3</v>
      </c>
      <c r="Y21" s="75" cm="1">
        <f t="array" ref="Y21">SUMPRODUCT(('England 1'!$C$222:$C$231='Team Position by Round'!$B21)*('England 1'!$D$222:$D$231&gt;'England 1'!$F$222:$F$231))*3+SUMPRODUCT(('England 1'!$E$222:$E$231='Team Position by Round'!$B21)*('England 1'!$F$222:$F$231&gt;'England 1'!$D$222:$D$231))*3+SUMPRODUCT(('England 1'!$C$222:$C$231='Team Position by Round'!$B21)*('England 1'!$D$222:$D$231='England 1'!$F$222:$F$231))+SUMPRODUCT(('England 1'!$E$222:$E$231='Team Position by Round'!$B21)*('England 1'!$F$222:$F$231='England 1'!$D$222:$D$231))</f>
        <v>0</v>
      </c>
      <c r="Z21" s="75" cm="1">
        <f t="array" ref="Z21">SUMPRODUCT(('England 1'!$C$232:$C$241='Team Position by Round'!$B21)*('England 1'!$D$232:$D$241&gt;'England 1'!$F$232:$F$241))*3+SUMPRODUCT(('England 1'!$E$232:$E$241='Team Position by Round'!$B21)*('England 1'!$F$232:$F$241&gt;'England 1'!$D$232:$D$241))*3+SUMPRODUCT(('England 1'!$C$232:$C$241='Team Position by Round'!$B21)*('England 1'!$D$232:$D$241='England 1'!$F$232:$F$241))+SUMPRODUCT(('England 1'!$E$232:$E$241='Team Position by Round'!$B21)*('England 1'!$F$232:$F$241='England 1'!$D$232:$D$241))</f>
        <v>1</v>
      </c>
      <c r="AA21" s="75" cm="1">
        <f t="array" ref="AA21">SUMPRODUCT(('England 1'!$C$242:$C$251='Team Position by Round'!$B21)*('England 1'!$D$242:$D$251&gt;'England 1'!$F$242:$F$251))*3+SUMPRODUCT(('England 1'!$E$242:$E$251='Team Position by Round'!$B21)*('England 1'!$F$242:$F$251&gt;'England 1'!$D$242:$D$251))*3+SUMPRODUCT(('England 1'!$C$242:$C$251='Team Position by Round'!$B21)*('England 1'!$D$242:$D$251='England 1'!$F$242:$F$251))+SUMPRODUCT(('England 1'!$E$242:$E$251='Team Position by Round'!$B21)*('England 1'!$F$242:$F$251='England 1'!$D$242:$D$251))</f>
        <v>1</v>
      </c>
      <c r="AB21" s="75" cm="1">
        <f t="array" ref="AB21">SUMPRODUCT(('England 1'!$C$252:$C$261='Team Position by Round'!$B21)*('England 1'!$D$252:$D$261&gt;'England 1'!$F$252:$F$261))*3+SUMPRODUCT(('England 1'!$E$252:$E$261='Team Position by Round'!$B21)*('England 1'!$F$252:$F$261&gt;'England 1'!$D$252:$D$261))*3+SUMPRODUCT(('England 1'!$C$252:$C$261='Team Position by Round'!$B21)*('England 1'!$D$252:$D$261='England 1'!$F$252:$F$261))+SUMPRODUCT(('England 1'!$E$252:$E$261='Team Position by Round'!$B21)*('England 1'!$F$252:$F$261='England 1'!$D$252:$D$261))</f>
        <v>0</v>
      </c>
      <c r="AC21" s="75" cm="1">
        <f t="array" ref="AC21">SUMPRODUCT(('England 1'!$C$262:$C$271='Team Position by Round'!$B21)*('England 1'!$D$262:$D$271&gt;'England 1'!$F$262:$F$271))*3+SUMPRODUCT(('England 1'!$E$262:$E$271='Team Position by Round'!$B21)*('England 1'!$F$262:$F$271&gt;'England 1'!$D$262:$D$271))*3+SUMPRODUCT(('England 1'!$C$262:$C$271='Team Position by Round'!$B21)*('England 1'!$D$262:$D$271='England 1'!$F$262:$F$271))+SUMPRODUCT(('England 1'!$E$262:$E$271='Team Position by Round'!$B21)*('England 1'!$F$262:$F$271='England 1'!$D$262:$D$271))</f>
        <v>3</v>
      </c>
      <c r="AD21" s="75" cm="1">
        <f t="array" ref="AD21">SUMPRODUCT(('England 1'!$C$272:$C$281='Team Position by Round'!$B21)*('England 1'!$D$272:$D$281&gt;'England 1'!$F$272:$F$281))*3+SUMPRODUCT(('England 1'!$E$272:$E$281='Team Position by Round'!$B21)*('England 1'!$F$272:$F$281&gt;'England 1'!$D$272:$D$281))*3+SUMPRODUCT(('England 1'!$C$272:$C$281='Team Position by Round'!$B21)*('England 1'!$D$272:$D$281='England 1'!$F$272:$F$281))+SUMPRODUCT(('England 1'!$E$272:$E$281='Team Position by Round'!$B21)*('England 1'!$F$272:$F$281='England 1'!$D$272:$D$281))</f>
        <v>1</v>
      </c>
      <c r="AE21" s="75" cm="1">
        <f t="array" ref="AE21">SUMPRODUCT(('England 1'!$C$282:$C$291='Team Position by Round'!$B21)*('England 1'!$D$282:$D$291&gt;'England 1'!$F$282:$F$291))*3+SUMPRODUCT(('England 1'!$E$282:$E$291='Team Position by Round'!$B21)*('England 1'!$F$282:$F$291&gt;'England 1'!$D$282:$D$291))*3+SUMPRODUCT(('England 1'!$C$282:$C$291='Team Position by Round'!$B21)*('England 1'!$D$282:$D$291='England 1'!$F$282:$F$291))+SUMPRODUCT(('England 1'!$E$282:$E$291='Team Position by Round'!$B21)*('England 1'!$F$282:$F$291='England 1'!$D$282:$D$291))</f>
        <v>3</v>
      </c>
      <c r="AF21" s="75" cm="1">
        <f t="array" ref="AF21">SUMPRODUCT(('England 1'!$C$292:$C$301='Team Position by Round'!$B21)*('England 1'!$D$292:$D$301&gt;'England 1'!$F$292:$F$301))*3+SUMPRODUCT(('England 1'!$E$292:$E$301='Team Position by Round'!$B21)*('England 1'!$F$292:$F$301&gt;'England 1'!$D$292:$D$301))*3+SUMPRODUCT(('England 1'!$C$292:$C$301='Team Position by Round'!$B21)*('England 1'!$D$292:$D$301='England 1'!$F$292:$F$301))+SUMPRODUCT(('England 1'!$E$292:$E$301='Team Position by Round'!$B21)*('England 1'!$F$292:$F$301='England 1'!$D$292:$D$301))</f>
        <v>3</v>
      </c>
      <c r="AG21" s="75" cm="1">
        <f t="array" ref="AG21">SUMPRODUCT(('England 1'!$C$302:$C$311='Team Position by Round'!$B21)*('England 1'!$D$302:$D$311&gt;'England 1'!$F$302:$F$311))*3+SUMPRODUCT(('England 1'!$E$302:$E$311='Team Position by Round'!$B21)*('England 1'!$F$302:$F$311&gt;'England 1'!$D$302:$D$311))*3+SUMPRODUCT(('England 1'!$C$302:$C$311='Team Position by Round'!$B21)*('England 1'!$D$302:$D$311='England 1'!$F$302:$F$311))+SUMPRODUCT(('England 1'!$E$302:$E$311='Team Position by Round'!$B21)*('England 1'!$F$302:$F$311='England 1'!$D$302:$D$311))</f>
        <v>3</v>
      </c>
      <c r="AH21" s="75" cm="1">
        <f t="array" ref="AH21">SUMPRODUCT(('England 1'!$C$312:$C$321='Team Position by Round'!$B21)*('England 1'!$D$312:$D$321&gt;'England 1'!$F$312:$F$321))*3+SUMPRODUCT(('England 1'!$E$312:$E$321='Team Position by Round'!$B21)*('England 1'!$F$312:$F$321&gt;'England 1'!$D$312:$D$321))*3+SUMPRODUCT(('England 1'!$C$312:$C$321='Team Position by Round'!$B21)*('England 1'!$D$312:$D$321='England 1'!$F$312:$F$321))+SUMPRODUCT(('England 1'!$E$312:$E$321='Team Position by Round'!$B21)*('England 1'!$F$312:$F$321='England 1'!$D$312:$D$321))</f>
        <v>0</v>
      </c>
      <c r="AI21" s="75" cm="1">
        <f t="array" ref="AI21">SUMPRODUCT(('England 1'!$C$322:$C$331='Team Position by Round'!$B21)*('England 1'!$D$322:$D$331&gt;'England 1'!$F$322:$F$331))*3+SUMPRODUCT(('England 1'!$E$322:$E$331='Team Position by Round'!$B21)*('England 1'!$F$322:$F$331&gt;'England 1'!$D$322:$D$331))*3+SUMPRODUCT(('England 1'!$C$322:$C$331='Team Position by Round'!$B21)*('England 1'!$D$322:$D$331='England 1'!$F$322:$F$331))+SUMPRODUCT(('England 1'!$E$322:$E$331='Team Position by Round'!$B21)*('England 1'!$F$322:$F$331='England 1'!$D$322:$D$331))</f>
        <v>3</v>
      </c>
      <c r="AJ21" s="75" cm="1">
        <f t="array" ref="AJ21">SUMPRODUCT(('England 1'!$C$332:$C$341='Team Position by Round'!$B21)*('England 1'!$D$332:$D$341&gt;'England 1'!$F$332:$F$341))*3+SUMPRODUCT(('England 1'!$E$332:$E$341='Team Position by Round'!$B21)*('England 1'!$F$332:$F$341&gt;'England 1'!$D$332:$D$341))*3+SUMPRODUCT(('England 1'!$C$332:$C$341='Team Position by Round'!$B21)*('England 1'!$D$332:$D$341='England 1'!$F$332:$F$341))+SUMPRODUCT(('England 1'!$E$332:$E$341='Team Position by Round'!$B21)*('England 1'!$F$332:$F$341='England 1'!$D$332:$D$341))</f>
        <v>3</v>
      </c>
      <c r="AK21" s="75" cm="1">
        <f t="array" ref="AK21">SUMPRODUCT(('England 1'!$C$342:$C$351='Team Position by Round'!$B21)*('England 1'!$D$342:$D$351&gt;'England 1'!$F$342:$F$351))*3+SUMPRODUCT(('England 1'!$E$342:$E$351='Team Position by Round'!$B21)*('England 1'!$F$342:$F$351&gt;'England 1'!$D$342:$D$351))*3+SUMPRODUCT(('England 1'!$C$342:$C$351='Team Position by Round'!$B21)*('England 1'!$D$342:$D$351='England 1'!$F$342:$F$351))+SUMPRODUCT(('England 1'!$E$342:$E$351='Team Position by Round'!$B21)*('England 1'!$F$342:$F$351='England 1'!$D$342:$D$351))</f>
        <v>0</v>
      </c>
      <c r="AL21" s="75" cm="1">
        <f t="array" ref="AL21">SUMPRODUCT(('England 1'!$C$352:$C$361='Team Position by Round'!$B21)*('England 1'!$D$352:$D$361&gt;'England 1'!$F$352:$F$361))*3+SUMPRODUCT(('England 1'!$E$352:$E$361='Team Position by Round'!$B21)*('England 1'!$F$352:$F$361&gt;'England 1'!$D$352:$D$361))*3+SUMPRODUCT(('England 1'!$C$352:$C$361='Team Position by Round'!$B21)*('England 1'!$D$352:$D$361='England 1'!$F$352:$F$361))+SUMPRODUCT(('England 1'!$E$352:$E$361='Team Position by Round'!$B21)*('England 1'!$F$352:$F$361='England 1'!$D$352:$D$361))</f>
        <v>3</v>
      </c>
      <c r="AM21" s="75" cm="1">
        <f t="array" ref="AM21">SUMPRODUCT(('England 1'!$C$362:$C$371='Team Position by Round'!$B21)*('England 1'!$D$362:$D$371&gt;'England 1'!$F$362:$F$371))*3+SUMPRODUCT(('England 1'!$E$362:$E$371='Team Position by Round'!$B21)*('England 1'!$F$362:$F$371&gt;'England 1'!$D$362:$D$371))*3+SUMPRODUCT(('England 1'!$C$362:$C$371='Team Position by Round'!$B21)*('England 1'!$D$362:$D$371='England 1'!$F$362:$F$371))+SUMPRODUCT(('England 1'!$E$362:$E$371='Team Position by Round'!$B21)*('England 1'!$F$362:$F$371='England 1'!$D$362:$D$371))</f>
        <v>0</v>
      </c>
      <c r="AN21" s="75" cm="1">
        <f t="array" ref="AN21">SUMPRODUCT(('England 1'!$C$372:$C$381='Team Position by Round'!$B21)*('England 1'!$D$372:$D$381&gt;'England 1'!$F$372:$F$381))*3+SUMPRODUCT(('England 1'!$E$372:$E$381='Team Position by Round'!$B21)*('England 1'!$F$372:$F$381&gt;'England 1'!$D$372:$D$381))*3+SUMPRODUCT(('England 1'!$C$372:$C$381='Team Position by Round'!$B21)*('England 1'!$D$372:$D$381='England 1'!$F$372:$F$381))+SUMPRODUCT(('England 1'!$E$372:$E$381='Team Position by Round'!$B21)*('England 1'!$F$372:$F$381='England 1'!$D$372:$D$381))</f>
        <v>3</v>
      </c>
      <c r="AO21">
        <f t="shared" si="0"/>
        <v>20</v>
      </c>
      <c r="AP21">
        <f t="shared" si="1"/>
        <v>6</v>
      </c>
      <c r="AQ21">
        <f t="shared" si="2"/>
        <v>12</v>
      </c>
      <c r="AR21" s="78">
        <f>SUMIF('Chelsea FC'!C:C,'Chelsea FC'!N18,'Chelsea FC'!D:D)+SUMIF('Chelsea FC'!E:E,'Chelsea FC'!N18,'Chelsea FC'!F:F)</f>
        <v>69</v>
      </c>
      <c r="AS21" s="78">
        <f>SUMIF('Chelsea FC'!C:C,"&lt;&gt;Chelsea FC",'Chelsea FC'!D:D)+SUMIF('Chelsea FC'!E:E,"&lt;&gt;Chelsea FC",'Chelsea FC'!F:F)</f>
        <v>54</v>
      </c>
      <c r="AT21" s="84">
        <f>MAX('Chelsea FC'!I:I)</f>
        <v>6</v>
      </c>
      <c r="AU21" s="84">
        <f>MAX('Chelsea FC'!J:J)</f>
        <v>2</v>
      </c>
      <c r="AV21">
        <f>MAX('Chelsea FC'!K:K)</f>
        <v>6</v>
      </c>
      <c r="AW21">
        <f>MAX('Chelsea FC'!L:L)</f>
        <v>4</v>
      </c>
    </row>
    <row r="22" spans="2:49" x14ac:dyDescent="0.2">
      <c r="B22" t="str">
        <v>Wolverhampton Wanderers FC</v>
      </c>
      <c r="C22" s="75" cm="1">
        <f t="array" ref="C22">SUMPRODUCT(('England 1'!$C$2:$C$11='Team Position by Round'!$B22)*('England 1'!$D$2:$D$11&gt;'England 1'!$F$2:$F$11))*3+SUMPRODUCT(('England 1'!$E$2:$E$11='Team Position by Round'!$B22)*('England 1'!$F$2:$F$11&gt;'England 1'!$D$2:$D$11))*3+SUMPRODUCT(('England 1'!$C$2:$C$11='Team Position by Round'!$B22)*('England 1'!$D$2:$D$11='England 1'!$F$2:$F$11))+SUMPRODUCT(('England 1'!$E$2:$E$11='Team Position by Round'!$B22)*('England 1'!$F$2:$F$11='England 1'!$D$2:$D$11))</f>
        <v>1</v>
      </c>
      <c r="D22" s="75" cm="1">
        <f t="array" ref="D22">SUMPRODUCT(('England 1'!$C$12:$C$21='Team Position by Round'!$B22)*('England 1'!$D$12:$D$21&gt;'England 1'!$F$12:$F$21))*3+SUMPRODUCT(('England 1'!$E$12:$E$21='Team Position by Round'!$B22)*('England 1'!$F$12:$F$21&gt;'England 1'!$D$12:$D$21))*3+SUMPRODUCT(('England 1'!$C$12:$C$21='Team Position by Round'!$B22)*('England 1'!$D$12:$D$21='England 1'!$F$12:$F$21))+SUMPRODUCT(('England 1'!$E$12:$E$21='Team Position by Round'!$B22)*('England 1'!$F$12:$F$21='England 1'!$D$12:$D$21))</f>
        <v>1</v>
      </c>
      <c r="E22" s="75" cm="1">
        <f t="array" ref="E22">SUMPRODUCT(('England 1'!$C$22:$C$31='Team Position by Round'!$B22)*('England 1'!$D$22:$D$31&gt;'England 1'!$F$22:$F$31))*3+SUMPRODUCT(('England 1'!$E$22:$E$31='Team Position by Round'!$B22)*('England 1'!$F$22:$F$31&gt;'England 1'!$D$22:$D$31))*3+SUMPRODUCT(('England 1'!$C$22:$C$31='Team Position by Round'!$B22)*('England 1'!$D$22:$D$31='England 1'!$F$22:$F$31))+SUMPRODUCT(('England 1'!$E$22:$E$31='Team Position by Round'!$B22)*('England 1'!$F$22:$F$31='England 1'!$D$22:$D$31))</f>
        <v>1</v>
      </c>
      <c r="F22" s="75" cm="1">
        <f t="array" ref="F22">SUMPRODUCT(('England 1'!$C$32:$C$41='Team Position by Round'!$B22)*('England 1'!$D$32:$D$41&gt;'England 1'!$F$32:$F$41))*3+SUMPRODUCT(('England 1'!$E$32:$E$41='Team Position by Round'!$B22)*('England 1'!$F$32:$F$41&gt;'England 1'!$D$32:$D$41))*3+SUMPRODUCT(('England 1'!$C$32:$C$41='Team Position by Round'!$B22)*('England 1'!$D$32:$D$41='England 1'!$F$32:$F$41))+SUMPRODUCT(('England 1'!$E$32:$E$41='Team Position by Round'!$B22)*('England 1'!$F$32:$F$41='England 1'!$D$32:$D$41))</f>
        <v>0</v>
      </c>
      <c r="G22" s="75" cm="1">
        <f t="array" ref="G22">SUMPRODUCT(('England 1'!$C$42:$C$51='Team Position by Round'!$B22)*('England 1'!$D$42:$D$51&gt;'England 1'!$F$42:$F$51))*3+SUMPRODUCT(('England 1'!$E$42:$E$51='Team Position by Round'!$B22)*('England 1'!$F$42:$F$51&gt;'England 1'!$D$42:$D$51))*3+SUMPRODUCT(('England 1'!$C$42:$C$51='Team Position by Round'!$B22)*('England 1'!$D$42:$D$51='England 1'!$F$42:$F$51))+SUMPRODUCT(('England 1'!$E$42:$E$51='Team Position by Round'!$B22)*('England 1'!$F$42:$F$51='England 1'!$D$42:$D$51))</f>
        <v>0</v>
      </c>
      <c r="H22" s="75" cm="1">
        <f t="array" ref="H22">SUMPRODUCT(('England 1'!$C$52:$C$61='Team Position by Round'!$B22)*('England 1'!$D$52:$D$61&gt;'England 1'!$F$52:$F$61))*3+SUMPRODUCT(('England 1'!$E$52:$E$61='Team Position by Round'!$B22)*('England 1'!$F$52:$F$61&gt;'England 1'!$D$52:$D$61))*3+SUMPRODUCT(('England 1'!$C$52:$C$61='Team Position by Round'!$B22)*('England 1'!$D$52:$D$61='England 1'!$F$52:$F$61))+SUMPRODUCT(('England 1'!$E$52:$E$61='Team Position by Round'!$B22)*('England 1'!$F$52:$F$61='England 1'!$D$52:$D$61))</f>
        <v>1</v>
      </c>
      <c r="I22" s="75" cm="1">
        <f t="array" ref="I22">SUMPRODUCT(('England 1'!$C$62:$C$71='Team Position by Round'!$B22)*('England 1'!$D$62:$D$71&gt;'England 1'!$F$62:$F$71))*3+SUMPRODUCT(('England 1'!$E$62:$E$71='Team Position by Round'!$B22)*('England 1'!$F$62:$F$71&gt;'England 1'!$D$62:$D$71))*3+SUMPRODUCT(('England 1'!$C$62:$C$71='Team Position by Round'!$B22)*('England 1'!$D$62:$D$71='England 1'!$F$62:$F$71))+SUMPRODUCT(('England 1'!$E$62:$E$71='Team Position by Round'!$B22)*('England 1'!$F$62:$F$71='England 1'!$D$62:$D$71))</f>
        <v>3</v>
      </c>
      <c r="J22" s="76" cm="1">
        <f t="array" ref="J22">SUMPRODUCT(('England 1'!$C$72:$C$81='Team Position by Round'!$B22)*('England 1'!$D$72:$D$81&gt;'England 1'!$F$72:$F$81))*3+SUMPRODUCT(('England 1'!$E$72:$E$81='Team Position by Round'!$B22)*('England 1'!$F$72:$F$81&gt;'England 1'!$D$72:$D$81))*3+SUMPRODUCT(('England 1'!$C$72:$C$81='Team Position by Round'!$B22)*('England 1'!$D$72:$D$81='England 1'!$F$72:$F$81))+SUMPRODUCT(('England 1'!$E$72:$E$81='Team Position by Round'!$B22)*('England 1'!$F$72:$F$81='England 1'!$D$72:$D$81))</f>
        <v>3</v>
      </c>
      <c r="K22" s="75" cm="1">
        <f t="array" ref="K22">SUMPRODUCT(('England 1'!$C$82:$C$91='Team Position by Round'!$B22)*('England 1'!$D$82:$D$91&gt;'England 1'!$F$82:$F$91))*3+SUMPRODUCT(('England 1'!$E$82:$E$91='Team Position by Round'!$B22)*('England 1'!$F$82:$F$91&gt;'England 1'!$D$82:$D$91))*3+SUMPRODUCT(('England 1'!$C$82:$C$91='Team Position by Round'!$B22)*('England 1'!$D$82:$D$91='England 1'!$F$82:$F$91))+SUMPRODUCT(('England 1'!$E$82:$E$91='Team Position by Round'!$B22)*('England 1'!$F$82:$F$91='England 1'!$D$82:$D$91))</f>
        <v>1</v>
      </c>
      <c r="L22" s="75" cm="1">
        <f t="array" ref="L22">SUMPRODUCT(('England 1'!$C$92:$C$101='Team Position by Round'!$B22)*('England 1'!$D$92:$D$101&gt;'England 1'!$F$92:$F$101))*3+SUMPRODUCT(('England 1'!$E$92:$E$101='Team Position by Round'!$B22)*('England 1'!$F$92:$F$101&gt;'England 1'!$D$92:$D$101))*3+SUMPRODUCT(('England 1'!$C$92:$C$101='Team Position by Round'!$B22)*('England 1'!$D$92:$D$101='England 1'!$F$92:$F$101))+SUMPRODUCT(('England 1'!$E$92:$E$101='Team Position by Round'!$B22)*('England 1'!$F$92:$F$101='England 1'!$D$92:$D$101))</f>
        <v>1</v>
      </c>
      <c r="M22" s="75" cm="1">
        <f t="array" ref="M22">SUMPRODUCT(('England 1'!$C$102:$C$111='Team Position by Round'!$B22)*('England 1'!$D$102:$D$111&gt;'England 1'!$F$102:$F$111))*3+SUMPRODUCT(('England 1'!$E$102:$E$111='Team Position by Round'!$B22)*('England 1'!$F$102:$F$111&gt;'England 1'!$D$102:$D$111))*3+SUMPRODUCT(('England 1'!$C$102:$C$111='Team Position by Round'!$B22)*('England 1'!$D$102:$D$111='England 1'!$F$102:$F$111))+SUMPRODUCT(('England 1'!$E$102:$E$111='Team Position by Round'!$B22)*('England 1'!$F$102:$F$111='England 1'!$D$102:$D$111))</f>
        <v>1</v>
      </c>
      <c r="N22" s="75" cm="1">
        <f t="array" ref="N22">SUMPRODUCT(('England 1'!$C$112:$C$121='Team Position by Round'!$B22)*('England 1'!$D$112:$D$121&gt;'England 1'!$F$112:$F$121))*3+SUMPRODUCT(('England 1'!$E$112:$E$121='Team Position by Round'!$B22)*('England 1'!$F$112:$F$121&gt;'England 1'!$D$112:$D$121))*3+SUMPRODUCT(('England 1'!$C$112:$C$121='Team Position by Round'!$B22)*('England 1'!$D$112:$D$121='England 1'!$F$112:$F$121))+SUMPRODUCT(('England 1'!$E$112:$E$121='Team Position by Round'!$B22)*('England 1'!$F$112:$F$121='England 1'!$D$112:$D$121))</f>
        <v>3</v>
      </c>
      <c r="O22" s="75" cm="1">
        <f t="array" ref="O22">SUMPRODUCT(('England 1'!$C$122:$C$131='Team Position by Round'!$B22)*('England 1'!$D$122:$D$131&gt;'England 1'!$F$122:$F$131))*3+SUMPRODUCT(('England 1'!$E$122:$E$131='Team Position by Round'!$B22)*('England 1'!$F$122:$F$131&gt;'England 1'!$D$122:$D$131))*3+SUMPRODUCT(('England 1'!$C$122:$C$131='Team Position by Round'!$B22)*('England 1'!$D$122:$D$131='England 1'!$F$122:$F$131))+SUMPRODUCT(('England 1'!$E$122:$E$131='Team Position by Round'!$B22)*('England 1'!$F$122:$F$131='England 1'!$D$122:$D$131))</f>
        <v>3</v>
      </c>
      <c r="P22" s="75" cm="1">
        <f t="array" ref="P22">SUMPRODUCT(('England 1'!$C$132:$C$141='Team Position by Round'!$B22)*('England 1'!$D$132:$D$141&gt;'England 1'!$F$132:$F$141))*3+SUMPRODUCT(('England 1'!$E$132:$E$141='Team Position by Round'!$B22)*('England 1'!$F$132:$F$141&gt;'England 1'!$D$132:$D$141))*3+SUMPRODUCT(('England 1'!$C$132:$C$141='Team Position by Round'!$B22)*('England 1'!$D$132:$D$141='England 1'!$F$132:$F$141))+SUMPRODUCT(('England 1'!$E$132:$E$141='Team Position by Round'!$B22)*('England 1'!$F$132:$F$141='England 1'!$D$132:$D$141))</f>
        <v>1</v>
      </c>
      <c r="Q22" s="75" cm="1">
        <f t="array" ref="Q22">SUMPRODUCT(('England 1'!$C$142:$C$151='Team Position by Round'!$B22)*('England 1'!$D$142:$D$151&gt;'England 1'!$F$142:$F$151))*3+SUMPRODUCT(('England 1'!$E$142:$E$151='Team Position by Round'!$B22)*('England 1'!$F$142:$F$151&gt;'England 1'!$D$142:$D$151))*3+SUMPRODUCT(('England 1'!$C$142:$C$151='Team Position by Round'!$B22)*('England 1'!$D$142:$D$151='England 1'!$F$142:$F$151))+SUMPRODUCT(('England 1'!$E$142:$E$151='Team Position by Round'!$B22)*('England 1'!$F$142:$F$151='England 1'!$D$142:$D$151))</f>
        <v>3</v>
      </c>
      <c r="R22" s="75" cm="1">
        <f t="array" ref="R22">SUMPRODUCT(('England 1'!$C$152:$C$161='Team Position by Round'!$B22)*('England 1'!$D$152:$D$161&gt;'England 1'!$F$152:$F$161))*3+SUMPRODUCT(('England 1'!$E$152:$E$161='Team Position by Round'!$B22)*('England 1'!$F$152:$F$161&gt;'England 1'!$D$152:$D$161))*3+SUMPRODUCT(('England 1'!$C$152:$C$161='Team Position by Round'!$B22)*('England 1'!$D$152:$D$161='England 1'!$F$152:$F$161))+SUMPRODUCT(('England 1'!$E$152:$E$161='Team Position by Round'!$B22)*('England 1'!$F$152:$F$161='England 1'!$D$152:$D$161))</f>
        <v>1</v>
      </c>
      <c r="S22" s="75" cm="1">
        <f t="array" ref="S22">SUMPRODUCT(('England 1'!$C$162:$C$171='Team Position by Round'!$B22)*('England 1'!$D$162:$D$171&gt;'England 1'!$F$162:$F$171))*3+SUMPRODUCT(('England 1'!$E$162:$E$171='Team Position by Round'!$B22)*('England 1'!$F$162:$F$171&gt;'England 1'!$D$162:$D$171))*3+SUMPRODUCT(('England 1'!$C$162:$C$171='Team Position by Round'!$B22)*('England 1'!$D$162:$D$171='England 1'!$F$162:$F$171))+SUMPRODUCT(('England 1'!$E$162:$E$171='Team Position by Round'!$B22)*('England 1'!$F$162:$F$171='England 1'!$D$162:$D$171))</f>
        <v>0</v>
      </c>
      <c r="T22" s="75" cm="1">
        <f t="array" ref="T22">SUMPRODUCT(('England 1'!$C$172:$C$181='Team Position by Round'!$B22)*('England 1'!$D$172:$D$181&gt;'England 1'!$F$172:$F$181))*3+SUMPRODUCT(('England 1'!$E$172:$E$181='Team Position by Round'!$B22)*('England 1'!$F$172:$F$181&gt;'England 1'!$D$172:$D$181))*3+SUMPRODUCT(('England 1'!$C$172:$C$181='Team Position by Round'!$B22)*('England 1'!$D$172:$D$181='England 1'!$F$172:$F$181))+SUMPRODUCT(('England 1'!$E$172:$E$181='Team Position by Round'!$B22)*('England 1'!$F$172:$F$181='England 1'!$D$172:$D$181))</f>
        <v>3</v>
      </c>
      <c r="U22" s="75" cm="1">
        <f t="array" ref="U22">SUMPRODUCT(('England 1'!$C$182:$C$191='Team Position by Round'!$B22)*('England 1'!$D$182:$D$191&gt;'England 1'!$F$182:$F$191))*3+SUMPRODUCT(('England 1'!$E$182:$E$191='Team Position by Round'!$B22)*('England 1'!$F$182:$F$191&gt;'England 1'!$D$182:$D$191))*3+SUMPRODUCT(('England 1'!$C$182:$C$191='Team Position by Round'!$B22)*('England 1'!$D$182:$D$191='England 1'!$F$182:$F$191))+SUMPRODUCT(('England 1'!$E$182:$E$191='Team Position by Round'!$B22)*('England 1'!$F$182:$F$191='England 1'!$D$182:$D$191))</f>
        <v>3</v>
      </c>
      <c r="V22" s="75" cm="1">
        <f t="array" ref="V22">SUMPRODUCT(('England 1'!$C$192:$C$201='Team Position by Round'!$B22)*('England 1'!$D$192:$D$201&gt;'England 1'!$F$192:$F$201))*3+SUMPRODUCT(('England 1'!$E$192:$E$201='Team Position by Round'!$B22)*('England 1'!$F$192:$F$201&gt;'England 1'!$D$192:$D$201))*3+SUMPRODUCT(('England 1'!$C$192:$C$201='Team Position by Round'!$B22)*('England 1'!$D$192:$D$201='England 1'!$F$192:$F$201))+SUMPRODUCT(('England 1'!$E$192:$E$201='Team Position by Round'!$B22)*('England 1'!$F$192:$F$201='England 1'!$D$192:$D$201))</f>
        <v>0</v>
      </c>
      <c r="W22" s="75" cm="1">
        <f t="array" ref="W22">SUMPRODUCT(('England 1'!$C$202:$C$211='Team Position by Round'!$B22)*('England 1'!$D$202:$D$211&gt;'England 1'!$F$202:$F$211))*3+SUMPRODUCT(('England 1'!$E$202:$E$211='Team Position by Round'!$B22)*('England 1'!$F$202:$F$211&gt;'England 1'!$D$202:$D$211))*3+SUMPRODUCT(('England 1'!$C$202:$C$211='Team Position by Round'!$B22)*('England 1'!$D$202:$D$211='England 1'!$F$202:$F$211))+SUMPRODUCT(('England 1'!$E$202:$E$211='Team Position by Round'!$B22)*('England 1'!$F$202:$F$211='England 1'!$D$202:$D$211))</f>
        <v>0</v>
      </c>
      <c r="X22" s="75" cm="1">
        <f t="array" ref="X22">SUMPRODUCT(('England 1'!$C$212:$C$221='Team Position by Round'!$B22)*('England 1'!$D$212:$D$221&gt;'England 1'!$F$212:$F$221))*3+SUMPRODUCT(('England 1'!$E$212:$E$221='Team Position by Round'!$B22)*('England 1'!$F$212:$F$221&gt;'England 1'!$D$212:$D$221))*3+SUMPRODUCT(('England 1'!$C$212:$C$221='Team Position by Round'!$B22)*('England 1'!$D$212:$D$221='England 1'!$F$212:$F$221))+SUMPRODUCT(('England 1'!$E$212:$E$221='Team Position by Round'!$B22)*('England 1'!$F$212:$F$221='England 1'!$D$212:$D$221))</f>
        <v>1</v>
      </c>
      <c r="Y22" s="75" cm="1">
        <f t="array" ref="Y22">SUMPRODUCT(('England 1'!$C$222:$C$231='Team Position by Round'!$B22)*('England 1'!$D$222:$D$231&gt;'England 1'!$F$222:$F$231))*3+SUMPRODUCT(('England 1'!$E$222:$E$231='Team Position by Round'!$B22)*('England 1'!$F$222:$F$231&gt;'England 1'!$D$222:$D$231))*3+SUMPRODUCT(('England 1'!$C$222:$C$231='Team Position by Round'!$B22)*('England 1'!$D$222:$D$231='England 1'!$F$222:$F$231))+SUMPRODUCT(('England 1'!$E$222:$E$231='Team Position by Round'!$B22)*('England 1'!$F$222:$F$231='England 1'!$D$222:$D$231))</f>
        <v>3</v>
      </c>
      <c r="Z22" s="75" cm="1">
        <f t="array" ref="Z22">SUMPRODUCT(('England 1'!$C$232:$C$241='Team Position by Round'!$B22)*('England 1'!$D$232:$D$241&gt;'England 1'!$F$232:$F$241))*3+SUMPRODUCT(('England 1'!$E$232:$E$241='Team Position by Round'!$B22)*('England 1'!$F$232:$F$241&gt;'England 1'!$D$232:$D$241))*3+SUMPRODUCT(('England 1'!$C$232:$C$241='Team Position by Round'!$B22)*('England 1'!$D$232:$D$241='England 1'!$F$232:$F$241))+SUMPRODUCT(('England 1'!$E$232:$E$241='Team Position by Round'!$B22)*('England 1'!$F$232:$F$241='England 1'!$D$232:$D$241))</f>
        <v>0</v>
      </c>
      <c r="AA22" s="75" cm="1">
        <f t="array" ref="AA22">SUMPRODUCT(('England 1'!$C$242:$C$251='Team Position by Round'!$B22)*('England 1'!$D$242:$D$251&gt;'England 1'!$F$242:$F$251))*3+SUMPRODUCT(('England 1'!$E$242:$E$251='Team Position by Round'!$B22)*('England 1'!$F$242:$F$251&gt;'England 1'!$D$242:$D$251))*3+SUMPRODUCT(('England 1'!$C$242:$C$251='Team Position by Round'!$B22)*('England 1'!$D$242:$D$251='England 1'!$F$242:$F$251))+SUMPRODUCT(('England 1'!$E$242:$E$251='Team Position by Round'!$B22)*('England 1'!$F$242:$F$251='England 1'!$D$242:$D$251))</f>
        <v>1</v>
      </c>
      <c r="AB22" s="75" cm="1">
        <f t="array" ref="AB22">SUMPRODUCT(('England 1'!$C$252:$C$261='Team Position by Round'!$B22)*('England 1'!$D$252:$D$261&gt;'England 1'!$F$252:$F$261))*3+SUMPRODUCT(('England 1'!$E$252:$E$261='Team Position by Round'!$B22)*('England 1'!$F$252:$F$261&gt;'England 1'!$D$252:$D$261))*3+SUMPRODUCT(('England 1'!$C$252:$C$261='Team Position by Round'!$B22)*('England 1'!$D$252:$D$261='England 1'!$F$252:$F$261))+SUMPRODUCT(('England 1'!$E$252:$E$261='Team Position by Round'!$B22)*('England 1'!$F$252:$F$261='England 1'!$D$252:$D$261))</f>
        <v>1</v>
      </c>
      <c r="AC22" s="75" cm="1">
        <f t="array" ref="AC22">SUMPRODUCT(('England 1'!$C$262:$C$271='Team Position by Round'!$B22)*('England 1'!$D$262:$D$271&gt;'England 1'!$F$262:$F$271))*3+SUMPRODUCT(('England 1'!$E$262:$E$271='Team Position by Round'!$B22)*('England 1'!$F$262:$F$271&gt;'England 1'!$D$262:$D$271))*3+SUMPRODUCT(('England 1'!$C$262:$C$271='Team Position by Round'!$B22)*('England 1'!$D$262:$D$271='England 1'!$F$262:$F$271))+SUMPRODUCT(('England 1'!$E$262:$E$271='Team Position by Round'!$B22)*('England 1'!$F$262:$F$271='England 1'!$D$262:$D$271))</f>
        <v>3</v>
      </c>
      <c r="AD22" s="75" cm="1">
        <f t="array" ref="AD22">SUMPRODUCT(('England 1'!$C$272:$C$281='Team Position by Round'!$B22)*('England 1'!$D$272:$D$281&gt;'England 1'!$F$272:$F$281))*3+SUMPRODUCT(('England 1'!$E$272:$E$281='Team Position by Round'!$B22)*('England 1'!$F$272:$F$281&gt;'England 1'!$D$272:$D$281))*3+SUMPRODUCT(('England 1'!$C$272:$C$281='Team Position by Round'!$B22)*('England 1'!$D$272:$D$281='England 1'!$F$272:$F$281))+SUMPRODUCT(('England 1'!$E$272:$E$281='Team Position by Round'!$B22)*('England 1'!$F$272:$F$281='England 1'!$D$272:$D$281))</f>
        <v>3</v>
      </c>
      <c r="AE22" s="75" cm="1">
        <f t="array" ref="AE22">SUMPRODUCT(('England 1'!$C$282:$C$291='Team Position by Round'!$B22)*('England 1'!$D$282:$D$291&gt;'England 1'!$F$282:$F$291))*3+SUMPRODUCT(('England 1'!$E$282:$E$291='Team Position by Round'!$B22)*('England 1'!$F$282:$F$291&gt;'England 1'!$D$282:$D$291))*3+SUMPRODUCT(('England 1'!$C$282:$C$291='Team Position by Round'!$B22)*('England 1'!$D$282:$D$291='England 1'!$F$282:$F$291))+SUMPRODUCT(('England 1'!$E$282:$E$291='Team Position by Round'!$B22)*('England 1'!$F$282:$F$291='England 1'!$D$282:$D$291))</f>
        <v>1</v>
      </c>
      <c r="AF22" s="75" cm="1">
        <f t="array" ref="AF22">SUMPRODUCT(('England 1'!$C$292:$C$301='Team Position by Round'!$B22)*('England 1'!$D$292:$D$301&gt;'England 1'!$F$292:$F$301))*3+SUMPRODUCT(('England 1'!$E$292:$E$301='Team Position by Round'!$B22)*('England 1'!$F$292:$F$301&gt;'England 1'!$D$292:$D$301))*3+SUMPRODUCT(('England 1'!$C$292:$C$301='Team Position by Round'!$B22)*('England 1'!$D$292:$D$301='England 1'!$F$292:$F$301))+SUMPRODUCT(('England 1'!$E$292:$E$301='Team Position by Round'!$B22)*('England 1'!$F$292:$F$301='England 1'!$D$292:$D$301))</f>
        <v>3</v>
      </c>
      <c r="AG22" s="75" cm="1">
        <f t="array" ref="AG22">SUMPRODUCT(('England 1'!$C$302:$C$311='Team Position by Round'!$B22)*('England 1'!$D$302:$D$311&gt;'England 1'!$F$302:$F$311))*3+SUMPRODUCT(('England 1'!$E$302:$E$311='Team Position by Round'!$B22)*('England 1'!$F$302:$F$311&gt;'England 1'!$D$302:$D$311))*3+SUMPRODUCT(('England 1'!$C$302:$C$311='Team Position by Round'!$B22)*('England 1'!$D$302:$D$311='England 1'!$F$302:$F$311))+SUMPRODUCT(('England 1'!$E$302:$E$311='Team Position by Round'!$B22)*('England 1'!$F$302:$F$311='England 1'!$D$302:$D$311))</f>
        <v>3</v>
      </c>
      <c r="AH22" s="75" cm="1">
        <f t="array" ref="AH22">SUMPRODUCT(('England 1'!$C$312:$C$321='Team Position by Round'!$B22)*('England 1'!$D$312:$D$321&gt;'England 1'!$F$312:$F$321))*3+SUMPRODUCT(('England 1'!$E$312:$E$321='Team Position by Round'!$B22)*('England 1'!$F$312:$F$321&gt;'England 1'!$D$312:$D$321))*3+SUMPRODUCT(('England 1'!$C$312:$C$321='Team Position by Round'!$B22)*('England 1'!$D$312:$D$321='England 1'!$F$312:$F$321))+SUMPRODUCT(('England 1'!$E$312:$E$321='Team Position by Round'!$B22)*('England 1'!$F$312:$F$321='England 1'!$D$312:$D$321))</f>
        <v>3</v>
      </c>
      <c r="AI22" s="75" cm="1">
        <f t="array" ref="AI22">SUMPRODUCT(('England 1'!$C$322:$C$331='Team Position by Round'!$B22)*('England 1'!$D$322:$D$331&gt;'England 1'!$F$322:$F$331))*3+SUMPRODUCT(('England 1'!$E$322:$E$331='Team Position by Round'!$B22)*('England 1'!$F$322:$F$331&gt;'England 1'!$D$322:$D$331))*3+SUMPRODUCT(('England 1'!$C$322:$C$331='Team Position by Round'!$B22)*('England 1'!$D$322:$D$331='England 1'!$F$322:$F$331))+SUMPRODUCT(('England 1'!$E$322:$E$331='Team Position by Round'!$B22)*('England 1'!$F$322:$F$331='England 1'!$D$322:$D$331))</f>
        <v>0</v>
      </c>
      <c r="AJ22" s="75" cm="1">
        <f t="array" ref="AJ22">SUMPRODUCT(('England 1'!$C$332:$C$341='Team Position by Round'!$B22)*('England 1'!$D$332:$D$341&gt;'England 1'!$F$332:$F$341))*3+SUMPRODUCT(('England 1'!$E$332:$E$341='Team Position by Round'!$B22)*('England 1'!$F$332:$F$341&gt;'England 1'!$D$332:$D$341))*3+SUMPRODUCT(('England 1'!$C$332:$C$341='Team Position by Round'!$B22)*('England 1'!$D$332:$D$341='England 1'!$F$332:$F$341))+SUMPRODUCT(('England 1'!$E$332:$E$341='Team Position by Round'!$B22)*('England 1'!$F$332:$F$341='England 1'!$D$332:$D$341))</f>
        <v>0</v>
      </c>
      <c r="AK22" s="75" cm="1">
        <f t="array" ref="AK22">SUMPRODUCT(('England 1'!$C$342:$C$351='Team Position by Round'!$B22)*('England 1'!$D$342:$D$351&gt;'England 1'!$F$342:$F$351))*3+SUMPRODUCT(('England 1'!$E$342:$E$351='Team Position by Round'!$B22)*('England 1'!$F$342:$F$351&gt;'England 1'!$D$342:$D$351))*3+SUMPRODUCT(('England 1'!$C$342:$C$351='Team Position by Round'!$B22)*('England 1'!$D$342:$D$351='England 1'!$F$342:$F$351))+SUMPRODUCT(('England 1'!$E$342:$E$351='Team Position by Round'!$B22)*('England 1'!$F$342:$F$351='England 1'!$D$342:$D$351))</f>
        <v>3</v>
      </c>
      <c r="AL22" s="75" cm="1">
        <f t="array" ref="AL22">SUMPRODUCT(('England 1'!$C$352:$C$361='Team Position by Round'!$B22)*('England 1'!$D$352:$D$361&gt;'England 1'!$F$352:$F$361))*3+SUMPRODUCT(('England 1'!$E$352:$E$361='Team Position by Round'!$B22)*('England 1'!$F$352:$F$361&gt;'England 1'!$D$352:$D$361))*3+SUMPRODUCT(('England 1'!$C$352:$C$361='Team Position by Round'!$B22)*('England 1'!$D$352:$D$361='England 1'!$F$352:$F$361))+SUMPRODUCT(('England 1'!$E$352:$E$361='Team Position by Round'!$B22)*('England 1'!$F$352:$F$361='England 1'!$D$352:$D$361))</f>
        <v>1</v>
      </c>
      <c r="AM22" s="75" cm="1">
        <f t="array" ref="AM22">SUMPRODUCT(('England 1'!$C$362:$C$371='Team Position by Round'!$B22)*('England 1'!$D$362:$D$371&gt;'England 1'!$F$362:$F$371))*3+SUMPRODUCT(('England 1'!$E$362:$E$371='Team Position by Round'!$B22)*('England 1'!$F$362:$F$371&gt;'England 1'!$D$362:$D$371))*3+SUMPRODUCT(('England 1'!$C$362:$C$371='Team Position by Round'!$B22)*('England 1'!$D$362:$D$371='England 1'!$F$362:$F$371))+SUMPRODUCT(('England 1'!$E$362:$E$371='Team Position by Round'!$B22)*('England 1'!$F$362:$F$371='England 1'!$D$362:$D$371))</f>
        <v>3</v>
      </c>
      <c r="AN22" s="75" cm="1">
        <f t="array" ref="AN22">SUMPRODUCT(('England 1'!$C$372:$C$381='Team Position by Round'!$B22)*('England 1'!$D$372:$D$381&gt;'England 1'!$F$372:$F$381))*3+SUMPRODUCT(('England 1'!$E$372:$E$381='Team Position by Round'!$B22)*('England 1'!$F$372:$F$381&gt;'England 1'!$D$372:$D$381))*3+SUMPRODUCT(('England 1'!$C$372:$C$381='Team Position by Round'!$B22)*('England 1'!$D$372:$D$381='England 1'!$F$372:$F$381))+SUMPRODUCT(('England 1'!$E$372:$E$381='Team Position by Round'!$B22)*('England 1'!$F$372:$F$381='England 1'!$D$372:$D$381))</f>
        <v>0</v>
      </c>
      <c r="AO22">
        <f t="shared" si="0"/>
        <v>15</v>
      </c>
      <c r="AP22">
        <f t="shared" si="1"/>
        <v>14</v>
      </c>
      <c r="AQ22">
        <f t="shared" si="2"/>
        <v>9</v>
      </c>
      <c r="AR22" s="78">
        <f>SUMIF('Wolverhampton Wanderers FC'!C:C,'Wolverhampton Wanderers FC'!N18,'Wolverhampton Wanderers FC'!D:D)+SUMIF('Wolverhampton Wanderers FC'!E:E,'Wolverhampton Wanderers FC'!N18,'Wolverhampton Wanderers FC'!F:F)</f>
        <v>51</v>
      </c>
      <c r="AS22" s="78">
        <f>SUMIF('Wolverhampton Wanderers FC'!C:C,"&lt;&gt;Wolverhampton Wanderers FC",'Wolverhampton Wanderers FC'!D:D)+SUMIF('Wolverhampton Wanderers FC'!E:E,"&lt;&gt;Wolverhampton Wanderers FC",'Wolverhampton Wanderers FC'!F:F)</f>
        <v>40</v>
      </c>
      <c r="AT22" s="84">
        <f>MAX('Wolverhampton Wanderers FC'!I:I)</f>
        <v>3</v>
      </c>
      <c r="AU22" s="84">
        <f>MAX('Wolverhampton Wanderers FC'!J:J)</f>
        <v>2</v>
      </c>
      <c r="AV22">
        <f>MAX('Wolverhampton Wanderers FC'!K:K)</f>
        <v>11</v>
      </c>
      <c r="AW22">
        <f>MAX('Wolverhampton Wanderers FC'!L:L)</f>
        <v>6</v>
      </c>
    </row>
    <row r="24" spans="2:49" ht="20.25" customHeight="1" x14ac:dyDescent="0.2">
      <c r="B24" s="64"/>
    </row>
    <row r="25" spans="2:49" ht="20.25" customHeight="1" x14ac:dyDescent="0.25">
      <c r="I25" s="53"/>
      <c r="AQ25" s="85"/>
      <c r="AR25" s="85"/>
      <c r="AS25" s="85"/>
      <c r="AT25" s="85"/>
      <c r="AU25" s="85"/>
    </row>
    <row r="26" spans="2:49" ht="20.25" customHeight="1" x14ac:dyDescent="0.25">
      <c r="AQ26" s="85"/>
      <c r="AR26" s="106" t="s">
        <v>46</v>
      </c>
      <c r="AS26" s="106"/>
      <c r="AT26" s="106"/>
      <c r="AU26" s="106"/>
    </row>
    <row r="27" spans="2:49" ht="20.25" customHeight="1" x14ac:dyDescent="0.25">
      <c r="M27" s="53"/>
      <c r="AQ27" s="85"/>
      <c r="AR27" s="107" t="s">
        <v>47</v>
      </c>
      <c r="AS27" s="107"/>
      <c r="AT27" s="89" t="s">
        <v>48</v>
      </c>
      <c r="AU27" s="89"/>
    </row>
    <row r="28" spans="2:49" ht="20.25" customHeight="1" x14ac:dyDescent="0.25">
      <c r="M28" s="53"/>
      <c r="AQ28" s="85"/>
      <c r="AR28" s="87" t="s">
        <v>49</v>
      </c>
      <c r="AS28" s="88" t="s">
        <v>50</v>
      </c>
      <c r="AT28" s="109" t="str" cm="1">
        <f t="array" ref="AT28">_xlfn.IFS(AND(AR28="Wins",AS28="The most"),INDEX(_xlfn.ANCHORARRAY(B3),_xlfn.XMATCH(MAX(AO3:AO22),AO3:AO22)),AND(AR28="Wins",AS28="The least"),INDEX(_xlfn.ANCHORARRAY(B3),_xlfn.XMATCH(MIN(AO3:AO22),AO3:AO22)),AND(AR28="Draws",AS28="The most"),INDEX(_xlfn.ANCHORARRAY(B3),_xlfn.XMATCH(MAX(AP3:AP22),AP3:AP22)),AND(AR28="Draws",AS28="The least"),INDEX(_xlfn.ANCHORARRAY(B3),_xlfn.XMATCH(MIN(AP3:AP22),AP3:AP22)),AND(AR28="Losses",AS28="The most"),INDEX(_xlfn.ANCHORARRAY(B3),_xlfn.XMATCH(MAX(AQ3:AQ22),AQ3:AQ22)),AND(AR28="Losses",AS28="The least"),INDEX(_xlfn.ANCHORARRAY(B3),_xlfn.XMATCH(MIN(AQ3:AQ22),AQ3:AQ22)))</f>
        <v>Liverpool FC</v>
      </c>
      <c r="AU28" s="109"/>
    </row>
    <row r="29" spans="2:49" ht="20.25" customHeight="1" x14ac:dyDescent="0.25">
      <c r="M29" s="53"/>
      <c r="AQ29" s="85"/>
      <c r="AR29" s="86"/>
      <c r="AS29" s="86"/>
      <c r="AT29" s="86"/>
      <c r="AU29" s="86"/>
    </row>
    <row r="30" spans="2:49" ht="20.25" customHeight="1" x14ac:dyDescent="0.25">
      <c r="M30" s="53"/>
      <c r="AQ30" s="85"/>
      <c r="AR30" s="86"/>
      <c r="AS30" s="86"/>
      <c r="AT30" s="86"/>
      <c r="AU30" s="86"/>
    </row>
    <row r="31" spans="2:49" ht="20.25" customHeight="1" x14ac:dyDescent="0.25">
      <c r="AQ31" s="85"/>
      <c r="AR31" s="106" t="s">
        <v>51</v>
      </c>
      <c r="AS31" s="106"/>
      <c r="AT31" s="106"/>
      <c r="AU31" s="106"/>
    </row>
    <row r="32" spans="2:49" ht="20.25" customHeight="1" x14ac:dyDescent="0.25">
      <c r="AQ32" s="85"/>
      <c r="AR32" s="107" t="s">
        <v>47</v>
      </c>
      <c r="AS32" s="107"/>
      <c r="AT32" s="89" t="s">
        <v>48</v>
      </c>
      <c r="AU32" s="89"/>
    </row>
    <row r="33" spans="43:47" ht="20.25" customHeight="1" x14ac:dyDescent="0.25">
      <c r="AQ33" s="85"/>
      <c r="AR33" s="87" t="s">
        <v>106</v>
      </c>
      <c r="AS33" s="88" t="s">
        <v>50</v>
      </c>
      <c r="AT33" s="109" t="str" cm="1">
        <f t="array" ref="AT33">_xlfn.IFS(AND(AR33="Scored",AS33="The most"),INDEX(_xlfn.ANCHORARRAY(B3),_xlfn.XMATCH(MAX(AR3:AR22),AR3:AR22)),AND(AR33="Scored",AS33="The least"),INDEX(_xlfn.ANCHORARRAY(B3),_xlfn.XMATCH(MIN(AR3:AR22),AR3:AR22)),AND(AR33="Conceded",AS33="The most"),INDEX(_xlfn.ANCHORARRAY(B3),_xlfn.XMATCH(MAX(AQ3:AQ22),AQ3:AQ22)),AND(AR33="Conceded",AS33="The least"),INDEX(_xlfn.ANCHORARRAY(B3),_xlfn.XMATCH(MIN(AS3:AS22),AS3:AS22)))</f>
        <v>Manchester City FC</v>
      </c>
      <c r="AU33" s="109"/>
    </row>
    <row r="34" spans="43:47" ht="20.25" customHeight="1" x14ac:dyDescent="0.25">
      <c r="AQ34" s="85"/>
      <c r="AR34" s="86"/>
      <c r="AS34" s="86"/>
      <c r="AT34" s="86"/>
      <c r="AU34" s="86"/>
    </row>
    <row r="35" spans="43:47" ht="20.25" customHeight="1" x14ac:dyDescent="0.25">
      <c r="AQ35" s="85"/>
      <c r="AR35" s="106" t="s">
        <v>52</v>
      </c>
      <c r="AS35" s="106"/>
      <c r="AT35" s="106"/>
      <c r="AU35" s="106"/>
    </row>
    <row r="36" spans="43:47" ht="20.25" customHeight="1" x14ac:dyDescent="0.25">
      <c r="AQ36" s="85"/>
      <c r="AR36" s="107" t="s">
        <v>47</v>
      </c>
      <c r="AS36" s="107"/>
      <c r="AT36" s="89" t="s">
        <v>48</v>
      </c>
      <c r="AU36" s="89"/>
    </row>
    <row r="37" spans="43:47" ht="20.25" customHeight="1" x14ac:dyDescent="0.25">
      <c r="AQ37" s="85"/>
      <c r="AR37" s="108" t="s">
        <v>53</v>
      </c>
      <c r="AS37" s="108"/>
      <c r="AT37" s="109" t="str" cm="1">
        <f t="array" ref="AT37">_xlfn.IFS(AR37="Win Steak",INDEX(_xlfn.ANCHORARRAY(B3),_xlfn.XMATCH(MAX(AT3:AT22),AT3:AT22)),AR37="Loss Steak",INDEX(_xlfn.ANCHORARRAY(B3),_xlfn.XMATCH(MAX(AU3:AU22),AU3:AU22)))</f>
        <v>Norwich City FC</v>
      </c>
      <c r="AU37" s="109"/>
    </row>
    <row r="38" spans="43:47" ht="20.25" customHeight="1" x14ac:dyDescent="0.25">
      <c r="AQ38" s="85"/>
      <c r="AR38" s="86"/>
      <c r="AS38" s="86"/>
      <c r="AT38" s="86"/>
      <c r="AU38" s="86"/>
    </row>
    <row r="39" spans="43:47" ht="20.25" customHeight="1" x14ac:dyDescent="0.25">
      <c r="AQ39" s="85"/>
      <c r="AR39" s="106" t="s">
        <v>54</v>
      </c>
      <c r="AS39" s="106"/>
      <c r="AT39" s="106"/>
      <c r="AU39" s="106"/>
    </row>
    <row r="40" spans="43:47" ht="20.25" customHeight="1" x14ac:dyDescent="0.25">
      <c r="AQ40" s="85"/>
      <c r="AR40" s="107" t="s">
        <v>47</v>
      </c>
      <c r="AS40" s="107"/>
      <c r="AT40" s="89" t="s">
        <v>48</v>
      </c>
      <c r="AU40" s="89"/>
    </row>
    <row r="41" spans="43:47" ht="20.25" customHeight="1" x14ac:dyDescent="0.25">
      <c r="AQ41" s="85"/>
      <c r="AR41" s="108" t="s">
        <v>55</v>
      </c>
      <c r="AS41" s="108"/>
      <c r="AT41" s="109" t="str" cm="1">
        <f t="array" ref="AT41">_xlfn.IFS(AR41="Winless Steak",INDEX(_xlfn.ANCHORARRAY(B3),_xlfn.XMATCH(MAX(AW3:AW22),AW3:AW22)),AR41="Unbeaten Steak",INDEX(_xlfn.ANCHORARRAY(B3),_xlfn.XMATCH(MAX(AV3:AV22),AV3:AV22)))</f>
        <v>Liverpool FC</v>
      </c>
      <c r="AU41" s="109"/>
    </row>
    <row r="42" spans="43:47" ht="20.25" customHeight="1" x14ac:dyDescent="0.25">
      <c r="AQ42" s="85"/>
      <c r="AR42" s="85"/>
      <c r="AS42" s="85"/>
      <c r="AT42" s="85"/>
      <c r="AU42" s="85"/>
    </row>
  </sheetData>
  <mergeCells count="17">
    <mergeCell ref="AR39:AU39"/>
    <mergeCell ref="AR27:AS27"/>
    <mergeCell ref="AR32:AS32"/>
    <mergeCell ref="AR41:AS41"/>
    <mergeCell ref="AT28:AU28"/>
    <mergeCell ref="AT33:AU33"/>
    <mergeCell ref="AT37:AU37"/>
    <mergeCell ref="AT41:AU41"/>
    <mergeCell ref="AR37:AS37"/>
    <mergeCell ref="AR36:AS36"/>
    <mergeCell ref="AR40:AS40"/>
    <mergeCell ref="AO1:AQ1"/>
    <mergeCell ref="AR1:AS1"/>
    <mergeCell ref="AR26:AU26"/>
    <mergeCell ref="AR31:AU31"/>
    <mergeCell ref="AR35:AU35"/>
    <mergeCell ref="AT1:AW1"/>
  </mergeCells>
  <dataValidations count="5">
    <dataValidation type="list" allowBlank="1" showInputMessage="1" showErrorMessage="1" sqref="AR28" xr:uid="{FF3F572D-23D1-446C-A98C-438D16018DD3}">
      <formula1>"Wins,Draws,Losses"</formula1>
    </dataValidation>
    <dataValidation type="list" allowBlank="1" showInputMessage="1" showErrorMessage="1" sqref="AS28 AS33" xr:uid="{8CE898C0-B317-4EBC-80DE-E1CC9815B6D2}">
      <formula1>"The most,The least"</formula1>
    </dataValidation>
    <dataValidation type="list" allowBlank="1" showInputMessage="1" showErrorMessage="1" sqref="AR33" xr:uid="{7AD80C07-6AF0-466E-91DB-A71F0969466A}">
      <formula1>"Scored, Conceded"</formula1>
    </dataValidation>
    <dataValidation type="list" allowBlank="1" showInputMessage="1" showErrorMessage="1" sqref="AR37" xr:uid="{84A1893F-36DC-4FC2-BF26-505D16E431C4}">
      <formula1>"Win Steak, Loss Steak"</formula1>
    </dataValidation>
    <dataValidation type="list" allowBlank="1" showInputMessage="1" showErrorMessage="1" sqref="AR41" xr:uid="{51E121AE-FFE1-4591-AC76-6E56195A4A45}">
      <formula1>"Winless Steak, Unbeaten Steak"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5A447-0465-4A07-8905-CBD1911CC082}">
  <sheetPr codeName="Sheet3"/>
  <dimension ref="B1:P27"/>
  <sheetViews>
    <sheetView zoomScale="60" zoomScaleNormal="60" workbookViewId="0"/>
  </sheetViews>
  <sheetFormatPr baseColWidth="10" defaultColWidth="8.83203125" defaultRowHeight="15" x14ac:dyDescent="0.2"/>
  <cols>
    <col min="1" max="1" width="10.33203125" customWidth="1"/>
    <col min="2" max="2" width="5.1640625" style="4" customWidth="1"/>
    <col min="3" max="3" width="30.6640625" customWidth="1"/>
    <col min="12" max="15" width="12.33203125" customWidth="1"/>
    <col min="16" max="16" width="9.6640625" customWidth="1"/>
    <col min="17" max="17" width="12.33203125" bestFit="1" customWidth="1"/>
  </cols>
  <sheetData>
    <row r="1" spans="2:16" ht="37.5" customHeight="1" x14ac:dyDescent="0.2">
      <c r="B1" s="110" t="s">
        <v>100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</row>
    <row r="2" spans="2:16" ht="24.75" customHeight="1" x14ac:dyDescent="0.25">
      <c r="B2" s="15"/>
      <c r="C2" s="21" t="s">
        <v>48</v>
      </c>
      <c r="D2" s="22" t="s">
        <v>12</v>
      </c>
      <c r="E2" s="23" t="s">
        <v>13</v>
      </c>
      <c r="F2" s="24" t="s">
        <v>14</v>
      </c>
      <c r="G2" s="25" t="s">
        <v>15</v>
      </c>
      <c r="H2" s="22" t="s">
        <v>16</v>
      </c>
      <c r="I2" s="22" t="s">
        <v>17</v>
      </c>
      <c r="J2" s="22" t="s">
        <v>18</v>
      </c>
      <c r="K2" s="22" t="s">
        <v>19</v>
      </c>
      <c r="L2" s="26" t="s">
        <v>56</v>
      </c>
      <c r="M2" s="26" t="s">
        <v>57</v>
      </c>
      <c r="N2" s="26" t="s">
        <v>58</v>
      </c>
      <c r="O2" s="26" t="s">
        <v>59</v>
      </c>
      <c r="P2" s="26" t="s">
        <v>60</v>
      </c>
    </row>
    <row r="3" spans="2:16" ht="24.75" customHeight="1" x14ac:dyDescent="0.2">
      <c r="B3" s="10"/>
      <c r="C3" s="29" t="str" cm="1">
        <f t="array" ref="C3:C22">_xlfn.UNIQUE(eng_1[Home])</f>
        <v>Liverpool FC</v>
      </c>
      <c r="D3" s="42" cm="1">
        <f t="array" ref="D3:K3">_xlfn.XLOOKUP('Liverpool FC'!N19,'Liverpool FC'!N16:N19,'Liverpool FC'!O16:V19)</f>
        <v>38</v>
      </c>
      <c r="E3" s="43">
        <v>32</v>
      </c>
      <c r="F3" s="44">
        <v>3</v>
      </c>
      <c r="G3" s="45">
        <v>3</v>
      </c>
      <c r="H3" s="42">
        <v>85</v>
      </c>
      <c r="I3" s="42">
        <v>33</v>
      </c>
      <c r="J3" s="42">
        <v>52</v>
      </c>
      <c r="K3" s="42">
        <v>99</v>
      </c>
      <c r="L3" s="46">
        <f>COUNTIF($K$3:$K$22,"&gt;"&amp;K3)+1</f>
        <v>1</v>
      </c>
      <c r="M3" s="46">
        <f>(COUNTIF($J$3:$J$22,"&gt;"&amp;J3)+1)/100</f>
        <v>0.02</v>
      </c>
      <c r="N3" s="46">
        <f>(COUNTIF($H$3:$H$22,"&gt;"&amp;H3)+1)/1000</f>
        <v>2E-3</v>
      </c>
      <c r="O3" s="46">
        <f>L3+M3+N3</f>
        <v>1.022</v>
      </c>
      <c r="P3" s="46">
        <f>COUNTIF($O$3:$O$22,"&lt;"&amp;O3)+1</f>
        <v>1</v>
      </c>
    </row>
    <row r="4" spans="2:16" ht="24.75" customHeight="1" x14ac:dyDescent="0.2">
      <c r="B4" s="10"/>
      <c r="C4" s="29" t="str">
        <v>West Ham United FC</v>
      </c>
      <c r="D4" s="42" cm="1">
        <f t="array" ref="D4:K4">_xlfn.XLOOKUP('West Ham United FC'!N19,'West Ham United FC'!N17:N20,'West Ham United FC'!O17:V20)</f>
        <v>38</v>
      </c>
      <c r="E4" s="43">
        <v>10</v>
      </c>
      <c r="F4" s="44">
        <v>9</v>
      </c>
      <c r="G4" s="45">
        <v>19</v>
      </c>
      <c r="H4" s="42">
        <v>49</v>
      </c>
      <c r="I4" s="42">
        <v>62</v>
      </c>
      <c r="J4" s="42">
        <v>-13</v>
      </c>
      <c r="K4" s="42">
        <v>39</v>
      </c>
      <c r="L4" s="46">
        <f t="shared" ref="L4:L22" si="0">COUNTIF($K$3:$K$22,"&gt;"&amp;K4)+1</f>
        <v>16</v>
      </c>
      <c r="M4" s="46">
        <f t="shared" ref="M4:M22" si="1">(COUNTIF($J$3:$J$22,"&gt;"&amp;J4)+1)/100</f>
        <v>0.13</v>
      </c>
      <c r="N4" s="46">
        <f t="shared" ref="N4:N22" si="2">(COUNTIF($H$3:$H$22,"&gt;"&amp;H4)+1)/1000</f>
        <v>0.01</v>
      </c>
      <c r="O4" s="46">
        <f t="shared" ref="O4:O22" si="3">L4+M4+N4</f>
        <v>16.14</v>
      </c>
      <c r="P4" s="46">
        <f t="shared" ref="P4:P22" si="4">COUNTIF($O$3:$O$22,"&lt;"&amp;O4)+1</f>
        <v>16</v>
      </c>
    </row>
    <row r="5" spans="2:16" ht="24.75" customHeight="1" x14ac:dyDescent="0.2">
      <c r="B5" s="27"/>
      <c r="C5" s="29" t="str">
        <v>Burnley FC</v>
      </c>
      <c r="D5" s="42" cm="1">
        <f t="array" ref="D5:K5">_xlfn.XLOOKUP('Burnley FC'!N19,'Burnley FC'!N18:N21,'Burnley FC'!O18:V21)</f>
        <v>38</v>
      </c>
      <c r="E5" s="43">
        <v>15</v>
      </c>
      <c r="F5" s="44">
        <v>9</v>
      </c>
      <c r="G5" s="45">
        <v>14</v>
      </c>
      <c r="H5" s="42">
        <v>43</v>
      </c>
      <c r="I5" s="42">
        <v>50</v>
      </c>
      <c r="J5" s="42">
        <v>-7</v>
      </c>
      <c r="K5" s="42">
        <v>54</v>
      </c>
      <c r="L5" s="46">
        <f t="shared" si="0"/>
        <v>9</v>
      </c>
      <c r="M5" s="46">
        <f t="shared" si="1"/>
        <v>0.1</v>
      </c>
      <c r="N5" s="46">
        <f t="shared" si="2"/>
        <v>1.2E-2</v>
      </c>
      <c r="O5" s="46">
        <f t="shared" si="3"/>
        <v>9.1120000000000001</v>
      </c>
      <c r="P5" s="46">
        <f t="shared" si="4"/>
        <v>10</v>
      </c>
    </row>
    <row r="6" spans="2:16" ht="24.75" customHeight="1" x14ac:dyDescent="0.2">
      <c r="B6" s="10"/>
      <c r="C6" s="29" t="str">
        <v>AFC Bournemouth</v>
      </c>
      <c r="D6" s="42" cm="1">
        <f t="array" ref="D6:K6">_xlfn.XLOOKUP('AFC Bournemouth'!N19,'AFC Bournemouth'!N18:N21,'AFC Bournemouth'!O18:V21)</f>
        <v>38</v>
      </c>
      <c r="E6" s="43">
        <v>9</v>
      </c>
      <c r="F6" s="44">
        <v>7</v>
      </c>
      <c r="G6" s="45">
        <v>22</v>
      </c>
      <c r="H6" s="42">
        <v>40</v>
      </c>
      <c r="I6" s="42">
        <v>65</v>
      </c>
      <c r="J6" s="42">
        <v>-25</v>
      </c>
      <c r="K6" s="42">
        <v>34</v>
      </c>
      <c r="L6" s="46">
        <f t="shared" si="0"/>
        <v>18</v>
      </c>
      <c r="M6" s="46">
        <f t="shared" si="1"/>
        <v>0.17</v>
      </c>
      <c r="N6" s="46">
        <f t="shared" si="2"/>
        <v>1.4E-2</v>
      </c>
      <c r="O6" s="46">
        <f t="shared" si="3"/>
        <v>18.184000000000001</v>
      </c>
      <c r="P6" s="46">
        <f t="shared" si="4"/>
        <v>18</v>
      </c>
    </row>
    <row r="7" spans="2:16" ht="24.75" customHeight="1" x14ac:dyDescent="0.2">
      <c r="B7" s="10"/>
      <c r="C7" s="29" t="str">
        <v>Crystal Palace FC</v>
      </c>
      <c r="D7" s="42" cm="1">
        <f t="array" ref="D7:K7">_xlfn.XLOOKUP('Crystal Palace FC'!N19,'Crystal Palace FC'!N18:N21,'Crystal Palace FC'!O18:V21)</f>
        <v>38</v>
      </c>
      <c r="E7" s="43">
        <v>11</v>
      </c>
      <c r="F7" s="44">
        <v>10</v>
      </c>
      <c r="G7" s="45">
        <v>17</v>
      </c>
      <c r="H7" s="42">
        <v>31</v>
      </c>
      <c r="I7" s="42">
        <v>50</v>
      </c>
      <c r="J7" s="42">
        <v>-19</v>
      </c>
      <c r="K7" s="42">
        <v>43</v>
      </c>
      <c r="L7" s="46">
        <f t="shared" si="0"/>
        <v>14</v>
      </c>
      <c r="M7" s="46">
        <f t="shared" si="1"/>
        <v>0.15</v>
      </c>
      <c r="N7" s="46">
        <f t="shared" si="2"/>
        <v>1.9E-2</v>
      </c>
      <c r="O7" s="46">
        <f t="shared" si="3"/>
        <v>14.169</v>
      </c>
      <c r="P7" s="46">
        <f t="shared" si="4"/>
        <v>14</v>
      </c>
    </row>
    <row r="8" spans="2:16" ht="24.75" customHeight="1" x14ac:dyDescent="0.2">
      <c r="B8" s="10"/>
      <c r="C8" s="29" t="str">
        <v>Watford FC</v>
      </c>
      <c r="D8" s="42" cm="1">
        <f t="array" ref="D8:K8">_xlfn.XLOOKUP('Watford FC'!N19,'Watford FC'!N18:N21,'Watford FC'!O18:V21)</f>
        <v>38</v>
      </c>
      <c r="E8" s="43">
        <v>8</v>
      </c>
      <c r="F8" s="44">
        <v>10</v>
      </c>
      <c r="G8" s="45">
        <v>20</v>
      </c>
      <c r="H8" s="42">
        <v>36</v>
      </c>
      <c r="I8" s="42">
        <v>64</v>
      </c>
      <c r="J8" s="42">
        <v>-28</v>
      </c>
      <c r="K8" s="42">
        <v>34</v>
      </c>
      <c r="L8" s="46">
        <f t="shared" si="0"/>
        <v>18</v>
      </c>
      <c r="M8" s="46">
        <f t="shared" si="1"/>
        <v>0.19</v>
      </c>
      <c r="N8" s="46">
        <f t="shared" si="2"/>
        <v>1.7999999999999999E-2</v>
      </c>
      <c r="O8" s="46">
        <f t="shared" si="3"/>
        <v>18.208000000000002</v>
      </c>
      <c r="P8" s="46">
        <f>COUNTIF($O$3:$O$22,"&lt;"&amp;O8)+1</f>
        <v>19</v>
      </c>
    </row>
    <row r="9" spans="2:16" ht="24.75" customHeight="1" x14ac:dyDescent="0.2">
      <c r="B9" s="10"/>
      <c r="C9" s="29" t="str">
        <v>Tottenham Hotspur FC</v>
      </c>
      <c r="D9" s="42" cm="1">
        <f t="array" ref="D9:K9">_xlfn.XLOOKUP('Tottenham Hotspur FC'!N19,'Tottenham Hotspur FC'!N18:N21,'Tottenham Hotspur FC'!O18:V21)</f>
        <v>38</v>
      </c>
      <c r="E9" s="43">
        <v>16</v>
      </c>
      <c r="F9" s="44">
        <v>11</v>
      </c>
      <c r="G9" s="45">
        <v>11</v>
      </c>
      <c r="H9" s="42">
        <v>61</v>
      </c>
      <c r="I9" s="42">
        <v>47</v>
      </c>
      <c r="J9" s="42">
        <v>14</v>
      </c>
      <c r="K9" s="42">
        <v>59</v>
      </c>
      <c r="L9" s="46">
        <f t="shared" si="0"/>
        <v>6</v>
      </c>
      <c r="M9" s="46">
        <f t="shared" si="1"/>
        <v>0.06</v>
      </c>
      <c r="N9" s="46">
        <f t="shared" si="2"/>
        <v>6.0000000000000001E-3</v>
      </c>
      <c r="O9" s="46">
        <f t="shared" si="3"/>
        <v>6.0659999999999998</v>
      </c>
      <c r="P9" s="46">
        <f t="shared" si="4"/>
        <v>6</v>
      </c>
    </row>
    <row r="10" spans="2:16" ht="24.75" customHeight="1" x14ac:dyDescent="0.2">
      <c r="B10" s="10"/>
      <c r="C10" s="29" t="str">
        <v>Leicester City FC</v>
      </c>
      <c r="D10" s="42" cm="1">
        <f t="array" ref="D10:K10">_xlfn.XLOOKUP('Leicester City FC'!N19,'Leicester City FC'!N18:N21,'Leicester City FC'!O18:V21)</f>
        <v>38</v>
      </c>
      <c r="E10" s="43">
        <v>18</v>
      </c>
      <c r="F10" s="44">
        <v>8</v>
      </c>
      <c r="G10" s="45">
        <v>12</v>
      </c>
      <c r="H10" s="42">
        <v>67</v>
      </c>
      <c r="I10" s="42">
        <v>41</v>
      </c>
      <c r="J10" s="42">
        <v>26</v>
      </c>
      <c r="K10" s="42">
        <v>62</v>
      </c>
      <c r="L10" s="46">
        <f t="shared" si="0"/>
        <v>5</v>
      </c>
      <c r="M10" s="46">
        <f t="shared" si="1"/>
        <v>0.04</v>
      </c>
      <c r="N10" s="46">
        <f t="shared" si="2"/>
        <v>4.0000000000000001E-3</v>
      </c>
      <c r="O10" s="46">
        <f t="shared" si="3"/>
        <v>5.0439999999999996</v>
      </c>
      <c r="P10" s="46">
        <f t="shared" si="4"/>
        <v>5</v>
      </c>
    </row>
    <row r="11" spans="2:16" ht="24.75" customHeight="1" x14ac:dyDescent="0.2">
      <c r="B11" s="10"/>
      <c r="C11" s="29" t="str">
        <v>Newcastle United FC</v>
      </c>
      <c r="D11" s="42" cm="1">
        <f t="array" ref="D11:K11">_xlfn.XLOOKUP('Newcastle United FC'!N19,'Newcastle United FC'!N18:N21,'Newcastle United FC'!O18:V21)</f>
        <v>38</v>
      </c>
      <c r="E11" s="43">
        <v>11</v>
      </c>
      <c r="F11" s="44">
        <v>11</v>
      </c>
      <c r="G11" s="45">
        <v>16</v>
      </c>
      <c r="H11" s="42">
        <v>38</v>
      </c>
      <c r="I11" s="42">
        <v>58</v>
      </c>
      <c r="J11" s="42">
        <v>-20</v>
      </c>
      <c r="K11" s="42">
        <v>44</v>
      </c>
      <c r="L11" s="46">
        <f t="shared" si="0"/>
        <v>13</v>
      </c>
      <c r="M11" s="46">
        <f t="shared" si="1"/>
        <v>0.16</v>
      </c>
      <c r="N11" s="46">
        <f t="shared" si="2"/>
        <v>1.7000000000000001E-2</v>
      </c>
      <c r="O11" s="46">
        <f t="shared" si="3"/>
        <v>13.177</v>
      </c>
      <c r="P11" s="46">
        <f t="shared" si="4"/>
        <v>13</v>
      </c>
    </row>
    <row r="12" spans="2:16" ht="24.75" customHeight="1" x14ac:dyDescent="0.2">
      <c r="B12" s="10"/>
      <c r="C12" s="29" t="str">
        <v>Manchester United FC</v>
      </c>
      <c r="D12" s="42" cm="1">
        <f t="array" ref="D12:K12">_xlfn.XLOOKUP('Manchester United FC'!N19,'Manchester United FC'!N18:N21,'Manchester United FC'!O18:V21)</f>
        <v>38</v>
      </c>
      <c r="E12" s="43">
        <v>18</v>
      </c>
      <c r="F12" s="44">
        <v>12</v>
      </c>
      <c r="G12" s="45">
        <v>8</v>
      </c>
      <c r="H12" s="42">
        <v>66</v>
      </c>
      <c r="I12" s="42">
        <v>36</v>
      </c>
      <c r="J12" s="42">
        <v>30</v>
      </c>
      <c r="K12" s="42">
        <v>66</v>
      </c>
      <c r="L12" s="46">
        <f t="shared" si="0"/>
        <v>3</v>
      </c>
      <c r="M12" s="46">
        <f t="shared" si="1"/>
        <v>0.03</v>
      </c>
      <c r="N12" s="46">
        <f t="shared" si="2"/>
        <v>5.0000000000000001E-3</v>
      </c>
      <c r="O12" s="46">
        <f t="shared" si="3"/>
        <v>3.0349999999999997</v>
      </c>
      <c r="P12" s="46">
        <f t="shared" si="4"/>
        <v>3</v>
      </c>
    </row>
    <row r="13" spans="2:16" ht="24.75" customHeight="1" x14ac:dyDescent="0.2">
      <c r="B13" s="10"/>
      <c r="C13" s="29" t="str">
        <v>Arsenal FC</v>
      </c>
      <c r="D13" s="42" cm="1">
        <f t="array" ref="D13:K13">_xlfn.XLOOKUP('Arsenal FC'!N19,'Arsenal FC'!N18:N21,'Arsenal FC'!O18:V21)</f>
        <v>38</v>
      </c>
      <c r="E13" s="43">
        <v>14</v>
      </c>
      <c r="F13" s="44">
        <v>14</v>
      </c>
      <c r="G13" s="45">
        <v>10</v>
      </c>
      <c r="H13" s="42">
        <v>56</v>
      </c>
      <c r="I13" s="42">
        <v>48</v>
      </c>
      <c r="J13" s="42">
        <v>8</v>
      </c>
      <c r="K13" s="42">
        <v>56</v>
      </c>
      <c r="L13" s="46">
        <f t="shared" si="0"/>
        <v>8</v>
      </c>
      <c r="M13" s="46">
        <f t="shared" si="1"/>
        <v>0.08</v>
      </c>
      <c r="N13" s="46">
        <f t="shared" si="2"/>
        <v>7.0000000000000001E-3</v>
      </c>
      <c r="O13" s="46">
        <f t="shared" si="3"/>
        <v>8.0869999999999997</v>
      </c>
      <c r="P13" s="46">
        <f t="shared" si="4"/>
        <v>8</v>
      </c>
    </row>
    <row r="14" spans="2:16" ht="24.75" customHeight="1" x14ac:dyDescent="0.2">
      <c r="B14" s="28"/>
      <c r="C14" s="29" t="str">
        <v>Everton FC</v>
      </c>
      <c r="D14" s="42" cm="1">
        <f t="array" ref="D14:K14">_xlfn.XLOOKUP('Everton FC'!N19,'Everton FC'!N18:N21,'Everton FC'!O18:V21)</f>
        <v>38</v>
      </c>
      <c r="E14" s="43">
        <v>13</v>
      </c>
      <c r="F14" s="44">
        <v>10</v>
      </c>
      <c r="G14" s="45">
        <v>15</v>
      </c>
      <c r="H14" s="42">
        <v>44</v>
      </c>
      <c r="I14" s="42">
        <v>56</v>
      </c>
      <c r="J14" s="42">
        <v>-12</v>
      </c>
      <c r="K14" s="42">
        <v>49</v>
      </c>
      <c r="L14" s="46">
        <f t="shared" si="0"/>
        <v>12</v>
      </c>
      <c r="M14" s="46">
        <f t="shared" si="1"/>
        <v>0.12</v>
      </c>
      <c r="N14" s="46">
        <f t="shared" si="2"/>
        <v>1.0999999999999999E-2</v>
      </c>
      <c r="O14" s="46">
        <f t="shared" si="3"/>
        <v>12.130999999999998</v>
      </c>
      <c r="P14" s="46">
        <f t="shared" si="4"/>
        <v>12</v>
      </c>
    </row>
    <row r="15" spans="2:16" ht="24.75" customHeight="1" x14ac:dyDescent="0.2">
      <c r="B15" s="28"/>
      <c r="C15" s="29" t="str">
        <v>Brighton &amp; Hove Albion FC</v>
      </c>
      <c r="D15" s="42" cm="1">
        <f t="array" ref="D15:K15">_xlfn.XLOOKUP('Brighton &amp; Hove Albion FC'!N19,'Brighton &amp; Hove Albion FC'!N18:N21,'Brighton &amp; Hove Albion FC'!O18:V21)</f>
        <v>38</v>
      </c>
      <c r="E15" s="43">
        <v>9</v>
      </c>
      <c r="F15" s="44">
        <v>14</v>
      </c>
      <c r="G15" s="45">
        <v>15</v>
      </c>
      <c r="H15" s="42">
        <v>39</v>
      </c>
      <c r="I15" s="42">
        <v>54</v>
      </c>
      <c r="J15" s="42">
        <v>-15</v>
      </c>
      <c r="K15" s="42">
        <v>41</v>
      </c>
      <c r="L15" s="46">
        <f t="shared" si="0"/>
        <v>15</v>
      </c>
      <c r="M15" s="46">
        <f t="shared" si="1"/>
        <v>0.14000000000000001</v>
      </c>
      <c r="N15" s="46">
        <f t="shared" si="2"/>
        <v>1.4999999999999999E-2</v>
      </c>
      <c r="O15" s="46">
        <f t="shared" si="3"/>
        <v>15.155000000000001</v>
      </c>
      <c r="P15" s="46">
        <f t="shared" si="4"/>
        <v>15</v>
      </c>
    </row>
    <row r="16" spans="2:16" ht="24.75" customHeight="1" x14ac:dyDescent="0.2">
      <c r="B16" s="28"/>
      <c r="C16" s="29" t="str">
        <v>Aston Villa FC</v>
      </c>
      <c r="D16" s="42" cm="1">
        <f t="array" ref="D16:K16">_xlfn.XLOOKUP('Aston Villa FC'!N19,'Aston Villa FC'!N18:N21,'Aston Villa FC'!O18:V21)</f>
        <v>38</v>
      </c>
      <c r="E16" s="43">
        <v>9</v>
      </c>
      <c r="F16" s="44">
        <v>8</v>
      </c>
      <c r="G16" s="45">
        <v>21</v>
      </c>
      <c r="H16" s="42">
        <v>41</v>
      </c>
      <c r="I16" s="42">
        <v>67</v>
      </c>
      <c r="J16" s="42">
        <v>-26</v>
      </c>
      <c r="K16" s="42">
        <v>35</v>
      </c>
      <c r="L16" s="46">
        <f t="shared" si="0"/>
        <v>17</v>
      </c>
      <c r="M16" s="46">
        <f t="shared" si="1"/>
        <v>0.18</v>
      </c>
      <c r="N16" s="46">
        <f t="shared" si="2"/>
        <v>1.2999999999999999E-2</v>
      </c>
      <c r="O16" s="46">
        <f t="shared" si="3"/>
        <v>17.193000000000001</v>
      </c>
      <c r="P16" s="46">
        <f t="shared" si="4"/>
        <v>17</v>
      </c>
    </row>
    <row r="17" spans="2:16" ht="24.75" customHeight="1" x14ac:dyDescent="0.2">
      <c r="B17" s="28"/>
      <c r="C17" s="29" t="str">
        <v>Norwich City FC</v>
      </c>
      <c r="D17" s="42" cm="1">
        <f t="array" ref="D17:K17">_xlfn.XLOOKUP('Norwich City FC'!N19,'Norwich City FC'!N18:N21,'Norwich City FC'!O18:V21)</f>
        <v>38</v>
      </c>
      <c r="E17" s="43">
        <v>5</v>
      </c>
      <c r="F17" s="44">
        <v>6</v>
      </c>
      <c r="G17" s="45">
        <v>27</v>
      </c>
      <c r="H17" s="42">
        <v>26</v>
      </c>
      <c r="I17" s="42">
        <v>75</v>
      </c>
      <c r="J17" s="42">
        <v>-49</v>
      </c>
      <c r="K17" s="42">
        <v>21</v>
      </c>
      <c r="L17" s="46">
        <f t="shared" si="0"/>
        <v>20</v>
      </c>
      <c r="M17" s="46">
        <f t="shared" si="1"/>
        <v>0.2</v>
      </c>
      <c r="N17" s="46">
        <f t="shared" si="2"/>
        <v>0.02</v>
      </c>
      <c r="O17" s="46">
        <f t="shared" si="3"/>
        <v>20.22</v>
      </c>
      <c r="P17" s="46">
        <f t="shared" si="4"/>
        <v>20</v>
      </c>
    </row>
    <row r="18" spans="2:16" ht="24.75" customHeight="1" x14ac:dyDescent="0.2">
      <c r="B18" s="28"/>
      <c r="C18" s="29" t="str">
        <v>Southampton FC</v>
      </c>
      <c r="D18" s="42" cm="1">
        <f t="array" ref="D18:K18">_xlfn.XLOOKUP('Southampton FC'!N19,'Southampton FC'!N18:N21,'Southampton FC'!O18:V21)</f>
        <v>38</v>
      </c>
      <c r="E18" s="43">
        <v>15</v>
      </c>
      <c r="F18" s="44">
        <v>7</v>
      </c>
      <c r="G18" s="45">
        <v>16</v>
      </c>
      <c r="H18" s="42">
        <v>51</v>
      </c>
      <c r="I18" s="42">
        <v>60</v>
      </c>
      <c r="J18" s="42">
        <v>-9</v>
      </c>
      <c r="K18" s="42">
        <v>52</v>
      </c>
      <c r="L18" s="46">
        <f t="shared" si="0"/>
        <v>11</v>
      </c>
      <c r="M18" s="46">
        <f t="shared" si="1"/>
        <v>0.11</v>
      </c>
      <c r="N18" s="46">
        <f t="shared" si="2"/>
        <v>8.0000000000000002E-3</v>
      </c>
      <c r="O18" s="46">
        <f t="shared" si="3"/>
        <v>11.117999999999999</v>
      </c>
      <c r="P18" s="46">
        <f t="shared" si="4"/>
        <v>11</v>
      </c>
    </row>
    <row r="19" spans="2:16" ht="24.75" customHeight="1" x14ac:dyDescent="0.2">
      <c r="B19" s="28"/>
      <c r="C19" s="29" t="str">
        <v>Manchester City FC</v>
      </c>
      <c r="D19" s="42" cm="1">
        <f t="array" ref="D19:K19">_xlfn.XLOOKUP('Manchester City FC'!N19,'Manchester City FC'!N18:N21,'Manchester City FC'!O18:V21)</f>
        <v>38</v>
      </c>
      <c r="E19" s="43">
        <v>26</v>
      </c>
      <c r="F19" s="44">
        <v>3</v>
      </c>
      <c r="G19" s="45">
        <v>9</v>
      </c>
      <c r="H19" s="42">
        <v>102</v>
      </c>
      <c r="I19" s="42">
        <v>35</v>
      </c>
      <c r="J19" s="42">
        <v>67</v>
      </c>
      <c r="K19" s="42">
        <v>81</v>
      </c>
      <c r="L19" s="46">
        <f t="shared" si="0"/>
        <v>2</v>
      </c>
      <c r="M19" s="46">
        <f t="shared" si="1"/>
        <v>0.01</v>
      </c>
      <c r="N19" s="46">
        <f t="shared" si="2"/>
        <v>1E-3</v>
      </c>
      <c r="O19" s="46">
        <f t="shared" si="3"/>
        <v>2.0109999999999997</v>
      </c>
      <c r="P19" s="46">
        <f t="shared" si="4"/>
        <v>2</v>
      </c>
    </row>
    <row r="20" spans="2:16" ht="24.75" customHeight="1" x14ac:dyDescent="0.2">
      <c r="B20" s="28"/>
      <c r="C20" s="29" t="str">
        <v>Sheffield United FC</v>
      </c>
      <c r="D20" s="42" cm="1">
        <f t="array" ref="D20:K20">_xlfn.XLOOKUP('Sheffield United FC'!N19,'Sheffield United FC'!N18:N21,'Sheffield United FC'!O18:V21)</f>
        <v>38</v>
      </c>
      <c r="E20" s="43">
        <v>14</v>
      </c>
      <c r="F20" s="44">
        <v>12</v>
      </c>
      <c r="G20" s="45">
        <v>12</v>
      </c>
      <c r="H20" s="42">
        <v>39</v>
      </c>
      <c r="I20" s="42">
        <v>39</v>
      </c>
      <c r="J20" s="42">
        <v>0</v>
      </c>
      <c r="K20" s="42">
        <v>54</v>
      </c>
      <c r="L20" s="46">
        <f t="shared" si="0"/>
        <v>9</v>
      </c>
      <c r="M20" s="46">
        <f t="shared" si="1"/>
        <v>0.09</v>
      </c>
      <c r="N20" s="46">
        <f t="shared" si="2"/>
        <v>1.4999999999999999E-2</v>
      </c>
      <c r="O20" s="46">
        <f t="shared" si="3"/>
        <v>9.1050000000000004</v>
      </c>
      <c r="P20" s="46">
        <f t="shared" si="4"/>
        <v>9</v>
      </c>
    </row>
    <row r="21" spans="2:16" ht="24.75" customHeight="1" x14ac:dyDescent="0.2">
      <c r="B21" s="10"/>
      <c r="C21" s="29" t="str">
        <v>Chelsea FC</v>
      </c>
      <c r="D21" s="42" cm="1">
        <f t="array" ref="D21:K21">_xlfn.XLOOKUP('Chelsea FC'!N19,'Chelsea FC'!N18:N21,'Chelsea FC'!O18:V21)</f>
        <v>38</v>
      </c>
      <c r="E21" s="43">
        <v>20</v>
      </c>
      <c r="F21" s="44">
        <v>6</v>
      </c>
      <c r="G21" s="45">
        <v>12</v>
      </c>
      <c r="H21" s="42">
        <v>69</v>
      </c>
      <c r="I21" s="42">
        <v>54</v>
      </c>
      <c r="J21" s="42">
        <v>15</v>
      </c>
      <c r="K21" s="42">
        <v>66</v>
      </c>
      <c r="L21" s="46">
        <f t="shared" si="0"/>
        <v>3</v>
      </c>
      <c r="M21" s="46">
        <f t="shared" si="1"/>
        <v>0.05</v>
      </c>
      <c r="N21" s="46">
        <f t="shared" si="2"/>
        <v>3.0000000000000001E-3</v>
      </c>
      <c r="O21" s="46">
        <f t="shared" si="3"/>
        <v>3.0529999999999999</v>
      </c>
      <c r="P21" s="46">
        <f t="shared" si="4"/>
        <v>4</v>
      </c>
    </row>
    <row r="22" spans="2:16" ht="24.75" customHeight="1" x14ac:dyDescent="0.2">
      <c r="B22" s="10"/>
      <c r="C22" s="29" t="str">
        <v>Wolverhampton Wanderers FC</v>
      </c>
      <c r="D22" s="42" cm="1">
        <f t="array" ref="D22:K22">_xlfn.XLOOKUP('Wolverhampton Wanderers FC'!N19,'Wolverhampton Wanderers FC'!N18:N21,'Wolverhampton Wanderers FC'!O18:V21)</f>
        <v>38</v>
      </c>
      <c r="E22" s="43">
        <v>15</v>
      </c>
      <c r="F22" s="44">
        <v>14</v>
      </c>
      <c r="G22" s="45">
        <v>9</v>
      </c>
      <c r="H22" s="42">
        <v>51</v>
      </c>
      <c r="I22" s="42">
        <v>40</v>
      </c>
      <c r="J22" s="42">
        <v>11</v>
      </c>
      <c r="K22" s="42">
        <v>59</v>
      </c>
      <c r="L22" s="46">
        <f t="shared" si="0"/>
        <v>6</v>
      </c>
      <c r="M22" s="46">
        <f t="shared" si="1"/>
        <v>7.0000000000000007E-2</v>
      </c>
      <c r="N22" s="46">
        <f t="shared" si="2"/>
        <v>8.0000000000000002E-3</v>
      </c>
      <c r="O22" s="46">
        <f t="shared" si="3"/>
        <v>6.0780000000000003</v>
      </c>
      <c r="P22" s="46">
        <f t="shared" si="4"/>
        <v>7</v>
      </c>
    </row>
    <row r="24" spans="2:16" x14ac:dyDescent="0.2">
      <c r="G24" s="16"/>
      <c r="H24" s="16"/>
      <c r="I24" s="16"/>
      <c r="J24" s="16"/>
    </row>
    <row r="25" spans="2:16" x14ac:dyDescent="0.2">
      <c r="G25" s="16"/>
      <c r="H25" s="16"/>
      <c r="I25" s="16"/>
      <c r="J25" s="16"/>
    </row>
    <row r="26" spans="2:16" ht="16" x14ac:dyDescent="0.2">
      <c r="G26" s="18"/>
      <c r="H26" s="17"/>
      <c r="I26" s="16"/>
      <c r="J26" s="16"/>
    </row>
    <row r="27" spans="2:16" ht="16" x14ac:dyDescent="0.2">
      <c r="G27" s="16"/>
      <c r="H27" s="17"/>
      <c r="I27" s="16"/>
      <c r="J27" s="16"/>
    </row>
  </sheetData>
  <mergeCells count="1">
    <mergeCell ref="B1:P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32D4-EA51-425B-946E-183FBCFD9E0E}">
  <sheetPr codeName="Sheet4"/>
  <dimension ref="B1:P22"/>
  <sheetViews>
    <sheetView zoomScale="60" zoomScaleNormal="60" workbookViewId="0"/>
  </sheetViews>
  <sheetFormatPr baseColWidth="10" defaultColWidth="8.83203125" defaultRowHeight="15" x14ac:dyDescent="0.2"/>
  <cols>
    <col min="1" max="1" width="8.6640625" customWidth="1"/>
    <col min="2" max="2" width="31.83203125" bestFit="1" customWidth="1"/>
    <col min="3" max="15" width="10.6640625" customWidth="1"/>
    <col min="16" max="16" width="47.5" bestFit="1" customWidth="1"/>
    <col min="17" max="22" width="10.6640625" customWidth="1"/>
  </cols>
  <sheetData>
    <row r="1" spans="2:16" ht="53" customHeight="1" x14ac:dyDescent="0.2"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</row>
    <row r="2" spans="2:16" ht="20.25" customHeight="1" x14ac:dyDescent="0.25">
      <c r="B2" s="19" t="s">
        <v>48</v>
      </c>
      <c r="C2" s="19" t="s">
        <v>12</v>
      </c>
      <c r="D2" s="19" t="s">
        <v>13</v>
      </c>
      <c r="E2" s="19" t="s">
        <v>14</v>
      </c>
      <c r="F2" s="19" t="s">
        <v>15</v>
      </c>
      <c r="G2" s="19" t="s">
        <v>16</v>
      </c>
      <c r="H2" s="19" t="s">
        <v>17</v>
      </c>
      <c r="I2" s="19" t="s">
        <v>18</v>
      </c>
      <c r="J2" s="19" t="s">
        <v>61</v>
      </c>
      <c r="K2" s="19" t="s">
        <v>62</v>
      </c>
      <c r="L2" s="19" t="s">
        <v>63</v>
      </c>
      <c r="M2" s="19" t="s">
        <v>64</v>
      </c>
      <c r="N2" s="19" t="s">
        <v>65</v>
      </c>
      <c r="O2" s="19" t="s">
        <v>66</v>
      </c>
      <c r="P2" s="47" t="s">
        <v>67</v>
      </c>
    </row>
    <row r="3" spans="2:16" ht="20.25" customHeight="1" x14ac:dyDescent="0.2">
      <c r="B3" s="30" t="str" cm="1">
        <f t="array" ref="B3:O22">_xlfn._xlws.SORT('League Table Unsort'!$C$3:$P$22,14,1,FALSE)</f>
        <v>Liverpool FC</v>
      </c>
      <c r="C3" s="37">
        <v>38</v>
      </c>
      <c r="D3" s="37">
        <v>32</v>
      </c>
      <c r="E3" s="37">
        <v>3</v>
      </c>
      <c r="F3" s="37">
        <v>3</v>
      </c>
      <c r="G3" s="37">
        <v>85</v>
      </c>
      <c r="H3" s="37">
        <v>33</v>
      </c>
      <c r="I3" s="37">
        <v>52</v>
      </c>
      <c r="J3" s="37">
        <v>99</v>
      </c>
      <c r="K3" s="37">
        <v>1</v>
      </c>
      <c r="L3" s="37">
        <v>0.02</v>
      </c>
      <c r="M3" s="37">
        <v>2E-3</v>
      </c>
      <c r="N3" s="37">
        <v>1.022</v>
      </c>
      <c r="O3" s="37">
        <v>1</v>
      </c>
      <c r="P3" s="112" t="s">
        <v>68</v>
      </c>
    </row>
    <row r="4" spans="2:16" ht="20.25" customHeight="1" x14ac:dyDescent="0.2">
      <c r="B4" s="31" t="str">
        <v>Manchester City FC</v>
      </c>
      <c r="C4" s="38">
        <v>38</v>
      </c>
      <c r="D4" s="38">
        <v>26</v>
      </c>
      <c r="E4" s="38">
        <v>3</v>
      </c>
      <c r="F4" s="38">
        <v>9</v>
      </c>
      <c r="G4" s="38">
        <v>102</v>
      </c>
      <c r="H4" s="38">
        <v>35</v>
      </c>
      <c r="I4" s="38">
        <v>67</v>
      </c>
      <c r="J4" s="38">
        <v>81</v>
      </c>
      <c r="K4" s="38">
        <v>2</v>
      </c>
      <c r="L4" s="38">
        <v>0.01</v>
      </c>
      <c r="M4" s="38">
        <v>1E-3</v>
      </c>
      <c r="N4" s="38">
        <v>2.0109999999999997</v>
      </c>
      <c r="O4" s="38">
        <v>2</v>
      </c>
      <c r="P4" s="112"/>
    </row>
    <row r="5" spans="2:16" ht="20.25" customHeight="1" x14ac:dyDescent="0.2">
      <c r="B5" s="31" t="str">
        <v>Manchester United FC</v>
      </c>
      <c r="C5" s="38">
        <v>38</v>
      </c>
      <c r="D5" s="38">
        <v>18</v>
      </c>
      <c r="E5" s="38">
        <v>12</v>
      </c>
      <c r="F5" s="38">
        <v>8</v>
      </c>
      <c r="G5" s="38">
        <v>66</v>
      </c>
      <c r="H5" s="38">
        <v>36</v>
      </c>
      <c r="I5" s="38">
        <v>30</v>
      </c>
      <c r="J5" s="38">
        <v>66</v>
      </c>
      <c r="K5" s="38">
        <v>3</v>
      </c>
      <c r="L5" s="38">
        <v>0.03</v>
      </c>
      <c r="M5" s="38">
        <v>5.0000000000000001E-3</v>
      </c>
      <c r="N5" s="38">
        <v>3.0349999999999997</v>
      </c>
      <c r="O5" s="38">
        <v>3</v>
      </c>
      <c r="P5" s="112"/>
    </row>
    <row r="6" spans="2:16" ht="20.25" customHeight="1" x14ac:dyDescent="0.2">
      <c r="B6" s="31" t="str">
        <v>Chelsea FC</v>
      </c>
      <c r="C6" s="38">
        <v>38</v>
      </c>
      <c r="D6" s="38">
        <v>20</v>
      </c>
      <c r="E6" s="38">
        <v>6</v>
      </c>
      <c r="F6" s="38">
        <v>12</v>
      </c>
      <c r="G6" s="38">
        <v>69</v>
      </c>
      <c r="H6" s="38">
        <v>54</v>
      </c>
      <c r="I6" s="38">
        <v>15</v>
      </c>
      <c r="J6" s="38">
        <v>66</v>
      </c>
      <c r="K6" s="38">
        <v>3</v>
      </c>
      <c r="L6" s="38">
        <v>0.05</v>
      </c>
      <c r="M6" s="38">
        <v>3.0000000000000001E-3</v>
      </c>
      <c r="N6" s="38">
        <v>3.0529999999999999</v>
      </c>
      <c r="O6" s="38">
        <v>4</v>
      </c>
      <c r="P6" s="112"/>
    </row>
    <row r="7" spans="2:16" ht="20.25" customHeight="1" x14ac:dyDescent="0.2">
      <c r="B7" s="32" t="str">
        <v>Leicester City FC</v>
      </c>
      <c r="C7" s="39">
        <v>38</v>
      </c>
      <c r="D7" s="39">
        <v>18</v>
      </c>
      <c r="E7" s="39">
        <v>8</v>
      </c>
      <c r="F7" s="39">
        <v>12</v>
      </c>
      <c r="G7" s="39">
        <v>67</v>
      </c>
      <c r="H7" s="39">
        <v>41</v>
      </c>
      <c r="I7" s="39">
        <v>26</v>
      </c>
      <c r="J7" s="39">
        <v>62</v>
      </c>
      <c r="K7" s="39">
        <v>5</v>
      </c>
      <c r="L7" s="39">
        <v>0.04</v>
      </c>
      <c r="M7" s="39">
        <v>4.0000000000000001E-3</v>
      </c>
      <c r="N7" s="39">
        <v>5.0439999999999996</v>
      </c>
      <c r="O7" s="39">
        <v>5</v>
      </c>
      <c r="P7" s="35" t="s">
        <v>69</v>
      </c>
    </row>
    <row r="8" spans="2:16" ht="20.25" customHeight="1" x14ac:dyDescent="0.2">
      <c r="B8" s="33" t="str">
        <v>Tottenham Hotspur FC</v>
      </c>
      <c r="C8" s="40">
        <v>38</v>
      </c>
      <c r="D8" s="40">
        <v>16</v>
      </c>
      <c r="E8" s="40">
        <v>11</v>
      </c>
      <c r="F8" s="40">
        <v>11</v>
      </c>
      <c r="G8" s="40">
        <v>61</v>
      </c>
      <c r="H8" s="40">
        <v>47</v>
      </c>
      <c r="I8" s="40">
        <v>14</v>
      </c>
      <c r="J8" s="40">
        <v>59</v>
      </c>
      <c r="K8" s="40">
        <v>6</v>
      </c>
      <c r="L8" s="40">
        <v>0.06</v>
      </c>
      <c r="M8" s="40">
        <v>6.0000000000000001E-3</v>
      </c>
      <c r="N8" s="40">
        <v>6.0659999999999998</v>
      </c>
      <c r="O8" s="40">
        <v>6</v>
      </c>
      <c r="P8" s="33"/>
    </row>
    <row r="9" spans="2:16" ht="20.25" customHeight="1" x14ac:dyDescent="0.2">
      <c r="B9" s="33" t="str">
        <v>Wolverhampton Wanderers FC</v>
      </c>
      <c r="C9" s="40">
        <v>38</v>
      </c>
      <c r="D9" s="40">
        <v>15</v>
      </c>
      <c r="E9" s="40">
        <v>14</v>
      </c>
      <c r="F9" s="40">
        <v>9</v>
      </c>
      <c r="G9" s="40">
        <v>51</v>
      </c>
      <c r="H9" s="40">
        <v>40</v>
      </c>
      <c r="I9" s="40">
        <v>11</v>
      </c>
      <c r="J9" s="40">
        <v>59</v>
      </c>
      <c r="K9" s="40">
        <v>6</v>
      </c>
      <c r="L9" s="40">
        <v>7.0000000000000007E-2</v>
      </c>
      <c r="M9" s="40">
        <v>8.0000000000000002E-3</v>
      </c>
      <c r="N9" s="40">
        <v>6.0780000000000003</v>
      </c>
      <c r="O9" s="40">
        <v>7</v>
      </c>
      <c r="P9" s="33"/>
    </row>
    <row r="10" spans="2:16" ht="20.25" customHeight="1" x14ac:dyDescent="0.2">
      <c r="B10" s="33" t="str">
        <v>Arsenal FC</v>
      </c>
      <c r="C10" s="40">
        <v>38</v>
      </c>
      <c r="D10" s="40">
        <v>14</v>
      </c>
      <c r="E10" s="40">
        <v>14</v>
      </c>
      <c r="F10" s="40">
        <v>10</v>
      </c>
      <c r="G10" s="40">
        <v>56</v>
      </c>
      <c r="H10" s="40">
        <v>48</v>
      </c>
      <c r="I10" s="40">
        <v>8</v>
      </c>
      <c r="J10" s="40">
        <v>56</v>
      </c>
      <c r="K10" s="40">
        <v>8</v>
      </c>
      <c r="L10" s="40">
        <v>0.08</v>
      </c>
      <c r="M10" s="40">
        <v>7.0000000000000001E-3</v>
      </c>
      <c r="N10" s="40">
        <v>8.0869999999999997</v>
      </c>
      <c r="O10" s="40">
        <v>8</v>
      </c>
      <c r="P10" s="33"/>
    </row>
    <row r="11" spans="2:16" ht="20.25" customHeight="1" x14ac:dyDescent="0.2">
      <c r="B11" s="33" t="str">
        <v>Sheffield United FC</v>
      </c>
      <c r="C11" s="40">
        <v>38</v>
      </c>
      <c r="D11" s="40">
        <v>14</v>
      </c>
      <c r="E11" s="40">
        <v>12</v>
      </c>
      <c r="F11" s="40">
        <v>12</v>
      </c>
      <c r="G11" s="40">
        <v>39</v>
      </c>
      <c r="H11" s="40">
        <v>39</v>
      </c>
      <c r="I11" s="40">
        <v>0</v>
      </c>
      <c r="J11" s="40">
        <v>54</v>
      </c>
      <c r="K11" s="40">
        <v>9</v>
      </c>
      <c r="L11" s="40">
        <v>0.09</v>
      </c>
      <c r="M11" s="40">
        <v>1.4999999999999999E-2</v>
      </c>
      <c r="N11" s="40">
        <v>9.1050000000000004</v>
      </c>
      <c r="O11" s="40">
        <v>9</v>
      </c>
      <c r="P11" s="33"/>
    </row>
    <row r="12" spans="2:16" ht="20.25" customHeight="1" x14ac:dyDescent="0.2">
      <c r="B12" s="33" t="str">
        <v>Burnley FC</v>
      </c>
      <c r="C12" s="40">
        <v>38</v>
      </c>
      <c r="D12" s="40">
        <v>15</v>
      </c>
      <c r="E12" s="40">
        <v>9</v>
      </c>
      <c r="F12" s="40">
        <v>14</v>
      </c>
      <c r="G12" s="40">
        <v>43</v>
      </c>
      <c r="H12" s="40">
        <v>50</v>
      </c>
      <c r="I12" s="40">
        <v>-7</v>
      </c>
      <c r="J12" s="40">
        <v>54</v>
      </c>
      <c r="K12" s="40">
        <v>9</v>
      </c>
      <c r="L12" s="40">
        <v>0.1</v>
      </c>
      <c r="M12" s="40">
        <v>1.2E-2</v>
      </c>
      <c r="N12" s="40">
        <v>9.1120000000000001</v>
      </c>
      <c r="O12" s="40">
        <v>10</v>
      </c>
      <c r="P12" s="36"/>
    </row>
    <row r="13" spans="2:16" ht="20.25" customHeight="1" x14ac:dyDescent="0.2">
      <c r="B13" s="33" t="str">
        <v>Southampton FC</v>
      </c>
      <c r="C13" s="40">
        <v>38</v>
      </c>
      <c r="D13" s="40">
        <v>15</v>
      </c>
      <c r="E13" s="40">
        <v>7</v>
      </c>
      <c r="F13" s="40">
        <v>16</v>
      </c>
      <c r="G13" s="40">
        <v>51</v>
      </c>
      <c r="H13" s="40">
        <v>60</v>
      </c>
      <c r="I13" s="40">
        <v>-9</v>
      </c>
      <c r="J13" s="40">
        <v>52</v>
      </c>
      <c r="K13" s="40">
        <v>11</v>
      </c>
      <c r="L13" s="40">
        <v>0.11</v>
      </c>
      <c r="M13" s="40">
        <v>8.0000000000000002E-3</v>
      </c>
      <c r="N13" s="40">
        <v>11.117999999999999</v>
      </c>
      <c r="O13" s="40">
        <v>11</v>
      </c>
      <c r="P13" s="33"/>
    </row>
    <row r="14" spans="2:16" ht="20.25" customHeight="1" x14ac:dyDescent="0.2">
      <c r="B14" s="33" t="str">
        <v>Everton FC</v>
      </c>
      <c r="C14" s="40">
        <v>38</v>
      </c>
      <c r="D14" s="40">
        <v>13</v>
      </c>
      <c r="E14" s="40">
        <v>10</v>
      </c>
      <c r="F14" s="40">
        <v>15</v>
      </c>
      <c r="G14" s="40">
        <v>44</v>
      </c>
      <c r="H14" s="40">
        <v>56</v>
      </c>
      <c r="I14" s="40">
        <v>-12</v>
      </c>
      <c r="J14" s="40">
        <v>49</v>
      </c>
      <c r="K14" s="40">
        <v>12</v>
      </c>
      <c r="L14" s="40">
        <v>0.12</v>
      </c>
      <c r="M14" s="40">
        <v>1.0999999999999999E-2</v>
      </c>
      <c r="N14" s="40">
        <v>12.130999999999998</v>
      </c>
      <c r="O14" s="40">
        <v>12</v>
      </c>
      <c r="P14" s="33"/>
    </row>
    <row r="15" spans="2:16" ht="20.25" customHeight="1" x14ac:dyDescent="0.2">
      <c r="B15" s="33" t="str">
        <v>Newcastle United FC</v>
      </c>
      <c r="C15" s="40">
        <v>38</v>
      </c>
      <c r="D15" s="40">
        <v>11</v>
      </c>
      <c r="E15" s="40">
        <v>11</v>
      </c>
      <c r="F15" s="40">
        <v>16</v>
      </c>
      <c r="G15" s="40">
        <v>38</v>
      </c>
      <c r="H15" s="40">
        <v>58</v>
      </c>
      <c r="I15" s="40">
        <v>-20</v>
      </c>
      <c r="J15" s="40">
        <v>44</v>
      </c>
      <c r="K15" s="40">
        <v>13</v>
      </c>
      <c r="L15" s="40">
        <v>0.16</v>
      </c>
      <c r="M15" s="40">
        <v>1.7000000000000001E-2</v>
      </c>
      <c r="N15" s="40">
        <v>13.177</v>
      </c>
      <c r="O15" s="40">
        <v>13</v>
      </c>
      <c r="P15" s="33"/>
    </row>
    <row r="16" spans="2:16" ht="20.25" customHeight="1" x14ac:dyDescent="0.2">
      <c r="B16" s="33" t="str">
        <v>Crystal Palace FC</v>
      </c>
      <c r="C16" s="40">
        <v>38</v>
      </c>
      <c r="D16" s="40">
        <v>11</v>
      </c>
      <c r="E16" s="40">
        <v>10</v>
      </c>
      <c r="F16" s="40">
        <v>17</v>
      </c>
      <c r="G16" s="40">
        <v>31</v>
      </c>
      <c r="H16" s="40">
        <v>50</v>
      </c>
      <c r="I16" s="40">
        <v>-19</v>
      </c>
      <c r="J16" s="40">
        <v>43</v>
      </c>
      <c r="K16" s="40">
        <v>14</v>
      </c>
      <c r="L16" s="40">
        <v>0.15</v>
      </c>
      <c r="M16" s="40">
        <v>1.9E-2</v>
      </c>
      <c r="N16" s="40">
        <v>14.169</v>
      </c>
      <c r="O16" s="40">
        <v>14</v>
      </c>
      <c r="P16" s="33"/>
    </row>
    <row r="17" spans="2:16" ht="20.25" customHeight="1" x14ac:dyDescent="0.2">
      <c r="B17" s="33" t="str">
        <v>Brighton &amp; Hove Albion FC</v>
      </c>
      <c r="C17" s="40">
        <v>38</v>
      </c>
      <c r="D17" s="40">
        <v>9</v>
      </c>
      <c r="E17" s="40">
        <v>14</v>
      </c>
      <c r="F17" s="40">
        <v>15</v>
      </c>
      <c r="G17" s="40">
        <v>39</v>
      </c>
      <c r="H17" s="40">
        <v>54</v>
      </c>
      <c r="I17" s="40">
        <v>-15</v>
      </c>
      <c r="J17" s="40">
        <v>41</v>
      </c>
      <c r="K17" s="40">
        <v>15</v>
      </c>
      <c r="L17" s="40">
        <v>0.14000000000000001</v>
      </c>
      <c r="M17" s="40">
        <v>1.4999999999999999E-2</v>
      </c>
      <c r="N17" s="40">
        <v>15.155000000000001</v>
      </c>
      <c r="O17" s="40">
        <v>15</v>
      </c>
      <c r="P17" s="33"/>
    </row>
    <row r="18" spans="2:16" ht="20.25" customHeight="1" x14ac:dyDescent="0.2">
      <c r="B18" s="33" t="str">
        <v>West Ham United FC</v>
      </c>
      <c r="C18" s="40">
        <v>38</v>
      </c>
      <c r="D18" s="40">
        <v>10</v>
      </c>
      <c r="E18" s="40">
        <v>9</v>
      </c>
      <c r="F18" s="40">
        <v>19</v>
      </c>
      <c r="G18" s="40">
        <v>49</v>
      </c>
      <c r="H18" s="40">
        <v>62</v>
      </c>
      <c r="I18" s="40">
        <v>-13</v>
      </c>
      <c r="J18" s="40">
        <v>39</v>
      </c>
      <c r="K18" s="40">
        <v>16</v>
      </c>
      <c r="L18" s="40">
        <v>0.13</v>
      </c>
      <c r="M18" s="40">
        <v>0.01</v>
      </c>
      <c r="N18" s="40">
        <v>16.14</v>
      </c>
      <c r="O18" s="40">
        <v>16</v>
      </c>
      <c r="P18" s="33"/>
    </row>
    <row r="19" spans="2:16" ht="20.25" customHeight="1" x14ac:dyDescent="0.2">
      <c r="B19" s="33" t="str">
        <v>Aston Villa FC</v>
      </c>
      <c r="C19" s="40">
        <v>38</v>
      </c>
      <c r="D19" s="40">
        <v>9</v>
      </c>
      <c r="E19" s="40">
        <v>8</v>
      </c>
      <c r="F19" s="40">
        <v>21</v>
      </c>
      <c r="G19" s="40">
        <v>41</v>
      </c>
      <c r="H19" s="40">
        <v>67</v>
      </c>
      <c r="I19" s="40">
        <v>-26</v>
      </c>
      <c r="J19" s="40">
        <v>35</v>
      </c>
      <c r="K19" s="40">
        <v>17</v>
      </c>
      <c r="L19" s="40">
        <v>0.18</v>
      </c>
      <c r="M19" s="40">
        <v>1.2999999999999999E-2</v>
      </c>
      <c r="N19" s="40">
        <v>17.193000000000001</v>
      </c>
      <c r="O19" s="40">
        <v>17</v>
      </c>
      <c r="P19" s="33"/>
    </row>
    <row r="20" spans="2:16" ht="20.25" customHeight="1" x14ac:dyDescent="0.2">
      <c r="B20" s="34" t="str">
        <v>AFC Bournemouth</v>
      </c>
      <c r="C20" s="41">
        <v>38</v>
      </c>
      <c r="D20" s="41">
        <v>9</v>
      </c>
      <c r="E20" s="41">
        <v>7</v>
      </c>
      <c r="F20" s="41">
        <v>22</v>
      </c>
      <c r="G20" s="41">
        <v>40</v>
      </c>
      <c r="H20" s="41">
        <v>65</v>
      </c>
      <c r="I20" s="41">
        <v>-25</v>
      </c>
      <c r="J20" s="41">
        <v>34</v>
      </c>
      <c r="K20" s="41">
        <v>18</v>
      </c>
      <c r="L20" s="41">
        <v>0.17</v>
      </c>
      <c r="M20" s="41">
        <v>1.4E-2</v>
      </c>
      <c r="N20" s="41">
        <v>18.184000000000001</v>
      </c>
      <c r="O20" s="41">
        <v>18</v>
      </c>
      <c r="P20" s="113" t="s">
        <v>70</v>
      </c>
    </row>
    <row r="21" spans="2:16" ht="20.25" customHeight="1" x14ac:dyDescent="0.2">
      <c r="B21" s="34" t="str">
        <v>Watford FC</v>
      </c>
      <c r="C21" s="41">
        <v>38</v>
      </c>
      <c r="D21" s="41">
        <v>8</v>
      </c>
      <c r="E21" s="41">
        <v>10</v>
      </c>
      <c r="F21" s="41">
        <v>20</v>
      </c>
      <c r="G21" s="41">
        <v>36</v>
      </c>
      <c r="H21" s="41">
        <v>64</v>
      </c>
      <c r="I21" s="41">
        <v>-28</v>
      </c>
      <c r="J21" s="41">
        <v>34</v>
      </c>
      <c r="K21" s="41">
        <v>18</v>
      </c>
      <c r="L21" s="41">
        <v>0.19</v>
      </c>
      <c r="M21" s="41">
        <v>1.7999999999999999E-2</v>
      </c>
      <c r="N21" s="41">
        <v>18.208000000000002</v>
      </c>
      <c r="O21" s="41">
        <v>19</v>
      </c>
      <c r="P21" s="113"/>
    </row>
    <row r="22" spans="2:16" ht="20.25" customHeight="1" x14ac:dyDescent="0.2">
      <c r="B22" s="34" t="str">
        <v>Norwich City FC</v>
      </c>
      <c r="C22" s="41">
        <v>38</v>
      </c>
      <c r="D22" s="41">
        <v>5</v>
      </c>
      <c r="E22" s="41">
        <v>6</v>
      </c>
      <c r="F22" s="41">
        <v>27</v>
      </c>
      <c r="G22" s="41">
        <v>26</v>
      </c>
      <c r="H22" s="41">
        <v>75</v>
      </c>
      <c r="I22" s="41">
        <v>-49</v>
      </c>
      <c r="J22" s="41">
        <v>21</v>
      </c>
      <c r="K22" s="41">
        <v>20</v>
      </c>
      <c r="L22" s="41">
        <v>0.2</v>
      </c>
      <c r="M22" s="41">
        <v>0.02</v>
      </c>
      <c r="N22" s="41">
        <v>20.22</v>
      </c>
      <c r="O22" s="41">
        <v>20</v>
      </c>
      <c r="P22" s="113"/>
    </row>
  </sheetData>
  <mergeCells count="3">
    <mergeCell ref="P3:P6"/>
    <mergeCell ref="P20:P22"/>
    <mergeCell ref="B1:P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EBC5B-4A8B-43D1-99EF-94AC916E56A4}">
  <sheetPr codeName="Sheet5"/>
  <dimension ref="A1:V381"/>
  <sheetViews>
    <sheetView tabSelected="1" zoomScale="60" zoomScaleNormal="60" workbookViewId="0">
      <selection activeCell="O4" sqref="O4"/>
    </sheetView>
  </sheetViews>
  <sheetFormatPr baseColWidth="10" defaultColWidth="8.83203125" defaultRowHeight="15" x14ac:dyDescent="0.2"/>
  <cols>
    <col min="2" max="2" width="11.5" bestFit="1" customWidth="1"/>
    <col min="3" max="3" width="27" bestFit="1" customWidth="1"/>
    <col min="4" max="4" width="13.1640625" bestFit="1" customWidth="1"/>
    <col min="5" max="5" width="27" bestFit="1" customWidth="1"/>
    <col min="6" max="6" width="12.5" bestFit="1" customWidth="1"/>
    <col min="9" max="9" width="9.83203125" customWidth="1"/>
    <col min="10" max="10" width="9.1640625" customWidth="1"/>
    <col min="11" max="11" width="12.6640625" customWidth="1"/>
    <col min="12" max="12" width="11.1640625" customWidth="1"/>
    <col min="14" max="14" width="15.83203125" bestFit="1" customWidth="1"/>
    <col min="15" max="22" width="10.6640625" customWidth="1"/>
  </cols>
  <sheetData>
    <row r="1" spans="1:20" ht="32" x14ac:dyDescent="0.2">
      <c r="A1" s="67" t="s">
        <v>0</v>
      </c>
      <c r="B1" s="68" t="s">
        <v>1</v>
      </c>
      <c r="C1" s="68" t="s">
        <v>2</v>
      </c>
      <c r="D1" s="68" t="s">
        <v>3</v>
      </c>
      <c r="E1" s="68" t="s">
        <v>4</v>
      </c>
      <c r="F1" s="69" t="s">
        <v>5</v>
      </c>
      <c r="G1" s="70" t="s">
        <v>71</v>
      </c>
      <c r="H1" s="70" t="s">
        <v>19</v>
      </c>
      <c r="I1" s="81" t="s">
        <v>72</v>
      </c>
      <c r="J1" s="81" t="s">
        <v>53</v>
      </c>
      <c r="K1" s="81" t="s">
        <v>55</v>
      </c>
      <c r="L1" s="81" t="s">
        <v>73</v>
      </c>
      <c r="Q1" s="58" t="s">
        <v>74</v>
      </c>
      <c r="R1" t="s">
        <v>75</v>
      </c>
      <c r="S1" t="s">
        <v>76</v>
      </c>
      <c r="T1" s="63" t="s">
        <v>77</v>
      </c>
    </row>
    <row r="2" spans="1:20" x14ac:dyDescent="0.2">
      <c r="A2" cm="1">
        <f t="array" ref="A2:F39">_xlfn._xlws.FILTER(eng_1[],(eng_1[Home]=eng_1[[#This Row],[Home]])+(eng_1[Away]='England 1'!E17))</f>
        <v>1</v>
      </c>
      <c r="B2" s="1">
        <v>43686</v>
      </c>
      <c r="C2" t="str">
        <v>Liverpool FC</v>
      </c>
      <c r="D2">
        <v>4</v>
      </c>
      <c r="E2" t="str">
        <v>Norwich City FC</v>
      </c>
      <c r="F2">
        <v>1</v>
      </c>
      <c r="H2" s="59" cm="1">
        <f t="array" ref="H2">_xlfn.IFS(AND(C2=$N$18,D2&gt;F2),3,AND(E2=$N$18,F2&gt;D2),3,AND(C2=$N$18,D2=F2),1,AND(E2=$N$18,D2=F2),1,AND(C2=$N$18,D2&lt;F2),0,AND(E2=$N$18,F2&lt;D2),0)</f>
        <v>3</v>
      </c>
      <c r="I2" cm="1">
        <f t="array" ref="I2">_xlfn.IFS(H2=3,1,H2=1,0,H2=0,0)</f>
        <v>1</v>
      </c>
      <c r="J2" s="59" cm="1">
        <f t="array" ref="J2">_xlfn.IFS(H2=0,1,H2=1,0,H2=3,0)</f>
        <v>0</v>
      </c>
      <c r="K2" cm="1">
        <f t="array" ref="K2">_xlfn.IFS(H2=3,1,H2=1,1,H2=0,0)</f>
        <v>1</v>
      </c>
      <c r="L2" cm="1">
        <f t="array" ref="L2">_xlfn.IFS(H2=0,1,H2=1,1,H2=3,0)</f>
        <v>0</v>
      </c>
      <c r="Q2" s="56" t="s">
        <v>78</v>
      </c>
      <c r="R2">
        <v>19</v>
      </c>
      <c r="S2">
        <v>55</v>
      </c>
      <c r="T2" s="60">
        <v>2.8947368421052633</v>
      </c>
    </row>
    <row r="3" spans="1:20" x14ac:dyDescent="0.2">
      <c r="A3">
        <v>2</v>
      </c>
      <c r="B3" s="1">
        <v>43694</v>
      </c>
      <c r="C3" t="str">
        <v>Southampton FC</v>
      </c>
      <c r="D3">
        <v>1</v>
      </c>
      <c r="E3" t="str">
        <v>Liverpool FC</v>
      </c>
      <c r="F3">
        <v>2</v>
      </c>
      <c r="H3" s="59" cm="1">
        <f t="array" ref="H3">_xlfn.IFS(AND(C3=$N$18,D3&gt;F3),3,AND(E3=$N$18,F3&gt;D3),3,AND(C3=$N$18,D3=F3),1,AND(E3=$N$18,D3=F3),1,AND(C3=$N$18,D3&lt;F3),0,AND(E3=$N$18,F3&lt;D3),0)</f>
        <v>3</v>
      </c>
      <c r="I3">
        <f t="shared" ref="I3:I39" si="0">IF(H3=3,1+I2,0)</f>
        <v>2</v>
      </c>
      <c r="J3" s="59">
        <f t="shared" ref="J3:J39" si="1">IF(H3=0,1+J2,0)</f>
        <v>0</v>
      </c>
      <c r="K3" cm="1">
        <f t="array" ref="K3">_xlfn.IFS(H3=3,1+K2,H3=1,1+K2,H3=0,0)</f>
        <v>2</v>
      </c>
      <c r="L3" cm="1">
        <f t="array" ref="L3">_xlfn.IFS(H3=0,1+L2,H3=1,1+L2,H3=3,0)</f>
        <v>0</v>
      </c>
      <c r="N3" s="61" t="s">
        <v>79</v>
      </c>
      <c r="O3" s="48" t="s">
        <v>80</v>
      </c>
      <c r="Q3" s="57" t="s">
        <v>81</v>
      </c>
      <c r="R3">
        <v>4</v>
      </c>
      <c r="S3">
        <v>12</v>
      </c>
      <c r="T3" s="60">
        <v>3</v>
      </c>
    </row>
    <row r="4" spans="1:20" x14ac:dyDescent="0.2">
      <c r="A4">
        <v>3</v>
      </c>
      <c r="B4" s="1">
        <v>43701</v>
      </c>
      <c r="C4" t="str">
        <v>Liverpool FC</v>
      </c>
      <c r="D4">
        <v>3</v>
      </c>
      <c r="E4" t="str">
        <v>Arsenal FC</v>
      </c>
      <c r="F4">
        <v>1</v>
      </c>
      <c r="H4" s="59" cm="1">
        <f t="array" ref="H4">_xlfn.IFS(AND(C4=$N$18,D4&gt;F4),3,AND(E4=$N$18,F4&gt;D4),3,AND(C4=$N$18,D4=F4),1,AND(E4=$N$18,D4=F4),1,AND(C4=$N$18,D4&lt;F4),0,AND(E4=$N$18,F4&lt;D4),0)</f>
        <v>3</v>
      </c>
      <c r="I4">
        <f t="shared" si="0"/>
        <v>3</v>
      </c>
      <c r="J4" s="59">
        <f t="shared" si="1"/>
        <v>0</v>
      </c>
      <c r="K4" cm="1">
        <f t="array" ref="K4">_xlfn.IFS(H4=3,1+K3,H4=1,1+K3,H4=0,0)</f>
        <v>3</v>
      </c>
      <c r="L4" cm="1">
        <f t="array" ref="L4">_xlfn.IFS(H4=0,1+L3,H4=1,1+L3,H4=3,0)</f>
        <v>0</v>
      </c>
      <c r="N4" s="62" t="s">
        <v>82</v>
      </c>
      <c r="O4" s="50"/>
      <c r="Q4" s="57" t="s">
        <v>83</v>
      </c>
      <c r="R4">
        <v>3</v>
      </c>
      <c r="S4">
        <v>9</v>
      </c>
      <c r="T4" s="60">
        <v>3</v>
      </c>
    </row>
    <row r="5" spans="1:20" x14ac:dyDescent="0.2">
      <c r="A5">
        <v>4</v>
      </c>
      <c r="B5" s="1">
        <v>43708</v>
      </c>
      <c r="C5" t="str">
        <v>Burnley FC</v>
      </c>
      <c r="D5">
        <v>0</v>
      </c>
      <c r="E5" t="str">
        <v>Liverpool FC</v>
      </c>
      <c r="F5">
        <v>3</v>
      </c>
      <c r="H5" s="59" cm="1">
        <f t="array" ref="H5">_xlfn.IFS(AND(C5=$N$18,D5&gt;F5),3,AND(E5=$N$18,F5&gt;D5),3,AND(C5=$N$18,D5=F5),1,AND(E5=$N$18,D5=F5),1,AND(C5=$N$18,D5&lt;F5),0,AND(E5=$N$18,F5&lt;D5),0)</f>
        <v>3</v>
      </c>
      <c r="I5">
        <f t="shared" si="0"/>
        <v>4</v>
      </c>
      <c r="J5" s="59">
        <f t="shared" si="1"/>
        <v>0</v>
      </c>
      <c r="K5" cm="1">
        <f t="array" ref="K5">_xlfn.IFS(H5=3,1+K4,H5=1,1+K4,H5=0,0)</f>
        <v>4</v>
      </c>
      <c r="L5" cm="1">
        <f t="array" ref="L5">_xlfn.IFS(H5=0,1+L4,H5=1,1+L4,H5=3,0)</f>
        <v>0</v>
      </c>
      <c r="N5" s="62" t="s">
        <v>84</v>
      </c>
      <c r="O5" s="51"/>
      <c r="Q5" s="57" t="s">
        <v>85</v>
      </c>
      <c r="R5">
        <v>3</v>
      </c>
      <c r="S5">
        <v>7</v>
      </c>
      <c r="T5" s="60">
        <v>2.3333333333333335</v>
      </c>
    </row>
    <row r="6" spans="1:20" x14ac:dyDescent="0.2">
      <c r="A6">
        <v>5</v>
      </c>
      <c r="B6" s="1">
        <v>43722</v>
      </c>
      <c r="C6" t="str">
        <v>Liverpool FC</v>
      </c>
      <c r="D6">
        <v>3</v>
      </c>
      <c r="E6" t="str">
        <v>Newcastle United FC</v>
      </c>
      <c r="F6">
        <v>1</v>
      </c>
      <c r="H6" s="59" cm="1">
        <f t="array" ref="H6">_xlfn.IFS(AND(C6=$N$18,D6&gt;F6),3,AND(E6=$N$18,F6&gt;D6),3,AND(C6=$N$18,D6=F6),1,AND(E6=$N$18,D6=F6),1,AND(C6=$N$18,D6&lt;F6),0,AND(E6=$N$18,F6&lt;D6),0)</f>
        <v>3</v>
      </c>
      <c r="I6">
        <f t="shared" si="0"/>
        <v>5</v>
      </c>
      <c r="J6" s="59">
        <f t="shared" si="1"/>
        <v>0</v>
      </c>
      <c r="K6" cm="1">
        <f t="array" ref="K6">_xlfn.IFS(H6=3,1+K5,H6=1,1+K5,H6=0,0)</f>
        <v>5</v>
      </c>
      <c r="L6" cm="1">
        <f t="array" ref="L6">_xlfn.IFS(H6=0,1+L5,H6=1,1+L5,H6=3,0)</f>
        <v>0</v>
      </c>
      <c r="N6" s="62" t="s">
        <v>86</v>
      </c>
      <c r="O6" s="52"/>
      <c r="Q6" s="57" t="s">
        <v>87</v>
      </c>
      <c r="R6">
        <v>4</v>
      </c>
      <c r="S6">
        <v>12</v>
      </c>
      <c r="T6" s="60">
        <v>3</v>
      </c>
    </row>
    <row r="7" spans="1:20" x14ac:dyDescent="0.2">
      <c r="A7">
        <v>6</v>
      </c>
      <c r="B7" s="1">
        <v>43730</v>
      </c>
      <c r="C7" t="str">
        <v>Chelsea FC</v>
      </c>
      <c r="D7">
        <v>1</v>
      </c>
      <c r="E7" t="str">
        <v>Liverpool FC</v>
      </c>
      <c r="F7">
        <v>2</v>
      </c>
      <c r="H7" s="59" cm="1">
        <f t="array" ref="H7">_xlfn.IFS(AND(C7=$N$18,D7&gt;F7),3,AND(E7=$N$18,F7&gt;D7),3,AND(C7=$N$18,D7=F7),1,AND(E7=$N$18,D7=F7),1,AND(C7=$N$18,D7&lt;F7),0,AND(E7=$N$18,F7&lt;D7),0)</f>
        <v>3</v>
      </c>
      <c r="I7">
        <f t="shared" si="0"/>
        <v>6</v>
      </c>
      <c r="J7" s="59">
        <f t="shared" si="1"/>
        <v>0</v>
      </c>
      <c r="K7" cm="1">
        <f t="array" ref="K7">_xlfn.IFS(H7=3,1+K6,H7=1,1+K6,H7=0,0)</f>
        <v>6</v>
      </c>
      <c r="L7" cm="1">
        <f t="array" ref="L7">_xlfn.IFS(H7=0,1+L6,H7=1,1+L6,H7=3,0)</f>
        <v>0</v>
      </c>
      <c r="Q7" s="57" t="s">
        <v>88</v>
      </c>
      <c r="R7">
        <v>5</v>
      </c>
      <c r="S7">
        <v>15</v>
      </c>
      <c r="T7" s="60">
        <v>3</v>
      </c>
    </row>
    <row r="8" spans="1:20" x14ac:dyDescent="0.2">
      <c r="A8">
        <v>7</v>
      </c>
      <c r="B8" s="1">
        <v>43736</v>
      </c>
      <c r="C8" t="str">
        <v>Sheffield United FC</v>
      </c>
      <c r="D8">
        <v>0</v>
      </c>
      <c r="E8" t="str">
        <v>Liverpool FC</v>
      </c>
      <c r="F8">
        <v>1</v>
      </c>
      <c r="H8" s="59" cm="1">
        <f t="array" ref="H8">_xlfn.IFS(AND(C8=$N$18,D8&gt;F8),3,AND(E8=$N$18,F8&gt;D8),3,AND(C8=$N$18,D8=F8),1,AND(E8=$N$18,D8=F8),1,AND(C8=$N$18,D8&lt;F8),0,AND(E8=$N$18,F8&lt;D8),0)</f>
        <v>3</v>
      </c>
      <c r="I8">
        <f t="shared" si="0"/>
        <v>7</v>
      </c>
      <c r="J8" s="59">
        <f t="shared" si="1"/>
        <v>0</v>
      </c>
      <c r="K8" cm="1">
        <f t="array" ref="K8">_xlfn.IFS(H8=3,1+K7,H8=1,1+K7,H8=0,0)</f>
        <v>7</v>
      </c>
      <c r="L8" cm="1">
        <f t="array" ref="L8">_xlfn.IFS(H8=0,1+L7,H8=1,1+L7,H8=3,0)</f>
        <v>0</v>
      </c>
      <c r="Q8" s="56" t="s">
        <v>89</v>
      </c>
      <c r="R8">
        <v>19</v>
      </c>
      <c r="S8">
        <v>44</v>
      </c>
      <c r="T8" s="60">
        <v>2.3157894736842106</v>
      </c>
    </row>
    <row r="9" spans="1:20" x14ac:dyDescent="0.2">
      <c r="A9">
        <v>8</v>
      </c>
      <c r="B9" s="1">
        <v>43743</v>
      </c>
      <c r="C9" t="str">
        <v>Liverpool FC</v>
      </c>
      <c r="D9">
        <v>2</v>
      </c>
      <c r="E9" t="str">
        <v>Leicester City FC</v>
      </c>
      <c r="F9">
        <v>1</v>
      </c>
      <c r="H9" s="59" cm="1">
        <f t="array" ref="H9">_xlfn.IFS(AND(C9=$N$18,D9&gt;F9),3,AND(E9=$N$18,F9&gt;D9),3,AND(C9=$N$18,D9=F9),1,AND(E9=$N$18,D9=F9),1,AND(C9=$N$18,D9&lt;F9),0,AND(E9=$N$18,F9&lt;D9),0)</f>
        <v>3</v>
      </c>
      <c r="I9">
        <f t="shared" si="0"/>
        <v>8</v>
      </c>
      <c r="J9" s="59">
        <f t="shared" si="1"/>
        <v>0</v>
      </c>
      <c r="K9" cm="1">
        <f t="array" ref="K9">_xlfn.IFS(H9=3,1+K8,H9=1,1+K8,H9=0,0)</f>
        <v>8</v>
      </c>
      <c r="L9" cm="1">
        <f t="array" ref="L9">_xlfn.IFS(H9=0,1+L8,H9=1,1+L8,H9=3,0)</f>
        <v>0</v>
      </c>
      <c r="Q9" s="57" t="s">
        <v>90</v>
      </c>
      <c r="R9">
        <v>5</v>
      </c>
      <c r="S9">
        <v>15</v>
      </c>
      <c r="T9" s="60">
        <v>3</v>
      </c>
    </row>
    <row r="10" spans="1:20" x14ac:dyDescent="0.2">
      <c r="A10">
        <v>9</v>
      </c>
      <c r="B10" s="1">
        <v>43758</v>
      </c>
      <c r="C10" t="str">
        <v>Manchester United FC</v>
      </c>
      <c r="D10">
        <v>1</v>
      </c>
      <c r="E10" t="str">
        <v>Liverpool FC</v>
      </c>
      <c r="F10">
        <v>1</v>
      </c>
      <c r="H10" s="59" cm="1">
        <f t="array" ref="H10">_xlfn.IFS(AND(C10=$N$18,D10&gt;F10),3,AND(E10=$N$18,F10&gt;D10),3,AND(C10=$N$18,D10=F10),1,AND(E10=$N$18,D10=F10),1,AND(C10=$N$18,D10&lt;F10),0,AND(E10=$N$18,F10&lt;D10),0)</f>
        <v>1</v>
      </c>
      <c r="I10">
        <f t="shared" si="0"/>
        <v>0</v>
      </c>
      <c r="J10" s="59">
        <f t="shared" si="1"/>
        <v>0</v>
      </c>
      <c r="K10" cm="1">
        <f t="array" ref="K10">_xlfn.IFS(H10=3,1+K9,H10=1,1+K9,H10=0,0)</f>
        <v>9</v>
      </c>
      <c r="L10" cm="1">
        <f t="array" ref="L10">_xlfn.IFS(H10=0,1+L9,H10=1,1+L9,H10=3,0)</f>
        <v>1</v>
      </c>
      <c r="Q10" s="57" t="s">
        <v>91</v>
      </c>
      <c r="R10">
        <v>4</v>
      </c>
      <c r="S10">
        <v>9</v>
      </c>
      <c r="T10" s="60">
        <v>2.25</v>
      </c>
    </row>
    <row r="11" spans="1:20" x14ac:dyDescent="0.2">
      <c r="A11">
        <v>10</v>
      </c>
      <c r="B11" s="1">
        <v>43765</v>
      </c>
      <c r="C11" t="str">
        <v>Liverpool FC</v>
      </c>
      <c r="D11">
        <v>2</v>
      </c>
      <c r="E11" t="str">
        <v>Tottenham Hotspur FC</v>
      </c>
      <c r="F11">
        <v>1</v>
      </c>
      <c r="H11" s="59" cm="1">
        <f t="array" ref="H11">_xlfn.IFS(AND(C11=$N$18,D11&gt;F11),3,AND(E11=$N$18,F11&gt;D11),3,AND(C11=$N$18,D11=F11),1,AND(E11=$N$18,D11=F11),1,AND(C11=$N$18,D11&lt;F11),0,AND(E11=$N$18,F11&lt;D11),0)</f>
        <v>3</v>
      </c>
      <c r="I11">
        <f t="shared" si="0"/>
        <v>1</v>
      </c>
      <c r="J11" s="59">
        <f t="shared" si="1"/>
        <v>0</v>
      </c>
      <c r="K11" cm="1">
        <f t="array" ref="K11">_xlfn.IFS(H11=3,1+K10,H11=1,1+K10,H11=0,0)</f>
        <v>10</v>
      </c>
      <c r="L11" cm="1">
        <f t="array" ref="L11">_xlfn.IFS(H11=0,1+L10,H11=1,1+L10,H11=3,0)</f>
        <v>0</v>
      </c>
      <c r="Q11" s="57" t="s">
        <v>92</v>
      </c>
      <c r="R11">
        <v>1</v>
      </c>
      <c r="S11">
        <v>3</v>
      </c>
      <c r="T11" s="60">
        <v>3</v>
      </c>
    </row>
    <row r="12" spans="1:20" x14ac:dyDescent="0.2">
      <c r="A12">
        <v>11</v>
      </c>
      <c r="B12" s="1">
        <v>43771</v>
      </c>
      <c r="C12" t="str">
        <v>Aston Villa FC</v>
      </c>
      <c r="D12">
        <v>1</v>
      </c>
      <c r="E12" t="str">
        <v>Liverpool FC</v>
      </c>
      <c r="F12">
        <v>2</v>
      </c>
      <c r="H12" s="59" cm="1">
        <f t="array" ref="H12">_xlfn.IFS(AND(C12=$N$18,D12&gt;F12),3,AND(E12=$N$18,F12&gt;D12),3,AND(C12=$N$18,D12=F12),1,AND(E12=$N$18,D12=F12),1,AND(C12=$N$18,D12&lt;F12),0,AND(E12=$N$18,F12&lt;D12),0)</f>
        <v>3</v>
      </c>
      <c r="I12">
        <f t="shared" si="0"/>
        <v>2</v>
      </c>
      <c r="J12" s="59">
        <f t="shared" si="1"/>
        <v>0</v>
      </c>
      <c r="K12" cm="1">
        <f t="array" ref="K12">_xlfn.IFS(H12=3,1+K11,H12=1,1+K11,H12=0,0)</f>
        <v>11</v>
      </c>
      <c r="L12" cm="1">
        <f t="array" ref="L12">_xlfn.IFS(H12=0,1+L11,H12=1,1+L11,H12=3,0)</f>
        <v>0</v>
      </c>
      <c r="Q12" s="57" t="s">
        <v>93</v>
      </c>
      <c r="R12">
        <v>2</v>
      </c>
      <c r="S12">
        <v>4</v>
      </c>
      <c r="T12" s="60">
        <v>2</v>
      </c>
    </row>
    <row r="13" spans="1:20" x14ac:dyDescent="0.2">
      <c r="A13">
        <v>12</v>
      </c>
      <c r="B13" s="1">
        <v>43779</v>
      </c>
      <c r="C13" t="str">
        <v>Liverpool FC</v>
      </c>
      <c r="D13">
        <v>3</v>
      </c>
      <c r="E13" t="str">
        <v>Manchester City FC</v>
      </c>
      <c r="F13">
        <v>1</v>
      </c>
      <c r="H13" s="59" cm="1">
        <f t="array" ref="H13">_xlfn.IFS(AND(C13=$N$18,D13&gt;F13),3,AND(E13=$N$18,F13&gt;D13),3,AND(C13=$N$18,D13=F13),1,AND(E13=$N$18,D13=F13),1,AND(C13=$N$18,D13&lt;F13),0,AND(E13=$N$18,F13&lt;D13),0)</f>
        <v>3</v>
      </c>
      <c r="I13">
        <f t="shared" si="0"/>
        <v>3</v>
      </c>
      <c r="J13" s="59">
        <f t="shared" si="1"/>
        <v>0</v>
      </c>
      <c r="K13" cm="1">
        <f t="array" ref="K13">_xlfn.IFS(H13=3,1+K12,H13=1,1+K12,H13=0,0)</f>
        <v>12</v>
      </c>
      <c r="L13" cm="1">
        <f t="array" ref="L13">_xlfn.IFS(H13=0,1+L12,H13=1,1+L12,H13=3,0)</f>
        <v>0</v>
      </c>
      <c r="Q13" s="57" t="s">
        <v>94</v>
      </c>
      <c r="R13">
        <v>7</v>
      </c>
      <c r="S13">
        <v>13</v>
      </c>
      <c r="T13" s="60">
        <v>1.8571428571428572</v>
      </c>
    </row>
    <row r="14" spans="1:20" x14ac:dyDescent="0.2">
      <c r="A14">
        <v>13</v>
      </c>
      <c r="B14" s="1">
        <v>43792</v>
      </c>
      <c r="C14" t="str">
        <v>Crystal Palace FC</v>
      </c>
      <c r="D14">
        <v>1</v>
      </c>
      <c r="E14" t="str">
        <v>Liverpool FC</v>
      </c>
      <c r="F14">
        <v>2</v>
      </c>
      <c r="H14" s="59" cm="1">
        <f t="array" ref="H14">_xlfn.IFS(AND(C14=$N$18,D14&gt;F14),3,AND(E14=$N$18,F14&gt;D14),3,AND(C14=$N$18,D14=F14),1,AND(E14=$N$18,D14=F14),1,AND(C14=$N$18,D14&lt;F14),0,AND(E14=$N$18,F14&lt;D14),0)</f>
        <v>3</v>
      </c>
      <c r="I14">
        <f t="shared" si="0"/>
        <v>4</v>
      </c>
      <c r="J14" s="59">
        <f t="shared" si="1"/>
        <v>0</v>
      </c>
      <c r="K14" cm="1">
        <f t="array" ref="K14">_xlfn.IFS(H14=3,1+K13,H14=1,1+K13,H14=0,0)</f>
        <v>13</v>
      </c>
      <c r="L14" cm="1">
        <f t="array" ref="L14">_xlfn.IFS(H14=0,1+L13,H14=1,1+L13,H14=3,0)</f>
        <v>0</v>
      </c>
      <c r="Q14" s="56" t="s">
        <v>95</v>
      </c>
      <c r="R14">
        <v>38</v>
      </c>
      <c r="S14">
        <v>99</v>
      </c>
      <c r="T14" s="60">
        <v>2.6052631578947367</v>
      </c>
    </row>
    <row r="15" spans="1:20" x14ac:dyDescent="0.2">
      <c r="A15">
        <v>14</v>
      </c>
      <c r="B15" s="1">
        <v>43799</v>
      </c>
      <c r="C15" t="str">
        <v>Liverpool FC</v>
      </c>
      <c r="D15">
        <v>2</v>
      </c>
      <c r="E15" t="str">
        <v>Brighton &amp; Hove Albion FC</v>
      </c>
      <c r="F15">
        <v>1</v>
      </c>
      <c r="H15" s="59" cm="1">
        <f t="array" ref="H15">_xlfn.IFS(AND(C15=$N$18,D15&gt;F15),3,AND(E15=$N$18,F15&gt;D15),3,AND(C15=$N$18,D15=F15),1,AND(E15=$N$18,D15=F15),1,AND(C15=$N$18,D15&lt;F15),0,AND(E15=$N$18,F15&lt;D15),0)</f>
        <v>3</v>
      </c>
      <c r="I15">
        <f t="shared" si="0"/>
        <v>5</v>
      </c>
      <c r="J15" s="59">
        <f t="shared" si="1"/>
        <v>0</v>
      </c>
      <c r="K15" cm="1">
        <f t="array" ref="K15">_xlfn.IFS(H15=3,1+K14,H15=1,1+K14,H15=0,0)</f>
        <v>14</v>
      </c>
      <c r="L15" cm="1">
        <f t="array" ref="L15">_xlfn.IFS(H15=0,1+L14,H15=1,1+L14,H15=3,0)</f>
        <v>0</v>
      </c>
    </row>
    <row r="16" spans="1:20" x14ac:dyDescent="0.2">
      <c r="A16">
        <v>15</v>
      </c>
      <c r="B16" s="1">
        <v>43803</v>
      </c>
      <c r="C16" t="str">
        <v>Liverpool FC</v>
      </c>
      <c r="D16">
        <v>5</v>
      </c>
      <c r="E16" t="str">
        <v>Everton FC</v>
      </c>
      <c r="F16">
        <v>2</v>
      </c>
      <c r="H16" s="59" cm="1">
        <f t="array" ref="H16">_xlfn.IFS(AND(C16=$N$18,D16&gt;F16),3,AND(E16=$N$18,F16&gt;D16),3,AND(C16=$N$18,D16=F16),1,AND(E16=$N$18,D16=F16),1,AND(C16=$N$18,D16&lt;F16),0,AND(E16=$N$18,F16&lt;D16),0)</f>
        <v>3</v>
      </c>
      <c r="I16">
        <f t="shared" si="0"/>
        <v>6</v>
      </c>
      <c r="J16" s="59">
        <f t="shared" si="1"/>
        <v>0</v>
      </c>
      <c r="K16" cm="1">
        <f t="array" ref="K16">_xlfn.IFS(H16=3,1+K15,H16=1,1+K15,H16=0,0)</f>
        <v>15</v>
      </c>
      <c r="L16" cm="1">
        <f t="array" ref="L16">_xlfn.IFS(H16=0,1+L15,H16=1,1+L15,H16=3,0)</f>
        <v>0</v>
      </c>
    </row>
    <row r="17" spans="1:22" x14ac:dyDescent="0.2">
      <c r="A17">
        <v>16</v>
      </c>
      <c r="B17" s="1">
        <v>43806</v>
      </c>
      <c r="C17" t="str">
        <v>AFC Bournemouth</v>
      </c>
      <c r="D17">
        <v>0</v>
      </c>
      <c r="E17" t="str">
        <v>Liverpool FC</v>
      </c>
      <c r="F17">
        <v>3</v>
      </c>
      <c r="H17" s="59" cm="1">
        <f t="array" ref="H17">_xlfn.IFS(AND(C17=$N$18,D17&gt;F17),3,AND(E17=$N$18,F17&gt;D17),3,AND(C17=$N$18,D17=F17),1,AND(E17=$N$18,D17=F17),1,AND(C17=$N$18,D17&lt;F17),0,AND(E17=$N$18,F17&lt;D17),0)</f>
        <v>3</v>
      </c>
      <c r="I17">
        <f t="shared" si="0"/>
        <v>7</v>
      </c>
      <c r="J17" s="59">
        <f t="shared" si="1"/>
        <v>0</v>
      </c>
      <c r="K17" cm="1">
        <f t="array" ref="K17">_xlfn.IFS(H17=3,1+K16,H17=1,1+K16,H17=0,0)</f>
        <v>16</v>
      </c>
      <c r="L17" cm="1">
        <f t="array" ref="L17">_xlfn.IFS(H17=0,1+L16,H17=1,1+L16,H17=3,0)</f>
        <v>0</v>
      </c>
    </row>
    <row r="18" spans="1:22" x14ac:dyDescent="0.2">
      <c r="A18">
        <v>17</v>
      </c>
      <c r="B18" s="1">
        <v>43813</v>
      </c>
      <c r="C18" t="str">
        <v>Liverpool FC</v>
      </c>
      <c r="D18">
        <v>2</v>
      </c>
      <c r="E18" t="str">
        <v>Watford FC</v>
      </c>
      <c r="F18">
        <v>0</v>
      </c>
      <c r="H18" s="59" cm="1">
        <f t="array" ref="H18">_xlfn.IFS(AND(C18=$N$18,D18&gt;F18),3,AND(E18=$N$18,F18&gt;D18),3,AND(C18=$N$18,D18=F18),1,AND(E18=$N$18,D18=F18),1,AND(C18=$N$18,D18&lt;F18),0,AND(E18=$N$18,F18&lt;D18),0)</f>
        <v>3</v>
      </c>
      <c r="I18">
        <f t="shared" si="0"/>
        <v>8</v>
      </c>
      <c r="J18" s="59">
        <f t="shared" si="1"/>
        <v>0</v>
      </c>
      <c r="K18" cm="1">
        <f t="array" ref="K18">_xlfn.IFS(H18=3,1+K17,H18=1,1+K17,H18=0,0)</f>
        <v>17</v>
      </c>
      <c r="L18" cm="1">
        <f t="array" ref="L18">_xlfn.IFS(H18=0,1+L17,H18=1,1+L17,H18=3,0)</f>
        <v>0</v>
      </c>
      <c r="N18" s="14" t="str">
        <f>C2</f>
        <v>Liverpool FC</v>
      </c>
      <c r="O18" s="9" t="s">
        <v>12</v>
      </c>
      <c r="P18" s="7" t="s">
        <v>13</v>
      </c>
      <c r="Q18" s="6" t="s">
        <v>14</v>
      </c>
      <c r="R18" s="8" t="s">
        <v>15</v>
      </c>
      <c r="S18" s="9" t="s">
        <v>16</v>
      </c>
      <c r="T18" s="9" t="s">
        <v>17</v>
      </c>
      <c r="U18" s="9" t="s">
        <v>18</v>
      </c>
      <c r="V18" s="9" t="s">
        <v>19</v>
      </c>
    </row>
    <row r="19" spans="1:22" x14ac:dyDescent="0.2">
      <c r="A19">
        <v>18</v>
      </c>
      <c r="B19" s="1">
        <v>43859</v>
      </c>
      <c r="C19" t="str">
        <v>West Ham United FC</v>
      </c>
      <c r="D19">
        <v>0</v>
      </c>
      <c r="E19" t="str">
        <v>Liverpool FC</v>
      </c>
      <c r="F19">
        <v>2</v>
      </c>
      <c r="H19" s="59" cm="1">
        <f t="array" ref="H19">_xlfn.IFS(AND(C19=$N$18,D19&gt;F19),3,AND(E19=$N$18,F19&gt;D19),3,AND(C19=$N$18,D19=F19),1,AND(E19=$N$18,D19=F19),1,AND(C19=$N$18,D19&lt;F19),0,AND(E19=$N$18,F19&lt;D19),0)</f>
        <v>3</v>
      </c>
      <c r="I19">
        <f t="shared" si="0"/>
        <v>9</v>
      </c>
      <c r="J19" s="59">
        <f t="shared" si="1"/>
        <v>0</v>
      </c>
      <c r="K19" cm="1">
        <f t="array" ref="K19">_xlfn.IFS(H19=3,1+K18,H19=1,1+K18,H19=0,0)</f>
        <v>18</v>
      </c>
      <c r="L19" cm="1">
        <f t="array" ref="L19">_xlfn.IFS(H19=0,1+L18,H19=1,1+L18,H19=3,0)</f>
        <v>0</v>
      </c>
      <c r="N19" s="10" t="s">
        <v>22</v>
      </c>
      <c r="O19" s="11">
        <f>COUNT(A2:A39)</f>
        <v>38</v>
      </c>
      <c r="P19" s="5" cm="1">
        <f t="array" ref="P19">SUMPRODUCT(((C2:C39=$N$18)*(D2:D39&gt;F2:F39))+((E2:E39=$N$18)*(F2:F39&gt;D2:D39)))</f>
        <v>32</v>
      </c>
      <c r="Q19" s="12" cm="1">
        <f t="array" ref="Q19">SUMPRODUCT(((C2:C39=$N$18)*(D2:D39=F2:F39))+((E2:E39=$N$18)*(F2:F39=D2:D39)))</f>
        <v>3</v>
      </c>
      <c r="R19" s="13" cm="1">
        <f t="array" ref="R19">SUMPRODUCT(((C2:C39=$N$18)*(D2:D39&lt;F2:F39))+((E2:E39=$N$18)*(F2:F39&lt;D2:D39)))</f>
        <v>3</v>
      </c>
      <c r="S19" s="11">
        <f>SUMIF(C2:C39,N18,D2:D39)+SUMIF(E2:E39,N18,F2:F39)</f>
        <v>85</v>
      </c>
      <c r="T19" s="11">
        <f>SUMIF(C2:C39,N18,F2:F39)+SUMIF(E2:E39,N18,D2:D39)</f>
        <v>33</v>
      </c>
      <c r="U19" s="11">
        <f>S19-T19</f>
        <v>52</v>
      </c>
      <c r="V19" s="11">
        <f>V20+V21</f>
        <v>99</v>
      </c>
    </row>
    <row r="20" spans="1:22" x14ac:dyDescent="0.2">
      <c r="A20">
        <v>19</v>
      </c>
      <c r="B20" s="1">
        <v>43825</v>
      </c>
      <c r="C20" t="str">
        <v>Leicester City FC</v>
      </c>
      <c r="D20">
        <v>0</v>
      </c>
      <c r="E20" t="str">
        <v>Liverpool FC</v>
      </c>
      <c r="F20">
        <v>4</v>
      </c>
      <c r="H20" s="59" cm="1">
        <f t="array" ref="H20">_xlfn.IFS(AND(C20=$N$18,D20&gt;F20),3,AND(E20=$N$18,F20&gt;D20),3,AND(C20=$N$18,D20=F20),1,AND(E20=$N$18,D20=F20),1,AND(C20=$N$18,D20&lt;F20),0,AND(E20=$N$18,F20&lt;D20),0)</f>
        <v>3</v>
      </c>
      <c r="I20">
        <f t="shared" si="0"/>
        <v>10</v>
      </c>
      <c r="J20" s="59">
        <f t="shared" si="1"/>
        <v>0</v>
      </c>
      <c r="K20" cm="1">
        <f t="array" ref="K20">_xlfn.IFS(H20=3,1+K19,H20=1,1+K19,H20=0,0)</f>
        <v>19</v>
      </c>
      <c r="L20" cm="1">
        <f t="array" ref="L20">_xlfn.IFS(H20=0,1+L19,H20=1,1+L19,H20=3,0)</f>
        <v>0</v>
      </c>
      <c r="N20" s="10" t="s">
        <v>2</v>
      </c>
      <c r="O20" s="11">
        <f>COUNTIF(C2:C39,C2)</f>
        <v>19</v>
      </c>
      <c r="P20" s="73" cm="1">
        <f t="array" ref="P20">SUMPRODUCT(((C2:C39=$N$18)*(D2:D39&gt;F2:F39)))</f>
        <v>18</v>
      </c>
      <c r="Q20" s="12" cm="1">
        <f t="array" ref="Q20">SUMPRODUCT(((C2:C39=$N$18)*(D2:D39=F2:F39)))</f>
        <v>1</v>
      </c>
      <c r="R20" s="13" cm="1">
        <f t="array" ref="R20">SUMPRODUCT(((C2:C39=$N$18)*(D2:D39&lt;F2:F39)))</f>
        <v>0</v>
      </c>
      <c r="S20" s="11">
        <f>SUMIF(C2:C39,N18,D2:D39)</f>
        <v>52</v>
      </c>
      <c r="T20" s="11">
        <f>SUMIF(C2:C39,N18,F2:F39)</f>
        <v>16</v>
      </c>
      <c r="U20" s="11">
        <f>S20-T20</f>
        <v>36</v>
      </c>
      <c r="V20" s="11">
        <f>(P20*3)+Q20</f>
        <v>55</v>
      </c>
    </row>
    <row r="21" spans="1:22" x14ac:dyDescent="0.2">
      <c r="A21">
        <v>20</v>
      </c>
      <c r="B21" s="1">
        <v>43828</v>
      </c>
      <c r="C21" t="str">
        <v>Liverpool FC</v>
      </c>
      <c r="D21">
        <v>1</v>
      </c>
      <c r="E21" t="str">
        <v>Wolverhampton Wanderers FC</v>
      </c>
      <c r="F21">
        <v>0</v>
      </c>
      <c r="H21" s="59" cm="1">
        <f t="array" ref="H21">_xlfn.IFS(AND(C21=$N$18,D21&gt;F21),3,AND(E21=$N$18,F21&gt;D21),3,AND(C21=$N$18,D21=F21),1,AND(E21=$N$18,D21=F21),1,AND(C21=$N$18,D21&lt;F21),0,AND(E21=$N$18,F21&lt;D21),0)</f>
        <v>3</v>
      </c>
      <c r="I21">
        <f t="shared" si="0"/>
        <v>11</v>
      </c>
      <c r="J21" s="59">
        <f t="shared" si="1"/>
        <v>0</v>
      </c>
      <c r="K21" cm="1">
        <f t="array" ref="K21">_xlfn.IFS(H21=3,1+K20,H21=1,1+K20,H21=0,0)</f>
        <v>20</v>
      </c>
      <c r="L21" cm="1">
        <f t="array" ref="L21">_xlfn.IFS(H21=0,1+L20,H21=1,1+L20,H21=3,0)</f>
        <v>0</v>
      </c>
      <c r="N21" s="10" t="s">
        <v>4</v>
      </c>
      <c r="O21" s="11">
        <f>COUNTIF(E2:E39,E3)</f>
        <v>19</v>
      </c>
      <c r="P21" s="5" cm="1">
        <f t="array" ref="P21">SUMPRODUCT(((E2:E39=$N$18)*(F2:F39&gt;D2:D39)))</f>
        <v>14</v>
      </c>
      <c r="Q21" s="12" cm="1">
        <f t="array" ref="Q21">SUMPRODUCT(((E2:E39=$N$18)*(F2:F39=D2:D39)))</f>
        <v>2</v>
      </c>
      <c r="R21" s="13" cm="1">
        <f t="array" ref="R21">SUMPRODUCT(((E2:E39=$N$18)*(F2:F39&lt;D2:D39)))</f>
        <v>3</v>
      </c>
      <c r="S21" s="11">
        <f>SUMIF(E2:E39,N18,F2:F39)</f>
        <v>33</v>
      </c>
      <c r="T21" s="11">
        <f>SUMIF(E2:E39,N18,D2:D39)</f>
        <v>17</v>
      </c>
      <c r="U21" s="11">
        <f>S21-T21</f>
        <v>16</v>
      </c>
      <c r="V21" s="11">
        <f>(P21*3)+Q21</f>
        <v>44</v>
      </c>
    </row>
    <row r="22" spans="1:22" x14ac:dyDescent="0.2">
      <c r="A22">
        <v>21</v>
      </c>
      <c r="B22" s="1">
        <v>43832</v>
      </c>
      <c r="C22" t="str">
        <v>Liverpool FC</v>
      </c>
      <c r="D22">
        <v>2</v>
      </c>
      <c r="E22" t="str">
        <v>Sheffield United FC</v>
      </c>
      <c r="F22">
        <v>0</v>
      </c>
      <c r="H22" s="59" cm="1">
        <f t="array" ref="H22">_xlfn.IFS(AND(C22=$N$18,D22&gt;F22),3,AND(E22=$N$18,F22&gt;D22),3,AND(C22=$N$18,D22=F22),1,AND(E22=$N$18,D22=F22),1,AND(C22=$N$18,D22&lt;F22),0,AND(E22=$N$18,F22&lt;D22),0)</f>
        <v>3</v>
      </c>
      <c r="I22">
        <f t="shared" si="0"/>
        <v>12</v>
      </c>
      <c r="J22" s="59">
        <f t="shared" si="1"/>
        <v>0</v>
      </c>
      <c r="K22" cm="1">
        <f t="array" ref="K22">_xlfn.IFS(H22=3,1+K21,H22=1,1+K21,H22=0,0)</f>
        <v>21</v>
      </c>
      <c r="L22" cm="1">
        <f t="array" ref="L22">_xlfn.IFS(H22=0,1+L21,H22=1,1+L21,H22=3,0)</f>
        <v>0</v>
      </c>
    </row>
    <row r="23" spans="1:22" x14ac:dyDescent="0.2">
      <c r="A23">
        <v>22</v>
      </c>
      <c r="B23" s="1">
        <v>43841</v>
      </c>
      <c r="C23" t="str">
        <v>Tottenham Hotspur FC</v>
      </c>
      <c r="D23">
        <v>0</v>
      </c>
      <c r="E23" t="str">
        <v>Liverpool FC</v>
      </c>
      <c r="F23">
        <v>1</v>
      </c>
      <c r="H23" s="59" cm="1">
        <f t="array" ref="H23">_xlfn.IFS(AND(C23=$N$18,D23&gt;F23),3,AND(E23=$N$18,F23&gt;D23),3,AND(C23=$N$18,D23=F23),1,AND(E23=$N$18,D23=F23),1,AND(C23=$N$18,D23&lt;F23),0,AND(E23=$N$18,F23&lt;D23),0)</f>
        <v>3</v>
      </c>
      <c r="I23">
        <f t="shared" si="0"/>
        <v>13</v>
      </c>
      <c r="J23" s="59">
        <f t="shared" si="1"/>
        <v>0</v>
      </c>
      <c r="K23" cm="1">
        <f t="array" ref="K23">_xlfn.IFS(H23=3,1+K22,H23=1,1+K22,H23=0,0)</f>
        <v>22</v>
      </c>
      <c r="L23" cm="1">
        <f t="array" ref="L23">_xlfn.IFS(H23=0,1+L22,H23=1,1+L22,H23=3,0)</f>
        <v>0</v>
      </c>
    </row>
    <row r="24" spans="1:22" x14ac:dyDescent="0.2">
      <c r="A24">
        <v>23</v>
      </c>
      <c r="B24" s="1">
        <v>43849</v>
      </c>
      <c r="C24" t="str">
        <v>Liverpool FC</v>
      </c>
      <c r="D24">
        <v>2</v>
      </c>
      <c r="E24" t="str">
        <v>Manchester United FC</v>
      </c>
      <c r="F24">
        <v>0</v>
      </c>
      <c r="H24" s="59" cm="1">
        <f t="array" ref="H24">_xlfn.IFS(AND(C24=$N$18,D24&gt;F24),3,AND(E24=$N$18,F24&gt;D24),3,AND(C24=$N$18,D24=F24),1,AND(E24=$N$18,D24=F24),1,AND(C24=$N$18,D24&lt;F24),0,AND(E24=$N$18,F24&lt;D24),0)</f>
        <v>3</v>
      </c>
      <c r="I24">
        <f t="shared" si="0"/>
        <v>14</v>
      </c>
      <c r="J24" s="59">
        <f t="shared" si="1"/>
        <v>0</v>
      </c>
      <c r="K24" cm="1">
        <f t="array" ref="K24">_xlfn.IFS(H24=3,1+K23,H24=1,1+K23,H24=0,0)</f>
        <v>23</v>
      </c>
      <c r="L24" cm="1">
        <f t="array" ref="L24">_xlfn.IFS(H24=0,1+L23,H24=1,1+L23,H24=3,0)</f>
        <v>0</v>
      </c>
    </row>
    <row r="25" spans="1:22" x14ac:dyDescent="0.2">
      <c r="A25">
        <v>24</v>
      </c>
      <c r="B25" s="1">
        <v>43853</v>
      </c>
      <c r="C25" t="str">
        <v>Wolverhampton Wanderers FC</v>
      </c>
      <c r="D25">
        <v>1</v>
      </c>
      <c r="E25" t="str">
        <v>Liverpool FC</v>
      </c>
      <c r="F25">
        <v>2</v>
      </c>
      <c r="H25" s="59" cm="1">
        <f t="array" ref="H25">_xlfn.IFS(AND(C25=$N$18,D25&gt;F25),3,AND(E25=$N$18,F25&gt;D25),3,AND(C25=$N$18,D25=F25),1,AND(E25=$N$18,D25=F25),1,AND(C25=$N$18,D25&lt;F25),0,AND(E25=$N$18,F25&lt;D25),0)</f>
        <v>3</v>
      </c>
      <c r="I25">
        <f t="shared" si="0"/>
        <v>15</v>
      </c>
      <c r="J25" s="59">
        <f t="shared" si="1"/>
        <v>0</v>
      </c>
      <c r="K25" cm="1">
        <f t="array" ref="K25">_xlfn.IFS(H25=3,1+K24,H25=1,1+K24,H25=0,0)</f>
        <v>24</v>
      </c>
      <c r="L25" cm="1">
        <f t="array" ref="L25">_xlfn.IFS(H25=0,1+L24,H25=1,1+L24,H25=3,0)</f>
        <v>0</v>
      </c>
    </row>
    <row r="26" spans="1:22" x14ac:dyDescent="0.2">
      <c r="A26">
        <v>25</v>
      </c>
      <c r="B26" s="1">
        <v>43862</v>
      </c>
      <c r="C26" t="str">
        <v>Liverpool FC</v>
      </c>
      <c r="D26">
        <v>4</v>
      </c>
      <c r="E26" t="str">
        <v>Southampton FC</v>
      </c>
      <c r="F26">
        <v>0</v>
      </c>
      <c r="H26" s="59" cm="1">
        <f t="array" ref="H26">_xlfn.IFS(AND(C26=$N$18,D26&gt;F26),3,AND(E26=$N$18,F26&gt;D26),3,AND(C26=$N$18,D26=F26),1,AND(E26=$N$18,D26=F26),1,AND(C26=$N$18,D26&lt;F26),0,AND(E26=$N$18,F26&lt;D26),0)</f>
        <v>3</v>
      </c>
      <c r="I26">
        <f t="shared" si="0"/>
        <v>16</v>
      </c>
      <c r="J26" s="59">
        <f t="shared" si="1"/>
        <v>0</v>
      </c>
      <c r="K26" cm="1">
        <f t="array" ref="K26">_xlfn.IFS(H26=3,1+K25,H26=1,1+K25,H26=0,0)</f>
        <v>25</v>
      </c>
      <c r="L26" cm="1">
        <f t="array" ref="L26">_xlfn.IFS(H26=0,1+L25,H26=1,1+L25,H26=3,0)</f>
        <v>0</v>
      </c>
    </row>
    <row r="27" spans="1:22" x14ac:dyDescent="0.2">
      <c r="A27">
        <v>26</v>
      </c>
      <c r="B27" s="1">
        <v>43876</v>
      </c>
      <c r="C27" t="str">
        <v>Norwich City FC</v>
      </c>
      <c r="D27">
        <v>0</v>
      </c>
      <c r="E27" t="str">
        <v>Liverpool FC</v>
      </c>
      <c r="F27">
        <v>1</v>
      </c>
      <c r="H27" s="59" cm="1">
        <f t="array" ref="H27">_xlfn.IFS(AND(C27=$N$18,D27&gt;F27),3,AND(E27=$N$18,F27&gt;D27),3,AND(C27=$N$18,D27=F27),1,AND(E27=$N$18,D27=F27),1,AND(C27=$N$18,D27&lt;F27),0,AND(E27=$N$18,F27&lt;D27),0)</f>
        <v>3</v>
      </c>
      <c r="I27">
        <f t="shared" si="0"/>
        <v>17</v>
      </c>
      <c r="J27" s="59">
        <f t="shared" si="1"/>
        <v>0</v>
      </c>
      <c r="K27" cm="1">
        <f t="array" ref="K27">_xlfn.IFS(H27=3,1+K26,H27=1,1+K26,H27=0,0)</f>
        <v>26</v>
      </c>
      <c r="L27" cm="1">
        <f t="array" ref="L27">_xlfn.IFS(H27=0,1+L26,H27=1,1+L26,H27=3,0)</f>
        <v>0</v>
      </c>
    </row>
    <row r="28" spans="1:22" x14ac:dyDescent="0.2">
      <c r="A28">
        <v>27</v>
      </c>
      <c r="B28" s="1">
        <v>43885</v>
      </c>
      <c r="C28" t="str">
        <v>Liverpool FC</v>
      </c>
      <c r="D28">
        <v>3</v>
      </c>
      <c r="E28" t="str">
        <v>West Ham United FC</v>
      </c>
      <c r="F28">
        <v>2</v>
      </c>
      <c r="H28" s="59" cm="1">
        <f t="array" ref="H28">_xlfn.IFS(AND(C28=$N$18,D28&gt;F28),3,AND(E28=$N$18,F28&gt;D28),3,AND(C28=$N$18,D28=F28),1,AND(E28=$N$18,D28=F28),1,AND(C28=$N$18,D28&lt;F28),0,AND(E28=$N$18,F28&lt;D28),0)</f>
        <v>3</v>
      </c>
      <c r="I28">
        <f t="shared" si="0"/>
        <v>18</v>
      </c>
      <c r="J28" s="59">
        <f t="shared" si="1"/>
        <v>0</v>
      </c>
      <c r="K28" cm="1">
        <f t="array" ref="K28">_xlfn.IFS(H28=3,1+K27,H28=1,1+K27,H28=0,0)</f>
        <v>27</v>
      </c>
      <c r="L28" cm="1">
        <f t="array" ref="L28">_xlfn.IFS(H28=0,1+L27,H28=1,1+L27,H28=3,0)</f>
        <v>0</v>
      </c>
    </row>
    <row r="29" spans="1:22" x14ac:dyDescent="0.2">
      <c r="A29">
        <v>28</v>
      </c>
      <c r="B29" s="1">
        <v>43890</v>
      </c>
      <c r="C29" t="str">
        <v>Watford FC</v>
      </c>
      <c r="D29">
        <v>3</v>
      </c>
      <c r="E29" t="str">
        <v>Liverpool FC</v>
      </c>
      <c r="F29">
        <v>0</v>
      </c>
      <c r="H29" s="59" cm="1">
        <f t="array" ref="H29">_xlfn.IFS(AND(C29=$N$18,D29&gt;F29),3,AND(E29=$N$18,F29&gt;D29),3,AND(C29=$N$18,D29=F29),1,AND(E29=$N$18,D29=F29),1,AND(C29=$N$18,D29&lt;F29),0,AND(E29=$N$18,F29&lt;D29),0)</f>
        <v>0</v>
      </c>
      <c r="I29">
        <f t="shared" si="0"/>
        <v>0</v>
      </c>
      <c r="J29" s="59">
        <f t="shared" si="1"/>
        <v>1</v>
      </c>
      <c r="K29" cm="1">
        <f t="array" ref="K29">_xlfn.IFS(H29=3,1+K28,H29=1,1+K28,H29=0,0)</f>
        <v>0</v>
      </c>
      <c r="L29" cm="1">
        <f t="array" ref="L29">_xlfn.IFS(H29=0,1+L28,H29=1,1+L28,H29=3,0)</f>
        <v>1</v>
      </c>
    </row>
    <row r="30" spans="1:22" x14ac:dyDescent="0.2">
      <c r="A30">
        <v>29</v>
      </c>
      <c r="B30" s="1">
        <v>43897</v>
      </c>
      <c r="C30" t="str">
        <v>Liverpool FC</v>
      </c>
      <c r="D30">
        <v>2</v>
      </c>
      <c r="E30" t="str">
        <v>AFC Bournemouth</v>
      </c>
      <c r="F30">
        <v>1</v>
      </c>
      <c r="H30" s="59" cm="1">
        <f t="array" ref="H30">_xlfn.IFS(AND(C30=$N$18,D30&gt;F30),3,AND(E30=$N$18,F30&gt;D30),3,AND(C30=$N$18,D30=F30),1,AND(E30=$N$18,D30=F30),1,AND(C30=$N$18,D30&lt;F30),0,AND(E30=$N$18,F30&lt;D30),0)</f>
        <v>3</v>
      </c>
      <c r="I30">
        <f t="shared" si="0"/>
        <v>1</v>
      </c>
      <c r="J30" s="59">
        <f t="shared" si="1"/>
        <v>0</v>
      </c>
      <c r="K30" cm="1">
        <f t="array" ref="K30">_xlfn.IFS(H30=3,1+K29,H30=1,1+K29,H30=0,0)</f>
        <v>1</v>
      </c>
      <c r="L30" cm="1">
        <f t="array" ref="L30">_xlfn.IFS(H30=0,1+L29,H30=1,1+L29,H30=3,0)</f>
        <v>0</v>
      </c>
    </row>
    <row r="31" spans="1:22" x14ac:dyDescent="0.2">
      <c r="A31">
        <v>30</v>
      </c>
      <c r="B31" s="1">
        <v>44003</v>
      </c>
      <c r="C31" t="str">
        <v>Everton FC</v>
      </c>
      <c r="D31">
        <v>0</v>
      </c>
      <c r="E31" t="str">
        <v>Liverpool FC</v>
      </c>
      <c r="F31">
        <v>0</v>
      </c>
      <c r="H31" s="59" cm="1">
        <f t="array" ref="H31">_xlfn.IFS(AND(C31=$N$18,D31&gt;F31),3,AND(E31=$N$18,F31&gt;D31),3,AND(C31=$N$18,D31=F31),1,AND(E31=$N$18,D31=F31),1,AND(C31=$N$18,D31&lt;F31),0,AND(E31=$N$18,F31&lt;D31),0)</f>
        <v>1</v>
      </c>
      <c r="I31">
        <f t="shared" si="0"/>
        <v>0</v>
      </c>
      <c r="J31" s="59">
        <f t="shared" si="1"/>
        <v>0</v>
      </c>
      <c r="K31" cm="1">
        <f t="array" ref="K31">_xlfn.IFS(H31=3,1+K30,H31=1,1+K30,H31=0,0)</f>
        <v>2</v>
      </c>
      <c r="L31" cm="1">
        <f t="array" ref="L31">_xlfn.IFS(H31=0,1+L30,H31=1,1+L30,H31=3,0)</f>
        <v>1</v>
      </c>
    </row>
    <row r="32" spans="1:22" x14ac:dyDescent="0.2">
      <c r="A32">
        <v>31</v>
      </c>
      <c r="B32" s="1">
        <v>44006</v>
      </c>
      <c r="C32" t="str">
        <v>Liverpool FC</v>
      </c>
      <c r="D32">
        <v>4</v>
      </c>
      <c r="E32" t="str">
        <v>Crystal Palace FC</v>
      </c>
      <c r="F32">
        <v>0</v>
      </c>
      <c r="H32" s="59" cm="1">
        <f t="array" ref="H32">_xlfn.IFS(AND(C32=$N$18,D32&gt;F32),3,AND(E32=$N$18,F32&gt;D32),3,AND(C32=$N$18,D32=F32),1,AND(E32=$N$18,D32=F32),1,AND(C32=$N$18,D32&lt;F32),0,AND(E32=$N$18,F32&lt;D32),0)</f>
        <v>3</v>
      </c>
      <c r="I32">
        <f t="shared" si="0"/>
        <v>1</v>
      </c>
      <c r="J32" s="59">
        <f t="shared" si="1"/>
        <v>0</v>
      </c>
      <c r="K32" cm="1">
        <f t="array" ref="K32">_xlfn.IFS(H32=3,1+K31,H32=1,1+K31,H32=0,0)</f>
        <v>3</v>
      </c>
      <c r="L32" cm="1">
        <f t="array" ref="L32">_xlfn.IFS(H32=0,1+L31,H32=1,1+L31,H32=3,0)</f>
        <v>0</v>
      </c>
    </row>
    <row r="33" spans="1:12" x14ac:dyDescent="0.2">
      <c r="A33">
        <v>32</v>
      </c>
      <c r="B33" s="1">
        <v>44014</v>
      </c>
      <c r="C33" t="str">
        <v>Manchester City FC</v>
      </c>
      <c r="D33">
        <v>4</v>
      </c>
      <c r="E33" t="str">
        <v>Liverpool FC</v>
      </c>
      <c r="F33">
        <v>0</v>
      </c>
      <c r="H33" s="59" cm="1">
        <f t="array" ref="H33">_xlfn.IFS(AND(C33=$N$18,D33&gt;F33),3,AND(E33=$N$18,F33&gt;D33),3,AND(C33=$N$18,D33=F33),1,AND(E33=$N$18,D33=F33),1,AND(C33=$N$18,D33&lt;F33),0,AND(E33=$N$18,F33&lt;D33),0)</f>
        <v>0</v>
      </c>
      <c r="I33">
        <f t="shared" si="0"/>
        <v>0</v>
      </c>
      <c r="J33" s="59">
        <f t="shared" si="1"/>
        <v>1</v>
      </c>
      <c r="K33" cm="1">
        <f t="array" ref="K33">_xlfn.IFS(H33=3,1+K32,H33=1,1+K32,H33=0,0)</f>
        <v>0</v>
      </c>
      <c r="L33" cm="1">
        <f t="array" ref="L33">_xlfn.IFS(H33=0,1+L32,H33=1,1+L32,H33=3,0)</f>
        <v>1</v>
      </c>
    </row>
    <row r="34" spans="1:12" x14ac:dyDescent="0.2">
      <c r="A34">
        <v>33</v>
      </c>
      <c r="B34" s="1">
        <v>44017</v>
      </c>
      <c r="C34" t="str">
        <v>Liverpool FC</v>
      </c>
      <c r="D34">
        <v>2</v>
      </c>
      <c r="E34" t="str">
        <v>Aston Villa FC</v>
      </c>
      <c r="F34">
        <v>0</v>
      </c>
      <c r="H34" s="59" cm="1">
        <f t="array" ref="H34">_xlfn.IFS(AND(C34=$N$18,D34&gt;F34),3,AND(E34=$N$18,F34&gt;D34),3,AND(C34=$N$18,D34=F34),1,AND(E34=$N$18,D34=F34),1,AND(C34=$N$18,D34&lt;F34),0,AND(E34=$N$18,F34&lt;D34),0)</f>
        <v>3</v>
      </c>
      <c r="I34">
        <f t="shared" si="0"/>
        <v>1</v>
      </c>
      <c r="J34" s="59">
        <f t="shared" si="1"/>
        <v>0</v>
      </c>
      <c r="K34" cm="1">
        <f t="array" ref="K34">_xlfn.IFS(H34=3,1+K33,H34=1,1+K33,H34=0,0)</f>
        <v>1</v>
      </c>
      <c r="L34" cm="1">
        <f t="array" ref="L34">_xlfn.IFS(H34=0,1+L33,H34=1,1+L33,H34=3,0)</f>
        <v>0</v>
      </c>
    </row>
    <row r="35" spans="1:12" x14ac:dyDescent="0.2">
      <c r="A35">
        <v>34</v>
      </c>
      <c r="B35" s="1">
        <v>44020</v>
      </c>
      <c r="C35" t="str">
        <v>Brighton &amp; Hove Albion FC</v>
      </c>
      <c r="D35">
        <v>1</v>
      </c>
      <c r="E35" t="str">
        <v>Liverpool FC</v>
      </c>
      <c r="F35">
        <v>3</v>
      </c>
      <c r="H35" s="59" cm="1">
        <f t="array" ref="H35">_xlfn.IFS(AND(C35=$N$18,D35&gt;F35),3,AND(E35=$N$18,F35&gt;D35),3,AND(C35=$N$18,D35=F35),1,AND(E35=$N$18,D35=F35),1,AND(C35=$N$18,D35&lt;F35),0,AND(E35=$N$18,F35&lt;D35),0)</f>
        <v>3</v>
      </c>
      <c r="I35">
        <f t="shared" si="0"/>
        <v>2</v>
      </c>
      <c r="J35" s="59">
        <f t="shared" si="1"/>
        <v>0</v>
      </c>
      <c r="K35" cm="1">
        <f t="array" ref="K35">_xlfn.IFS(H35=3,1+K34,H35=1,1+K34,H35=0,0)</f>
        <v>2</v>
      </c>
      <c r="L35" cm="1">
        <f t="array" ref="L35">_xlfn.IFS(H35=0,1+L34,H35=1,1+L34,H35=3,0)</f>
        <v>0</v>
      </c>
    </row>
    <row r="36" spans="1:12" x14ac:dyDescent="0.2">
      <c r="A36">
        <v>35</v>
      </c>
      <c r="B36" s="1">
        <v>44023</v>
      </c>
      <c r="C36" t="str">
        <v>Liverpool FC</v>
      </c>
      <c r="D36">
        <v>1</v>
      </c>
      <c r="E36" t="str">
        <v>Burnley FC</v>
      </c>
      <c r="F36">
        <v>1</v>
      </c>
      <c r="H36" s="59" cm="1">
        <f t="array" ref="H36">_xlfn.IFS(AND(C36=$N$18,D36&gt;F36),3,AND(E36=$N$18,F36&gt;D36),3,AND(C36=$N$18,D36=F36),1,AND(E36=$N$18,D36=F36),1,AND(C36=$N$18,D36&lt;F36),0,AND(E36=$N$18,F36&lt;D36),0)</f>
        <v>1</v>
      </c>
      <c r="I36">
        <f t="shared" si="0"/>
        <v>0</v>
      </c>
      <c r="J36" s="59">
        <f t="shared" si="1"/>
        <v>0</v>
      </c>
      <c r="K36" cm="1">
        <f t="array" ref="K36">_xlfn.IFS(H36=3,1+K35,H36=1,1+K35,H36=0,0)</f>
        <v>3</v>
      </c>
      <c r="L36" cm="1">
        <f t="array" ref="L36">_xlfn.IFS(H36=0,1+L35,H36=1,1+L35,H36=3,0)</f>
        <v>1</v>
      </c>
    </row>
    <row r="37" spans="1:12" x14ac:dyDescent="0.2">
      <c r="A37">
        <v>36</v>
      </c>
      <c r="B37" s="1">
        <v>44027</v>
      </c>
      <c r="C37" t="str">
        <v>Arsenal FC</v>
      </c>
      <c r="D37">
        <v>2</v>
      </c>
      <c r="E37" t="str">
        <v>Liverpool FC</v>
      </c>
      <c r="F37">
        <v>1</v>
      </c>
      <c r="H37" s="59" cm="1">
        <f t="array" ref="H37">_xlfn.IFS(AND(C37=$N$18,D37&gt;F37),3,AND(E37=$N$18,F37&gt;D37),3,AND(C37=$N$18,D37=F37),1,AND(E37=$N$18,D37=F37),1,AND(C37=$N$18,D37&lt;F37),0,AND(E37=$N$18,F37&lt;D37),0)</f>
        <v>0</v>
      </c>
      <c r="I37">
        <f t="shared" si="0"/>
        <v>0</v>
      </c>
      <c r="J37" s="59">
        <f t="shared" si="1"/>
        <v>1</v>
      </c>
      <c r="K37" cm="1">
        <f t="array" ref="K37">_xlfn.IFS(H37=3,1+K36,H37=1,1+K36,H37=0,0)</f>
        <v>0</v>
      </c>
      <c r="L37" cm="1">
        <f t="array" ref="L37">_xlfn.IFS(H37=0,1+L36,H37=1,1+L36,H37=3,0)</f>
        <v>2</v>
      </c>
    </row>
    <row r="38" spans="1:12" x14ac:dyDescent="0.2">
      <c r="A38">
        <v>37</v>
      </c>
      <c r="B38" s="1">
        <v>44034</v>
      </c>
      <c r="C38" t="str">
        <v>Liverpool FC</v>
      </c>
      <c r="D38">
        <v>5</v>
      </c>
      <c r="E38" t="str">
        <v>Chelsea FC</v>
      </c>
      <c r="F38">
        <v>3</v>
      </c>
      <c r="H38" s="59" cm="1">
        <f t="array" ref="H38">_xlfn.IFS(AND(C38=$N$18,D38&gt;F38),3,AND(E38=$N$18,F38&gt;D38),3,AND(C38=$N$18,D38=F38),1,AND(E38=$N$18,D38=F38),1,AND(C38=$N$18,D38&lt;F38),0,AND(E38=$N$18,F38&lt;D38),0)</f>
        <v>3</v>
      </c>
      <c r="I38">
        <f t="shared" si="0"/>
        <v>1</v>
      </c>
      <c r="J38" s="59">
        <f t="shared" si="1"/>
        <v>0</v>
      </c>
      <c r="K38" cm="1">
        <f t="array" ref="K38">_xlfn.IFS(H38=3,1+K37,H38=1,1+K37,H38=0,0)</f>
        <v>1</v>
      </c>
      <c r="L38" cm="1">
        <f t="array" ref="L38">_xlfn.IFS(H38=0,1+L37,H38=1,1+L37,H38=3,0)</f>
        <v>0</v>
      </c>
    </row>
    <row r="39" spans="1:12" x14ac:dyDescent="0.2">
      <c r="A39">
        <v>38</v>
      </c>
      <c r="B39" s="1">
        <v>44038</v>
      </c>
      <c r="C39" t="str">
        <v>Newcastle United FC</v>
      </c>
      <c r="D39">
        <v>1</v>
      </c>
      <c r="E39" t="str">
        <v>Liverpool FC</v>
      </c>
      <c r="F39">
        <v>3</v>
      </c>
      <c r="H39" s="59" cm="1">
        <f t="array" ref="H39">_xlfn.IFS(AND(C39=$N$18,D39&gt;F39),3,AND(E39=$N$18,F39&gt;D39),3,AND(C39=$N$18,D39=F39),1,AND(E39=$N$18,D39=F39),1,AND(C39=$N$18,D39&lt;F39),0,AND(E39=$N$18,F39&lt;D39),0)</f>
        <v>3</v>
      </c>
      <c r="I39">
        <f t="shared" si="0"/>
        <v>2</v>
      </c>
      <c r="J39" s="59">
        <f t="shared" si="1"/>
        <v>0</v>
      </c>
      <c r="K39" cm="1">
        <f t="array" ref="K39">_xlfn.IFS(H39=3,1+K38,H39=1,1+K38,H39=0,0)</f>
        <v>2</v>
      </c>
      <c r="L39" cm="1">
        <f t="array" ref="L39">_xlfn.IFS(H39=0,1+L38,H39=1,1+L38,H39=3,0)</f>
        <v>0</v>
      </c>
    </row>
    <row r="40" spans="1:12" x14ac:dyDescent="0.2">
      <c r="B40" s="1"/>
    </row>
    <row r="41" spans="1:12" x14ac:dyDescent="0.2">
      <c r="B41" s="1"/>
      <c r="C41" s="77"/>
    </row>
    <row r="42" spans="1:12" x14ac:dyDescent="0.2">
      <c r="B42" s="1"/>
      <c r="C42" s="77"/>
    </row>
    <row r="43" spans="1:12" x14ac:dyDescent="0.2">
      <c r="B43" s="1"/>
    </row>
    <row r="44" spans="1:12" x14ac:dyDescent="0.2">
      <c r="B44" s="1"/>
    </row>
    <row r="45" spans="1:12" x14ac:dyDescent="0.2">
      <c r="B45" s="1"/>
    </row>
    <row r="46" spans="1:12" x14ac:dyDescent="0.2">
      <c r="B46" s="1"/>
    </row>
    <row r="47" spans="1:12" x14ac:dyDescent="0.2">
      <c r="B47" s="1"/>
    </row>
    <row r="48" spans="1:12" x14ac:dyDescent="0.2">
      <c r="B48" s="1"/>
    </row>
    <row r="49" spans="2:2" x14ac:dyDescent="0.2">
      <c r="B49" s="1"/>
    </row>
    <row r="50" spans="2:2" x14ac:dyDescent="0.2">
      <c r="B50" s="1"/>
    </row>
    <row r="51" spans="2:2" x14ac:dyDescent="0.2">
      <c r="B51" s="1"/>
    </row>
    <row r="52" spans="2:2" x14ac:dyDescent="0.2">
      <c r="B52" s="1"/>
    </row>
    <row r="53" spans="2:2" x14ac:dyDescent="0.2">
      <c r="B53" s="1"/>
    </row>
    <row r="54" spans="2:2" x14ac:dyDescent="0.2">
      <c r="B54" s="1"/>
    </row>
    <row r="55" spans="2:2" x14ac:dyDescent="0.2">
      <c r="B55" s="1"/>
    </row>
    <row r="56" spans="2:2" x14ac:dyDescent="0.2">
      <c r="B56" s="1"/>
    </row>
    <row r="57" spans="2:2" x14ac:dyDescent="0.2">
      <c r="B57" s="1"/>
    </row>
    <row r="58" spans="2:2" x14ac:dyDescent="0.2">
      <c r="B58" s="1"/>
    </row>
    <row r="59" spans="2:2" x14ac:dyDescent="0.2">
      <c r="B59" s="1"/>
    </row>
    <row r="60" spans="2:2" x14ac:dyDescent="0.2">
      <c r="B60" s="1"/>
    </row>
    <row r="61" spans="2:2" x14ac:dyDescent="0.2">
      <c r="B61" s="1"/>
    </row>
    <row r="62" spans="2:2" x14ac:dyDescent="0.2">
      <c r="B62" s="1"/>
    </row>
    <row r="63" spans="2:2" x14ac:dyDescent="0.2">
      <c r="B63" s="1"/>
    </row>
    <row r="64" spans="2:2" x14ac:dyDescent="0.2">
      <c r="B64" s="1"/>
    </row>
    <row r="65" spans="2:2" x14ac:dyDescent="0.2">
      <c r="B65" s="1"/>
    </row>
    <row r="66" spans="2:2" x14ac:dyDescent="0.2">
      <c r="B66" s="1"/>
    </row>
    <row r="67" spans="2:2" x14ac:dyDescent="0.2">
      <c r="B67" s="1"/>
    </row>
    <row r="68" spans="2:2" x14ac:dyDescent="0.2">
      <c r="B68" s="1"/>
    </row>
    <row r="69" spans="2:2" x14ac:dyDescent="0.2">
      <c r="B69" s="1"/>
    </row>
    <row r="70" spans="2:2" x14ac:dyDescent="0.2">
      <c r="B70" s="1"/>
    </row>
    <row r="71" spans="2:2" x14ac:dyDescent="0.2">
      <c r="B71" s="1"/>
    </row>
    <row r="72" spans="2:2" x14ac:dyDescent="0.2">
      <c r="B72" s="1"/>
    </row>
    <row r="73" spans="2:2" x14ac:dyDescent="0.2">
      <c r="B73" s="1"/>
    </row>
    <row r="74" spans="2:2" x14ac:dyDescent="0.2">
      <c r="B74" s="1"/>
    </row>
    <row r="75" spans="2:2" x14ac:dyDescent="0.2">
      <c r="B75" s="1"/>
    </row>
    <row r="76" spans="2:2" x14ac:dyDescent="0.2">
      <c r="B76" s="1"/>
    </row>
    <row r="77" spans="2:2" x14ac:dyDescent="0.2">
      <c r="B77" s="1"/>
    </row>
    <row r="78" spans="2:2" x14ac:dyDescent="0.2">
      <c r="B78" s="1"/>
    </row>
    <row r="79" spans="2:2" x14ac:dyDescent="0.2">
      <c r="B79" s="1"/>
    </row>
    <row r="80" spans="2:2" x14ac:dyDescent="0.2">
      <c r="B80" s="1"/>
    </row>
    <row r="81" spans="2:2" x14ac:dyDescent="0.2">
      <c r="B81" s="1"/>
    </row>
    <row r="82" spans="2:2" x14ac:dyDescent="0.2">
      <c r="B82" s="1"/>
    </row>
    <row r="83" spans="2:2" x14ac:dyDescent="0.2">
      <c r="B83" s="1"/>
    </row>
    <row r="84" spans="2:2" x14ac:dyDescent="0.2">
      <c r="B84" s="1"/>
    </row>
    <row r="85" spans="2:2" x14ac:dyDescent="0.2">
      <c r="B85" s="1"/>
    </row>
    <row r="86" spans="2:2" x14ac:dyDescent="0.2">
      <c r="B86" s="1"/>
    </row>
    <row r="87" spans="2:2" x14ac:dyDescent="0.2">
      <c r="B87" s="1"/>
    </row>
    <row r="88" spans="2:2" x14ac:dyDescent="0.2">
      <c r="B88" s="1"/>
    </row>
    <row r="89" spans="2:2" x14ac:dyDescent="0.2">
      <c r="B89" s="1"/>
    </row>
    <row r="90" spans="2:2" x14ac:dyDescent="0.2">
      <c r="B90" s="1"/>
    </row>
    <row r="91" spans="2:2" x14ac:dyDescent="0.2">
      <c r="B91" s="1"/>
    </row>
    <row r="92" spans="2:2" x14ac:dyDescent="0.2">
      <c r="B92" s="1"/>
    </row>
    <row r="93" spans="2:2" x14ac:dyDescent="0.2">
      <c r="B93" s="1"/>
    </row>
    <row r="94" spans="2:2" x14ac:dyDescent="0.2">
      <c r="B94" s="1"/>
    </row>
    <row r="95" spans="2:2" x14ac:dyDescent="0.2">
      <c r="B95" s="1"/>
    </row>
    <row r="96" spans="2:2" x14ac:dyDescent="0.2">
      <c r="B96" s="1"/>
    </row>
    <row r="97" spans="2:2" x14ac:dyDescent="0.2">
      <c r="B97" s="1"/>
    </row>
    <row r="98" spans="2:2" x14ac:dyDescent="0.2">
      <c r="B98" s="1"/>
    </row>
    <row r="99" spans="2:2" x14ac:dyDescent="0.2">
      <c r="B99" s="1"/>
    </row>
    <row r="100" spans="2:2" x14ac:dyDescent="0.2">
      <c r="B100" s="1"/>
    </row>
    <row r="101" spans="2:2" x14ac:dyDescent="0.2">
      <c r="B101" s="1"/>
    </row>
    <row r="102" spans="2:2" x14ac:dyDescent="0.2">
      <c r="B102" s="1"/>
    </row>
    <row r="103" spans="2:2" x14ac:dyDescent="0.2">
      <c r="B103" s="1"/>
    </row>
    <row r="104" spans="2:2" x14ac:dyDescent="0.2">
      <c r="B104" s="1"/>
    </row>
    <row r="105" spans="2:2" x14ac:dyDescent="0.2">
      <c r="B105" s="1"/>
    </row>
    <row r="106" spans="2:2" x14ac:dyDescent="0.2">
      <c r="B106" s="1"/>
    </row>
    <row r="107" spans="2:2" x14ac:dyDescent="0.2">
      <c r="B107" s="1"/>
    </row>
    <row r="108" spans="2:2" x14ac:dyDescent="0.2">
      <c r="B108" s="1"/>
    </row>
    <row r="109" spans="2:2" x14ac:dyDescent="0.2">
      <c r="B109" s="1"/>
    </row>
    <row r="110" spans="2:2" x14ac:dyDescent="0.2">
      <c r="B110" s="1"/>
    </row>
    <row r="111" spans="2:2" x14ac:dyDescent="0.2">
      <c r="B111" s="1"/>
    </row>
    <row r="112" spans="2:2" x14ac:dyDescent="0.2">
      <c r="B112" s="1"/>
    </row>
    <row r="113" spans="2:2" x14ac:dyDescent="0.2">
      <c r="B113" s="1"/>
    </row>
    <row r="114" spans="2:2" x14ac:dyDescent="0.2">
      <c r="B114" s="1"/>
    </row>
    <row r="115" spans="2:2" x14ac:dyDescent="0.2">
      <c r="B115" s="1"/>
    </row>
    <row r="116" spans="2:2" x14ac:dyDescent="0.2">
      <c r="B116" s="1"/>
    </row>
    <row r="117" spans="2:2" x14ac:dyDescent="0.2">
      <c r="B117" s="1"/>
    </row>
    <row r="118" spans="2:2" x14ac:dyDescent="0.2">
      <c r="B118" s="1"/>
    </row>
    <row r="119" spans="2:2" x14ac:dyDescent="0.2">
      <c r="B119" s="1"/>
    </row>
    <row r="120" spans="2:2" x14ac:dyDescent="0.2">
      <c r="B120" s="1"/>
    </row>
    <row r="121" spans="2:2" x14ac:dyDescent="0.2">
      <c r="B121" s="1"/>
    </row>
    <row r="122" spans="2:2" x14ac:dyDescent="0.2">
      <c r="B122" s="1"/>
    </row>
    <row r="123" spans="2:2" x14ac:dyDescent="0.2">
      <c r="B123" s="1"/>
    </row>
    <row r="124" spans="2:2" x14ac:dyDescent="0.2">
      <c r="B124" s="1"/>
    </row>
    <row r="125" spans="2:2" x14ac:dyDescent="0.2">
      <c r="B125" s="1"/>
    </row>
    <row r="126" spans="2:2" x14ac:dyDescent="0.2">
      <c r="B126" s="1"/>
    </row>
    <row r="127" spans="2:2" x14ac:dyDescent="0.2">
      <c r="B127" s="1"/>
    </row>
    <row r="128" spans="2:2" x14ac:dyDescent="0.2">
      <c r="B128" s="1"/>
    </row>
    <row r="129" spans="2:2" x14ac:dyDescent="0.2">
      <c r="B129" s="1"/>
    </row>
    <row r="130" spans="2:2" x14ac:dyDescent="0.2">
      <c r="B130" s="1"/>
    </row>
    <row r="131" spans="2:2" x14ac:dyDescent="0.2">
      <c r="B131" s="1"/>
    </row>
    <row r="132" spans="2:2" x14ac:dyDescent="0.2">
      <c r="B132" s="1"/>
    </row>
    <row r="133" spans="2:2" x14ac:dyDescent="0.2">
      <c r="B133" s="1"/>
    </row>
    <row r="134" spans="2:2" x14ac:dyDescent="0.2">
      <c r="B134" s="1"/>
    </row>
    <row r="135" spans="2:2" x14ac:dyDescent="0.2">
      <c r="B135" s="1"/>
    </row>
    <row r="136" spans="2:2" x14ac:dyDescent="0.2">
      <c r="B136" s="1"/>
    </row>
    <row r="137" spans="2:2" x14ac:dyDescent="0.2">
      <c r="B137" s="1"/>
    </row>
    <row r="138" spans="2:2" x14ac:dyDescent="0.2">
      <c r="B138" s="1"/>
    </row>
    <row r="139" spans="2:2" x14ac:dyDescent="0.2">
      <c r="B139" s="1"/>
    </row>
    <row r="140" spans="2:2" x14ac:dyDescent="0.2">
      <c r="B140" s="1"/>
    </row>
    <row r="141" spans="2:2" x14ac:dyDescent="0.2">
      <c r="B141" s="1"/>
    </row>
    <row r="142" spans="2:2" x14ac:dyDescent="0.2">
      <c r="B142" s="1"/>
    </row>
    <row r="143" spans="2:2" x14ac:dyDescent="0.2">
      <c r="B143" s="1"/>
    </row>
    <row r="144" spans="2:2" x14ac:dyDescent="0.2">
      <c r="B144" s="1"/>
    </row>
    <row r="145" spans="2:2" x14ac:dyDescent="0.2">
      <c r="B145" s="1"/>
    </row>
    <row r="146" spans="2:2" x14ac:dyDescent="0.2">
      <c r="B146" s="1"/>
    </row>
    <row r="147" spans="2:2" x14ac:dyDescent="0.2">
      <c r="B147" s="1"/>
    </row>
    <row r="148" spans="2:2" x14ac:dyDescent="0.2">
      <c r="B148" s="1"/>
    </row>
    <row r="149" spans="2:2" x14ac:dyDescent="0.2">
      <c r="B149" s="1"/>
    </row>
    <row r="150" spans="2:2" x14ac:dyDescent="0.2">
      <c r="B150" s="1"/>
    </row>
    <row r="151" spans="2:2" x14ac:dyDescent="0.2">
      <c r="B151" s="1"/>
    </row>
    <row r="152" spans="2:2" x14ac:dyDescent="0.2">
      <c r="B152" s="1"/>
    </row>
    <row r="153" spans="2:2" x14ac:dyDescent="0.2">
      <c r="B153" s="1"/>
    </row>
    <row r="154" spans="2:2" x14ac:dyDescent="0.2">
      <c r="B154" s="1"/>
    </row>
    <row r="155" spans="2:2" x14ac:dyDescent="0.2">
      <c r="B155" s="1"/>
    </row>
    <row r="156" spans="2:2" x14ac:dyDescent="0.2">
      <c r="B156" s="1"/>
    </row>
    <row r="157" spans="2:2" x14ac:dyDescent="0.2">
      <c r="B157" s="1"/>
    </row>
    <row r="158" spans="2:2" x14ac:dyDescent="0.2">
      <c r="B158" s="1"/>
    </row>
    <row r="159" spans="2:2" x14ac:dyDescent="0.2">
      <c r="B159" s="1"/>
    </row>
    <row r="160" spans="2:2" x14ac:dyDescent="0.2">
      <c r="B160" s="1"/>
    </row>
    <row r="161" spans="2:2" x14ac:dyDescent="0.2">
      <c r="B161" s="1"/>
    </row>
    <row r="162" spans="2:2" x14ac:dyDescent="0.2">
      <c r="B162" s="1"/>
    </row>
    <row r="163" spans="2:2" x14ac:dyDescent="0.2">
      <c r="B163" s="1"/>
    </row>
    <row r="164" spans="2:2" x14ac:dyDescent="0.2">
      <c r="B164" s="1"/>
    </row>
    <row r="165" spans="2:2" x14ac:dyDescent="0.2">
      <c r="B165" s="1"/>
    </row>
    <row r="166" spans="2:2" x14ac:dyDescent="0.2">
      <c r="B166" s="1"/>
    </row>
    <row r="167" spans="2:2" x14ac:dyDescent="0.2">
      <c r="B167" s="1"/>
    </row>
    <row r="168" spans="2:2" x14ac:dyDescent="0.2">
      <c r="B168" s="1"/>
    </row>
    <row r="169" spans="2:2" x14ac:dyDescent="0.2">
      <c r="B169" s="1"/>
    </row>
    <row r="170" spans="2:2" x14ac:dyDescent="0.2">
      <c r="B170" s="1"/>
    </row>
    <row r="171" spans="2:2" x14ac:dyDescent="0.2">
      <c r="B171" s="1"/>
    </row>
    <row r="172" spans="2:2" x14ac:dyDescent="0.2">
      <c r="B172" s="1"/>
    </row>
    <row r="173" spans="2:2" x14ac:dyDescent="0.2">
      <c r="B173" s="1"/>
    </row>
    <row r="174" spans="2:2" x14ac:dyDescent="0.2">
      <c r="B174" s="1"/>
    </row>
    <row r="175" spans="2:2" x14ac:dyDescent="0.2">
      <c r="B175" s="1"/>
    </row>
    <row r="176" spans="2:2" x14ac:dyDescent="0.2">
      <c r="B176" s="1"/>
    </row>
    <row r="177" spans="2:2" x14ac:dyDescent="0.2">
      <c r="B177" s="1"/>
    </row>
    <row r="178" spans="2:2" x14ac:dyDescent="0.2">
      <c r="B178" s="1"/>
    </row>
    <row r="179" spans="2:2" x14ac:dyDescent="0.2">
      <c r="B179" s="1"/>
    </row>
    <row r="180" spans="2:2" x14ac:dyDescent="0.2">
      <c r="B180" s="1"/>
    </row>
    <row r="181" spans="2:2" x14ac:dyDescent="0.2">
      <c r="B181" s="1"/>
    </row>
    <row r="182" spans="2:2" x14ac:dyDescent="0.2">
      <c r="B182" s="1"/>
    </row>
    <row r="183" spans="2:2" x14ac:dyDescent="0.2">
      <c r="B183" s="1"/>
    </row>
    <row r="184" spans="2:2" x14ac:dyDescent="0.2">
      <c r="B184" s="1"/>
    </row>
    <row r="185" spans="2:2" x14ac:dyDescent="0.2">
      <c r="B185" s="1"/>
    </row>
    <row r="186" spans="2:2" x14ac:dyDescent="0.2">
      <c r="B186" s="1"/>
    </row>
    <row r="187" spans="2:2" x14ac:dyDescent="0.2">
      <c r="B187" s="1"/>
    </row>
    <row r="188" spans="2:2" x14ac:dyDescent="0.2">
      <c r="B188" s="1"/>
    </row>
    <row r="189" spans="2:2" x14ac:dyDescent="0.2">
      <c r="B189" s="1"/>
    </row>
    <row r="190" spans="2:2" x14ac:dyDescent="0.2">
      <c r="B190" s="1"/>
    </row>
    <row r="191" spans="2:2" x14ac:dyDescent="0.2">
      <c r="B191" s="1"/>
    </row>
    <row r="192" spans="2:2" x14ac:dyDescent="0.2">
      <c r="B192" s="1"/>
    </row>
    <row r="193" spans="2:2" x14ac:dyDescent="0.2">
      <c r="B193" s="1"/>
    </row>
    <row r="194" spans="2:2" x14ac:dyDescent="0.2">
      <c r="B194" s="1"/>
    </row>
    <row r="195" spans="2:2" x14ac:dyDescent="0.2">
      <c r="B195" s="1"/>
    </row>
    <row r="196" spans="2:2" x14ac:dyDescent="0.2">
      <c r="B196" s="1"/>
    </row>
    <row r="197" spans="2:2" x14ac:dyDescent="0.2">
      <c r="B197" s="1"/>
    </row>
    <row r="198" spans="2:2" x14ac:dyDescent="0.2">
      <c r="B198" s="1"/>
    </row>
    <row r="199" spans="2:2" x14ac:dyDescent="0.2">
      <c r="B199" s="1"/>
    </row>
    <row r="200" spans="2:2" x14ac:dyDescent="0.2">
      <c r="B200" s="1"/>
    </row>
    <row r="201" spans="2:2" x14ac:dyDescent="0.2">
      <c r="B201" s="1"/>
    </row>
    <row r="202" spans="2:2" x14ac:dyDescent="0.2">
      <c r="B202" s="1"/>
    </row>
    <row r="203" spans="2:2" x14ac:dyDescent="0.2">
      <c r="B203" s="1"/>
    </row>
    <row r="204" spans="2:2" x14ac:dyDescent="0.2">
      <c r="B204" s="1"/>
    </row>
    <row r="205" spans="2:2" x14ac:dyDescent="0.2">
      <c r="B205" s="1"/>
    </row>
    <row r="206" spans="2:2" x14ac:dyDescent="0.2">
      <c r="B206" s="1"/>
    </row>
    <row r="207" spans="2:2" x14ac:dyDescent="0.2">
      <c r="B207" s="1"/>
    </row>
    <row r="208" spans="2:2" x14ac:dyDescent="0.2">
      <c r="B208" s="1"/>
    </row>
    <row r="209" spans="2:2" x14ac:dyDescent="0.2">
      <c r="B209" s="1"/>
    </row>
    <row r="210" spans="2:2" x14ac:dyDescent="0.2">
      <c r="B210" s="1"/>
    </row>
    <row r="211" spans="2:2" x14ac:dyDescent="0.2">
      <c r="B211" s="1"/>
    </row>
    <row r="212" spans="2:2" x14ac:dyDescent="0.2">
      <c r="B212" s="1"/>
    </row>
    <row r="213" spans="2:2" x14ac:dyDescent="0.2">
      <c r="B213" s="1"/>
    </row>
    <row r="214" spans="2:2" x14ac:dyDescent="0.2">
      <c r="B214" s="1"/>
    </row>
    <row r="215" spans="2:2" x14ac:dyDescent="0.2">
      <c r="B215" s="1"/>
    </row>
    <row r="216" spans="2:2" x14ac:dyDescent="0.2">
      <c r="B216" s="1"/>
    </row>
    <row r="217" spans="2:2" x14ac:dyDescent="0.2">
      <c r="B217" s="1"/>
    </row>
    <row r="218" spans="2:2" x14ac:dyDescent="0.2">
      <c r="B218" s="1"/>
    </row>
    <row r="219" spans="2:2" x14ac:dyDescent="0.2">
      <c r="B219" s="1"/>
    </row>
    <row r="220" spans="2:2" x14ac:dyDescent="0.2">
      <c r="B220" s="1"/>
    </row>
    <row r="221" spans="2:2" x14ac:dyDescent="0.2">
      <c r="B221" s="1"/>
    </row>
    <row r="222" spans="2:2" x14ac:dyDescent="0.2">
      <c r="B222" s="1"/>
    </row>
    <row r="223" spans="2:2" x14ac:dyDescent="0.2">
      <c r="B223" s="1"/>
    </row>
    <row r="224" spans="2:2" x14ac:dyDescent="0.2">
      <c r="B224" s="1"/>
    </row>
    <row r="225" spans="2:2" x14ac:dyDescent="0.2">
      <c r="B225" s="1"/>
    </row>
    <row r="226" spans="2:2" x14ac:dyDescent="0.2">
      <c r="B226" s="1"/>
    </row>
    <row r="227" spans="2:2" x14ac:dyDescent="0.2">
      <c r="B227" s="1"/>
    </row>
    <row r="228" spans="2:2" x14ac:dyDescent="0.2">
      <c r="B228" s="1"/>
    </row>
    <row r="229" spans="2:2" x14ac:dyDescent="0.2">
      <c r="B229" s="1"/>
    </row>
    <row r="230" spans="2:2" x14ac:dyDescent="0.2">
      <c r="B230" s="1"/>
    </row>
    <row r="231" spans="2:2" x14ac:dyDescent="0.2">
      <c r="B231" s="1"/>
    </row>
    <row r="232" spans="2:2" x14ac:dyDescent="0.2">
      <c r="B232" s="1"/>
    </row>
    <row r="233" spans="2:2" x14ac:dyDescent="0.2">
      <c r="B233" s="1"/>
    </row>
    <row r="234" spans="2:2" x14ac:dyDescent="0.2">
      <c r="B234" s="1"/>
    </row>
    <row r="235" spans="2:2" x14ac:dyDescent="0.2">
      <c r="B235" s="1"/>
    </row>
    <row r="236" spans="2:2" x14ac:dyDescent="0.2">
      <c r="B236" s="1"/>
    </row>
    <row r="237" spans="2:2" x14ac:dyDescent="0.2">
      <c r="B237" s="1"/>
    </row>
    <row r="238" spans="2:2" x14ac:dyDescent="0.2">
      <c r="B238" s="1"/>
    </row>
    <row r="239" spans="2:2" x14ac:dyDescent="0.2">
      <c r="B239" s="1"/>
    </row>
    <row r="240" spans="2:2" x14ac:dyDescent="0.2">
      <c r="B240" s="1"/>
    </row>
    <row r="241" spans="2:2" x14ac:dyDescent="0.2">
      <c r="B241" s="1"/>
    </row>
    <row r="242" spans="2:2" x14ac:dyDescent="0.2">
      <c r="B242" s="1"/>
    </row>
    <row r="243" spans="2:2" x14ac:dyDescent="0.2">
      <c r="B243" s="1"/>
    </row>
    <row r="244" spans="2:2" x14ac:dyDescent="0.2">
      <c r="B244" s="1"/>
    </row>
    <row r="245" spans="2:2" x14ac:dyDescent="0.2">
      <c r="B245" s="1"/>
    </row>
    <row r="246" spans="2:2" x14ac:dyDescent="0.2">
      <c r="B246" s="1"/>
    </row>
    <row r="247" spans="2:2" x14ac:dyDescent="0.2">
      <c r="B247" s="1"/>
    </row>
    <row r="248" spans="2:2" x14ac:dyDescent="0.2">
      <c r="B248" s="1"/>
    </row>
    <row r="249" spans="2:2" x14ac:dyDescent="0.2">
      <c r="B249" s="1"/>
    </row>
    <row r="250" spans="2:2" x14ac:dyDescent="0.2">
      <c r="B250" s="1"/>
    </row>
    <row r="251" spans="2:2" x14ac:dyDescent="0.2">
      <c r="B251" s="1"/>
    </row>
    <row r="252" spans="2:2" x14ac:dyDescent="0.2">
      <c r="B252" s="1"/>
    </row>
    <row r="253" spans="2:2" x14ac:dyDescent="0.2">
      <c r="B253" s="1"/>
    </row>
    <row r="254" spans="2:2" x14ac:dyDescent="0.2">
      <c r="B254" s="1"/>
    </row>
    <row r="255" spans="2:2" x14ac:dyDescent="0.2">
      <c r="B255" s="1"/>
    </row>
    <row r="256" spans="2:2" x14ac:dyDescent="0.2">
      <c r="B256" s="1"/>
    </row>
    <row r="257" spans="2:2" x14ac:dyDescent="0.2">
      <c r="B257" s="1"/>
    </row>
    <row r="258" spans="2:2" x14ac:dyDescent="0.2">
      <c r="B258" s="1"/>
    </row>
    <row r="259" spans="2:2" x14ac:dyDescent="0.2">
      <c r="B259" s="1"/>
    </row>
    <row r="260" spans="2:2" x14ac:dyDescent="0.2">
      <c r="B260" s="1"/>
    </row>
    <row r="261" spans="2:2" x14ac:dyDescent="0.2">
      <c r="B261" s="1"/>
    </row>
    <row r="262" spans="2:2" x14ac:dyDescent="0.2">
      <c r="B262" s="1"/>
    </row>
    <row r="263" spans="2:2" x14ac:dyDescent="0.2">
      <c r="B263" s="1"/>
    </row>
    <row r="264" spans="2:2" x14ac:dyDescent="0.2">
      <c r="B264" s="1"/>
    </row>
    <row r="265" spans="2:2" x14ac:dyDescent="0.2">
      <c r="B265" s="1"/>
    </row>
    <row r="266" spans="2:2" x14ac:dyDescent="0.2">
      <c r="B266" s="1"/>
    </row>
    <row r="267" spans="2:2" x14ac:dyDescent="0.2">
      <c r="B267" s="1"/>
    </row>
    <row r="268" spans="2:2" x14ac:dyDescent="0.2">
      <c r="B268" s="1"/>
    </row>
    <row r="269" spans="2:2" x14ac:dyDescent="0.2">
      <c r="B269" s="1"/>
    </row>
    <row r="270" spans="2:2" x14ac:dyDescent="0.2">
      <c r="B270" s="1"/>
    </row>
    <row r="271" spans="2:2" x14ac:dyDescent="0.2">
      <c r="B271" s="1"/>
    </row>
    <row r="272" spans="2:2" x14ac:dyDescent="0.2">
      <c r="B272" s="1"/>
    </row>
    <row r="273" spans="2:2" x14ac:dyDescent="0.2">
      <c r="B273" s="1"/>
    </row>
    <row r="274" spans="2:2" x14ac:dyDescent="0.2">
      <c r="B274" s="1"/>
    </row>
    <row r="275" spans="2:2" x14ac:dyDescent="0.2">
      <c r="B275" s="1"/>
    </row>
    <row r="276" spans="2:2" x14ac:dyDescent="0.2">
      <c r="B276" s="1"/>
    </row>
    <row r="277" spans="2:2" x14ac:dyDescent="0.2">
      <c r="B277" s="1"/>
    </row>
    <row r="278" spans="2:2" x14ac:dyDescent="0.2">
      <c r="B278" s="1"/>
    </row>
    <row r="279" spans="2:2" x14ac:dyDescent="0.2">
      <c r="B279" s="1"/>
    </row>
    <row r="280" spans="2:2" x14ac:dyDescent="0.2">
      <c r="B280" s="1"/>
    </row>
    <row r="281" spans="2:2" x14ac:dyDescent="0.2">
      <c r="B281" s="1"/>
    </row>
    <row r="282" spans="2:2" x14ac:dyDescent="0.2">
      <c r="B282" s="1"/>
    </row>
    <row r="283" spans="2:2" x14ac:dyDescent="0.2">
      <c r="B283" s="1"/>
    </row>
    <row r="284" spans="2:2" x14ac:dyDescent="0.2">
      <c r="B284" s="1"/>
    </row>
    <row r="285" spans="2:2" x14ac:dyDescent="0.2">
      <c r="B285" s="1"/>
    </row>
    <row r="286" spans="2:2" x14ac:dyDescent="0.2">
      <c r="B286" s="1"/>
    </row>
    <row r="287" spans="2:2" x14ac:dyDescent="0.2">
      <c r="B287" s="1"/>
    </row>
    <row r="288" spans="2:2" x14ac:dyDescent="0.2">
      <c r="B288" s="1"/>
    </row>
    <row r="289" spans="2:2" x14ac:dyDescent="0.2">
      <c r="B289" s="1"/>
    </row>
    <row r="290" spans="2:2" x14ac:dyDescent="0.2">
      <c r="B290" s="1"/>
    </row>
    <row r="291" spans="2:2" x14ac:dyDescent="0.2">
      <c r="B291" s="1"/>
    </row>
    <row r="292" spans="2:2" x14ac:dyDescent="0.2">
      <c r="B292" s="1"/>
    </row>
    <row r="293" spans="2:2" x14ac:dyDescent="0.2">
      <c r="B293" s="1"/>
    </row>
    <row r="294" spans="2:2" x14ac:dyDescent="0.2">
      <c r="B294" s="1"/>
    </row>
    <row r="295" spans="2:2" x14ac:dyDescent="0.2">
      <c r="B295" s="1"/>
    </row>
    <row r="296" spans="2:2" x14ac:dyDescent="0.2">
      <c r="B296" s="1"/>
    </row>
    <row r="297" spans="2:2" x14ac:dyDescent="0.2">
      <c r="B297" s="1"/>
    </row>
    <row r="298" spans="2:2" x14ac:dyDescent="0.2">
      <c r="B298" s="1"/>
    </row>
    <row r="299" spans="2:2" x14ac:dyDescent="0.2">
      <c r="B299" s="1"/>
    </row>
    <row r="300" spans="2:2" x14ac:dyDescent="0.2">
      <c r="B300" s="1"/>
    </row>
    <row r="301" spans="2:2" x14ac:dyDescent="0.2">
      <c r="B301" s="1"/>
    </row>
    <row r="302" spans="2:2" x14ac:dyDescent="0.2">
      <c r="B302" s="1"/>
    </row>
    <row r="303" spans="2:2" x14ac:dyDescent="0.2">
      <c r="B303" s="1"/>
    </row>
    <row r="304" spans="2:2" x14ac:dyDescent="0.2">
      <c r="B304" s="1"/>
    </row>
    <row r="305" spans="2:2" x14ac:dyDescent="0.2">
      <c r="B305" s="1"/>
    </row>
    <row r="306" spans="2:2" x14ac:dyDescent="0.2">
      <c r="B306" s="1"/>
    </row>
    <row r="307" spans="2:2" x14ac:dyDescent="0.2">
      <c r="B307" s="1"/>
    </row>
    <row r="308" spans="2:2" x14ac:dyDescent="0.2">
      <c r="B308" s="1"/>
    </row>
    <row r="309" spans="2:2" x14ac:dyDescent="0.2">
      <c r="B309" s="1"/>
    </row>
    <row r="310" spans="2:2" x14ac:dyDescent="0.2">
      <c r="B310" s="1"/>
    </row>
    <row r="311" spans="2:2" x14ac:dyDescent="0.2">
      <c r="B311" s="1"/>
    </row>
    <row r="312" spans="2:2" x14ac:dyDescent="0.2">
      <c r="B312" s="1"/>
    </row>
    <row r="313" spans="2:2" x14ac:dyDescent="0.2">
      <c r="B313" s="1"/>
    </row>
    <row r="314" spans="2:2" x14ac:dyDescent="0.2">
      <c r="B314" s="1"/>
    </row>
    <row r="315" spans="2:2" x14ac:dyDescent="0.2">
      <c r="B315" s="1"/>
    </row>
    <row r="316" spans="2:2" x14ac:dyDescent="0.2">
      <c r="B316" s="1"/>
    </row>
    <row r="317" spans="2:2" x14ac:dyDescent="0.2">
      <c r="B317" s="1"/>
    </row>
    <row r="318" spans="2:2" x14ac:dyDescent="0.2">
      <c r="B318" s="1"/>
    </row>
    <row r="319" spans="2:2" x14ac:dyDescent="0.2">
      <c r="B319" s="1"/>
    </row>
    <row r="320" spans="2:2" x14ac:dyDescent="0.2">
      <c r="B320" s="1"/>
    </row>
    <row r="321" spans="2:2" x14ac:dyDescent="0.2">
      <c r="B321" s="1"/>
    </row>
    <row r="322" spans="2:2" x14ac:dyDescent="0.2">
      <c r="B322" s="1"/>
    </row>
    <row r="323" spans="2:2" x14ac:dyDescent="0.2">
      <c r="B323" s="1"/>
    </row>
    <row r="324" spans="2:2" x14ac:dyDescent="0.2">
      <c r="B324" s="1"/>
    </row>
    <row r="325" spans="2:2" x14ac:dyDescent="0.2">
      <c r="B325" s="1"/>
    </row>
    <row r="326" spans="2:2" x14ac:dyDescent="0.2">
      <c r="B326" s="1"/>
    </row>
    <row r="327" spans="2:2" x14ac:dyDescent="0.2">
      <c r="B327" s="1"/>
    </row>
    <row r="328" spans="2:2" x14ac:dyDescent="0.2">
      <c r="B328" s="1"/>
    </row>
    <row r="329" spans="2:2" x14ac:dyDescent="0.2">
      <c r="B329" s="1"/>
    </row>
    <row r="330" spans="2:2" x14ac:dyDescent="0.2">
      <c r="B330" s="1"/>
    </row>
    <row r="331" spans="2:2" x14ac:dyDescent="0.2">
      <c r="B331" s="1"/>
    </row>
    <row r="332" spans="2:2" x14ac:dyDescent="0.2">
      <c r="B332" s="1"/>
    </row>
    <row r="333" spans="2:2" x14ac:dyDescent="0.2">
      <c r="B333" s="1"/>
    </row>
    <row r="334" spans="2:2" x14ac:dyDescent="0.2">
      <c r="B334" s="1"/>
    </row>
    <row r="335" spans="2:2" x14ac:dyDescent="0.2">
      <c r="B335" s="1"/>
    </row>
    <row r="336" spans="2:2" x14ac:dyDescent="0.2">
      <c r="B336" s="1"/>
    </row>
    <row r="337" spans="2:2" x14ac:dyDescent="0.2">
      <c r="B337" s="1"/>
    </row>
    <row r="338" spans="2:2" x14ac:dyDescent="0.2">
      <c r="B338" s="1"/>
    </row>
    <row r="339" spans="2:2" x14ac:dyDescent="0.2">
      <c r="B339" s="1"/>
    </row>
    <row r="340" spans="2:2" x14ac:dyDescent="0.2">
      <c r="B340" s="1"/>
    </row>
    <row r="341" spans="2:2" x14ac:dyDescent="0.2">
      <c r="B341" s="1"/>
    </row>
    <row r="342" spans="2:2" x14ac:dyDescent="0.2">
      <c r="B342" s="1"/>
    </row>
    <row r="343" spans="2:2" x14ac:dyDescent="0.2">
      <c r="B343" s="1"/>
    </row>
    <row r="344" spans="2:2" x14ac:dyDescent="0.2">
      <c r="B344" s="1"/>
    </row>
    <row r="345" spans="2:2" x14ac:dyDescent="0.2">
      <c r="B345" s="1"/>
    </row>
    <row r="346" spans="2:2" x14ac:dyDescent="0.2">
      <c r="B346" s="1"/>
    </row>
    <row r="347" spans="2:2" x14ac:dyDescent="0.2">
      <c r="B347" s="1"/>
    </row>
    <row r="348" spans="2:2" x14ac:dyDescent="0.2">
      <c r="B348" s="1"/>
    </row>
    <row r="349" spans="2:2" x14ac:dyDescent="0.2">
      <c r="B349" s="1"/>
    </row>
    <row r="350" spans="2:2" x14ac:dyDescent="0.2">
      <c r="B350" s="1"/>
    </row>
    <row r="351" spans="2:2" x14ac:dyDescent="0.2">
      <c r="B351" s="1"/>
    </row>
    <row r="352" spans="2:2" x14ac:dyDescent="0.2">
      <c r="B352" s="1"/>
    </row>
    <row r="353" spans="2:2" x14ac:dyDescent="0.2">
      <c r="B353" s="1"/>
    </row>
    <row r="354" spans="2:2" x14ac:dyDescent="0.2">
      <c r="B354" s="1"/>
    </row>
    <row r="355" spans="2:2" x14ac:dyDescent="0.2">
      <c r="B355" s="1"/>
    </row>
    <row r="356" spans="2:2" x14ac:dyDescent="0.2">
      <c r="B356" s="1"/>
    </row>
    <row r="357" spans="2:2" x14ac:dyDescent="0.2">
      <c r="B357" s="1"/>
    </row>
    <row r="358" spans="2:2" x14ac:dyDescent="0.2">
      <c r="B358" s="1"/>
    </row>
    <row r="359" spans="2:2" x14ac:dyDescent="0.2">
      <c r="B359" s="1"/>
    </row>
    <row r="360" spans="2:2" x14ac:dyDescent="0.2">
      <c r="B360" s="1"/>
    </row>
    <row r="361" spans="2:2" x14ac:dyDescent="0.2">
      <c r="B361" s="1"/>
    </row>
    <row r="362" spans="2:2" x14ac:dyDescent="0.2">
      <c r="B362" s="1"/>
    </row>
    <row r="363" spans="2:2" x14ac:dyDescent="0.2">
      <c r="B363" s="1"/>
    </row>
    <row r="364" spans="2:2" x14ac:dyDescent="0.2">
      <c r="B364" s="1"/>
    </row>
    <row r="365" spans="2:2" x14ac:dyDescent="0.2">
      <c r="B365" s="1"/>
    </row>
    <row r="366" spans="2:2" x14ac:dyDescent="0.2">
      <c r="B366" s="1"/>
    </row>
    <row r="367" spans="2:2" x14ac:dyDescent="0.2">
      <c r="B367" s="1"/>
    </row>
    <row r="368" spans="2:2" x14ac:dyDescent="0.2">
      <c r="B368" s="1"/>
    </row>
    <row r="369" spans="2:2" x14ac:dyDescent="0.2">
      <c r="B369" s="1"/>
    </row>
    <row r="370" spans="2:2" x14ac:dyDescent="0.2">
      <c r="B370" s="1"/>
    </row>
    <row r="371" spans="2:2" x14ac:dyDescent="0.2">
      <c r="B371" s="1"/>
    </row>
    <row r="372" spans="2:2" x14ac:dyDescent="0.2">
      <c r="B372" s="1"/>
    </row>
    <row r="373" spans="2:2" x14ac:dyDescent="0.2">
      <c r="B373" s="1"/>
    </row>
    <row r="374" spans="2:2" x14ac:dyDescent="0.2">
      <c r="B374" s="1"/>
    </row>
    <row r="375" spans="2:2" x14ac:dyDescent="0.2">
      <c r="B375" s="1"/>
    </row>
    <row r="376" spans="2:2" x14ac:dyDescent="0.2">
      <c r="B376" s="1"/>
    </row>
    <row r="377" spans="2:2" x14ac:dyDescent="0.2">
      <c r="B377" s="1"/>
    </row>
    <row r="378" spans="2:2" x14ac:dyDescent="0.2">
      <c r="B378" s="1"/>
    </row>
    <row r="379" spans="2:2" x14ac:dyDescent="0.2">
      <c r="B379" s="1"/>
    </row>
    <row r="380" spans="2:2" x14ac:dyDescent="0.2">
      <c r="B380" s="1"/>
    </row>
    <row r="381" spans="2:2" x14ac:dyDescent="0.2">
      <c r="B381" s="1"/>
    </row>
  </sheetData>
  <conditionalFormatting sqref="G2:G39">
    <cfRule type="expression" dxfId="119" priority="5">
      <formula>AND($E2=$N$18,$F2&gt;$D2)</formula>
    </cfRule>
  </conditionalFormatting>
  <conditionalFormatting sqref="G2:G39">
    <cfRule type="expression" dxfId="118" priority="4">
      <formula>AND($E2=$N$18,$F2&lt;$D2)</formula>
    </cfRule>
  </conditionalFormatting>
  <conditionalFormatting sqref="G2:G39">
    <cfRule type="expression" dxfId="117" priority="3">
      <formula>$D2=$F2</formula>
    </cfRule>
  </conditionalFormatting>
  <conditionalFormatting sqref="G2:G39">
    <cfRule type="expression" dxfId="116" priority="2">
      <formula>AND($C2=$N$18,$D2&lt;$F2)</formula>
    </cfRule>
  </conditionalFormatting>
  <conditionalFormatting sqref="G2:G39">
    <cfRule type="expression" dxfId="115" priority="1">
      <formula>AND($C2=$N$18,$D2&gt;$F2)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3B05D-57E4-4686-B66B-DDF5033A91CE}">
  <sheetPr codeName="Sheet6"/>
  <dimension ref="A1:W42"/>
  <sheetViews>
    <sheetView zoomScale="60" zoomScaleNormal="60" workbookViewId="0"/>
  </sheetViews>
  <sheetFormatPr baseColWidth="10" defaultColWidth="8.83203125" defaultRowHeight="15" x14ac:dyDescent="0.2"/>
  <cols>
    <col min="2" max="2" width="11.5" style="1" bestFit="1" customWidth="1"/>
    <col min="3" max="3" width="28.6640625" bestFit="1" customWidth="1"/>
    <col min="4" max="4" width="11.83203125" bestFit="1" customWidth="1"/>
    <col min="5" max="5" width="28.6640625" bestFit="1" customWidth="1"/>
    <col min="6" max="6" width="11.5" bestFit="1" customWidth="1"/>
    <col min="11" max="11" width="12.6640625" customWidth="1"/>
    <col min="12" max="12" width="11.1640625" customWidth="1"/>
    <col min="13" max="13" width="9.1640625" customWidth="1"/>
    <col min="14" max="14" width="25.1640625" bestFit="1" customWidth="1"/>
    <col min="15" max="22" width="10.6640625" customWidth="1"/>
  </cols>
  <sheetData>
    <row r="1" spans="1:20" ht="32" x14ac:dyDescent="0.2">
      <c r="A1" s="67" t="s">
        <v>0</v>
      </c>
      <c r="B1" s="71" t="s">
        <v>1</v>
      </c>
      <c r="C1" s="68" t="s">
        <v>2</v>
      </c>
      <c r="D1" s="68" t="s">
        <v>3</v>
      </c>
      <c r="E1" s="68" t="s">
        <v>4</v>
      </c>
      <c r="F1" s="69" t="s">
        <v>5</v>
      </c>
      <c r="G1" s="70" t="s">
        <v>71</v>
      </c>
      <c r="H1" s="70" t="s">
        <v>19</v>
      </c>
      <c r="I1" s="81" t="s">
        <v>72</v>
      </c>
      <c r="J1" s="81" t="s">
        <v>53</v>
      </c>
      <c r="K1" s="81" t="s">
        <v>55</v>
      </c>
      <c r="L1" s="81" t="s">
        <v>73</v>
      </c>
      <c r="Q1" s="58" t="s">
        <v>74</v>
      </c>
      <c r="R1" t="s">
        <v>75</v>
      </c>
      <c r="S1" t="s">
        <v>76</v>
      </c>
      <c r="T1" s="63" t="s">
        <v>77</v>
      </c>
    </row>
    <row r="2" spans="1:20" x14ac:dyDescent="0.2">
      <c r="A2" s="2" cm="1">
        <f t="array" ref="A2:F39">_xlfn._xlws.FILTER(eng_1[],(eng_1[Home]='England 1'!C3)+(eng_1[Away]='England 1'!E14))</f>
        <v>1</v>
      </c>
      <c r="B2" s="1">
        <v>43687</v>
      </c>
      <c r="C2" t="str">
        <v>West Ham United FC</v>
      </c>
      <c r="D2">
        <v>0</v>
      </c>
      <c r="E2" t="str">
        <v>Manchester City FC</v>
      </c>
      <c r="F2">
        <v>5</v>
      </c>
      <c r="H2" s="59" cm="1">
        <f t="array" ref="H2">_xlfn.IFS(AND(C2=$N$18,D2&gt;F2),3,AND(E2=$N$18,F2&gt;D2),3,AND(C2=$N$18,D2=F2),1,AND(E2=$N$18,D2=F2),1,AND(C2=$N$18,D2&lt;F2),0,AND(E2=$N$18,F2&lt;D2),0)</f>
        <v>0</v>
      </c>
      <c r="I2" cm="1">
        <f t="array" ref="I2">_xlfn.IFS(H2=3,1,H2=1,0,H2=0,0)</f>
        <v>0</v>
      </c>
      <c r="J2" s="59" cm="1">
        <f t="array" ref="J2">_xlfn.IFS(H2=0,1,H2=1,0,H2=3,0)</f>
        <v>1</v>
      </c>
      <c r="K2" cm="1">
        <f t="array" ref="K2">_xlfn.IFS(H2=3,1,H2=1,1,H2=0,0)</f>
        <v>0</v>
      </c>
      <c r="L2" cm="1">
        <f t="array" ref="L2">_xlfn.IFS(H2=0,1,H2=1,1,H2=3,0)</f>
        <v>1</v>
      </c>
      <c r="Q2" s="56" t="s">
        <v>78</v>
      </c>
      <c r="R2">
        <v>19</v>
      </c>
      <c r="S2">
        <v>19</v>
      </c>
      <c r="T2" s="60">
        <v>1</v>
      </c>
    </row>
    <row r="3" spans="1:20" x14ac:dyDescent="0.2">
      <c r="A3">
        <v>2</v>
      </c>
      <c r="B3" s="1">
        <v>43694</v>
      </c>
      <c r="C3" t="str">
        <v>Brighton &amp; Hove Albion FC</v>
      </c>
      <c r="D3">
        <v>1</v>
      </c>
      <c r="E3" t="str">
        <v>West Ham United FC</v>
      </c>
      <c r="F3">
        <v>1</v>
      </c>
      <c r="H3" s="59" cm="1">
        <f t="array" ref="H3">_xlfn.IFS(AND(C3=$N$18,D3&gt;F3),3,AND(E3=$N$18,F3&gt;D3),3,AND(C3=$N$18,D3=F3),1,AND(E3=$N$18,D3=F3),1,AND(C3=$N$18,D3&lt;F3),0,AND(E3=$N$18,F3&lt;D3),0)</f>
        <v>1</v>
      </c>
      <c r="I3">
        <f t="shared" ref="I3:I39" si="0">IF(H3=3,1+I2,0)</f>
        <v>0</v>
      </c>
      <c r="J3" s="59">
        <f t="shared" ref="J3:J39" si="1">IF(H3=0,1+J2,0)</f>
        <v>0</v>
      </c>
      <c r="K3" cm="1">
        <f t="array" ref="K3">_xlfn.IFS(H3=3,1+K2,H3=1,1+K2,H3=0,0)</f>
        <v>1</v>
      </c>
      <c r="L3" cm="1">
        <f t="array" ref="L3">_xlfn.IFS(H3=0,1+L2,H3=1,1+L2,H3=3,0)</f>
        <v>2</v>
      </c>
      <c r="N3" s="48" t="s">
        <v>79</v>
      </c>
      <c r="O3" s="48" t="s">
        <v>80</v>
      </c>
      <c r="Q3" s="57" t="s">
        <v>81</v>
      </c>
      <c r="R3">
        <v>4</v>
      </c>
      <c r="S3">
        <v>7</v>
      </c>
      <c r="T3" s="60">
        <v>1.75</v>
      </c>
    </row>
    <row r="4" spans="1:20" x14ac:dyDescent="0.2">
      <c r="A4">
        <v>3</v>
      </c>
      <c r="B4" s="1">
        <v>43701</v>
      </c>
      <c r="C4" t="str">
        <v>Watford FC</v>
      </c>
      <c r="D4">
        <v>1</v>
      </c>
      <c r="E4" t="str">
        <v>West Ham United FC</v>
      </c>
      <c r="F4">
        <v>3</v>
      </c>
      <c r="H4" s="59" cm="1">
        <f t="array" ref="H4">_xlfn.IFS(AND(C4=$N$18,D4&gt;F4),3,AND(E4=$N$18,F4&gt;D4),3,AND(C4=$N$18,D4=F4),1,AND(E4=$N$18,D4=F4),1,AND(C4=$N$18,D4&lt;F4),0,AND(E4=$N$18,F4&lt;D4),0)</f>
        <v>3</v>
      </c>
      <c r="I4">
        <f t="shared" si="0"/>
        <v>1</v>
      </c>
      <c r="J4" s="59">
        <f t="shared" si="1"/>
        <v>0</v>
      </c>
      <c r="K4" cm="1">
        <f t="array" ref="K4">_xlfn.IFS(H4=3,1+K3,H4=1,1+K3,H4=0,0)</f>
        <v>2</v>
      </c>
      <c r="L4" cm="1">
        <f t="array" ref="L4">_xlfn.IFS(H4=0,1+L3,H4=1,1+L3,H4=3,0)</f>
        <v>0</v>
      </c>
      <c r="N4" s="49" t="s">
        <v>82</v>
      </c>
      <c r="O4" s="50"/>
      <c r="Q4" s="57" t="s">
        <v>83</v>
      </c>
      <c r="R4">
        <v>3</v>
      </c>
      <c r="S4">
        <v>5</v>
      </c>
      <c r="T4" s="60">
        <v>1.6666666666666667</v>
      </c>
    </row>
    <row r="5" spans="1:20" x14ac:dyDescent="0.2">
      <c r="A5">
        <v>4</v>
      </c>
      <c r="B5" s="1">
        <v>43708</v>
      </c>
      <c r="C5" t="str">
        <v>West Ham United FC</v>
      </c>
      <c r="D5">
        <v>2</v>
      </c>
      <c r="E5" t="str">
        <v>Norwich City FC</v>
      </c>
      <c r="F5">
        <v>0</v>
      </c>
      <c r="H5" s="59" cm="1">
        <f t="array" ref="H5">_xlfn.IFS(AND(C5=$N$18,D5&gt;F5),3,AND(E5=$N$18,F5&gt;D5),3,AND(C5=$N$18,D5=F5),1,AND(E5=$N$18,D5=F5),1,AND(C5=$N$18,D5&lt;F5),0,AND(E5=$N$18,F5&lt;D5),0)</f>
        <v>3</v>
      </c>
      <c r="I5">
        <f t="shared" si="0"/>
        <v>2</v>
      </c>
      <c r="J5" s="59">
        <f t="shared" si="1"/>
        <v>0</v>
      </c>
      <c r="K5" cm="1">
        <f t="array" ref="K5">_xlfn.IFS(H5=3,1+K4,H5=1,1+K4,H5=0,0)</f>
        <v>3</v>
      </c>
      <c r="L5" cm="1">
        <f t="array" ref="L5">_xlfn.IFS(H5=0,1+L4,H5=1,1+L4,H5=3,0)</f>
        <v>0</v>
      </c>
      <c r="N5" s="49" t="s">
        <v>84</v>
      </c>
      <c r="O5" s="51"/>
      <c r="Q5" s="57" t="s">
        <v>85</v>
      </c>
      <c r="R5">
        <v>3</v>
      </c>
      <c r="S5">
        <v>1</v>
      </c>
      <c r="T5" s="60">
        <v>0.33333333333333331</v>
      </c>
    </row>
    <row r="6" spans="1:20" x14ac:dyDescent="0.2">
      <c r="A6">
        <v>5</v>
      </c>
      <c r="B6" s="1">
        <v>43724</v>
      </c>
      <c r="C6" t="str">
        <v>Aston Villa FC</v>
      </c>
      <c r="D6">
        <v>0</v>
      </c>
      <c r="E6" t="str">
        <v>West Ham United FC</v>
      </c>
      <c r="F6">
        <v>0</v>
      </c>
      <c r="H6" s="59" cm="1">
        <f t="array" ref="H6">_xlfn.IFS(AND(C6=$N$18,D6&gt;F6),3,AND(E6=$N$18,F6&gt;D6),3,AND(C6=$N$18,D6=F6),1,AND(E6=$N$18,D6=F6),1,AND(C6=$N$18,D6&lt;F6),0,AND(E6=$N$18,F6&lt;D6),0)</f>
        <v>1</v>
      </c>
      <c r="I6">
        <f t="shared" si="0"/>
        <v>0</v>
      </c>
      <c r="J6" s="59">
        <f t="shared" si="1"/>
        <v>0</v>
      </c>
      <c r="K6" cm="1">
        <f t="array" ref="K6">_xlfn.IFS(H6=3,1+K5,H6=1,1+K5,H6=0,0)</f>
        <v>4</v>
      </c>
      <c r="L6" cm="1">
        <f t="array" ref="L6">_xlfn.IFS(H6=0,1+L5,H6=1,1+L5,H6=3,0)</f>
        <v>1</v>
      </c>
      <c r="N6" s="49" t="s">
        <v>86</v>
      </c>
      <c r="O6" s="52"/>
      <c r="Q6" s="57" t="s">
        <v>87</v>
      </c>
      <c r="R6">
        <v>4</v>
      </c>
      <c r="S6">
        <v>3</v>
      </c>
      <c r="T6" s="60">
        <v>0.75</v>
      </c>
    </row>
    <row r="7" spans="1:20" x14ac:dyDescent="0.2">
      <c r="A7">
        <v>6</v>
      </c>
      <c r="B7" s="1">
        <v>43730</v>
      </c>
      <c r="C7" t="str">
        <v>West Ham United FC</v>
      </c>
      <c r="D7">
        <v>2</v>
      </c>
      <c r="E7" t="str">
        <v>Manchester United FC</v>
      </c>
      <c r="F7">
        <v>0</v>
      </c>
      <c r="H7" s="59" cm="1">
        <f t="array" ref="H7">_xlfn.IFS(AND(C7=$N$18,D7&gt;F7),3,AND(E7=$N$18,F7&gt;D7),3,AND(C7=$N$18,D7=F7),1,AND(E7=$N$18,D7=F7),1,AND(C7=$N$18,D7&lt;F7),0,AND(E7=$N$18,F7&lt;D7),0)</f>
        <v>3</v>
      </c>
      <c r="I7">
        <f t="shared" si="0"/>
        <v>1</v>
      </c>
      <c r="J7" s="59">
        <f t="shared" si="1"/>
        <v>0</v>
      </c>
      <c r="K7" cm="1">
        <f t="array" ref="K7">_xlfn.IFS(H7=3,1+K6,H7=1,1+K6,H7=0,0)</f>
        <v>5</v>
      </c>
      <c r="L7" cm="1">
        <f t="array" ref="L7">_xlfn.IFS(H7=0,1+L6,H7=1,1+L6,H7=3,0)</f>
        <v>0</v>
      </c>
      <c r="Q7" s="57" t="s">
        <v>88</v>
      </c>
      <c r="R7">
        <v>5</v>
      </c>
      <c r="S7">
        <v>3</v>
      </c>
      <c r="T7" s="60">
        <v>0.6</v>
      </c>
    </row>
    <row r="8" spans="1:20" x14ac:dyDescent="0.2">
      <c r="A8">
        <v>7</v>
      </c>
      <c r="B8" s="1">
        <v>43736</v>
      </c>
      <c r="C8" t="str">
        <v>AFC Bournemouth</v>
      </c>
      <c r="D8">
        <v>2</v>
      </c>
      <c r="E8" t="str">
        <v>West Ham United FC</v>
      </c>
      <c r="F8">
        <v>2</v>
      </c>
      <c r="H8" s="59" cm="1">
        <f t="array" ref="H8">_xlfn.IFS(AND(C8=$N$18,D8&gt;F8),3,AND(E8=$N$18,F8&gt;D8),3,AND(C8=$N$18,D8=F8),1,AND(E8=$N$18,D8=F8),1,AND(C8=$N$18,D8&lt;F8),0,AND(E8=$N$18,F8&lt;D8),0)</f>
        <v>1</v>
      </c>
      <c r="I8">
        <f t="shared" si="0"/>
        <v>0</v>
      </c>
      <c r="J8" s="59">
        <f t="shared" si="1"/>
        <v>0</v>
      </c>
      <c r="K8" cm="1">
        <f t="array" ref="K8">_xlfn.IFS(H8=3,1+K7,H8=1,1+K7,H8=0,0)</f>
        <v>6</v>
      </c>
      <c r="L8" cm="1">
        <f t="array" ref="L8">_xlfn.IFS(H8=0,1+L7,H8=1,1+L7,H8=3,0)</f>
        <v>1</v>
      </c>
      <c r="Q8" s="56" t="s">
        <v>89</v>
      </c>
      <c r="R8">
        <v>19</v>
      </c>
      <c r="S8">
        <v>20</v>
      </c>
      <c r="T8" s="60">
        <v>1.0526315789473684</v>
      </c>
    </row>
    <row r="9" spans="1:20" x14ac:dyDescent="0.2">
      <c r="A9">
        <v>8</v>
      </c>
      <c r="B9" s="1">
        <v>43743</v>
      </c>
      <c r="C9" t="str">
        <v>West Ham United FC</v>
      </c>
      <c r="D9">
        <v>1</v>
      </c>
      <c r="E9" t="str">
        <v>Crystal Palace FC</v>
      </c>
      <c r="F9">
        <v>2</v>
      </c>
      <c r="H9" s="59" cm="1">
        <f t="array" ref="H9">_xlfn.IFS(AND(C9=$N$18,D9&gt;F9),3,AND(E9=$N$18,F9&gt;D9),3,AND(C9=$N$18,D9=F9),1,AND(E9=$N$18,D9=F9),1,AND(C9=$N$18,D9&lt;F9),0,AND(E9=$N$18,F9&lt;D9),0)</f>
        <v>0</v>
      </c>
      <c r="I9">
        <f t="shared" si="0"/>
        <v>0</v>
      </c>
      <c r="J9" s="59">
        <f t="shared" si="1"/>
        <v>1</v>
      </c>
      <c r="K9" cm="1">
        <f t="array" ref="K9">_xlfn.IFS(H9=3,1+K8,H9=1,1+K8,H9=0,0)</f>
        <v>0</v>
      </c>
      <c r="L9" cm="1">
        <f t="array" ref="L9">_xlfn.IFS(H9=0,1+L8,H9=1,1+L8,H9=3,0)</f>
        <v>2</v>
      </c>
      <c r="Q9" s="57" t="s">
        <v>90</v>
      </c>
      <c r="R9">
        <v>5</v>
      </c>
      <c r="S9">
        <v>4</v>
      </c>
      <c r="T9" s="60">
        <v>0.8</v>
      </c>
    </row>
    <row r="10" spans="1:20" x14ac:dyDescent="0.2">
      <c r="A10">
        <v>9</v>
      </c>
      <c r="B10" s="1">
        <v>43757</v>
      </c>
      <c r="C10" t="str">
        <v>Everton FC</v>
      </c>
      <c r="D10">
        <v>2</v>
      </c>
      <c r="E10" t="str">
        <v>West Ham United FC</v>
      </c>
      <c r="F10">
        <v>0</v>
      </c>
      <c r="H10" s="59" cm="1">
        <f t="array" ref="H10">_xlfn.IFS(AND(C10=$N$18,D10&gt;F10),3,AND(E10=$N$18,F10&gt;D10),3,AND(C10=$N$18,D10=F10),1,AND(E10=$N$18,D10=F10),1,AND(C10=$N$18,D10&lt;F10),0,AND(E10=$N$18,F10&lt;D10),0)</f>
        <v>0</v>
      </c>
      <c r="I10">
        <f t="shared" si="0"/>
        <v>0</v>
      </c>
      <c r="J10" s="59">
        <f t="shared" si="1"/>
        <v>2</v>
      </c>
      <c r="K10" cm="1">
        <f t="array" ref="K10">_xlfn.IFS(H10=3,1+K9,H10=1,1+K9,H10=0,0)</f>
        <v>0</v>
      </c>
      <c r="L10" cm="1">
        <f t="array" ref="L10">_xlfn.IFS(H10=0,1+L9,H10=1,1+L9,H10=3,0)</f>
        <v>3</v>
      </c>
      <c r="Q10" s="57" t="s">
        <v>91</v>
      </c>
      <c r="R10">
        <v>4</v>
      </c>
      <c r="S10">
        <v>4</v>
      </c>
      <c r="T10" s="60">
        <v>1</v>
      </c>
    </row>
    <row r="11" spans="1:20" x14ac:dyDescent="0.2">
      <c r="A11">
        <v>10</v>
      </c>
      <c r="B11" s="1">
        <v>43764</v>
      </c>
      <c r="C11" t="str">
        <v>West Ham United FC</v>
      </c>
      <c r="D11">
        <v>1</v>
      </c>
      <c r="E11" t="str">
        <v>Sheffield United FC</v>
      </c>
      <c r="F11">
        <v>1</v>
      </c>
      <c r="H11" s="59" cm="1">
        <f t="array" ref="H11">_xlfn.IFS(AND(C11=$N$18,D11&gt;F11),3,AND(E11=$N$18,F11&gt;D11),3,AND(C11=$N$18,D11=F11),1,AND(E11=$N$18,D11=F11),1,AND(C11=$N$18,D11&lt;F11),0,AND(E11=$N$18,F11&lt;D11),0)</f>
        <v>1</v>
      </c>
      <c r="I11">
        <f t="shared" si="0"/>
        <v>0</v>
      </c>
      <c r="J11" s="59">
        <f t="shared" si="1"/>
        <v>0</v>
      </c>
      <c r="K11" cm="1">
        <f t="array" ref="K11">_xlfn.IFS(H11=3,1+K10,H11=1,1+K10,H11=0,0)</f>
        <v>1</v>
      </c>
      <c r="L11" cm="1">
        <f t="array" ref="L11">_xlfn.IFS(H11=0,1+L10,H11=1,1+L10,H11=3,0)</f>
        <v>4</v>
      </c>
      <c r="Q11" s="57" t="s">
        <v>92</v>
      </c>
      <c r="R11">
        <v>1</v>
      </c>
      <c r="S11">
        <v>0</v>
      </c>
      <c r="T11" s="60">
        <v>0</v>
      </c>
    </row>
    <row r="12" spans="1:20" x14ac:dyDescent="0.2">
      <c r="A12">
        <v>11</v>
      </c>
      <c r="B12" s="1">
        <v>43771</v>
      </c>
      <c r="C12" t="str">
        <v>West Ham United FC</v>
      </c>
      <c r="D12">
        <v>2</v>
      </c>
      <c r="E12" t="str">
        <v>Newcastle United FC</v>
      </c>
      <c r="F12">
        <v>3</v>
      </c>
      <c r="H12" s="59" cm="1">
        <f t="array" ref="H12">_xlfn.IFS(AND(C12=$N$18,D12&gt;F12),3,AND(E12=$N$18,F12&gt;D12),3,AND(C12=$N$18,D12=F12),1,AND(E12=$N$18,D12=F12),1,AND(C12=$N$18,D12&lt;F12),0,AND(E12=$N$18,F12&lt;D12),0)</f>
        <v>0</v>
      </c>
      <c r="I12">
        <f t="shared" si="0"/>
        <v>0</v>
      </c>
      <c r="J12" s="59">
        <f t="shared" si="1"/>
        <v>1</v>
      </c>
      <c r="K12" cm="1">
        <f t="array" ref="K12">_xlfn.IFS(H12=3,1+K11,H12=1,1+K11,H12=0,0)</f>
        <v>0</v>
      </c>
      <c r="L12" cm="1">
        <f t="array" ref="L12">_xlfn.IFS(H12=0,1+L11,H12=1,1+L11,H12=3,0)</f>
        <v>5</v>
      </c>
      <c r="Q12" s="57" t="s">
        <v>93</v>
      </c>
      <c r="R12">
        <v>2</v>
      </c>
      <c r="S12">
        <v>0</v>
      </c>
      <c r="T12" s="60">
        <v>0</v>
      </c>
    </row>
    <row r="13" spans="1:20" x14ac:dyDescent="0.2">
      <c r="A13">
        <v>12</v>
      </c>
      <c r="B13" s="1">
        <v>43778</v>
      </c>
      <c r="C13" t="str">
        <v>Burnley FC</v>
      </c>
      <c r="D13">
        <v>3</v>
      </c>
      <c r="E13" t="str">
        <v>West Ham United FC</v>
      </c>
      <c r="F13">
        <v>0</v>
      </c>
      <c r="H13" s="59" cm="1">
        <f t="array" ref="H13">_xlfn.IFS(AND(C13=$N$18,D13&gt;F13),3,AND(E13=$N$18,F13&gt;D13),3,AND(C13=$N$18,D13=F13),1,AND(E13=$N$18,D13=F13),1,AND(C13=$N$18,D13&lt;F13),0,AND(E13=$N$18,F13&lt;D13),0)</f>
        <v>0</v>
      </c>
      <c r="I13">
        <f t="shared" si="0"/>
        <v>0</v>
      </c>
      <c r="J13" s="59">
        <f t="shared" si="1"/>
        <v>2</v>
      </c>
      <c r="K13" cm="1">
        <f t="array" ref="K13">_xlfn.IFS(H13=3,1+K12,H13=1,1+K12,H13=0,0)</f>
        <v>0</v>
      </c>
      <c r="L13" cm="1">
        <f t="array" ref="L13">_xlfn.IFS(H13=0,1+L12,H13=1,1+L12,H13=3,0)</f>
        <v>6</v>
      </c>
      <c r="Q13" s="57" t="s">
        <v>94</v>
      </c>
      <c r="R13">
        <v>7</v>
      </c>
      <c r="S13">
        <v>12</v>
      </c>
      <c r="T13" s="60">
        <v>1.7142857142857142</v>
      </c>
    </row>
    <row r="14" spans="1:20" x14ac:dyDescent="0.2">
      <c r="A14">
        <v>13</v>
      </c>
      <c r="B14" s="1">
        <v>43792</v>
      </c>
      <c r="C14" t="str">
        <v>West Ham United FC</v>
      </c>
      <c r="D14">
        <v>2</v>
      </c>
      <c r="E14" t="str">
        <v>Tottenham Hotspur FC</v>
      </c>
      <c r="F14">
        <v>3</v>
      </c>
      <c r="H14" s="59" cm="1">
        <f t="array" ref="H14">_xlfn.IFS(AND(C14=$N$18,D14&gt;F14),3,AND(E14=$N$18,F14&gt;D14),3,AND(C14=$N$18,D14=F14),1,AND(E14=$N$18,D14=F14),1,AND(C14=$N$18,D14&lt;F14),0,AND(E14=$N$18,F14&lt;D14),0)</f>
        <v>0</v>
      </c>
      <c r="I14">
        <f t="shared" si="0"/>
        <v>0</v>
      </c>
      <c r="J14" s="59">
        <f t="shared" si="1"/>
        <v>3</v>
      </c>
      <c r="K14" cm="1">
        <f t="array" ref="K14">_xlfn.IFS(H14=3,1+K13,H14=1,1+K13,H14=0,0)</f>
        <v>0</v>
      </c>
      <c r="L14" cm="1">
        <f t="array" ref="L14">_xlfn.IFS(H14=0,1+L13,H14=1,1+L13,H14=3,0)</f>
        <v>7</v>
      </c>
      <c r="Q14" s="56" t="s">
        <v>95</v>
      </c>
      <c r="R14">
        <v>38</v>
      </c>
      <c r="S14">
        <v>39</v>
      </c>
      <c r="T14" s="60">
        <v>1.0263157894736843</v>
      </c>
    </row>
    <row r="15" spans="1:20" x14ac:dyDescent="0.2">
      <c r="A15">
        <v>14</v>
      </c>
      <c r="B15" s="1">
        <v>43799</v>
      </c>
      <c r="C15" t="str">
        <v>Chelsea FC</v>
      </c>
      <c r="D15">
        <v>0</v>
      </c>
      <c r="E15" t="str">
        <v>West Ham United FC</v>
      </c>
      <c r="F15">
        <v>1</v>
      </c>
      <c r="H15" s="59" cm="1">
        <f t="array" ref="H15">_xlfn.IFS(AND(C15=$N$18,D15&gt;F15),3,AND(E15=$N$18,F15&gt;D15),3,AND(C15=$N$18,D15=F15),1,AND(E15=$N$18,D15=F15),1,AND(C15=$N$18,D15&lt;F15),0,AND(E15=$N$18,F15&lt;D15),0)</f>
        <v>3</v>
      </c>
      <c r="I15">
        <f t="shared" si="0"/>
        <v>1</v>
      </c>
      <c r="J15" s="59">
        <f t="shared" si="1"/>
        <v>0</v>
      </c>
      <c r="K15" cm="1">
        <f t="array" ref="K15">_xlfn.IFS(H15=3,1+K14,H15=1,1+K14,H15=0,0)</f>
        <v>1</v>
      </c>
      <c r="L15" cm="1">
        <f t="array" ref="L15">_xlfn.IFS(H15=0,1+L14,H15=1,1+L14,H15=3,0)</f>
        <v>0</v>
      </c>
    </row>
    <row r="16" spans="1:20" x14ac:dyDescent="0.2">
      <c r="A16">
        <v>15</v>
      </c>
      <c r="B16" s="1">
        <v>43803</v>
      </c>
      <c r="C16" t="str">
        <v>Wolverhampton Wanderers FC</v>
      </c>
      <c r="D16">
        <v>2</v>
      </c>
      <c r="E16" t="str">
        <v>West Ham United FC</v>
      </c>
      <c r="F16">
        <v>0</v>
      </c>
      <c r="H16" s="59" cm="1">
        <f t="array" ref="H16">_xlfn.IFS(AND(C16=$N$18,D16&gt;F16),3,AND(E16=$N$18,F16&gt;D16),3,AND(C16=$N$18,D16=F16),1,AND(E16=$N$18,D16=F16),1,AND(C16=$N$18,D16&lt;F16),0,AND(E16=$N$18,F16&lt;D16),0)</f>
        <v>0</v>
      </c>
      <c r="I16">
        <f t="shared" si="0"/>
        <v>0</v>
      </c>
      <c r="J16" s="59">
        <f t="shared" si="1"/>
        <v>1</v>
      </c>
      <c r="K16" cm="1">
        <f t="array" ref="K16">_xlfn.IFS(H16=3,1+K15,H16=1,1+K15,H16=0,0)</f>
        <v>0</v>
      </c>
      <c r="L16" cm="1">
        <f t="array" ref="L16">_xlfn.IFS(H16=0,1+L15,H16=1,1+L15,H16=3,0)</f>
        <v>1</v>
      </c>
    </row>
    <row r="17" spans="1:23" x14ac:dyDescent="0.2">
      <c r="A17">
        <v>16</v>
      </c>
      <c r="B17" s="1">
        <v>43808</v>
      </c>
      <c r="C17" t="str">
        <v>West Ham United FC</v>
      </c>
      <c r="D17">
        <v>1</v>
      </c>
      <c r="E17" t="str">
        <v>Arsenal FC</v>
      </c>
      <c r="F17">
        <v>3</v>
      </c>
      <c r="H17" s="59" cm="1">
        <f t="array" ref="H17">_xlfn.IFS(AND(C17=$N$18,D17&gt;F17),3,AND(E17=$N$18,F17&gt;D17),3,AND(C17=$N$18,D17=F17),1,AND(E17=$N$18,D17=F17),1,AND(C17=$N$18,D17&lt;F17),0,AND(E17=$N$18,F17&lt;D17),0)</f>
        <v>0</v>
      </c>
      <c r="I17">
        <f t="shared" si="0"/>
        <v>0</v>
      </c>
      <c r="J17" s="59">
        <f t="shared" si="1"/>
        <v>2</v>
      </c>
      <c r="K17" cm="1">
        <f t="array" ref="K17">_xlfn.IFS(H17=3,1+K16,H17=1,1+K16,H17=0,0)</f>
        <v>0</v>
      </c>
      <c r="L17" cm="1">
        <f t="array" ref="L17">_xlfn.IFS(H17=0,1+L16,H17=1,1+L16,H17=3,0)</f>
        <v>2</v>
      </c>
    </row>
    <row r="18" spans="1:23" x14ac:dyDescent="0.2">
      <c r="A18">
        <v>17</v>
      </c>
      <c r="B18" s="1">
        <v>43813</v>
      </c>
      <c r="C18" t="str">
        <v>Southampton FC</v>
      </c>
      <c r="D18">
        <v>0</v>
      </c>
      <c r="E18" t="str">
        <v>West Ham United FC</v>
      </c>
      <c r="F18">
        <v>1</v>
      </c>
      <c r="H18" s="59" cm="1">
        <f t="array" ref="H18">_xlfn.IFS(AND(C18=$N$18,D18&gt;F18),3,AND(E18=$N$18,F18&gt;D18),3,AND(C18=$N$18,D18=F18),1,AND(E18=$N$18,D18=F18),1,AND(C18=$N$18,D18&lt;F18),0,AND(E18=$N$18,F18&lt;D18),0)</f>
        <v>3</v>
      </c>
      <c r="I18">
        <f t="shared" si="0"/>
        <v>1</v>
      </c>
      <c r="J18" s="59">
        <f t="shared" si="1"/>
        <v>0</v>
      </c>
      <c r="K18" cm="1">
        <f t="array" ref="K18">_xlfn.IFS(H18=3,1+K17,H18=1,1+K17,H18=0,0)</f>
        <v>1</v>
      </c>
      <c r="L18" cm="1">
        <f t="array" ref="L18">_xlfn.IFS(H18=0,1+L17,H18=1,1+L17,H18=3,0)</f>
        <v>0</v>
      </c>
      <c r="N18" s="14" t="str">
        <f>C2</f>
        <v>West Ham United FC</v>
      </c>
      <c r="O18" s="9" t="s">
        <v>12</v>
      </c>
      <c r="P18" s="7" t="s">
        <v>13</v>
      </c>
      <c r="Q18" s="6" t="s">
        <v>14</v>
      </c>
      <c r="R18" s="8" t="s">
        <v>15</v>
      </c>
      <c r="S18" s="9" t="s">
        <v>16</v>
      </c>
      <c r="T18" s="9" t="s">
        <v>17</v>
      </c>
      <c r="U18" s="9" t="s">
        <v>18</v>
      </c>
      <c r="V18" s="9" t="s">
        <v>19</v>
      </c>
      <c r="W18" s="4"/>
    </row>
    <row r="19" spans="1:23" x14ac:dyDescent="0.2">
      <c r="A19">
        <v>18</v>
      </c>
      <c r="B19" s="1">
        <v>43859</v>
      </c>
      <c r="C19" t="str">
        <v>West Ham United FC</v>
      </c>
      <c r="D19">
        <v>0</v>
      </c>
      <c r="E19" t="str">
        <v>Liverpool FC</v>
      </c>
      <c r="F19">
        <v>2</v>
      </c>
      <c r="H19" s="59" cm="1">
        <f t="array" ref="H19">_xlfn.IFS(AND(C19=$N$18,D19&gt;F19),3,AND(E19=$N$18,F19&gt;D19),3,AND(C19=$N$18,D19=F19),1,AND(E19=$N$18,D19=F19),1,AND(C19=$N$18,D19&lt;F19),0,AND(E19=$N$18,F19&lt;D19),0)</f>
        <v>0</v>
      </c>
      <c r="I19">
        <f t="shared" si="0"/>
        <v>0</v>
      </c>
      <c r="J19" s="59">
        <f t="shared" si="1"/>
        <v>1</v>
      </c>
      <c r="K19" cm="1">
        <f t="array" ref="K19">_xlfn.IFS(H19=3,1+K18,H19=1,1+K18,H19=0,0)</f>
        <v>0</v>
      </c>
      <c r="L19" cm="1">
        <f t="array" ref="L19">_xlfn.IFS(H19=0,1+L18,H19=1,1+L18,H19=3,0)</f>
        <v>1</v>
      </c>
      <c r="N19" s="10" t="s">
        <v>22</v>
      </c>
      <c r="O19" s="11">
        <f>COUNT(A2:A39)</f>
        <v>38</v>
      </c>
      <c r="P19" s="5" cm="1">
        <f t="array" ref="P19">SUMPRODUCT(((C2:C39=$N$18)*(D2:D39&gt;F2:F39))+((E2:E39=$N$18)*(F2:F39&gt;D2:D39)))</f>
        <v>10</v>
      </c>
      <c r="Q19" s="12" cm="1">
        <f t="array" ref="Q19">SUMPRODUCT(((C2:C39=$N$18)*(D2:D39=F2:F39))+((E2:E39=$N$18)*(F2:F39=D2:D39)))</f>
        <v>9</v>
      </c>
      <c r="R19" s="13" cm="1">
        <f t="array" ref="R19">SUMPRODUCT(((C2:C39=$N$18)*(D2:D39&lt;F2:F39))+((E2:E39=$N$18)*(F2:F39&lt;D2:D39)))</f>
        <v>19</v>
      </c>
      <c r="S19" s="11">
        <f>SUMIF(C2:C39,N18,D2:D39)+SUMIF(E2:E39,N18,F2:F39)</f>
        <v>49</v>
      </c>
      <c r="T19" s="11">
        <f>SUMIF(C2:C39,N18,F2:F39)+SUMIF(E2:E39,N18,D2:D39)</f>
        <v>62</v>
      </c>
      <c r="U19" s="11">
        <f>S19-T19</f>
        <v>-13</v>
      </c>
      <c r="V19" s="11">
        <f>V20+V21</f>
        <v>39</v>
      </c>
    </row>
    <row r="20" spans="1:23" x14ac:dyDescent="0.2">
      <c r="A20">
        <v>19</v>
      </c>
      <c r="B20" s="1">
        <v>43825</v>
      </c>
      <c r="C20" t="str">
        <v>Crystal Palace FC</v>
      </c>
      <c r="D20">
        <v>2</v>
      </c>
      <c r="E20" t="str">
        <v>West Ham United FC</v>
      </c>
      <c r="F20">
        <v>1</v>
      </c>
      <c r="H20" s="59" cm="1">
        <f t="array" ref="H20">_xlfn.IFS(AND(C20=$N$18,D20&gt;F20),3,AND(E20=$N$18,F20&gt;D20),3,AND(C20=$N$18,D20=F20),1,AND(E20=$N$18,D20=F20),1,AND(C20=$N$18,D20&lt;F20),0,AND(E20=$N$18,F20&lt;D20),0)</f>
        <v>0</v>
      </c>
      <c r="I20">
        <f t="shared" si="0"/>
        <v>0</v>
      </c>
      <c r="J20" s="59">
        <f t="shared" si="1"/>
        <v>2</v>
      </c>
      <c r="K20" cm="1">
        <f t="array" ref="K20">_xlfn.IFS(H20=3,1+K19,H20=1,1+K19,H20=0,0)</f>
        <v>0</v>
      </c>
      <c r="L20" cm="1">
        <f t="array" ref="L20">_xlfn.IFS(H20=0,1+L19,H20=1,1+L19,H20=3,0)</f>
        <v>2</v>
      </c>
      <c r="N20" s="10" t="s">
        <v>2</v>
      </c>
      <c r="O20" s="11">
        <f>COUNTIF(C2:C39,C2)</f>
        <v>19</v>
      </c>
      <c r="P20" s="74" cm="1">
        <f t="array" ref="P20">SUMPRODUCT(((C2:C39=$N$18)*(D2:D39&gt;F2:F39)))</f>
        <v>6</v>
      </c>
      <c r="Q20" s="12" cm="1">
        <f t="array" ref="Q20">SUMPRODUCT(((C2:C39=$N$18)*(D2:D39=F2:F39)))</f>
        <v>4</v>
      </c>
      <c r="R20" s="13" cm="1">
        <f t="array" ref="R20">SUMPRODUCT(((C2:C39=$N$18)*(D2:D39&lt;F2:F39)))</f>
        <v>9</v>
      </c>
      <c r="S20" s="11">
        <f>SUMIF(C2:C39,N18,D2:D39)</f>
        <v>30</v>
      </c>
      <c r="T20" s="11">
        <f>SUMIF(C2:C39,N18,F2:F39)</f>
        <v>33</v>
      </c>
      <c r="U20" s="11">
        <f>S20-T20</f>
        <v>-3</v>
      </c>
      <c r="V20" s="11">
        <f>(P20*3)+Q20</f>
        <v>22</v>
      </c>
    </row>
    <row r="21" spans="1:23" x14ac:dyDescent="0.2">
      <c r="A21">
        <v>20</v>
      </c>
      <c r="B21" s="1">
        <v>43827</v>
      </c>
      <c r="C21" t="str">
        <v>West Ham United FC</v>
      </c>
      <c r="D21">
        <v>1</v>
      </c>
      <c r="E21" t="str">
        <v>Leicester City FC</v>
      </c>
      <c r="F21">
        <v>2</v>
      </c>
      <c r="H21" s="59" cm="1">
        <f t="array" ref="H21">_xlfn.IFS(AND(C21=$N$18,D21&gt;F21),3,AND(E21=$N$18,F21&gt;D21),3,AND(C21=$N$18,D21=F21),1,AND(E21=$N$18,D21=F21),1,AND(C21=$N$18,D21&lt;F21),0,AND(E21=$N$18,F21&lt;D21),0)</f>
        <v>0</v>
      </c>
      <c r="I21">
        <f t="shared" si="0"/>
        <v>0</v>
      </c>
      <c r="J21" s="59">
        <f t="shared" si="1"/>
        <v>3</v>
      </c>
      <c r="K21" cm="1">
        <f t="array" ref="K21">_xlfn.IFS(H21=3,1+K20,H21=1,1+K20,H21=0,0)</f>
        <v>0</v>
      </c>
      <c r="L21" cm="1">
        <f t="array" ref="L21">_xlfn.IFS(H21=0,1+L20,H21=1,1+L20,H21=3,0)</f>
        <v>3</v>
      </c>
      <c r="N21" s="10" t="s">
        <v>4</v>
      </c>
      <c r="O21" s="11">
        <f>COUNTIF(E2:E39,E3)</f>
        <v>19</v>
      </c>
      <c r="P21" s="5" cm="1">
        <f t="array" ref="P21">SUMPRODUCT(((E2:E39=$N$18)*(F2:F39&gt;D2:D39)))</f>
        <v>4</v>
      </c>
      <c r="Q21" s="12" cm="1">
        <f t="array" ref="Q21">SUMPRODUCT(((E2:E39=$N$18)*(F2:F39=D2:D39)))</f>
        <v>5</v>
      </c>
      <c r="R21" s="13" cm="1">
        <f t="array" ref="R21">SUMPRODUCT(((E2:E39=$N$18)*(F2:F39&lt;D2:D39)))</f>
        <v>10</v>
      </c>
      <c r="S21" s="11">
        <f>SUMIF(E2:E39,N18,F2:F39)</f>
        <v>19</v>
      </c>
      <c r="T21" s="11">
        <f>SUMIF(E2:E39,N18,D2:D39)</f>
        <v>29</v>
      </c>
      <c r="U21" s="11">
        <f>S21-T21</f>
        <v>-10</v>
      </c>
      <c r="V21" s="11">
        <f>(P21*3)+Q21</f>
        <v>17</v>
      </c>
    </row>
    <row r="22" spans="1:23" x14ac:dyDescent="0.2">
      <c r="A22">
        <v>21</v>
      </c>
      <c r="B22" s="1">
        <v>43831</v>
      </c>
      <c r="C22" t="str">
        <v>West Ham United FC</v>
      </c>
      <c r="D22">
        <v>4</v>
      </c>
      <c r="E22" t="str">
        <v>AFC Bournemouth</v>
      </c>
      <c r="F22">
        <v>0</v>
      </c>
      <c r="H22" s="59" cm="1">
        <f t="array" ref="H22">_xlfn.IFS(AND(C22=$N$18,D22&gt;F22),3,AND(E22=$N$18,F22&gt;D22),3,AND(C22=$N$18,D22=F22),1,AND(E22=$N$18,D22=F22),1,AND(C22=$N$18,D22&lt;F22),0,AND(E22=$N$18,F22&lt;D22),0)</f>
        <v>3</v>
      </c>
      <c r="I22">
        <f t="shared" si="0"/>
        <v>1</v>
      </c>
      <c r="J22" s="59">
        <f t="shared" si="1"/>
        <v>0</v>
      </c>
      <c r="K22" cm="1">
        <f t="array" ref="K22">_xlfn.IFS(H22=3,1+K21,H22=1,1+K21,H22=0,0)</f>
        <v>1</v>
      </c>
      <c r="L22" cm="1">
        <f t="array" ref="L22">_xlfn.IFS(H22=0,1+L21,H22=1,1+L21,H22=3,0)</f>
        <v>0</v>
      </c>
    </row>
    <row r="23" spans="1:23" x14ac:dyDescent="0.2">
      <c r="A23">
        <v>22</v>
      </c>
      <c r="B23" s="1">
        <v>43840</v>
      </c>
      <c r="C23" t="str">
        <v>Sheffield United FC</v>
      </c>
      <c r="D23">
        <v>1</v>
      </c>
      <c r="E23" t="str">
        <v>West Ham United FC</v>
      </c>
      <c r="F23">
        <v>0</v>
      </c>
      <c r="H23" s="59" cm="1">
        <f t="array" ref="H23">_xlfn.IFS(AND(C23=$N$18,D23&gt;F23),3,AND(E23=$N$18,F23&gt;D23),3,AND(C23=$N$18,D23=F23),1,AND(E23=$N$18,D23=F23),1,AND(C23=$N$18,D23&lt;F23),0,AND(E23=$N$18,F23&lt;D23),0)</f>
        <v>0</v>
      </c>
      <c r="I23">
        <f t="shared" si="0"/>
        <v>0</v>
      </c>
      <c r="J23" s="59">
        <f t="shared" si="1"/>
        <v>1</v>
      </c>
      <c r="K23" cm="1">
        <f t="array" ref="K23">_xlfn.IFS(H23=3,1+K22,H23=1,1+K22,H23=0,0)</f>
        <v>0</v>
      </c>
      <c r="L23" cm="1">
        <f t="array" ref="L23">_xlfn.IFS(H23=0,1+L22,H23=1,1+L22,H23=3,0)</f>
        <v>1</v>
      </c>
    </row>
    <row r="24" spans="1:23" x14ac:dyDescent="0.2">
      <c r="A24">
        <v>23</v>
      </c>
      <c r="B24" s="1">
        <v>43848</v>
      </c>
      <c r="C24" t="str">
        <v>West Ham United FC</v>
      </c>
      <c r="D24">
        <v>1</v>
      </c>
      <c r="E24" t="str">
        <v>Everton FC</v>
      </c>
      <c r="F24">
        <v>1</v>
      </c>
      <c r="H24" s="59" cm="1">
        <f t="array" ref="H24">_xlfn.IFS(AND(C24=$N$18,D24&gt;F24),3,AND(E24=$N$18,F24&gt;D24),3,AND(C24=$N$18,D24=F24),1,AND(E24=$N$18,D24=F24),1,AND(C24=$N$18,D24&lt;F24),0,AND(E24=$N$18,F24&lt;D24),0)</f>
        <v>1</v>
      </c>
      <c r="I24">
        <f t="shared" si="0"/>
        <v>0</v>
      </c>
      <c r="J24" s="59">
        <f t="shared" si="1"/>
        <v>0</v>
      </c>
      <c r="K24" cm="1">
        <f t="array" ref="K24">_xlfn.IFS(H24=3,1+K23,H24=1,1+K23,H24=0,0)</f>
        <v>1</v>
      </c>
      <c r="L24" cm="1">
        <f t="array" ref="L24">_xlfn.IFS(H24=0,1+L23,H24=1,1+L23,H24=3,0)</f>
        <v>2</v>
      </c>
    </row>
    <row r="25" spans="1:23" x14ac:dyDescent="0.2">
      <c r="A25">
        <v>24</v>
      </c>
      <c r="B25" s="1">
        <v>43852</v>
      </c>
      <c r="C25" t="str">
        <v>Leicester City FC</v>
      </c>
      <c r="D25">
        <v>4</v>
      </c>
      <c r="E25" t="str">
        <v>West Ham United FC</v>
      </c>
      <c r="F25">
        <v>1</v>
      </c>
      <c r="H25" s="59" cm="1">
        <f t="array" ref="H25">_xlfn.IFS(AND(C25=$N$18,D25&gt;F25),3,AND(E25=$N$18,F25&gt;D25),3,AND(C25=$N$18,D25=F25),1,AND(E25=$N$18,D25=F25),1,AND(C25=$N$18,D25&lt;F25),0,AND(E25=$N$18,F25&lt;D25),0)</f>
        <v>0</v>
      </c>
      <c r="I25">
        <f t="shared" si="0"/>
        <v>0</v>
      </c>
      <c r="J25" s="59">
        <f t="shared" si="1"/>
        <v>1</v>
      </c>
      <c r="K25" cm="1">
        <f t="array" ref="K25">_xlfn.IFS(H25=3,1+K24,H25=1,1+K24,H25=0,0)</f>
        <v>0</v>
      </c>
      <c r="L25" cm="1">
        <f t="array" ref="L25">_xlfn.IFS(H25=0,1+L24,H25=1,1+L24,H25=3,0)</f>
        <v>3</v>
      </c>
    </row>
    <row r="26" spans="1:23" x14ac:dyDescent="0.2">
      <c r="A26">
        <v>25</v>
      </c>
      <c r="B26" s="1">
        <v>43862</v>
      </c>
      <c r="C26" t="str">
        <v>West Ham United FC</v>
      </c>
      <c r="D26">
        <v>3</v>
      </c>
      <c r="E26" t="str">
        <v>Brighton &amp; Hove Albion FC</v>
      </c>
      <c r="F26">
        <v>3</v>
      </c>
      <c r="H26" s="59" cm="1">
        <f t="array" ref="H26">_xlfn.IFS(AND(C26=$N$18,D26&gt;F26),3,AND(E26=$N$18,F26&gt;D26),3,AND(C26=$N$18,D26=F26),1,AND(E26=$N$18,D26=F26),1,AND(C26=$N$18,D26&lt;F26),0,AND(E26=$N$18,F26&lt;D26),0)</f>
        <v>1</v>
      </c>
      <c r="I26">
        <f t="shared" si="0"/>
        <v>0</v>
      </c>
      <c r="J26" s="59">
        <f t="shared" si="1"/>
        <v>0</v>
      </c>
      <c r="K26" cm="1">
        <f t="array" ref="K26">_xlfn.IFS(H26=3,1+K25,H26=1,1+K25,H26=0,0)</f>
        <v>1</v>
      </c>
      <c r="L26" cm="1">
        <f t="array" ref="L26">_xlfn.IFS(H26=0,1+L25,H26=1,1+L25,H26=3,0)</f>
        <v>4</v>
      </c>
    </row>
    <row r="27" spans="1:23" x14ac:dyDescent="0.2">
      <c r="A27">
        <v>26</v>
      </c>
      <c r="B27" s="1">
        <v>43880</v>
      </c>
      <c r="C27" t="str">
        <v>Manchester City FC</v>
      </c>
      <c r="D27">
        <v>2</v>
      </c>
      <c r="E27" t="str">
        <v>West Ham United FC</v>
      </c>
      <c r="F27">
        <v>0</v>
      </c>
      <c r="H27" s="59" cm="1">
        <f t="array" ref="H27">_xlfn.IFS(AND(C27=$N$18,D27&gt;F27),3,AND(E27=$N$18,F27&gt;D27),3,AND(C27=$N$18,D27=F27),1,AND(E27=$N$18,D27=F27),1,AND(C27=$N$18,D27&lt;F27),0,AND(E27=$N$18,F27&lt;D27),0)</f>
        <v>0</v>
      </c>
      <c r="I27">
        <f t="shared" si="0"/>
        <v>0</v>
      </c>
      <c r="J27" s="59">
        <f t="shared" si="1"/>
        <v>1</v>
      </c>
      <c r="K27" cm="1">
        <f t="array" ref="K27">_xlfn.IFS(H27=3,1+K26,H27=1,1+K26,H27=0,0)</f>
        <v>0</v>
      </c>
      <c r="L27" cm="1">
        <f t="array" ref="L27">_xlfn.IFS(H27=0,1+L26,H27=1,1+L26,H27=3,0)</f>
        <v>5</v>
      </c>
    </row>
    <row r="28" spans="1:23" x14ac:dyDescent="0.2">
      <c r="A28">
        <v>27</v>
      </c>
      <c r="B28" s="1">
        <v>43885</v>
      </c>
      <c r="C28" t="str">
        <v>Liverpool FC</v>
      </c>
      <c r="D28">
        <v>3</v>
      </c>
      <c r="E28" t="str">
        <v>West Ham United FC</v>
      </c>
      <c r="F28">
        <v>2</v>
      </c>
      <c r="H28" s="59" cm="1">
        <f t="array" ref="H28">_xlfn.IFS(AND(C28=$N$18,D28&gt;F28),3,AND(E28=$N$18,F28&gt;D28),3,AND(C28=$N$18,D28=F28),1,AND(E28=$N$18,D28=F28),1,AND(C28=$N$18,D28&lt;F28),0,AND(E28=$N$18,F28&lt;D28),0)</f>
        <v>0</v>
      </c>
      <c r="I28">
        <f t="shared" si="0"/>
        <v>0</v>
      </c>
      <c r="J28" s="59">
        <f t="shared" si="1"/>
        <v>2</v>
      </c>
      <c r="K28" cm="1">
        <f t="array" ref="K28">_xlfn.IFS(H28=3,1+K27,H28=1,1+K27,H28=0,0)</f>
        <v>0</v>
      </c>
      <c r="L28" cm="1">
        <f t="array" ref="L28">_xlfn.IFS(H28=0,1+L27,H28=1,1+L27,H28=3,0)</f>
        <v>6</v>
      </c>
    </row>
    <row r="29" spans="1:23" x14ac:dyDescent="0.2">
      <c r="A29">
        <v>28</v>
      </c>
      <c r="B29" s="1">
        <v>43890</v>
      </c>
      <c r="C29" t="str">
        <v>West Ham United FC</v>
      </c>
      <c r="D29">
        <v>3</v>
      </c>
      <c r="E29" t="str">
        <v>Southampton FC</v>
      </c>
      <c r="F29">
        <v>1</v>
      </c>
      <c r="H29" s="59" cm="1">
        <f t="array" ref="H29">_xlfn.IFS(AND(C29=$N$18,D29&gt;F29),3,AND(E29=$N$18,F29&gt;D29),3,AND(C29=$N$18,D29=F29),1,AND(E29=$N$18,D29=F29),1,AND(C29=$N$18,D29&lt;F29),0,AND(E29=$N$18,F29&lt;D29),0)</f>
        <v>3</v>
      </c>
      <c r="I29">
        <f t="shared" si="0"/>
        <v>1</v>
      </c>
      <c r="J29" s="59">
        <f t="shared" si="1"/>
        <v>0</v>
      </c>
      <c r="K29" cm="1">
        <f t="array" ref="K29">_xlfn.IFS(H29=3,1+K28,H29=1,1+K28,H29=0,0)</f>
        <v>1</v>
      </c>
      <c r="L29" cm="1">
        <f t="array" ref="L29">_xlfn.IFS(H29=0,1+L28,H29=1,1+L28,H29=3,0)</f>
        <v>0</v>
      </c>
    </row>
    <row r="30" spans="1:23" x14ac:dyDescent="0.2">
      <c r="A30">
        <v>29</v>
      </c>
      <c r="B30" s="1">
        <v>43897</v>
      </c>
      <c r="C30" t="str">
        <v>Arsenal FC</v>
      </c>
      <c r="D30">
        <v>1</v>
      </c>
      <c r="E30" t="str">
        <v>West Ham United FC</v>
      </c>
      <c r="F30">
        <v>0</v>
      </c>
      <c r="H30" s="59" cm="1">
        <f t="array" ref="H30">_xlfn.IFS(AND(C30=$N$18,D30&gt;F30),3,AND(E30=$N$18,F30&gt;D30),3,AND(C30=$N$18,D30=F30),1,AND(E30=$N$18,D30=F30),1,AND(C30=$N$18,D30&lt;F30),0,AND(E30=$N$18,F30&lt;D30),0)</f>
        <v>0</v>
      </c>
      <c r="I30">
        <f t="shared" si="0"/>
        <v>0</v>
      </c>
      <c r="J30" s="59">
        <f t="shared" si="1"/>
        <v>1</v>
      </c>
      <c r="K30" cm="1">
        <f t="array" ref="K30">_xlfn.IFS(H30=3,1+K29,H30=1,1+K29,H30=0,0)</f>
        <v>0</v>
      </c>
      <c r="L30" cm="1">
        <f t="array" ref="L30">_xlfn.IFS(H30=0,1+L29,H30=1,1+L29,H30=3,0)</f>
        <v>1</v>
      </c>
    </row>
    <row r="31" spans="1:23" x14ac:dyDescent="0.2">
      <c r="A31">
        <v>30</v>
      </c>
      <c r="B31" s="1">
        <v>44002</v>
      </c>
      <c r="C31" t="str">
        <v>West Ham United FC</v>
      </c>
      <c r="D31">
        <v>0</v>
      </c>
      <c r="E31" t="str">
        <v>Wolverhampton Wanderers FC</v>
      </c>
      <c r="F31">
        <v>2</v>
      </c>
      <c r="H31" s="59" cm="1">
        <f t="array" ref="H31">_xlfn.IFS(AND(C31=$N$18,D31&gt;F31),3,AND(E31=$N$18,F31&gt;D31),3,AND(C31=$N$18,D31=F31),1,AND(E31=$N$18,D31=F31),1,AND(C31=$N$18,D31&lt;F31),0,AND(E31=$N$18,F31&lt;D31),0)</f>
        <v>0</v>
      </c>
      <c r="I31">
        <f t="shared" si="0"/>
        <v>0</v>
      </c>
      <c r="J31" s="59">
        <f t="shared" si="1"/>
        <v>2</v>
      </c>
      <c r="K31" cm="1">
        <f t="array" ref="K31">_xlfn.IFS(H31=3,1+K30,H31=1,1+K30,H31=0,0)</f>
        <v>0</v>
      </c>
      <c r="L31" cm="1">
        <f t="array" ref="L31">_xlfn.IFS(H31=0,1+L30,H31=1,1+L30,H31=3,0)</f>
        <v>2</v>
      </c>
    </row>
    <row r="32" spans="1:23" x14ac:dyDescent="0.2">
      <c r="A32">
        <v>31</v>
      </c>
      <c r="B32" s="1">
        <v>44005</v>
      </c>
      <c r="C32" t="str">
        <v>Tottenham Hotspur FC</v>
      </c>
      <c r="D32">
        <v>2</v>
      </c>
      <c r="E32" t="str">
        <v>West Ham United FC</v>
      </c>
      <c r="F32">
        <v>0</v>
      </c>
      <c r="H32" s="59" cm="1">
        <f t="array" ref="H32">_xlfn.IFS(AND(C32=$N$18,D32&gt;F32),3,AND(E32=$N$18,F32&gt;D32),3,AND(C32=$N$18,D32=F32),1,AND(E32=$N$18,D32=F32),1,AND(C32=$N$18,D32&lt;F32),0,AND(E32=$N$18,F32&lt;D32),0)</f>
        <v>0</v>
      </c>
      <c r="I32">
        <f t="shared" si="0"/>
        <v>0</v>
      </c>
      <c r="J32" s="59">
        <f t="shared" si="1"/>
        <v>3</v>
      </c>
      <c r="K32" cm="1">
        <f t="array" ref="K32">_xlfn.IFS(H32=3,1+K31,H32=1,1+K31,H32=0,0)</f>
        <v>0</v>
      </c>
      <c r="L32" cm="1">
        <f t="array" ref="L32">_xlfn.IFS(H32=0,1+L31,H32=1,1+L31,H32=3,0)</f>
        <v>3</v>
      </c>
    </row>
    <row r="33" spans="1:12" x14ac:dyDescent="0.2">
      <c r="A33">
        <v>32</v>
      </c>
      <c r="B33" s="1">
        <v>44013</v>
      </c>
      <c r="C33" t="str">
        <v>West Ham United FC</v>
      </c>
      <c r="D33">
        <v>3</v>
      </c>
      <c r="E33" t="str">
        <v>Chelsea FC</v>
      </c>
      <c r="F33">
        <v>2</v>
      </c>
      <c r="H33" s="59" cm="1">
        <f t="array" ref="H33">_xlfn.IFS(AND(C33=$N$18,D33&gt;F33),3,AND(E33=$N$18,F33&gt;D33),3,AND(C33=$N$18,D33=F33),1,AND(E33=$N$18,D33=F33),1,AND(C33=$N$18,D33&lt;F33),0,AND(E33=$N$18,F33&lt;D33),0)</f>
        <v>3</v>
      </c>
      <c r="I33">
        <f t="shared" si="0"/>
        <v>1</v>
      </c>
      <c r="J33" s="59">
        <f t="shared" si="1"/>
        <v>0</v>
      </c>
      <c r="K33" cm="1">
        <f t="array" ref="K33">_xlfn.IFS(H33=3,1+K32,H33=1,1+K32,H33=0,0)</f>
        <v>1</v>
      </c>
      <c r="L33" cm="1">
        <f t="array" ref="L33">_xlfn.IFS(H33=0,1+L32,H33=1,1+L32,H33=3,0)</f>
        <v>0</v>
      </c>
    </row>
    <row r="34" spans="1:12" x14ac:dyDescent="0.2">
      <c r="A34">
        <v>33</v>
      </c>
      <c r="B34" s="1">
        <v>44017</v>
      </c>
      <c r="C34" t="str">
        <v>Newcastle United FC</v>
      </c>
      <c r="D34">
        <v>2</v>
      </c>
      <c r="E34" t="str">
        <v>West Ham United FC</v>
      </c>
      <c r="F34">
        <v>2</v>
      </c>
      <c r="H34" s="59" cm="1">
        <f t="array" ref="H34">_xlfn.IFS(AND(C34=$N$18,D34&gt;F34),3,AND(E34=$N$18,F34&gt;D34),3,AND(C34=$N$18,D34=F34),1,AND(E34=$N$18,D34=F34),1,AND(C34=$N$18,D34&lt;F34),0,AND(E34=$N$18,F34&lt;D34),0)</f>
        <v>1</v>
      </c>
      <c r="I34">
        <f t="shared" si="0"/>
        <v>0</v>
      </c>
      <c r="J34" s="59">
        <f t="shared" si="1"/>
        <v>0</v>
      </c>
      <c r="K34" cm="1">
        <f t="array" ref="K34">_xlfn.IFS(H34=3,1+K33,H34=1,1+K33,H34=0,0)</f>
        <v>2</v>
      </c>
      <c r="L34" cm="1">
        <f t="array" ref="L34">_xlfn.IFS(H34=0,1+L33,H34=1,1+L33,H34=3,0)</f>
        <v>1</v>
      </c>
    </row>
    <row r="35" spans="1:12" x14ac:dyDescent="0.2">
      <c r="A35">
        <v>34</v>
      </c>
      <c r="B35" s="1">
        <v>44020</v>
      </c>
      <c r="C35" t="str">
        <v>West Ham United FC</v>
      </c>
      <c r="D35">
        <v>0</v>
      </c>
      <c r="E35" t="str">
        <v>Burnley FC</v>
      </c>
      <c r="F35">
        <v>1</v>
      </c>
      <c r="H35" s="59" cm="1">
        <f t="array" ref="H35">_xlfn.IFS(AND(C35=$N$18,D35&gt;F35),3,AND(E35=$N$18,F35&gt;D35),3,AND(C35=$N$18,D35=F35),1,AND(E35=$N$18,D35=F35),1,AND(C35=$N$18,D35&lt;F35),0,AND(E35=$N$18,F35&lt;D35),0)</f>
        <v>0</v>
      </c>
      <c r="I35">
        <f t="shared" si="0"/>
        <v>0</v>
      </c>
      <c r="J35" s="59">
        <f t="shared" si="1"/>
        <v>1</v>
      </c>
      <c r="K35" cm="1">
        <f t="array" ref="K35">_xlfn.IFS(H35=3,1+K34,H35=1,1+K34,H35=0,0)</f>
        <v>0</v>
      </c>
      <c r="L35" cm="1">
        <f t="array" ref="L35">_xlfn.IFS(H35=0,1+L34,H35=1,1+L34,H35=3,0)</f>
        <v>2</v>
      </c>
    </row>
    <row r="36" spans="1:12" x14ac:dyDescent="0.2">
      <c r="A36">
        <v>35</v>
      </c>
      <c r="B36" s="1">
        <v>44023</v>
      </c>
      <c r="C36" t="str">
        <v>Norwich City FC</v>
      </c>
      <c r="D36">
        <v>0</v>
      </c>
      <c r="E36" t="str">
        <v>West Ham United FC</v>
      </c>
      <c r="F36">
        <v>4</v>
      </c>
      <c r="H36" s="59" cm="1">
        <f t="array" ref="H36">_xlfn.IFS(AND(C36=$N$18,D36&gt;F36),3,AND(E36=$N$18,F36&gt;D36),3,AND(C36=$N$18,D36=F36),1,AND(E36=$N$18,D36=F36),1,AND(C36=$N$18,D36&lt;F36),0,AND(E36=$N$18,F36&lt;D36),0)</f>
        <v>3</v>
      </c>
      <c r="I36">
        <f t="shared" si="0"/>
        <v>1</v>
      </c>
      <c r="J36" s="59">
        <f t="shared" si="1"/>
        <v>0</v>
      </c>
      <c r="K36" cm="1">
        <f t="array" ref="K36">_xlfn.IFS(H36=3,1+K35,H36=1,1+K35,H36=0,0)</f>
        <v>1</v>
      </c>
      <c r="L36" cm="1">
        <f t="array" ref="L36">_xlfn.IFS(H36=0,1+L35,H36=1,1+L35,H36=3,0)</f>
        <v>0</v>
      </c>
    </row>
    <row r="37" spans="1:12" x14ac:dyDescent="0.2">
      <c r="A37">
        <v>36</v>
      </c>
      <c r="B37" s="1">
        <v>44029</v>
      </c>
      <c r="C37" t="str">
        <v>West Ham United FC</v>
      </c>
      <c r="D37">
        <v>3</v>
      </c>
      <c r="E37" t="str">
        <v>Watford FC</v>
      </c>
      <c r="F37">
        <v>1</v>
      </c>
      <c r="H37" s="59" cm="1">
        <f t="array" ref="H37">_xlfn.IFS(AND(C37=$N$18,D37&gt;F37),3,AND(E37=$N$18,F37&gt;D37),3,AND(C37=$N$18,D37=F37),1,AND(E37=$N$18,D37=F37),1,AND(C37=$N$18,D37&lt;F37),0,AND(E37=$N$18,F37&lt;D37),0)</f>
        <v>3</v>
      </c>
      <c r="I37">
        <f t="shared" si="0"/>
        <v>2</v>
      </c>
      <c r="J37" s="59">
        <f t="shared" si="1"/>
        <v>0</v>
      </c>
      <c r="K37" cm="1">
        <f t="array" ref="K37">_xlfn.IFS(H37=3,1+K36,H37=1,1+K36,H37=0,0)</f>
        <v>2</v>
      </c>
      <c r="L37" cm="1">
        <f t="array" ref="L37">_xlfn.IFS(H37=0,1+L36,H37=1,1+L36,H37=3,0)</f>
        <v>0</v>
      </c>
    </row>
    <row r="38" spans="1:12" x14ac:dyDescent="0.2">
      <c r="A38">
        <v>37</v>
      </c>
      <c r="B38" s="1">
        <v>44034</v>
      </c>
      <c r="C38" t="str">
        <v>Manchester United FC</v>
      </c>
      <c r="D38">
        <v>1</v>
      </c>
      <c r="E38" t="str">
        <v>West Ham United FC</v>
      </c>
      <c r="F38">
        <v>1</v>
      </c>
      <c r="H38" s="59" cm="1">
        <f t="array" ref="H38">_xlfn.IFS(AND(C38=$N$18,D38&gt;F38),3,AND(E38=$N$18,F38&gt;D38),3,AND(C38=$N$18,D38=F38),1,AND(E38=$N$18,D38=F38),1,AND(C38=$N$18,D38&lt;F38),0,AND(E38=$N$18,F38&lt;D38),0)</f>
        <v>1</v>
      </c>
      <c r="I38">
        <f t="shared" si="0"/>
        <v>0</v>
      </c>
      <c r="J38" s="59">
        <f t="shared" si="1"/>
        <v>0</v>
      </c>
      <c r="K38" cm="1">
        <f t="array" ref="K38">_xlfn.IFS(H38=3,1+K37,H38=1,1+K37,H38=0,0)</f>
        <v>3</v>
      </c>
      <c r="L38" cm="1">
        <f t="array" ref="L38">_xlfn.IFS(H38=0,1+L37,H38=1,1+L37,H38=3,0)</f>
        <v>1</v>
      </c>
    </row>
    <row r="39" spans="1:12" x14ac:dyDescent="0.2">
      <c r="A39">
        <v>38</v>
      </c>
      <c r="B39" s="1">
        <v>44038</v>
      </c>
      <c r="C39" t="str">
        <v>West Ham United FC</v>
      </c>
      <c r="D39">
        <v>1</v>
      </c>
      <c r="E39" t="str">
        <v>Aston Villa FC</v>
      </c>
      <c r="F39">
        <v>1</v>
      </c>
      <c r="H39" s="59" cm="1">
        <f t="array" ref="H39">_xlfn.IFS(AND(C39=$N$18,D39&gt;F39),3,AND(E39=$N$18,F39&gt;D39),3,AND(C39=$N$18,D39=F39),1,AND(E39=$N$18,D39=F39),1,AND(C39=$N$18,D39&lt;F39),0,AND(E39=$N$18,F39&lt;D39),0)</f>
        <v>1</v>
      </c>
      <c r="I39">
        <f t="shared" si="0"/>
        <v>0</v>
      </c>
      <c r="J39" s="59">
        <f t="shared" si="1"/>
        <v>0</v>
      </c>
      <c r="K39" cm="1">
        <f t="array" ref="K39">_xlfn.IFS(H39=3,1+K38,H39=1,1+K38,H39=0,0)</f>
        <v>4</v>
      </c>
      <c r="L39" cm="1">
        <f t="array" ref="L39">_xlfn.IFS(H39=0,1+L38,H39=1,1+L38,H39=3,0)</f>
        <v>2</v>
      </c>
    </row>
    <row r="41" spans="1:12" x14ac:dyDescent="0.2">
      <c r="C41" s="77"/>
    </row>
    <row r="42" spans="1:12" x14ac:dyDescent="0.2">
      <c r="C42" s="77"/>
    </row>
  </sheetData>
  <conditionalFormatting sqref="G2:G39">
    <cfRule type="expression" dxfId="113" priority="5">
      <formula>AND($E2=$N$18,$F2&gt;$D2)</formula>
    </cfRule>
  </conditionalFormatting>
  <conditionalFormatting sqref="G2:G39">
    <cfRule type="expression" dxfId="112" priority="4">
      <formula>AND($E2=$N$18,$F2&lt;$D2)</formula>
    </cfRule>
  </conditionalFormatting>
  <conditionalFormatting sqref="G2:G39">
    <cfRule type="expression" dxfId="111" priority="3">
      <formula>$D2=$F2</formula>
    </cfRule>
  </conditionalFormatting>
  <conditionalFormatting sqref="G2:G39">
    <cfRule type="expression" dxfId="110" priority="2">
      <formula>AND($C2=$N$18,$D2&lt;$F2)</formula>
    </cfRule>
  </conditionalFormatting>
  <conditionalFormatting sqref="G2:G39">
    <cfRule type="expression" dxfId="109" priority="1">
      <formula>AND($C2=$N$18,$D2&gt;$F2)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79A71-B4D0-4EBB-A81A-70653F64B604}">
  <sheetPr codeName="Sheet7"/>
  <dimension ref="A1:V39"/>
  <sheetViews>
    <sheetView zoomScale="60" zoomScaleNormal="60" workbookViewId="0"/>
  </sheetViews>
  <sheetFormatPr baseColWidth="10" defaultColWidth="8.83203125" defaultRowHeight="15" x14ac:dyDescent="0.2"/>
  <cols>
    <col min="2" max="2" width="11.5" style="1" bestFit="1" customWidth="1"/>
    <col min="3" max="3" width="28.6640625" bestFit="1" customWidth="1"/>
    <col min="4" max="4" width="11.83203125" bestFit="1" customWidth="1"/>
    <col min="5" max="5" width="28.6640625" bestFit="1" customWidth="1"/>
    <col min="6" max="6" width="11.5" bestFit="1" customWidth="1"/>
    <col min="9" max="9" width="13" bestFit="1" customWidth="1"/>
    <col min="10" max="10" width="13.6640625" bestFit="1" customWidth="1"/>
    <col min="11" max="11" width="13.1640625" customWidth="1"/>
    <col min="12" max="12" width="12.1640625" customWidth="1"/>
    <col min="14" max="14" width="14.1640625" bestFit="1" customWidth="1"/>
    <col min="15" max="22" width="10.6640625" customWidth="1"/>
  </cols>
  <sheetData>
    <row r="1" spans="1:20" ht="32" x14ac:dyDescent="0.2">
      <c r="A1" s="67" t="s">
        <v>0</v>
      </c>
      <c r="B1" s="71" t="s">
        <v>1</v>
      </c>
      <c r="C1" s="68" t="s">
        <v>2</v>
      </c>
      <c r="D1" s="68" t="s">
        <v>3</v>
      </c>
      <c r="E1" s="68" t="s">
        <v>4</v>
      </c>
      <c r="F1" s="69" t="s">
        <v>5</v>
      </c>
      <c r="G1" s="70" t="s">
        <v>71</v>
      </c>
      <c r="H1" s="70" t="s">
        <v>19</v>
      </c>
      <c r="I1" s="81" t="s">
        <v>72</v>
      </c>
      <c r="J1" s="81" t="s">
        <v>53</v>
      </c>
      <c r="K1" s="81" t="s">
        <v>55</v>
      </c>
      <c r="L1" s="81" t="s">
        <v>73</v>
      </c>
      <c r="Q1" s="58" t="s">
        <v>74</v>
      </c>
      <c r="R1" t="s">
        <v>75</v>
      </c>
      <c r="S1" t="s">
        <v>76</v>
      </c>
      <c r="T1" s="63" t="s">
        <v>77</v>
      </c>
    </row>
    <row r="2" spans="1:20" x14ac:dyDescent="0.2">
      <c r="A2" cm="1">
        <f t="array" ref="A2:F39">_xlfn._xlws.FILTER(eng_1[],(eng_1[Home]='England 1'!C4)+(eng_1[Away]='England 1'!E12))</f>
        <v>1</v>
      </c>
      <c r="B2" s="1">
        <v>43687</v>
      </c>
      <c r="C2" t="str">
        <v>Burnley FC</v>
      </c>
      <c r="D2">
        <v>3</v>
      </c>
      <c r="E2" t="str">
        <v>Southampton FC</v>
      </c>
      <c r="F2">
        <v>0</v>
      </c>
      <c r="H2" s="59" cm="1">
        <f t="array" ref="H2">_xlfn.IFS(AND(C2=$N$18,D2&gt;F2),3,AND(E2=$N$18,F2&gt;D2),3,AND(C2=$N$18,D2=F2),1,AND(E2=$N$18,D2=F2),1,AND(C2=$N$18,D2&lt;F2),0,AND(E2=$N$18,F2&lt;D2),0)</f>
        <v>3</v>
      </c>
      <c r="I2" cm="1">
        <f t="array" ref="I2">_xlfn.IFS(H2=3,1,H2=1,0,H2=0,0)</f>
        <v>1</v>
      </c>
      <c r="J2" s="59" cm="1">
        <f t="array" ref="J2">_xlfn.IFS(H2=0,1,H2=1,0,H2=3,0)</f>
        <v>0</v>
      </c>
      <c r="K2" cm="1">
        <f t="array" ref="K2">_xlfn.IFS(H2=3,1,H2=1,1,H2=0,0)</f>
        <v>1</v>
      </c>
      <c r="L2" cm="1">
        <f t="array" ref="L2">_xlfn.IFS(H2=0,1,H2=1,1,H2=3,0)</f>
        <v>0</v>
      </c>
      <c r="M2" s="59"/>
      <c r="Q2" s="56" t="s">
        <v>78</v>
      </c>
      <c r="R2">
        <v>20</v>
      </c>
      <c r="S2">
        <v>24</v>
      </c>
      <c r="T2" s="60">
        <v>1.2</v>
      </c>
    </row>
    <row r="3" spans="1:20" x14ac:dyDescent="0.2">
      <c r="A3">
        <v>2</v>
      </c>
      <c r="B3" s="1">
        <v>43694</v>
      </c>
      <c r="C3" t="str">
        <v>Arsenal FC</v>
      </c>
      <c r="D3">
        <v>2</v>
      </c>
      <c r="E3" t="str">
        <v>Burnley FC</v>
      </c>
      <c r="F3">
        <v>1</v>
      </c>
      <c r="H3" s="59" cm="1">
        <f t="array" ref="H3">_xlfn.IFS(AND(C3=$N$18,D3&gt;F3),3,AND(E3=$N$18,F3&gt;D3),3,AND(C3=$N$18,D3=F3),1,AND(E3=$N$18,D3=F3),1,AND(C3=$N$18,D3&lt;F3),0,AND(E3=$N$18,F3&lt;D3),0)</f>
        <v>0</v>
      </c>
      <c r="I3">
        <f t="shared" ref="I3:I39" si="0">IF(H3=3,1+I2,0)</f>
        <v>0</v>
      </c>
      <c r="J3" s="59">
        <f t="shared" ref="J3:J39" si="1">IF(H3=0,1+J2,0)</f>
        <v>1</v>
      </c>
      <c r="K3" cm="1">
        <f t="array" ref="K3">_xlfn.IFS(H3=3,1+K2,H3=1,1+K2,H3=0,0)</f>
        <v>0</v>
      </c>
      <c r="L3" cm="1">
        <f t="array" ref="L3">_xlfn.IFS(H3=0,1+L2,H3=1,1+L2,H3=3,0)</f>
        <v>1</v>
      </c>
      <c r="M3" s="59"/>
      <c r="N3" s="48" t="s">
        <v>79</v>
      </c>
      <c r="O3" s="48" t="s">
        <v>80</v>
      </c>
      <c r="Q3" s="57" t="s">
        <v>81</v>
      </c>
      <c r="R3">
        <v>4</v>
      </c>
      <c r="S3">
        <v>4</v>
      </c>
      <c r="T3" s="60">
        <v>1</v>
      </c>
    </row>
    <row r="4" spans="1:20" x14ac:dyDescent="0.2">
      <c r="A4">
        <v>3</v>
      </c>
      <c r="B4" s="1">
        <v>43702</v>
      </c>
      <c r="C4" t="str">
        <v>Wolverhampton Wanderers FC</v>
      </c>
      <c r="D4">
        <v>1</v>
      </c>
      <c r="E4" t="str">
        <v>Burnley FC</v>
      </c>
      <c r="F4">
        <v>1</v>
      </c>
      <c r="H4" s="59" cm="1">
        <f t="array" ref="H4">_xlfn.IFS(AND(C4=$N$18,D4&gt;F4),3,AND(E4=$N$18,F4&gt;D4),3,AND(C4=$N$18,D4=F4),1,AND(E4=$N$18,D4=F4),1,AND(C4=$N$18,D4&lt;F4),0,AND(E4=$N$18,F4&lt;D4),0)</f>
        <v>1</v>
      </c>
      <c r="I4">
        <f t="shared" si="0"/>
        <v>0</v>
      </c>
      <c r="J4" s="59">
        <f t="shared" si="1"/>
        <v>0</v>
      </c>
      <c r="K4" cm="1">
        <f t="array" ref="K4">_xlfn.IFS(H4=3,1+K3,H4=1,1+K3,H4=0,0)</f>
        <v>1</v>
      </c>
      <c r="L4" cm="1">
        <f t="array" ref="L4">_xlfn.IFS(H4=0,1+L3,H4=1,1+L3,H4=3,0)</f>
        <v>2</v>
      </c>
      <c r="M4" s="59"/>
      <c r="N4" s="49" t="s">
        <v>82</v>
      </c>
      <c r="O4" s="50"/>
      <c r="Q4" s="57" t="s">
        <v>83</v>
      </c>
      <c r="R4">
        <v>3</v>
      </c>
      <c r="S4">
        <v>5</v>
      </c>
      <c r="T4" s="60">
        <v>1.6666666666666667</v>
      </c>
    </row>
    <row r="5" spans="1:20" x14ac:dyDescent="0.2">
      <c r="A5">
        <v>4</v>
      </c>
      <c r="B5" s="1">
        <v>43708</v>
      </c>
      <c r="C5" t="str">
        <v>Burnley FC</v>
      </c>
      <c r="D5">
        <v>0</v>
      </c>
      <c r="E5" t="str">
        <v>Liverpool FC</v>
      </c>
      <c r="F5">
        <v>3</v>
      </c>
      <c r="H5" s="59" cm="1">
        <f t="array" ref="H5">_xlfn.IFS(AND(C5=$N$18,D5&gt;F5),3,AND(E5=$N$18,F5&gt;D5),3,AND(C5=$N$18,D5=F5),1,AND(E5=$N$18,D5=F5),1,AND(C5=$N$18,D5&lt;F5),0,AND(E5=$N$18,F5&lt;D5),0)</f>
        <v>0</v>
      </c>
      <c r="I5">
        <f t="shared" si="0"/>
        <v>0</v>
      </c>
      <c r="J5" s="59">
        <f t="shared" si="1"/>
        <v>1</v>
      </c>
      <c r="K5" cm="1">
        <f t="array" ref="K5">_xlfn.IFS(H5=3,1+K4,H5=1,1+K4,H5=0,0)</f>
        <v>0</v>
      </c>
      <c r="L5" cm="1">
        <f t="array" ref="L5">_xlfn.IFS(H5=0,1+L4,H5=1,1+L4,H5=3,0)</f>
        <v>3</v>
      </c>
      <c r="M5" s="59"/>
      <c r="N5" s="49" t="s">
        <v>84</v>
      </c>
      <c r="O5" s="51"/>
      <c r="Q5" s="57" t="s">
        <v>85</v>
      </c>
      <c r="R5">
        <v>3</v>
      </c>
      <c r="S5">
        <v>3</v>
      </c>
      <c r="T5" s="60">
        <v>1</v>
      </c>
    </row>
    <row r="6" spans="1:20" x14ac:dyDescent="0.2">
      <c r="A6">
        <v>5</v>
      </c>
      <c r="B6" s="1">
        <v>43722</v>
      </c>
      <c r="C6" t="str">
        <v>Brighton &amp; Hove Albion FC</v>
      </c>
      <c r="D6">
        <v>1</v>
      </c>
      <c r="E6" t="str">
        <v>Burnley FC</v>
      </c>
      <c r="F6">
        <v>1</v>
      </c>
      <c r="H6" s="59" cm="1">
        <f t="array" ref="H6">_xlfn.IFS(AND(C6=$N$18,D6&gt;F6),3,AND(E6=$N$18,F6&gt;D6),3,AND(C6=$N$18,D6=F6),1,AND(E6=$N$18,D6=F6),1,AND(C6=$N$18,D6&lt;F6),0,AND(E6=$N$18,F6&lt;D6),0)</f>
        <v>1</v>
      </c>
      <c r="I6">
        <f t="shared" si="0"/>
        <v>0</v>
      </c>
      <c r="J6" s="59">
        <f t="shared" si="1"/>
        <v>0</v>
      </c>
      <c r="K6" cm="1">
        <f t="array" ref="K6">_xlfn.IFS(H6=3,1+K5,H6=1,1+K5,H6=0,0)</f>
        <v>1</v>
      </c>
      <c r="L6" cm="1">
        <f t="array" ref="L6">_xlfn.IFS(H6=0,1+L5,H6=1,1+L5,H6=3,0)</f>
        <v>4</v>
      </c>
      <c r="M6" s="59"/>
      <c r="N6" s="49" t="s">
        <v>86</v>
      </c>
      <c r="O6" s="52"/>
      <c r="Q6" s="57" t="s">
        <v>87</v>
      </c>
      <c r="R6">
        <v>4</v>
      </c>
      <c r="S6">
        <v>6</v>
      </c>
      <c r="T6" s="60">
        <v>1.5</v>
      </c>
    </row>
    <row r="7" spans="1:20" x14ac:dyDescent="0.2">
      <c r="A7">
        <v>6</v>
      </c>
      <c r="B7" s="1">
        <v>43729</v>
      </c>
      <c r="C7" t="str">
        <v>Burnley FC</v>
      </c>
      <c r="D7">
        <v>2</v>
      </c>
      <c r="E7" t="str">
        <v>Norwich City FC</v>
      </c>
      <c r="F7">
        <v>0</v>
      </c>
      <c r="H7" s="59" cm="1">
        <f t="array" ref="H7">_xlfn.IFS(AND(C7=$N$18,D7&gt;F7),3,AND(E7=$N$18,F7&gt;D7),3,AND(C7=$N$18,D7=F7),1,AND(E7=$N$18,D7=F7),1,AND(C7=$N$18,D7&lt;F7),0,AND(E7=$N$18,F7&lt;D7),0)</f>
        <v>3</v>
      </c>
      <c r="I7">
        <f t="shared" si="0"/>
        <v>1</v>
      </c>
      <c r="J7" s="59">
        <f t="shared" si="1"/>
        <v>0</v>
      </c>
      <c r="K7" cm="1">
        <f t="array" ref="K7">_xlfn.IFS(H7=3,1+K6,H7=1,1+K6,H7=0,0)</f>
        <v>2</v>
      </c>
      <c r="L7" cm="1">
        <f t="array" ref="L7">_xlfn.IFS(H7=0,1+L6,H7=1,1+L6,H7=3,0)</f>
        <v>0</v>
      </c>
      <c r="M7" s="59"/>
      <c r="Q7" s="57" t="s">
        <v>88</v>
      </c>
      <c r="R7">
        <v>6</v>
      </c>
      <c r="S7">
        <v>6</v>
      </c>
      <c r="T7" s="60">
        <v>1</v>
      </c>
    </row>
    <row r="8" spans="1:20" x14ac:dyDescent="0.2">
      <c r="A8">
        <v>7</v>
      </c>
      <c r="B8" s="1">
        <v>43736</v>
      </c>
      <c r="C8" t="str">
        <v>Aston Villa FC</v>
      </c>
      <c r="D8">
        <v>2</v>
      </c>
      <c r="E8" t="str">
        <v>Burnley FC</v>
      </c>
      <c r="F8">
        <v>2</v>
      </c>
      <c r="H8" s="59" cm="1">
        <f t="array" ref="H8">_xlfn.IFS(AND(C8=$N$18,D8&gt;F8),3,AND(E8=$N$18,F8&gt;D8),3,AND(C8=$N$18,D8=F8),1,AND(E8=$N$18,D8=F8),1,AND(C8=$N$18,D8&lt;F8),0,AND(E8=$N$18,F8&lt;D8),0)</f>
        <v>1</v>
      </c>
      <c r="I8">
        <f t="shared" si="0"/>
        <v>0</v>
      </c>
      <c r="J8" s="59">
        <f t="shared" si="1"/>
        <v>0</v>
      </c>
      <c r="K8" cm="1">
        <f t="array" ref="K8">_xlfn.IFS(H8=3,1+K7,H8=1,1+K7,H8=0,0)</f>
        <v>3</v>
      </c>
      <c r="L8" cm="1">
        <f t="array" ref="L8">_xlfn.IFS(H8=0,1+L7,H8=1,1+L7,H8=3,0)</f>
        <v>1</v>
      </c>
      <c r="M8" s="59"/>
      <c r="Q8" s="56" t="s">
        <v>89</v>
      </c>
      <c r="R8">
        <v>18</v>
      </c>
      <c r="S8">
        <v>30</v>
      </c>
      <c r="T8" s="60">
        <v>1.6666666666666667</v>
      </c>
    </row>
    <row r="9" spans="1:20" x14ac:dyDescent="0.2">
      <c r="A9">
        <v>8</v>
      </c>
      <c r="B9" s="1">
        <v>43743</v>
      </c>
      <c r="C9" t="str">
        <v>Burnley FC</v>
      </c>
      <c r="D9">
        <v>1</v>
      </c>
      <c r="E9" t="str">
        <v>Everton FC</v>
      </c>
      <c r="F9">
        <v>0</v>
      </c>
      <c r="H9" s="59" cm="1">
        <f t="array" ref="H9">_xlfn.IFS(AND(C9=$N$18,D9&gt;F9),3,AND(E9=$N$18,F9&gt;D9),3,AND(C9=$N$18,D9=F9),1,AND(E9=$N$18,D9=F9),1,AND(C9=$N$18,D9&lt;F9),0,AND(E9=$N$18,F9&lt;D9),0)</f>
        <v>3</v>
      </c>
      <c r="I9">
        <f t="shared" si="0"/>
        <v>1</v>
      </c>
      <c r="J9" s="59">
        <f t="shared" si="1"/>
        <v>0</v>
      </c>
      <c r="K9" cm="1">
        <f t="array" ref="K9">_xlfn.IFS(H9=3,1+K8,H9=1,1+K8,H9=0,0)</f>
        <v>4</v>
      </c>
      <c r="L9" cm="1">
        <f t="array" ref="L9">_xlfn.IFS(H9=0,1+L8,H9=1,1+L8,H9=3,0)</f>
        <v>0</v>
      </c>
      <c r="M9" s="59"/>
      <c r="Q9" s="57" t="s">
        <v>90</v>
      </c>
      <c r="R9">
        <v>4</v>
      </c>
      <c r="S9">
        <v>6</v>
      </c>
      <c r="T9" s="60">
        <v>1.5</v>
      </c>
    </row>
    <row r="10" spans="1:20" x14ac:dyDescent="0.2">
      <c r="A10">
        <v>9</v>
      </c>
      <c r="B10" s="1">
        <v>43757</v>
      </c>
      <c r="C10" t="str">
        <v>Leicester City FC</v>
      </c>
      <c r="D10">
        <v>2</v>
      </c>
      <c r="E10" t="str">
        <v>Burnley FC</v>
      </c>
      <c r="F10">
        <v>1</v>
      </c>
      <c r="H10" s="59" cm="1">
        <f t="array" ref="H10">_xlfn.IFS(AND(C10=$N$18,D10&gt;F10),3,AND(E10=$N$18,F10&gt;D10),3,AND(C10=$N$18,D10=F10),1,AND(E10=$N$18,D10=F10),1,AND(C10=$N$18,D10&lt;F10),0,AND(E10=$N$18,F10&lt;D10),0)</f>
        <v>0</v>
      </c>
      <c r="I10">
        <f t="shared" si="0"/>
        <v>0</v>
      </c>
      <c r="J10" s="59">
        <f t="shared" si="1"/>
        <v>1</v>
      </c>
      <c r="K10" cm="1">
        <f t="array" ref="K10">_xlfn.IFS(H10=3,1+K9,H10=1,1+K9,H10=0,0)</f>
        <v>0</v>
      </c>
      <c r="L10" cm="1">
        <f t="array" ref="L10">_xlfn.IFS(H10=0,1+L9,H10=1,1+L9,H10=3,0)</f>
        <v>1</v>
      </c>
      <c r="M10" s="59"/>
      <c r="Q10" s="57" t="s">
        <v>91</v>
      </c>
      <c r="R10">
        <v>4</v>
      </c>
      <c r="S10">
        <v>8</v>
      </c>
      <c r="T10" s="60">
        <v>2</v>
      </c>
    </row>
    <row r="11" spans="1:20" x14ac:dyDescent="0.2">
      <c r="A11">
        <v>10</v>
      </c>
      <c r="B11" s="1">
        <v>43764</v>
      </c>
      <c r="C11" t="str">
        <v>Burnley FC</v>
      </c>
      <c r="D11">
        <v>2</v>
      </c>
      <c r="E11" t="str">
        <v>Chelsea FC</v>
      </c>
      <c r="F11">
        <v>4</v>
      </c>
      <c r="H11" s="59" cm="1">
        <f t="array" ref="H11">_xlfn.IFS(AND(C11=$N$18,D11&gt;F11),3,AND(E11=$N$18,F11&gt;D11),3,AND(C11=$N$18,D11=F11),1,AND(E11=$N$18,D11=F11),1,AND(C11=$N$18,D11&lt;F11),0,AND(E11=$N$18,F11&lt;D11),0)</f>
        <v>0</v>
      </c>
      <c r="I11">
        <f t="shared" si="0"/>
        <v>0</v>
      </c>
      <c r="J11" s="59">
        <f t="shared" si="1"/>
        <v>2</v>
      </c>
      <c r="K11" cm="1">
        <f t="array" ref="K11">_xlfn.IFS(H11=3,1+K10,H11=1,1+K10,H11=0,0)</f>
        <v>0</v>
      </c>
      <c r="L11" cm="1">
        <f t="array" ref="L11">_xlfn.IFS(H11=0,1+L10,H11=1,1+L10,H11=3,0)</f>
        <v>2</v>
      </c>
      <c r="M11" s="59"/>
      <c r="Q11" s="57" t="s">
        <v>92</v>
      </c>
      <c r="R11">
        <v>1</v>
      </c>
      <c r="S11">
        <v>1</v>
      </c>
      <c r="T11" s="60">
        <v>1</v>
      </c>
    </row>
    <row r="12" spans="1:20" x14ac:dyDescent="0.2">
      <c r="A12">
        <v>11</v>
      </c>
      <c r="B12" s="1">
        <v>43771</v>
      </c>
      <c r="C12" t="str">
        <v>Sheffield United FC</v>
      </c>
      <c r="D12">
        <v>3</v>
      </c>
      <c r="E12" t="str">
        <v>Burnley FC</v>
      </c>
      <c r="F12">
        <v>0</v>
      </c>
      <c r="H12" s="59" cm="1">
        <f t="array" ref="H12">_xlfn.IFS(AND(C12=$N$18,D12&gt;F12),3,AND(E12=$N$18,F12&gt;D12),3,AND(C12=$N$18,D12=F12),1,AND(E12=$N$18,D12=F12),1,AND(C12=$N$18,D12&lt;F12),0,AND(E12=$N$18,F12&lt;D12),0)</f>
        <v>0</v>
      </c>
      <c r="I12">
        <f t="shared" si="0"/>
        <v>0</v>
      </c>
      <c r="J12" s="59">
        <f t="shared" si="1"/>
        <v>3</v>
      </c>
      <c r="K12" cm="1">
        <f t="array" ref="K12">_xlfn.IFS(H12=3,1+K11,H12=1,1+K11,H12=0,0)</f>
        <v>0</v>
      </c>
      <c r="L12" cm="1">
        <f t="array" ref="L12">_xlfn.IFS(H12=0,1+L11,H12=1,1+L11,H12=3,0)</f>
        <v>3</v>
      </c>
      <c r="M12" s="59"/>
      <c r="Q12" s="57" t="s">
        <v>93</v>
      </c>
      <c r="R12">
        <v>3</v>
      </c>
      <c r="S12">
        <v>6</v>
      </c>
      <c r="T12" s="60">
        <v>2</v>
      </c>
    </row>
    <row r="13" spans="1:20" x14ac:dyDescent="0.2">
      <c r="A13">
        <v>12</v>
      </c>
      <c r="B13" s="1">
        <v>43778</v>
      </c>
      <c r="C13" t="str">
        <v>Burnley FC</v>
      </c>
      <c r="D13">
        <v>3</v>
      </c>
      <c r="E13" t="str">
        <v>West Ham United FC</v>
      </c>
      <c r="F13">
        <v>0</v>
      </c>
      <c r="H13" s="59" cm="1">
        <f t="array" ref="H13">_xlfn.IFS(AND(C13=$N$18,D13&gt;F13),3,AND(E13=$N$18,F13&gt;D13),3,AND(C13=$N$18,D13=F13),1,AND(E13=$N$18,D13=F13),1,AND(C13=$N$18,D13&lt;F13),0,AND(E13=$N$18,F13&lt;D13),0)</f>
        <v>3</v>
      </c>
      <c r="I13">
        <f t="shared" si="0"/>
        <v>1</v>
      </c>
      <c r="J13" s="59">
        <f t="shared" si="1"/>
        <v>0</v>
      </c>
      <c r="K13" cm="1">
        <f t="array" ref="K13">_xlfn.IFS(H13=3,1+K12,H13=1,1+K12,H13=0,0)</f>
        <v>1</v>
      </c>
      <c r="L13" cm="1">
        <f t="array" ref="L13">_xlfn.IFS(H13=0,1+L12,H13=1,1+L12,H13=3,0)</f>
        <v>0</v>
      </c>
      <c r="M13" s="59"/>
      <c r="Q13" s="57" t="s">
        <v>94</v>
      </c>
      <c r="R13">
        <v>6</v>
      </c>
      <c r="S13">
        <v>9</v>
      </c>
      <c r="T13" s="60">
        <v>1.5</v>
      </c>
    </row>
    <row r="14" spans="1:20" x14ac:dyDescent="0.2">
      <c r="A14">
        <v>13</v>
      </c>
      <c r="B14" s="1">
        <v>43792</v>
      </c>
      <c r="C14" t="str">
        <v>Watford FC</v>
      </c>
      <c r="D14">
        <v>0</v>
      </c>
      <c r="E14" t="str">
        <v>Burnley FC</v>
      </c>
      <c r="F14">
        <v>3</v>
      </c>
      <c r="H14" s="59" cm="1">
        <f t="array" ref="H14">_xlfn.IFS(AND(C14=$N$18,D14&gt;F14),3,AND(E14=$N$18,F14&gt;D14),3,AND(C14=$N$18,D14=F14),1,AND(E14=$N$18,D14=F14),1,AND(C14=$N$18,D14&lt;F14),0,AND(E14=$N$18,F14&lt;D14),0)</f>
        <v>3</v>
      </c>
      <c r="I14">
        <f t="shared" si="0"/>
        <v>2</v>
      </c>
      <c r="J14" s="59">
        <f t="shared" si="1"/>
        <v>0</v>
      </c>
      <c r="K14" cm="1">
        <f t="array" ref="K14">_xlfn.IFS(H14=3,1+K13,H14=1,1+K13,H14=0,0)</f>
        <v>2</v>
      </c>
      <c r="L14" cm="1">
        <f t="array" ref="L14">_xlfn.IFS(H14=0,1+L13,H14=1,1+L13,H14=3,0)</f>
        <v>0</v>
      </c>
      <c r="M14" s="59"/>
      <c r="Q14" s="56" t="s">
        <v>95</v>
      </c>
      <c r="R14">
        <v>38</v>
      </c>
      <c r="S14">
        <v>54</v>
      </c>
      <c r="T14" s="60">
        <v>1.4210526315789473</v>
      </c>
    </row>
    <row r="15" spans="1:20" x14ac:dyDescent="0.2">
      <c r="A15">
        <v>14</v>
      </c>
      <c r="B15" s="1">
        <v>43799</v>
      </c>
      <c r="C15" t="str">
        <v>Burnley FC</v>
      </c>
      <c r="D15">
        <v>0</v>
      </c>
      <c r="E15" t="str">
        <v>Crystal Palace FC</v>
      </c>
      <c r="F15">
        <v>2</v>
      </c>
      <c r="H15" s="59" cm="1">
        <f t="array" ref="H15">_xlfn.IFS(AND(C15=$N$18,D15&gt;F15),3,AND(E15=$N$18,F15&gt;D15),3,AND(C15=$N$18,D15=F15),1,AND(E15=$N$18,D15=F15),1,AND(C15=$N$18,D15&lt;F15),0,AND(E15=$N$18,F15&lt;D15),0)</f>
        <v>0</v>
      </c>
      <c r="I15">
        <f t="shared" si="0"/>
        <v>0</v>
      </c>
      <c r="J15" s="59">
        <f t="shared" si="1"/>
        <v>1</v>
      </c>
      <c r="K15" cm="1">
        <f t="array" ref="K15">_xlfn.IFS(H15=3,1+K14,H15=1,1+K14,H15=0,0)</f>
        <v>0</v>
      </c>
      <c r="L15" cm="1">
        <f t="array" ref="L15">_xlfn.IFS(H15=0,1+L14,H15=1,1+L14,H15=3,0)</f>
        <v>1</v>
      </c>
      <c r="M15" s="59"/>
    </row>
    <row r="16" spans="1:20" x14ac:dyDescent="0.2">
      <c r="A16">
        <v>15</v>
      </c>
      <c r="B16" s="1">
        <v>43802</v>
      </c>
      <c r="C16" t="str">
        <v>Burnley FC</v>
      </c>
      <c r="D16">
        <v>1</v>
      </c>
      <c r="E16" t="str">
        <v>Manchester City FC</v>
      </c>
      <c r="F16">
        <v>4</v>
      </c>
      <c r="H16" s="59" cm="1">
        <f t="array" ref="H16">_xlfn.IFS(AND(C16=$N$18,D16&gt;F16),3,AND(E16=$N$18,F16&gt;D16),3,AND(C16=$N$18,D16=F16),1,AND(E16=$N$18,D16=F16),1,AND(C16=$N$18,D16&lt;F16),0,AND(E16=$N$18,F16&lt;D16),0)</f>
        <v>0</v>
      </c>
      <c r="I16">
        <f t="shared" si="0"/>
        <v>0</v>
      </c>
      <c r="J16" s="59">
        <f t="shared" si="1"/>
        <v>2</v>
      </c>
      <c r="K16" cm="1">
        <f t="array" ref="K16">_xlfn.IFS(H16=3,1+K15,H16=1,1+K15,H16=0,0)</f>
        <v>0</v>
      </c>
      <c r="L16" cm="1">
        <f t="array" ref="L16">_xlfn.IFS(H16=0,1+L15,H16=1,1+L15,H16=3,0)</f>
        <v>2</v>
      </c>
      <c r="M16" s="59"/>
    </row>
    <row r="17" spans="1:22" x14ac:dyDescent="0.2">
      <c r="A17">
        <v>16</v>
      </c>
      <c r="B17" s="1">
        <v>43806</v>
      </c>
      <c r="C17" t="str">
        <v>Tottenham Hotspur FC</v>
      </c>
      <c r="D17">
        <v>5</v>
      </c>
      <c r="E17" t="str">
        <v>Burnley FC</v>
      </c>
      <c r="F17">
        <v>0</v>
      </c>
      <c r="H17" s="59" cm="1">
        <f t="array" ref="H17">_xlfn.IFS(AND(C17=$N$18,D17&gt;F17),3,AND(E17=$N$18,F17&gt;D17),3,AND(C17=$N$18,D17=F17),1,AND(E17=$N$18,D17=F17),1,AND(C17=$N$18,D17&lt;F17),0,AND(E17=$N$18,F17&lt;D17),0)</f>
        <v>0</v>
      </c>
      <c r="I17">
        <f t="shared" si="0"/>
        <v>0</v>
      </c>
      <c r="J17" s="59">
        <f t="shared" si="1"/>
        <v>3</v>
      </c>
      <c r="K17" cm="1">
        <f t="array" ref="K17">_xlfn.IFS(H17=3,1+K16,H17=1,1+K16,H17=0,0)</f>
        <v>0</v>
      </c>
      <c r="L17" cm="1">
        <f t="array" ref="L17">_xlfn.IFS(H17=0,1+L16,H17=1,1+L16,H17=3,0)</f>
        <v>3</v>
      </c>
      <c r="M17" s="59"/>
    </row>
    <row r="18" spans="1:22" x14ac:dyDescent="0.2">
      <c r="A18">
        <v>17</v>
      </c>
      <c r="B18" s="1">
        <v>43813</v>
      </c>
      <c r="C18" t="str">
        <v>Burnley FC</v>
      </c>
      <c r="D18">
        <v>1</v>
      </c>
      <c r="E18" t="str">
        <v>Newcastle United FC</v>
      </c>
      <c r="F18">
        <v>0</v>
      </c>
      <c r="H18" s="59" cm="1">
        <f t="array" ref="H18">_xlfn.IFS(AND(C18=$N$18,D18&gt;F18),3,AND(E18=$N$18,F18&gt;D18),3,AND(C18=$N$18,D18=F18),1,AND(E18=$N$18,D18=F18),1,AND(C18=$N$18,D18&lt;F18),0,AND(E18=$N$18,F18&lt;D18),0)</f>
        <v>3</v>
      </c>
      <c r="I18">
        <f t="shared" si="0"/>
        <v>1</v>
      </c>
      <c r="J18" s="59">
        <f t="shared" si="1"/>
        <v>0</v>
      </c>
      <c r="K18" cm="1">
        <f t="array" ref="K18">_xlfn.IFS(H18=3,1+K17,H18=1,1+K17,H18=0,0)</f>
        <v>1</v>
      </c>
      <c r="L18" cm="1">
        <f t="array" ref="L18">_xlfn.IFS(H18=0,1+L17,H18=1,1+L17,H18=3,0)</f>
        <v>0</v>
      </c>
      <c r="M18" s="59"/>
      <c r="N18" s="14" t="str">
        <f>C2</f>
        <v>Burnley FC</v>
      </c>
      <c r="O18" s="9" t="s">
        <v>12</v>
      </c>
      <c r="P18" s="7" t="s">
        <v>13</v>
      </c>
      <c r="Q18" s="6" t="s">
        <v>14</v>
      </c>
      <c r="R18" s="8" t="s">
        <v>15</v>
      </c>
      <c r="S18" s="9" t="s">
        <v>16</v>
      </c>
      <c r="T18" s="9" t="s">
        <v>17</v>
      </c>
      <c r="U18" s="9" t="s">
        <v>18</v>
      </c>
      <c r="V18" s="9" t="s">
        <v>19</v>
      </c>
    </row>
    <row r="19" spans="1:22" x14ac:dyDescent="0.2">
      <c r="A19">
        <v>18</v>
      </c>
      <c r="B19" s="1">
        <v>43820</v>
      </c>
      <c r="C19" t="str">
        <v>AFC Bournemouth</v>
      </c>
      <c r="D19">
        <v>0</v>
      </c>
      <c r="E19" t="str">
        <v>Burnley FC</v>
      </c>
      <c r="F19">
        <v>1</v>
      </c>
      <c r="H19" s="59" cm="1">
        <f t="array" ref="H19">_xlfn.IFS(AND(C19=$N$18,D19&gt;F19),3,AND(E19=$N$18,F19&gt;D19),3,AND(C19=$N$18,D19=F19),1,AND(E19=$N$18,D19=F19),1,AND(C19=$N$18,D19&lt;F19),0,AND(E19=$N$18,F19&lt;D19),0)</f>
        <v>3</v>
      </c>
      <c r="I19">
        <f t="shared" si="0"/>
        <v>2</v>
      </c>
      <c r="J19" s="59">
        <f t="shared" si="1"/>
        <v>0</v>
      </c>
      <c r="K19" cm="1">
        <f t="array" ref="K19">_xlfn.IFS(H19=3,1+K18,H19=1,1+K18,H19=0,0)</f>
        <v>2</v>
      </c>
      <c r="L19" cm="1">
        <f t="array" ref="L19">_xlfn.IFS(H19=0,1+L18,H19=1,1+L18,H19=3,0)</f>
        <v>0</v>
      </c>
      <c r="M19" s="59"/>
      <c r="N19" s="10" t="s">
        <v>22</v>
      </c>
      <c r="O19" s="11">
        <f>COUNT(A2:A39)</f>
        <v>38</v>
      </c>
      <c r="P19" s="5" cm="1">
        <f t="array" ref="P19">SUMPRODUCT(((C2:C39=$N$18)*(D2:D39&gt;F2:F39))+((E2:E39=$N$18)*(F2:F39&gt;D2:D39)))</f>
        <v>15</v>
      </c>
      <c r="Q19" s="12" cm="1">
        <f t="array" ref="Q19">SUMPRODUCT(((C2:C39=$N$18)*(D2:D39=F2:F39))+((E2:E39=$N$18)*(F2:F39=D2:D39)))</f>
        <v>9</v>
      </c>
      <c r="R19" s="13" cm="1">
        <f t="array" ref="R19">SUMPRODUCT(((C2:C39=$N$18)*(D2:D39&lt;F2:F39))+((E2:E39=$N$18)*(F2:F39&lt;D2:D39)))</f>
        <v>14</v>
      </c>
      <c r="S19" s="11">
        <f>SUMIF(C2:C39,N18,D2:D39)+SUMIF(E2:E39,N18,F2:F39)</f>
        <v>43</v>
      </c>
      <c r="T19" s="11">
        <f>SUMIF(C2:C39,N18,F2:F39)+SUMIF(E2:E39,N18,D2:D39)</f>
        <v>50</v>
      </c>
      <c r="U19" s="11">
        <f>S19-T19</f>
        <v>-7</v>
      </c>
      <c r="V19" s="11">
        <f>V20+V21</f>
        <v>54</v>
      </c>
    </row>
    <row r="20" spans="1:22" x14ac:dyDescent="0.2">
      <c r="A20">
        <v>19</v>
      </c>
      <c r="B20" s="1">
        <v>43825</v>
      </c>
      <c r="C20" t="str">
        <v>Everton FC</v>
      </c>
      <c r="D20">
        <v>1</v>
      </c>
      <c r="E20" t="str">
        <v>Burnley FC</v>
      </c>
      <c r="F20">
        <v>0</v>
      </c>
      <c r="H20" s="59" cm="1">
        <f t="array" ref="H20">_xlfn.IFS(AND(C20=$N$18,D20&gt;F20),3,AND(E20=$N$18,F20&gt;D20),3,AND(C20=$N$18,D20=F20),1,AND(E20=$N$18,D20=F20),1,AND(C20=$N$18,D20&lt;F20),0,AND(E20=$N$18,F20&lt;D20),0)</f>
        <v>0</v>
      </c>
      <c r="I20">
        <f t="shared" si="0"/>
        <v>0</v>
      </c>
      <c r="J20" s="59">
        <f t="shared" si="1"/>
        <v>1</v>
      </c>
      <c r="K20" cm="1">
        <f t="array" ref="K20">_xlfn.IFS(H20=3,1+K19,H20=1,1+K19,H20=0,0)</f>
        <v>0</v>
      </c>
      <c r="L20" cm="1">
        <f t="array" ref="L20">_xlfn.IFS(H20=0,1+L19,H20=1,1+L19,H20=3,0)</f>
        <v>1</v>
      </c>
      <c r="M20" s="59"/>
      <c r="N20" s="10" t="s">
        <v>2</v>
      </c>
      <c r="O20" s="11">
        <f>COUNTIF(C2:C39,C3)</f>
        <v>1</v>
      </c>
      <c r="P20" s="74" cm="1">
        <f t="array" ref="P20">SUMPRODUCT(((C2:C39=$N$18)*(D2:D39&gt;F2:F39)))</f>
        <v>8</v>
      </c>
      <c r="Q20" s="12" cm="1">
        <f t="array" ref="Q20">SUMPRODUCT(((C2:C39=$N$18)*(D2:D39=F2:F39)))</f>
        <v>4</v>
      </c>
      <c r="R20" s="13" cm="1">
        <f t="array" ref="R20">SUMPRODUCT(((C2:C39=$N$18)*(D2:D39&lt;F2:F39)))</f>
        <v>7</v>
      </c>
      <c r="S20" s="11">
        <f>SUMIF(C2:C39,N18,D2:D39)</f>
        <v>24</v>
      </c>
      <c r="T20" s="11">
        <f>SUMIF(C2:C39,N18,F2:F39)</f>
        <v>23</v>
      </c>
      <c r="U20" s="11">
        <f>S20-T20</f>
        <v>1</v>
      </c>
      <c r="V20" s="11">
        <f>(P20*3)+Q20</f>
        <v>28</v>
      </c>
    </row>
    <row r="21" spans="1:22" x14ac:dyDescent="0.2">
      <c r="A21">
        <v>20</v>
      </c>
      <c r="B21" s="1">
        <v>43827</v>
      </c>
      <c r="C21" t="str">
        <v>Burnley FC</v>
      </c>
      <c r="D21">
        <v>0</v>
      </c>
      <c r="E21" t="str">
        <v>Manchester United FC</v>
      </c>
      <c r="F21">
        <v>2</v>
      </c>
      <c r="H21" s="59" cm="1">
        <f t="array" ref="H21">_xlfn.IFS(AND(C21=$N$18,D21&gt;F21),3,AND(E21=$N$18,F21&gt;D21),3,AND(C21=$N$18,D21=F21),1,AND(E21=$N$18,D21=F21),1,AND(C21=$N$18,D21&lt;F21),0,AND(E21=$N$18,F21&lt;D21),0)</f>
        <v>0</v>
      </c>
      <c r="I21">
        <f t="shared" si="0"/>
        <v>0</v>
      </c>
      <c r="J21" s="59">
        <f t="shared" si="1"/>
        <v>2</v>
      </c>
      <c r="K21" cm="1">
        <f t="array" ref="K21">_xlfn.IFS(H21=3,1+K20,H21=1,1+K20,H21=0,0)</f>
        <v>0</v>
      </c>
      <c r="L21" cm="1">
        <f t="array" ref="L21">_xlfn.IFS(H21=0,1+L20,H21=1,1+L20,H21=3,0)</f>
        <v>2</v>
      </c>
      <c r="M21" s="59"/>
      <c r="N21" s="10" t="s">
        <v>4</v>
      </c>
      <c r="O21" s="11">
        <f>COUNTIF(E2:E39,E2)</f>
        <v>1</v>
      </c>
      <c r="P21" s="5" cm="1">
        <f t="array" ref="P21">SUMPRODUCT(((E2:E39=$N$18)*(F2:F39&gt;D2:D39)))</f>
        <v>7</v>
      </c>
      <c r="Q21" s="12" cm="1">
        <f t="array" ref="Q21">SUMPRODUCT(((E2:E39=$N$18)*(F2:F39=D2:D39)))</f>
        <v>5</v>
      </c>
      <c r="R21" s="13" cm="1">
        <f t="array" ref="R21">SUMPRODUCT(((E2:E39=$N$18)*(F2:F39&lt;D2:D39)))</f>
        <v>7</v>
      </c>
      <c r="S21" s="11">
        <f>SUMIF(E2:E39,N18,F2:F39)</f>
        <v>19</v>
      </c>
      <c r="T21" s="11">
        <f>SUMIF(E2:E39,N18,D2:D39)</f>
        <v>27</v>
      </c>
      <c r="U21" s="11">
        <f>S21-T21</f>
        <v>-8</v>
      </c>
      <c r="V21" s="11">
        <f>(P21*3)+Q21</f>
        <v>26</v>
      </c>
    </row>
    <row r="22" spans="1:22" x14ac:dyDescent="0.2">
      <c r="A22">
        <v>21</v>
      </c>
      <c r="B22" s="1">
        <v>43831</v>
      </c>
      <c r="C22" t="str">
        <v>Burnley FC</v>
      </c>
      <c r="D22">
        <v>1</v>
      </c>
      <c r="E22" t="str">
        <v>Aston Villa FC</v>
      </c>
      <c r="F22">
        <v>2</v>
      </c>
      <c r="H22" s="59" cm="1">
        <f t="array" ref="H22">_xlfn.IFS(AND(C22=$N$18,D22&gt;F22),3,AND(E22=$N$18,F22&gt;D22),3,AND(C22=$N$18,D22=F22),1,AND(E22=$N$18,D22=F22),1,AND(C22=$N$18,D22&lt;F22),0,AND(E22=$N$18,F22&lt;D22),0)</f>
        <v>0</v>
      </c>
      <c r="I22">
        <f t="shared" si="0"/>
        <v>0</v>
      </c>
      <c r="J22" s="59">
        <f t="shared" si="1"/>
        <v>3</v>
      </c>
      <c r="K22" cm="1">
        <f t="array" ref="K22">_xlfn.IFS(H22=3,1+K21,H22=1,1+K21,H22=0,0)</f>
        <v>0</v>
      </c>
      <c r="L22" cm="1">
        <f t="array" ref="L22">_xlfn.IFS(H22=0,1+L21,H22=1,1+L21,H22=3,0)</f>
        <v>3</v>
      </c>
      <c r="M22" s="59"/>
    </row>
    <row r="23" spans="1:22" x14ac:dyDescent="0.2">
      <c r="A23">
        <v>22</v>
      </c>
      <c r="B23" s="1">
        <v>43841</v>
      </c>
      <c r="C23" t="str">
        <v>Chelsea FC</v>
      </c>
      <c r="D23">
        <v>3</v>
      </c>
      <c r="E23" t="str">
        <v>Burnley FC</v>
      </c>
      <c r="F23">
        <v>0</v>
      </c>
      <c r="H23" s="59" cm="1">
        <f t="array" ref="H23">_xlfn.IFS(AND(C23=$N$18,D23&gt;F23),3,AND(E23=$N$18,F23&gt;D23),3,AND(C23=$N$18,D23=F23),1,AND(E23=$N$18,D23=F23),1,AND(C23=$N$18,D23&lt;F23),0,AND(E23=$N$18,F23&lt;D23),0)</f>
        <v>0</v>
      </c>
      <c r="I23">
        <f t="shared" si="0"/>
        <v>0</v>
      </c>
      <c r="J23" s="59">
        <f t="shared" si="1"/>
        <v>4</v>
      </c>
      <c r="K23" cm="1">
        <f t="array" ref="K23">_xlfn.IFS(H23=3,1+K22,H23=1,1+K22,H23=0,0)</f>
        <v>0</v>
      </c>
      <c r="L23" cm="1">
        <f t="array" ref="L23">_xlfn.IFS(H23=0,1+L22,H23=1,1+L22,H23=3,0)</f>
        <v>4</v>
      </c>
      <c r="M23" s="59"/>
    </row>
    <row r="24" spans="1:22" x14ac:dyDescent="0.2">
      <c r="A24">
        <v>23</v>
      </c>
      <c r="B24" s="1">
        <v>43849</v>
      </c>
      <c r="C24" t="str">
        <v>Burnley FC</v>
      </c>
      <c r="D24">
        <v>2</v>
      </c>
      <c r="E24" t="str">
        <v>Leicester City FC</v>
      </c>
      <c r="F24">
        <v>1</v>
      </c>
      <c r="H24" s="59" cm="1">
        <f t="array" ref="H24">_xlfn.IFS(AND(C24=$N$18,D24&gt;F24),3,AND(E24=$N$18,F24&gt;D24),3,AND(C24=$N$18,D24=F24),1,AND(E24=$N$18,D24=F24),1,AND(C24=$N$18,D24&lt;F24),0,AND(E24=$N$18,F24&lt;D24),0)</f>
        <v>3</v>
      </c>
      <c r="I24">
        <f t="shared" si="0"/>
        <v>1</v>
      </c>
      <c r="J24" s="59">
        <f t="shared" si="1"/>
        <v>0</v>
      </c>
      <c r="K24" cm="1">
        <f t="array" ref="K24">_xlfn.IFS(H24=3,1+K23,H24=1,1+K23,H24=0,0)</f>
        <v>1</v>
      </c>
      <c r="L24" cm="1">
        <f t="array" ref="L24">_xlfn.IFS(H24=0,1+L23,H24=1,1+L23,H24=3,0)</f>
        <v>0</v>
      </c>
      <c r="M24" s="59"/>
    </row>
    <row r="25" spans="1:22" x14ac:dyDescent="0.2">
      <c r="A25">
        <v>24</v>
      </c>
      <c r="B25" s="1">
        <v>43852</v>
      </c>
      <c r="C25" t="str">
        <v>Manchester United FC</v>
      </c>
      <c r="D25">
        <v>0</v>
      </c>
      <c r="E25" t="str">
        <v>Burnley FC</v>
      </c>
      <c r="F25">
        <v>2</v>
      </c>
      <c r="H25" s="59" cm="1">
        <f t="array" ref="H25">_xlfn.IFS(AND(C25=$N$18,D25&gt;F25),3,AND(E25=$N$18,F25&gt;D25),3,AND(C25=$N$18,D25=F25),1,AND(E25=$N$18,D25=F25),1,AND(C25=$N$18,D25&lt;F25),0,AND(E25=$N$18,F25&lt;D25),0)</f>
        <v>3</v>
      </c>
      <c r="I25">
        <f t="shared" si="0"/>
        <v>2</v>
      </c>
      <c r="J25" s="59">
        <f t="shared" si="1"/>
        <v>0</v>
      </c>
      <c r="K25" cm="1">
        <f t="array" ref="K25">_xlfn.IFS(H25=3,1+K24,H25=1,1+K24,H25=0,0)</f>
        <v>2</v>
      </c>
      <c r="L25" cm="1">
        <f t="array" ref="L25">_xlfn.IFS(H25=0,1+L24,H25=1,1+L24,H25=3,0)</f>
        <v>0</v>
      </c>
      <c r="M25" s="59"/>
    </row>
    <row r="26" spans="1:22" x14ac:dyDescent="0.2">
      <c r="A26">
        <v>25</v>
      </c>
      <c r="B26" s="1">
        <v>43863</v>
      </c>
      <c r="C26" t="str">
        <v>Burnley FC</v>
      </c>
      <c r="D26">
        <v>0</v>
      </c>
      <c r="E26" t="str">
        <v>Arsenal FC</v>
      </c>
      <c r="F26">
        <v>0</v>
      </c>
      <c r="H26" s="59" cm="1">
        <f t="array" ref="H26">_xlfn.IFS(AND(C26=$N$18,D26&gt;F26),3,AND(E26=$N$18,F26&gt;D26),3,AND(C26=$N$18,D26=F26),1,AND(E26=$N$18,D26=F26),1,AND(C26=$N$18,D26&lt;F26),0,AND(E26=$N$18,F26&lt;D26),0)</f>
        <v>1</v>
      </c>
      <c r="I26">
        <f t="shared" si="0"/>
        <v>0</v>
      </c>
      <c r="J26" s="59">
        <f t="shared" si="1"/>
        <v>0</v>
      </c>
      <c r="K26" cm="1">
        <f t="array" ref="K26">_xlfn.IFS(H26=3,1+K25,H26=1,1+K25,H26=0,0)</f>
        <v>3</v>
      </c>
      <c r="L26" cm="1">
        <f t="array" ref="L26">_xlfn.IFS(H26=0,1+L25,H26=1,1+L25,H26=3,0)</f>
        <v>1</v>
      </c>
      <c r="M26" s="59"/>
    </row>
    <row r="27" spans="1:22" x14ac:dyDescent="0.2">
      <c r="A27">
        <v>26</v>
      </c>
      <c r="B27" s="1">
        <v>43876</v>
      </c>
      <c r="C27" t="str">
        <v>Southampton FC</v>
      </c>
      <c r="D27">
        <v>1</v>
      </c>
      <c r="E27" t="str">
        <v>Burnley FC</v>
      </c>
      <c r="F27">
        <v>2</v>
      </c>
      <c r="H27" s="59" cm="1">
        <f t="array" ref="H27">_xlfn.IFS(AND(C27=$N$18,D27&gt;F27),3,AND(E27=$N$18,F27&gt;D27),3,AND(C27=$N$18,D27=F27),1,AND(E27=$N$18,D27=F27),1,AND(C27=$N$18,D27&lt;F27),0,AND(E27=$N$18,F27&lt;D27),0)</f>
        <v>3</v>
      </c>
      <c r="I27">
        <f t="shared" si="0"/>
        <v>1</v>
      </c>
      <c r="J27" s="59">
        <f t="shared" si="1"/>
        <v>0</v>
      </c>
      <c r="K27" cm="1">
        <f t="array" ref="K27">_xlfn.IFS(H27=3,1+K26,H27=1,1+K26,H27=0,0)</f>
        <v>4</v>
      </c>
      <c r="L27" cm="1">
        <f t="array" ref="L27">_xlfn.IFS(H27=0,1+L26,H27=1,1+L26,H27=3,0)</f>
        <v>0</v>
      </c>
      <c r="M27" s="59"/>
    </row>
    <row r="28" spans="1:22" x14ac:dyDescent="0.2">
      <c r="A28">
        <v>27</v>
      </c>
      <c r="B28" s="1">
        <v>43883</v>
      </c>
      <c r="C28" t="str">
        <v>Burnley FC</v>
      </c>
      <c r="D28">
        <v>3</v>
      </c>
      <c r="E28" t="str">
        <v>AFC Bournemouth</v>
      </c>
      <c r="F28">
        <v>0</v>
      </c>
      <c r="H28" s="59" cm="1">
        <f t="array" ref="H28">_xlfn.IFS(AND(C28=$N$18,D28&gt;F28),3,AND(E28=$N$18,F28&gt;D28),3,AND(C28=$N$18,D28=F28),1,AND(E28=$N$18,D28=F28),1,AND(C28=$N$18,D28&lt;F28),0,AND(E28=$N$18,F28&lt;D28),0)</f>
        <v>3</v>
      </c>
      <c r="I28">
        <f t="shared" si="0"/>
        <v>2</v>
      </c>
      <c r="J28" s="59">
        <f t="shared" si="1"/>
        <v>0</v>
      </c>
      <c r="K28" cm="1">
        <f t="array" ref="K28">_xlfn.IFS(H28=3,1+K27,H28=1,1+K27,H28=0,0)</f>
        <v>5</v>
      </c>
      <c r="L28" cm="1">
        <f t="array" ref="L28">_xlfn.IFS(H28=0,1+L27,H28=1,1+L27,H28=3,0)</f>
        <v>0</v>
      </c>
      <c r="M28" s="59"/>
    </row>
    <row r="29" spans="1:22" x14ac:dyDescent="0.2">
      <c r="A29">
        <v>28</v>
      </c>
      <c r="B29" s="1">
        <v>43890</v>
      </c>
      <c r="C29" t="str">
        <v>Newcastle United FC</v>
      </c>
      <c r="D29">
        <v>0</v>
      </c>
      <c r="E29" t="str">
        <v>Burnley FC</v>
      </c>
      <c r="F29">
        <v>0</v>
      </c>
      <c r="H29" s="59" cm="1">
        <f t="array" ref="H29">_xlfn.IFS(AND(C29=$N$18,D29&gt;F29),3,AND(E29=$N$18,F29&gt;D29),3,AND(C29=$N$18,D29=F29),1,AND(E29=$N$18,D29=F29),1,AND(C29=$N$18,D29&lt;F29),0,AND(E29=$N$18,F29&lt;D29),0)</f>
        <v>1</v>
      </c>
      <c r="I29">
        <f t="shared" si="0"/>
        <v>0</v>
      </c>
      <c r="J29" s="59">
        <f t="shared" si="1"/>
        <v>0</v>
      </c>
      <c r="K29" cm="1">
        <f t="array" ref="K29">_xlfn.IFS(H29=3,1+K28,H29=1,1+K28,H29=0,0)</f>
        <v>6</v>
      </c>
      <c r="L29" cm="1">
        <f t="array" ref="L29">_xlfn.IFS(H29=0,1+L28,H29=1,1+L28,H29=3,0)</f>
        <v>1</v>
      </c>
      <c r="M29" s="59"/>
    </row>
    <row r="30" spans="1:22" x14ac:dyDescent="0.2">
      <c r="A30">
        <v>29</v>
      </c>
      <c r="B30" s="1">
        <v>43897</v>
      </c>
      <c r="C30" t="str">
        <v>Burnley FC</v>
      </c>
      <c r="D30">
        <v>1</v>
      </c>
      <c r="E30" t="str">
        <v>Tottenham Hotspur FC</v>
      </c>
      <c r="F30">
        <v>1</v>
      </c>
      <c r="H30" s="59" cm="1">
        <f t="array" ref="H30">_xlfn.IFS(AND(C30=$N$18,D30&gt;F30),3,AND(E30=$N$18,F30&gt;D30),3,AND(C30=$N$18,D30=F30),1,AND(E30=$N$18,D30=F30),1,AND(C30=$N$18,D30&lt;F30),0,AND(E30=$N$18,F30&lt;D30),0)</f>
        <v>1</v>
      </c>
      <c r="I30">
        <f t="shared" si="0"/>
        <v>0</v>
      </c>
      <c r="J30" s="59">
        <f t="shared" si="1"/>
        <v>0</v>
      </c>
      <c r="K30" cm="1">
        <f t="array" ref="K30">_xlfn.IFS(H30=3,1+K29,H30=1,1+K29,H30=0,0)</f>
        <v>7</v>
      </c>
      <c r="L30" cm="1">
        <f t="array" ref="L30">_xlfn.IFS(H30=0,1+L29,H30=1,1+L29,H30=3,0)</f>
        <v>2</v>
      </c>
      <c r="M30" s="59"/>
    </row>
    <row r="31" spans="1:22" x14ac:dyDescent="0.2">
      <c r="A31">
        <v>30</v>
      </c>
      <c r="B31" s="1">
        <v>44004</v>
      </c>
      <c r="C31" t="str">
        <v>Manchester City FC</v>
      </c>
      <c r="D31">
        <v>5</v>
      </c>
      <c r="E31" t="str">
        <v>Burnley FC</v>
      </c>
      <c r="F31">
        <v>0</v>
      </c>
      <c r="H31" s="59" cm="1">
        <f t="array" ref="H31">_xlfn.IFS(AND(C31=$N$18,D31&gt;F31),3,AND(E31=$N$18,F31&gt;D31),3,AND(C31=$N$18,D31=F31),1,AND(E31=$N$18,D31=F31),1,AND(C31=$N$18,D31&lt;F31),0,AND(E31=$N$18,F31&lt;D31),0)</f>
        <v>0</v>
      </c>
      <c r="I31">
        <f t="shared" si="0"/>
        <v>0</v>
      </c>
      <c r="J31" s="59">
        <f t="shared" si="1"/>
        <v>1</v>
      </c>
      <c r="K31" cm="1">
        <f t="array" ref="K31">_xlfn.IFS(H31=3,1+K30,H31=1,1+K30,H31=0,0)</f>
        <v>0</v>
      </c>
      <c r="L31" cm="1">
        <f t="array" ref="L31">_xlfn.IFS(H31=0,1+L30,H31=1,1+L30,H31=3,0)</f>
        <v>3</v>
      </c>
      <c r="M31" s="59"/>
    </row>
    <row r="32" spans="1:22" x14ac:dyDescent="0.2">
      <c r="A32">
        <v>31</v>
      </c>
      <c r="B32" s="1">
        <v>44007</v>
      </c>
      <c r="C32" t="str">
        <v>Burnley FC</v>
      </c>
      <c r="D32">
        <v>1</v>
      </c>
      <c r="E32" t="str">
        <v>Watford FC</v>
      </c>
      <c r="F32">
        <v>0</v>
      </c>
      <c r="H32" s="59" cm="1">
        <f t="array" ref="H32">_xlfn.IFS(AND(C32=$N$18,D32&gt;F32),3,AND(E32=$N$18,F32&gt;D32),3,AND(C32=$N$18,D32=F32),1,AND(E32=$N$18,D32=F32),1,AND(C32=$N$18,D32&lt;F32),0,AND(E32=$N$18,F32&lt;D32),0)</f>
        <v>3</v>
      </c>
      <c r="I32">
        <f t="shared" si="0"/>
        <v>1</v>
      </c>
      <c r="J32" s="59">
        <f t="shared" si="1"/>
        <v>0</v>
      </c>
      <c r="K32" cm="1">
        <f t="array" ref="K32">_xlfn.IFS(H32=3,1+K31,H32=1,1+K31,H32=0,0)</f>
        <v>1</v>
      </c>
      <c r="L32" cm="1">
        <f t="array" ref="L32">_xlfn.IFS(H32=0,1+L31,H32=1,1+L31,H32=3,0)</f>
        <v>0</v>
      </c>
      <c r="M32" s="59"/>
    </row>
    <row r="33" spans="1:13" x14ac:dyDescent="0.2">
      <c r="A33">
        <v>32</v>
      </c>
      <c r="B33" s="1">
        <v>44011</v>
      </c>
      <c r="C33" t="str">
        <v>Crystal Palace FC</v>
      </c>
      <c r="D33">
        <v>0</v>
      </c>
      <c r="E33" t="str">
        <v>Burnley FC</v>
      </c>
      <c r="F33">
        <v>1</v>
      </c>
      <c r="H33" s="59" cm="1">
        <f t="array" ref="H33">_xlfn.IFS(AND(C33=$N$18,D33&gt;F33),3,AND(E33=$N$18,F33&gt;D33),3,AND(C33=$N$18,D33=F33),1,AND(E33=$N$18,D33=F33),1,AND(C33=$N$18,D33&lt;F33),0,AND(E33=$N$18,F33&lt;D33),0)</f>
        <v>3</v>
      </c>
      <c r="I33">
        <f t="shared" si="0"/>
        <v>2</v>
      </c>
      <c r="J33" s="59">
        <f t="shared" si="1"/>
        <v>0</v>
      </c>
      <c r="K33" cm="1">
        <f t="array" ref="K33">_xlfn.IFS(H33=3,1+K32,H33=1,1+K32,H33=0,0)</f>
        <v>2</v>
      </c>
      <c r="L33" cm="1">
        <f t="array" ref="L33">_xlfn.IFS(H33=0,1+L32,H33=1,1+L32,H33=3,0)</f>
        <v>0</v>
      </c>
      <c r="M33" s="59"/>
    </row>
    <row r="34" spans="1:13" x14ac:dyDescent="0.2">
      <c r="A34">
        <v>33</v>
      </c>
      <c r="B34" s="1">
        <v>44017</v>
      </c>
      <c r="C34" t="str">
        <v>Burnley FC</v>
      </c>
      <c r="D34">
        <v>1</v>
      </c>
      <c r="E34" t="str">
        <v>Sheffield United FC</v>
      </c>
      <c r="F34">
        <v>1</v>
      </c>
      <c r="H34" s="59" cm="1">
        <f t="array" ref="H34">_xlfn.IFS(AND(C34=$N$18,D34&gt;F34),3,AND(E34=$N$18,F34&gt;D34),3,AND(C34=$N$18,D34=F34),1,AND(E34=$N$18,D34=F34),1,AND(C34=$N$18,D34&lt;F34),0,AND(E34=$N$18,F34&lt;D34),0)</f>
        <v>1</v>
      </c>
      <c r="I34">
        <f t="shared" si="0"/>
        <v>0</v>
      </c>
      <c r="J34" s="59">
        <f t="shared" si="1"/>
        <v>0</v>
      </c>
      <c r="K34" cm="1">
        <f t="array" ref="K34">_xlfn.IFS(H34=3,1+K33,H34=1,1+K33,H34=0,0)</f>
        <v>3</v>
      </c>
      <c r="L34" cm="1">
        <f t="array" ref="L34">_xlfn.IFS(H34=0,1+L33,H34=1,1+L33,H34=3,0)</f>
        <v>1</v>
      </c>
      <c r="M34" s="59"/>
    </row>
    <row r="35" spans="1:13" x14ac:dyDescent="0.2">
      <c r="A35">
        <v>34</v>
      </c>
      <c r="B35" s="1">
        <v>44020</v>
      </c>
      <c r="C35" t="str">
        <v>West Ham United FC</v>
      </c>
      <c r="D35">
        <v>0</v>
      </c>
      <c r="E35" t="str">
        <v>Burnley FC</v>
      </c>
      <c r="F35">
        <v>1</v>
      </c>
      <c r="H35" s="59" cm="1">
        <f t="array" ref="H35">_xlfn.IFS(AND(C35=$N$18,D35&gt;F35),3,AND(E35=$N$18,F35&gt;D35),3,AND(C35=$N$18,D35=F35),1,AND(E35=$N$18,D35=F35),1,AND(C35=$N$18,D35&lt;F35),0,AND(E35=$N$18,F35&lt;D35),0)</f>
        <v>3</v>
      </c>
      <c r="I35">
        <f t="shared" si="0"/>
        <v>1</v>
      </c>
      <c r="J35" s="59">
        <f t="shared" si="1"/>
        <v>0</v>
      </c>
      <c r="K35" cm="1">
        <f t="array" ref="K35">_xlfn.IFS(H35=3,1+K34,H35=1,1+K34,H35=0,0)</f>
        <v>4</v>
      </c>
      <c r="L35" cm="1">
        <f t="array" ref="L35">_xlfn.IFS(H35=0,1+L34,H35=1,1+L34,H35=3,0)</f>
        <v>0</v>
      </c>
      <c r="M35" s="59"/>
    </row>
    <row r="36" spans="1:13" x14ac:dyDescent="0.2">
      <c r="A36">
        <v>35</v>
      </c>
      <c r="B36" s="1">
        <v>44023</v>
      </c>
      <c r="C36" t="str">
        <v>Liverpool FC</v>
      </c>
      <c r="D36">
        <v>1</v>
      </c>
      <c r="E36" t="str">
        <v>Burnley FC</v>
      </c>
      <c r="F36">
        <v>1</v>
      </c>
      <c r="H36" s="59" cm="1">
        <f t="array" ref="H36">_xlfn.IFS(AND(C36=$N$18,D36&gt;F36),3,AND(E36=$N$18,F36&gt;D36),3,AND(C36=$N$18,D36=F36),1,AND(E36=$N$18,D36=F36),1,AND(C36=$N$18,D36&lt;F36),0,AND(E36=$N$18,F36&lt;D36),0)</f>
        <v>1</v>
      </c>
      <c r="I36">
        <f t="shared" si="0"/>
        <v>0</v>
      </c>
      <c r="J36" s="59">
        <f t="shared" si="1"/>
        <v>0</v>
      </c>
      <c r="K36" cm="1">
        <f t="array" ref="K36">_xlfn.IFS(H36=3,1+K35,H36=1,1+K35,H36=0,0)</f>
        <v>5</v>
      </c>
      <c r="L36" cm="1">
        <f t="array" ref="L36">_xlfn.IFS(H36=0,1+L35,H36=1,1+L35,H36=3,0)</f>
        <v>1</v>
      </c>
      <c r="M36" s="59"/>
    </row>
    <row r="37" spans="1:13" x14ac:dyDescent="0.2">
      <c r="A37">
        <v>36</v>
      </c>
      <c r="B37" s="1">
        <v>44027</v>
      </c>
      <c r="C37" t="str">
        <v>Burnley FC</v>
      </c>
      <c r="D37">
        <v>1</v>
      </c>
      <c r="E37" t="str">
        <v>Wolverhampton Wanderers FC</v>
      </c>
      <c r="F37">
        <v>1</v>
      </c>
      <c r="H37" s="59" cm="1">
        <f t="array" ref="H37">_xlfn.IFS(AND(C37=$N$18,D37&gt;F37),3,AND(E37=$N$18,F37&gt;D37),3,AND(C37=$N$18,D37=F37),1,AND(E37=$N$18,D37=F37),1,AND(C37=$N$18,D37&lt;F37),0,AND(E37=$N$18,F37&lt;D37),0)</f>
        <v>1</v>
      </c>
      <c r="I37">
        <f t="shared" si="0"/>
        <v>0</v>
      </c>
      <c r="J37" s="59">
        <f t="shared" si="1"/>
        <v>0</v>
      </c>
      <c r="K37" cm="1">
        <f t="array" ref="K37">_xlfn.IFS(H37=3,1+K36,H37=1,1+K36,H37=0,0)</f>
        <v>6</v>
      </c>
      <c r="L37" cm="1">
        <f t="array" ref="L37">_xlfn.IFS(H37=0,1+L36,H37=1,1+L36,H37=3,0)</f>
        <v>2</v>
      </c>
      <c r="M37" s="59"/>
    </row>
    <row r="38" spans="1:13" x14ac:dyDescent="0.2">
      <c r="A38">
        <v>37</v>
      </c>
      <c r="B38" s="1">
        <v>44030</v>
      </c>
      <c r="C38" t="str">
        <v>Norwich City FC</v>
      </c>
      <c r="D38">
        <v>0</v>
      </c>
      <c r="E38" t="str">
        <v>Burnley FC</v>
      </c>
      <c r="F38">
        <v>2</v>
      </c>
      <c r="H38" s="59" cm="1">
        <f t="array" ref="H38">_xlfn.IFS(AND(C38=$N$18,D38&gt;F38),3,AND(E38=$N$18,F38&gt;D38),3,AND(C38=$N$18,D38=F38),1,AND(E38=$N$18,D38=F38),1,AND(C38=$N$18,D38&lt;F38),0,AND(E38=$N$18,F38&lt;D38),0)</f>
        <v>3</v>
      </c>
      <c r="I38">
        <f t="shared" si="0"/>
        <v>1</v>
      </c>
      <c r="J38" s="59">
        <f t="shared" si="1"/>
        <v>0</v>
      </c>
      <c r="K38" cm="1">
        <f t="array" ref="K38">_xlfn.IFS(H38=3,1+K37,H38=1,1+K37,H38=0,0)</f>
        <v>7</v>
      </c>
      <c r="L38" cm="1">
        <f t="array" ref="L38">_xlfn.IFS(H38=0,1+L37,H38=1,1+L37,H38=3,0)</f>
        <v>0</v>
      </c>
      <c r="M38" s="59"/>
    </row>
    <row r="39" spans="1:13" x14ac:dyDescent="0.2">
      <c r="A39">
        <v>38</v>
      </c>
      <c r="B39" s="1">
        <v>44038</v>
      </c>
      <c r="C39" t="str">
        <v>Burnley FC</v>
      </c>
      <c r="D39">
        <v>1</v>
      </c>
      <c r="E39" t="str">
        <v>Brighton &amp; Hove Albion FC</v>
      </c>
      <c r="F39">
        <v>2</v>
      </c>
      <c r="H39" s="59" cm="1">
        <f t="array" ref="H39">_xlfn.IFS(AND(C39=$N$18,D39&gt;F39),3,AND(E39=$N$18,F39&gt;D39),3,AND(C39=$N$18,D39=F39),1,AND(E39=$N$18,D39=F39),1,AND(C39=$N$18,D39&lt;F39),0,AND(E39=$N$18,F39&lt;D39),0)</f>
        <v>0</v>
      </c>
      <c r="I39">
        <f t="shared" si="0"/>
        <v>0</v>
      </c>
      <c r="J39" s="59">
        <f t="shared" si="1"/>
        <v>1</v>
      </c>
      <c r="K39" cm="1">
        <f t="array" ref="K39">_xlfn.IFS(H39=3,1+K38,H39=1,1+K38,H39=0,0)</f>
        <v>0</v>
      </c>
      <c r="L39" cm="1">
        <f t="array" ref="L39">_xlfn.IFS(H39=0,1+L38,H39=1,1+L38,H39=3,0)</f>
        <v>1</v>
      </c>
      <c r="M39" s="59"/>
    </row>
  </sheetData>
  <conditionalFormatting sqref="G2:G39">
    <cfRule type="expression" dxfId="107" priority="5">
      <formula>AND($E2=$N$18,$F2&gt;$D2)</formula>
    </cfRule>
  </conditionalFormatting>
  <conditionalFormatting sqref="G2:G39">
    <cfRule type="expression" dxfId="106" priority="4">
      <formula>AND($E2=$N$18,$F2&lt;$D2)</formula>
    </cfRule>
  </conditionalFormatting>
  <conditionalFormatting sqref="G2:G39">
    <cfRule type="expression" dxfId="105" priority="3">
      <formula>$D2=$F2</formula>
    </cfRule>
  </conditionalFormatting>
  <conditionalFormatting sqref="G2:G39">
    <cfRule type="expression" dxfId="104" priority="2">
      <formula>AND($C2=$N$18,$D2&lt;$F2)</formula>
    </cfRule>
  </conditionalFormatting>
  <conditionalFormatting sqref="G2:G39">
    <cfRule type="expression" dxfId="103" priority="1">
      <formula>AND($C2=$N$18,$D2&gt;$F2)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49365-5D83-4B10-A04A-2E2E3EA8D758}">
  <sheetPr codeName="Sheet8"/>
  <dimension ref="A1:V39"/>
  <sheetViews>
    <sheetView zoomScale="60" zoomScaleNormal="60" workbookViewId="0"/>
  </sheetViews>
  <sheetFormatPr baseColWidth="10" defaultColWidth="8.83203125" defaultRowHeight="15" x14ac:dyDescent="0.2"/>
  <cols>
    <col min="1" max="1" width="10.83203125" customWidth="1"/>
    <col min="2" max="2" width="11.5" style="1" bestFit="1" customWidth="1"/>
    <col min="3" max="3" width="27" bestFit="1" customWidth="1"/>
    <col min="4" max="4" width="15" bestFit="1" customWidth="1"/>
    <col min="5" max="5" width="27" bestFit="1" customWidth="1"/>
    <col min="6" max="6" width="14.5" bestFit="1" customWidth="1"/>
    <col min="14" max="14" width="22.33203125" bestFit="1" customWidth="1"/>
    <col min="15" max="22" width="10.6640625" customWidth="1"/>
  </cols>
  <sheetData>
    <row r="1" spans="1:20" ht="32" x14ac:dyDescent="0.2">
      <c r="A1" s="67" t="s">
        <v>0</v>
      </c>
      <c r="B1" s="71" t="s">
        <v>1</v>
      </c>
      <c r="C1" s="68" t="s">
        <v>2</v>
      </c>
      <c r="D1" s="68" t="s">
        <v>3</v>
      </c>
      <c r="E1" s="68" t="s">
        <v>4</v>
      </c>
      <c r="F1" s="69" t="s">
        <v>5</v>
      </c>
      <c r="G1" s="70" t="s">
        <v>71</v>
      </c>
      <c r="H1" s="70" t="s">
        <v>19</v>
      </c>
      <c r="I1" s="81" t="s">
        <v>72</v>
      </c>
      <c r="J1" s="81" t="s">
        <v>53</v>
      </c>
      <c r="K1" s="81" t="s">
        <v>55</v>
      </c>
      <c r="L1" s="81" t="s">
        <v>73</v>
      </c>
      <c r="Q1" s="58" t="s">
        <v>74</v>
      </c>
      <c r="R1" s="58" t="s">
        <v>75</v>
      </c>
      <c r="S1" t="s">
        <v>76</v>
      </c>
      <c r="T1" s="63" t="s">
        <v>77</v>
      </c>
    </row>
    <row r="2" spans="1:20" x14ac:dyDescent="0.2">
      <c r="A2" cm="1">
        <f t="array" ref="A2:F39">_xlfn._xlws.FILTER(eng_1[],(eng_1[Home]='England 1'!C5)+(eng_1[Away]='England 1'!E15))</f>
        <v>1</v>
      </c>
      <c r="B2" s="1">
        <v>43687</v>
      </c>
      <c r="C2" t="str">
        <v>AFC Bournemouth</v>
      </c>
      <c r="D2">
        <v>1</v>
      </c>
      <c r="E2" t="str">
        <v>Sheffield United FC</v>
      </c>
      <c r="F2">
        <v>1</v>
      </c>
      <c r="H2" s="59" cm="1">
        <f t="array" ref="H2">_xlfn.IFS(AND(C2=$N$18,D2&gt;F2),3,AND(E2=$N$18,F2&gt;D2),3,AND(C2=$N$18,D2=F2),1,AND(E2=$N$18,D2=F2),1,AND(C2=$N$18,D2&lt;F2),0,AND(E2=$N$18,F2&lt;D2),0)</f>
        <v>1</v>
      </c>
      <c r="I2" cm="1">
        <f t="array" ref="I2">_xlfn.IFS(H2=3,1,H2=1,0,H2=0,0)</f>
        <v>0</v>
      </c>
      <c r="J2" s="59" cm="1">
        <f t="array" ref="J2">_xlfn.IFS(H2=0,1,H2=1,0,H2=3,0)</f>
        <v>0</v>
      </c>
      <c r="K2" cm="1">
        <f t="array" ref="K2">_xlfn.IFS(H2=3,1,H2=1,1,H2=0,0)</f>
        <v>1</v>
      </c>
      <c r="L2" cm="1">
        <f t="array" ref="L2">_xlfn.IFS(H2=0,1,H2=1,1,H2=3,0)</f>
        <v>1</v>
      </c>
      <c r="Q2" s="56" t="s">
        <v>78</v>
      </c>
      <c r="R2">
        <v>20</v>
      </c>
      <c r="S2">
        <v>20</v>
      </c>
      <c r="T2" s="60">
        <v>1</v>
      </c>
    </row>
    <row r="3" spans="1:20" x14ac:dyDescent="0.2">
      <c r="A3">
        <v>2</v>
      </c>
      <c r="B3" s="1">
        <v>43694</v>
      </c>
      <c r="C3" t="str">
        <v>Aston Villa FC</v>
      </c>
      <c r="D3">
        <v>1</v>
      </c>
      <c r="E3" t="str">
        <v>AFC Bournemouth</v>
      </c>
      <c r="F3">
        <v>2</v>
      </c>
      <c r="H3" s="59" cm="1">
        <f t="array" ref="H3">_xlfn.IFS(AND(C3=$N$18,D3&gt;F3),3,AND(E3=$N$18,F3&gt;D3),3,AND(C3=$N$18,D3=F3),1,AND(E3=$N$18,D3=F3),1,AND(C3=$N$18,D3&lt;F3),0,AND(E3=$N$18,F3&lt;D3),0)</f>
        <v>3</v>
      </c>
      <c r="I3">
        <f t="shared" ref="I3:I39" si="0">IF(H3=3,1+I2,0)</f>
        <v>1</v>
      </c>
      <c r="J3" s="59">
        <f t="shared" ref="J3:J39" si="1">IF(H3=0,1+J2,0)</f>
        <v>0</v>
      </c>
      <c r="K3" cm="1">
        <f t="array" ref="K3">_xlfn.IFS(H3=3,1+K2,H3=1,1+K2,H3=0,0)</f>
        <v>2</v>
      </c>
      <c r="L3" cm="1">
        <f t="array" ref="L3">_xlfn.IFS(H3=0,1+L2,H3=1,1+L2,H3=3,0)</f>
        <v>0</v>
      </c>
      <c r="N3" s="48" t="s">
        <v>79</v>
      </c>
      <c r="O3" s="48" t="s">
        <v>80</v>
      </c>
      <c r="Q3" s="57" t="s">
        <v>81</v>
      </c>
      <c r="R3">
        <v>4</v>
      </c>
      <c r="S3">
        <v>4</v>
      </c>
      <c r="T3" s="60">
        <v>1</v>
      </c>
    </row>
    <row r="4" spans="1:20" x14ac:dyDescent="0.2">
      <c r="A4">
        <v>3</v>
      </c>
      <c r="B4" s="1">
        <v>43702</v>
      </c>
      <c r="C4" t="str">
        <v>AFC Bournemouth</v>
      </c>
      <c r="D4">
        <v>1</v>
      </c>
      <c r="E4" t="str">
        <v>Manchester City FC</v>
      </c>
      <c r="F4">
        <v>3</v>
      </c>
      <c r="H4" s="59" cm="1">
        <f t="array" ref="H4">_xlfn.IFS(AND(C4=$N$18,D4&gt;F4),3,AND(E4=$N$18,F4&gt;D4),3,AND(C4=$N$18,D4=F4),1,AND(E4=$N$18,D4=F4),1,AND(C4=$N$18,D4&lt;F4),0,AND(E4=$N$18,F4&lt;D4),0)</f>
        <v>0</v>
      </c>
      <c r="I4">
        <f t="shared" si="0"/>
        <v>0</v>
      </c>
      <c r="J4" s="59">
        <f t="shared" si="1"/>
        <v>1</v>
      </c>
      <c r="K4" cm="1">
        <f t="array" ref="K4">_xlfn.IFS(H4=3,1+K3,H4=1,1+K3,H4=0,0)</f>
        <v>0</v>
      </c>
      <c r="L4" cm="1">
        <f t="array" ref="L4">_xlfn.IFS(H4=0,1+L3,H4=1,1+L3,H4=3,0)</f>
        <v>1</v>
      </c>
      <c r="N4" s="49" t="s">
        <v>82</v>
      </c>
      <c r="O4" s="50"/>
      <c r="Q4" s="57" t="s">
        <v>83</v>
      </c>
      <c r="R4">
        <v>3</v>
      </c>
      <c r="S4">
        <v>7</v>
      </c>
      <c r="T4" s="60">
        <v>2.3333333333333335</v>
      </c>
    </row>
    <row r="5" spans="1:20" x14ac:dyDescent="0.2">
      <c r="A5">
        <v>4</v>
      </c>
      <c r="B5" s="1">
        <v>43708</v>
      </c>
      <c r="C5" t="str">
        <v>Leicester City FC</v>
      </c>
      <c r="D5">
        <v>3</v>
      </c>
      <c r="E5" t="str">
        <v>AFC Bournemouth</v>
      </c>
      <c r="F5">
        <v>1</v>
      </c>
      <c r="H5" s="59" cm="1">
        <f t="array" ref="H5">_xlfn.IFS(AND(C5=$N$18,D5&gt;F5),3,AND(E5=$N$18,F5&gt;D5),3,AND(C5=$N$18,D5=F5),1,AND(E5=$N$18,D5=F5),1,AND(C5=$N$18,D5&lt;F5),0,AND(E5=$N$18,F5&lt;D5),0)</f>
        <v>0</v>
      </c>
      <c r="I5">
        <f t="shared" si="0"/>
        <v>0</v>
      </c>
      <c r="J5" s="59">
        <f t="shared" si="1"/>
        <v>2</v>
      </c>
      <c r="K5" cm="1">
        <f t="array" ref="K5">_xlfn.IFS(H5=3,1+K4,H5=1,1+K4,H5=0,0)</f>
        <v>0</v>
      </c>
      <c r="L5" cm="1">
        <f t="array" ref="L5">_xlfn.IFS(H5=0,1+L4,H5=1,1+L4,H5=3,0)</f>
        <v>2</v>
      </c>
      <c r="N5" s="49" t="s">
        <v>84</v>
      </c>
      <c r="O5" s="51"/>
      <c r="Q5" s="57" t="s">
        <v>85</v>
      </c>
      <c r="R5">
        <v>3</v>
      </c>
      <c r="S5">
        <v>2</v>
      </c>
      <c r="T5" s="60">
        <v>0.66666666666666663</v>
      </c>
    </row>
    <row r="6" spans="1:20" x14ac:dyDescent="0.2">
      <c r="A6">
        <v>5</v>
      </c>
      <c r="B6" s="1">
        <v>43723</v>
      </c>
      <c r="C6" t="str">
        <v>AFC Bournemouth</v>
      </c>
      <c r="D6">
        <v>3</v>
      </c>
      <c r="E6" t="str">
        <v>Everton FC</v>
      </c>
      <c r="F6">
        <v>1</v>
      </c>
      <c r="H6" s="59" cm="1">
        <f t="array" ref="H6">_xlfn.IFS(AND(C6=$N$18,D6&gt;F6),3,AND(E6=$N$18,F6&gt;D6),3,AND(C6=$N$18,D6=F6),1,AND(E6=$N$18,D6=F6),1,AND(C6=$N$18,D6&lt;F6),0,AND(E6=$N$18,F6&lt;D6),0)</f>
        <v>3</v>
      </c>
      <c r="I6">
        <f t="shared" si="0"/>
        <v>1</v>
      </c>
      <c r="J6" s="59">
        <f t="shared" si="1"/>
        <v>0</v>
      </c>
      <c r="K6" cm="1">
        <f t="array" ref="K6">_xlfn.IFS(H6=3,1+K5,H6=1,1+K5,H6=0,0)</f>
        <v>1</v>
      </c>
      <c r="L6" cm="1">
        <f t="array" ref="L6">_xlfn.IFS(H6=0,1+L5,H6=1,1+L5,H6=3,0)</f>
        <v>0</v>
      </c>
      <c r="N6" s="49" t="s">
        <v>86</v>
      </c>
      <c r="O6" s="52"/>
      <c r="Q6" s="57" t="s">
        <v>87</v>
      </c>
      <c r="R6">
        <v>4</v>
      </c>
      <c r="S6">
        <v>3</v>
      </c>
      <c r="T6" s="60">
        <v>0.75</v>
      </c>
    </row>
    <row r="7" spans="1:20" x14ac:dyDescent="0.2">
      <c r="A7">
        <v>6</v>
      </c>
      <c r="B7" s="1">
        <v>43728</v>
      </c>
      <c r="C7" t="str">
        <v>Southampton FC</v>
      </c>
      <c r="D7">
        <v>1</v>
      </c>
      <c r="E7" t="str">
        <v>AFC Bournemouth</v>
      </c>
      <c r="F7">
        <v>3</v>
      </c>
      <c r="H7" s="59" cm="1">
        <f t="array" ref="H7">_xlfn.IFS(AND(C7=$N$18,D7&gt;F7),3,AND(E7=$N$18,F7&gt;D7),3,AND(C7=$N$18,D7=F7),1,AND(E7=$N$18,D7=F7),1,AND(C7=$N$18,D7&lt;F7),0,AND(E7=$N$18,F7&lt;D7),0)</f>
        <v>3</v>
      </c>
      <c r="I7">
        <f t="shared" si="0"/>
        <v>2</v>
      </c>
      <c r="J7" s="59">
        <f t="shared" si="1"/>
        <v>0</v>
      </c>
      <c r="K7" cm="1">
        <f t="array" ref="K7">_xlfn.IFS(H7=3,1+K6,H7=1,1+K6,H7=0,0)</f>
        <v>2</v>
      </c>
      <c r="L7" cm="1">
        <f t="array" ref="L7">_xlfn.IFS(H7=0,1+L6,H7=1,1+L6,H7=3,0)</f>
        <v>0</v>
      </c>
      <c r="Q7" s="57" t="s">
        <v>88</v>
      </c>
      <c r="R7">
        <v>6</v>
      </c>
      <c r="S7">
        <v>4</v>
      </c>
      <c r="T7" s="60">
        <v>0.66666666666666663</v>
      </c>
    </row>
    <row r="8" spans="1:20" x14ac:dyDescent="0.2">
      <c r="A8">
        <v>7</v>
      </c>
      <c r="B8" s="1">
        <v>43736</v>
      </c>
      <c r="C8" t="str">
        <v>AFC Bournemouth</v>
      </c>
      <c r="D8">
        <v>2</v>
      </c>
      <c r="E8" t="str">
        <v>West Ham United FC</v>
      </c>
      <c r="F8">
        <v>2</v>
      </c>
      <c r="H8" s="59" cm="1">
        <f t="array" ref="H8">_xlfn.IFS(AND(C8=$N$18,D8&gt;F8),3,AND(E8=$N$18,F8&gt;D8),3,AND(C8=$N$18,D8=F8),1,AND(E8=$N$18,D8=F8),1,AND(C8=$N$18,D8&lt;F8),0,AND(E8=$N$18,F8&lt;D8),0)</f>
        <v>1</v>
      </c>
      <c r="I8">
        <f t="shared" si="0"/>
        <v>0</v>
      </c>
      <c r="J8" s="59">
        <f t="shared" si="1"/>
        <v>0</v>
      </c>
      <c r="K8" cm="1">
        <f t="array" ref="K8">_xlfn.IFS(H8=3,1+K7,H8=1,1+K7,H8=0,0)</f>
        <v>3</v>
      </c>
      <c r="L8" cm="1">
        <f t="array" ref="L8">_xlfn.IFS(H8=0,1+L7,H8=1,1+L7,H8=3,0)</f>
        <v>1</v>
      </c>
      <c r="Q8" s="56" t="s">
        <v>89</v>
      </c>
      <c r="R8">
        <v>18</v>
      </c>
      <c r="S8">
        <v>14</v>
      </c>
      <c r="T8" s="60">
        <v>0.77777777777777779</v>
      </c>
    </row>
    <row r="9" spans="1:20" x14ac:dyDescent="0.2">
      <c r="A9">
        <v>8</v>
      </c>
      <c r="B9" s="1">
        <v>43744</v>
      </c>
      <c r="C9" t="str">
        <v>Arsenal FC</v>
      </c>
      <c r="D9">
        <v>1</v>
      </c>
      <c r="E9" t="str">
        <v>AFC Bournemouth</v>
      </c>
      <c r="F9">
        <v>0</v>
      </c>
      <c r="H9" s="59" cm="1">
        <f t="array" ref="H9">_xlfn.IFS(AND(C9=$N$18,D9&gt;F9),3,AND(E9=$N$18,F9&gt;D9),3,AND(C9=$N$18,D9=F9),1,AND(E9=$N$18,D9=F9),1,AND(C9=$N$18,D9&lt;F9),0,AND(E9=$N$18,F9&lt;D9),0)</f>
        <v>0</v>
      </c>
      <c r="I9">
        <f t="shared" si="0"/>
        <v>0</v>
      </c>
      <c r="J9" s="59">
        <f t="shared" si="1"/>
        <v>1</v>
      </c>
      <c r="K9" cm="1">
        <f t="array" ref="K9">_xlfn.IFS(H9=3,1+K8,H9=1,1+K8,H9=0,0)</f>
        <v>0</v>
      </c>
      <c r="L9" cm="1">
        <f t="array" ref="L9">_xlfn.IFS(H9=0,1+L8,H9=1,1+L8,H9=3,0)</f>
        <v>2</v>
      </c>
      <c r="Q9" s="57" t="s">
        <v>90</v>
      </c>
      <c r="R9">
        <v>4</v>
      </c>
      <c r="S9">
        <v>3</v>
      </c>
      <c r="T9" s="60">
        <v>0.75</v>
      </c>
    </row>
    <row r="10" spans="1:20" x14ac:dyDescent="0.2">
      <c r="A10">
        <v>9</v>
      </c>
      <c r="B10" s="1">
        <v>43757</v>
      </c>
      <c r="C10" t="str">
        <v>AFC Bournemouth</v>
      </c>
      <c r="D10">
        <v>0</v>
      </c>
      <c r="E10" t="str">
        <v>Norwich City FC</v>
      </c>
      <c r="F10">
        <v>0</v>
      </c>
      <c r="H10" s="59" cm="1">
        <f t="array" ref="H10">_xlfn.IFS(AND(C10=$N$18,D10&gt;F10),3,AND(E10=$N$18,F10&gt;D10),3,AND(C10=$N$18,D10=F10),1,AND(E10=$N$18,D10=F10),1,AND(C10=$N$18,D10&lt;F10),0,AND(E10=$N$18,F10&lt;D10),0)</f>
        <v>1</v>
      </c>
      <c r="I10">
        <f t="shared" si="0"/>
        <v>0</v>
      </c>
      <c r="J10" s="59">
        <f t="shared" si="1"/>
        <v>0</v>
      </c>
      <c r="K10" cm="1">
        <f t="array" ref="K10">_xlfn.IFS(H10=3,1+K9,H10=1,1+K9,H10=0,0)</f>
        <v>1</v>
      </c>
      <c r="L10" cm="1">
        <f t="array" ref="L10">_xlfn.IFS(H10=0,1+L9,H10=1,1+L9,H10=3,0)</f>
        <v>3</v>
      </c>
      <c r="Q10" s="57" t="s">
        <v>91</v>
      </c>
      <c r="R10">
        <v>4</v>
      </c>
      <c r="S10">
        <v>4</v>
      </c>
      <c r="T10" s="60">
        <v>1</v>
      </c>
    </row>
    <row r="11" spans="1:20" x14ac:dyDescent="0.2">
      <c r="A11">
        <v>10</v>
      </c>
      <c r="B11" s="1">
        <v>43764</v>
      </c>
      <c r="C11" t="str">
        <v>Watford FC</v>
      </c>
      <c r="D11">
        <v>0</v>
      </c>
      <c r="E11" t="str">
        <v>AFC Bournemouth</v>
      </c>
      <c r="F11">
        <v>0</v>
      </c>
      <c r="H11" s="59" cm="1">
        <f t="array" ref="H11">_xlfn.IFS(AND(C11=$N$18,D11&gt;F11),3,AND(E11=$N$18,F11&gt;D11),3,AND(C11=$N$18,D11=F11),1,AND(E11=$N$18,D11=F11),1,AND(C11=$N$18,D11&lt;F11),0,AND(E11=$N$18,F11&lt;D11),0)</f>
        <v>1</v>
      </c>
      <c r="I11">
        <f t="shared" si="0"/>
        <v>0</v>
      </c>
      <c r="J11" s="59">
        <f t="shared" si="1"/>
        <v>0</v>
      </c>
      <c r="K11" cm="1">
        <f t="array" ref="K11">_xlfn.IFS(H11=3,1+K10,H11=1,1+K10,H11=0,0)</f>
        <v>2</v>
      </c>
      <c r="L11" cm="1">
        <f t="array" ref="L11">_xlfn.IFS(H11=0,1+L10,H11=1,1+L10,H11=3,0)</f>
        <v>4</v>
      </c>
      <c r="Q11" s="57" t="s">
        <v>92</v>
      </c>
      <c r="R11">
        <v>1</v>
      </c>
      <c r="S11">
        <v>0</v>
      </c>
      <c r="T11" s="60">
        <v>0</v>
      </c>
    </row>
    <row r="12" spans="1:20" x14ac:dyDescent="0.2">
      <c r="A12">
        <v>11</v>
      </c>
      <c r="B12" s="1">
        <v>43771</v>
      </c>
      <c r="C12" t="str">
        <v>AFC Bournemouth</v>
      </c>
      <c r="D12">
        <v>1</v>
      </c>
      <c r="E12" t="str">
        <v>Manchester United FC</v>
      </c>
      <c r="F12">
        <v>0</v>
      </c>
      <c r="H12" s="59" cm="1">
        <f t="array" ref="H12">_xlfn.IFS(AND(C12=$N$18,D12&gt;F12),3,AND(E12=$N$18,F12&gt;D12),3,AND(C12=$N$18,D12=F12),1,AND(E12=$N$18,D12=F12),1,AND(C12=$N$18,D12&lt;F12),0,AND(E12=$N$18,F12&lt;D12),0)</f>
        <v>3</v>
      </c>
      <c r="I12">
        <f t="shared" si="0"/>
        <v>1</v>
      </c>
      <c r="J12" s="59">
        <f t="shared" si="1"/>
        <v>0</v>
      </c>
      <c r="K12" cm="1">
        <f t="array" ref="K12">_xlfn.IFS(H12=3,1+K11,H12=1,1+K11,H12=0,0)</f>
        <v>3</v>
      </c>
      <c r="L12" cm="1">
        <f t="array" ref="L12">_xlfn.IFS(H12=0,1+L11,H12=1,1+L11,H12=3,0)</f>
        <v>0</v>
      </c>
      <c r="Q12" s="57" t="s">
        <v>93</v>
      </c>
      <c r="R12">
        <v>2</v>
      </c>
      <c r="S12">
        <v>0</v>
      </c>
      <c r="T12" s="60">
        <v>0</v>
      </c>
    </row>
    <row r="13" spans="1:20" x14ac:dyDescent="0.2">
      <c r="A13">
        <v>12</v>
      </c>
      <c r="B13" s="1">
        <v>43778</v>
      </c>
      <c r="C13" t="str">
        <v>Newcastle United FC</v>
      </c>
      <c r="D13">
        <v>2</v>
      </c>
      <c r="E13" t="str">
        <v>AFC Bournemouth</v>
      </c>
      <c r="F13">
        <v>1</v>
      </c>
      <c r="H13" s="59" cm="1">
        <f t="array" ref="H13">_xlfn.IFS(AND(C13=$N$18,D13&gt;F13),3,AND(E13=$N$18,F13&gt;D13),3,AND(C13=$N$18,D13=F13),1,AND(E13=$N$18,D13=F13),1,AND(C13=$N$18,D13&lt;F13),0,AND(E13=$N$18,F13&lt;D13),0)</f>
        <v>0</v>
      </c>
      <c r="I13">
        <f t="shared" si="0"/>
        <v>0</v>
      </c>
      <c r="J13" s="59">
        <f t="shared" si="1"/>
        <v>1</v>
      </c>
      <c r="K13" cm="1">
        <f t="array" ref="K13">_xlfn.IFS(H13=3,1+K12,H13=1,1+K12,H13=0,0)</f>
        <v>0</v>
      </c>
      <c r="L13" cm="1">
        <f t="array" ref="L13">_xlfn.IFS(H13=0,1+L12,H13=1,1+L12,H13=3,0)</f>
        <v>1</v>
      </c>
      <c r="Q13" s="57" t="s">
        <v>94</v>
      </c>
      <c r="R13">
        <v>7</v>
      </c>
      <c r="S13">
        <v>7</v>
      </c>
      <c r="T13" s="60">
        <v>1</v>
      </c>
    </row>
    <row r="14" spans="1:20" x14ac:dyDescent="0.2">
      <c r="A14">
        <v>13</v>
      </c>
      <c r="B14" s="1">
        <v>43792</v>
      </c>
      <c r="C14" t="str">
        <v>AFC Bournemouth</v>
      </c>
      <c r="D14">
        <v>1</v>
      </c>
      <c r="E14" t="str">
        <v>Wolverhampton Wanderers FC</v>
      </c>
      <c r="F14">
        <v>2</v>
      </c>
      <c r="H14" s="59" cm="1">
        <f t="array" ref="H14">_xlfn.IFS(AND(C14=$N$18,D14&gt;F14),3,AND(E14=$N$18,F14&gt;D14),3,AND(C14=$N$18,D14=F14),1,AND(E14=$N$18,D14=F14),1,AND(C14=$N$18,D14&lt;F14),0,AND(E14=$N$18,F14&lt;D14),0)</f>
        <v>0</v>
      </c>
      <c r="I14">
        <f t="shared" si="0"/>
        <v>0</v>
      </c>
      <c r="J14" s="59">
        <f t="shared" si="1"/>
        <v>2</v>
      </c>
      <c r="K14" cm="1">
        <f t="array" ref="K14">_xlfn.IFS(H14=3,1+K13,H14=1,1+K13,H14=0,0)</f>
        <v>0</v>
      </c>
      <c r="L14" cm="1">
        <f t="array" ref="L14">_xlfn.IFS(H14=0,1+L13,H14=1,1+L13,H14=3,0)</f>
        <v>2</v>
      </c>
      <c r="Q14" s="56" t="s">
        <v>95</v>
      </c>
      <c r="R14">
        <v>38</v>
      </c>
      <c r="S14">
        <v>34</v>
      </c>
      <c r="T14" s="60">
        <v>0.89473684210526316</v>
      </c>
    </row>
    <row r="15" spans="1:20" x14ac:dyDescent="0.2">
      <c r="A15">
        <v>14</v>
      </c>
      <c r="B15" s="1">
        <v>43799</v>
      </c>
      <c r="C15" t="str">
        <v>Tottenham Hotspur FC</v>
      </c>
      <c r="D15">
        <v>3</v>
      </c>
      <c r="E15" t="str">
        <v>AFC Bournemouth</v>
      </c>
      <c r="F15">
        <v>2</v>
      </c>
      <c r="H15" s="59" cm="1">
        <f t="array" ref="H15">_xlfn.IFS(AND(C15=$N$18,D15&gt;F15),3,AND(E15=$N$18,F15&gt;D15),3,AND(C15=$N$18,D15=F15),1,AND(E15=$N$18,D15=F15),1,AND(C15=$N$18,D15&lt;F15),0,AND(E15=$N$18,F15&lt;D15),0)</f>
        <v>0</v>
      </c>
      <c r="I15">
        <f t="shared" si="0"/>
        <v>0</v>
      </c>
      <c r="J15" s="59">
        <f t="shared" si="1"/>
        <v>3</v>
      </c>
      <c r="K15" cm="1">
        <f t="array" ref="K15">_xlfn.IFS(H15=3,1+K14,H15=1,1+K14,H15=0,0)</f>
        <v>0</v>
      </c>
      <c r="L15" cm="1">
        <f t="array" ref="L15">_xlfn.IFS(H15=0,1+L14,H15=1,1+L14,H15=3,0)</f>
        <v>3</v>
      </c>
    </row>
    <row r="16" spans="1:20" x14ac:dyDescent="0.2">
      <c r="A16">
        <v>15</v>
      </c>
      <c r="B16" s="1">
        <v>43802</v>
      </c>
      <c r="C16" t="str">
        <v>Crystal Palace FC</v>
      </c>
      <c r="D16">
        <v>1</v>
      </c>
      <c r="E16" t="str">
        <v>AFC Bournemouth</v>
      </c>
      <c r="F16">
        <v>0</v>
      </c>
      <c r="H16" s="59" cm="1">
        <f t="array" ref="H16">_xlfn.IFS(AND(C16=$N$18,D16&gt;F16),3,AND(E16=$N$18,F16&gt;D16),3,AND(C16=$N$18,D16=F16),1,AND(E16=$N$18,D16=F16),1,AND(C16=$N$18,D16&lt;F16),0,AND(E16=$N$18,F16&lt;D16),0)</f>
        <v>0</v>
      </c>
      <c r="I16">
        <f t="shared" si="0"/>
        <v>0</v>
      </c>
      <c r="J16" s="59">
        <f t="shared" si="1"/>
        <v>4</v>
      </c>
      <c r="K16" cm="1">
        <f t="array" ref="K16">_xlfn.IFS(H16=3,1+K15,H16=1,1+K15,H16=0,0)</f>
        <v>0</v>
      </c>
      <c r="L16" cm="1">
        <f t="array" ref="L16">_xlfn.IFS(H16=0,1+L15,H16=1,1+L15,H16=3,0)</f>
        <v>4</v>
      </c>
    </row>
    <row r="17" spans="1:22" x14ac:dyDescent="0.2">
      <c r="A17">
        <v>16</v>
      </c>
      <c r="B17" s="1">
        <v>43806</v>
      </c>
      <c r="C17" t="str">
        <v>AFC Bournemouth</v>
      </c>
      <c r="D17">
        <v>0</v>
      </c>
      <c r="E17" t="str">
        <v>Liverpool FC</v>
      </c>
      <c r="F17">
        <v>3</v>
      </c>
      <c r="H17" s="59" cm="1">
        <f t="array" ref="H17">_xlfn.IFS(AND(C17=$N$18,D17&gt;F17),3,AND(E17=$N$18,F17&gt;D17),3,AND(C17=$N$18,D17=F17),1,AND(E17=$N$18,D17=F17),1,AND(C17=$N$18,D17&lt;F17),0,AND(E17=$N$18,F17&lt;D17),0)</f>
        <v>0</v>
      </c>
      <c r="I17">
        <f t="shared" si="0"/>
        <v>0</v>
      </c>
      <c r="J17" s="59">
        <f t="shared" si="1"/>
        <v>5</v>
      </c>
      <c r="K17" cm="1">
        <f t="array" ref="K17">_xlfn.IFS(H17=3,1+K16,H17=1,1+K16,H17=0,0)</f>
        <v>0</v>
      </c>
      <c r="L17" cm="1">
        <f t="array" ref="L17">_xlfn.IFS(H17=0,1+L16,H17=1,1+L16,H17=3,0)</f>
        <v>5</v>
      </c>
    </row>
    <row r="18" spans="1:22" x14ac:dyDescent="0.2">
      <c r="A18">
        <v>17</v>
      </c>
      <c r="B18" s="1">
        <v>43813</v>
      </c>
      <c r="C18" t="str">
        <v>Chelsea FC</v>
      </c>
      <c r="D18">
        <v>0</v>
      </c>
      <c r="E18" t="str">
        <v>AFC Bournemouth</v>
      </c>
      <c r="F18">
        <v>1</v>
      </c>
      <c r="H18" s="59" cm="1">
        <f t="array" ref="H18">_xlfn.IFS(AND(C18=$N$18,D18&gt;F18),3,AND(E18=$N$18,F18&gt;D18),3,AND(C18=$N$18,D18=F18),1,AND(E18=$N$18,D18=F18),1,AND(C18=$N$18,D18&lt;F18),0,AND(E18=$N$18,F18&lt;D18),0)</f>
        <v>3</v>
      </c>
      <c r="I18">
        <f t="shared" si="0"/>
        <v>1</v>
      </c>
      <c r="J18" s="59">
        <f t="shared" si="1"/>
        <v>0</v>
      </c>
      <c r="K18" cm="1">
        <f t="array" ref="K18">_xlfn.IFS(H18=3,1+K17,H18=1,1+K17,H18=0,0)</f>
        <v>1</v>
      </c>
      <c r="L18" cm="1">
        <f t="array" ref="L18">_xlfn.IFS(H18=0,1+L17,H18=1,1+L17,H18=3,0)</f>
        <v>0</v>
      </c>
      <c r="N18" s="14" t="str">
        <f>C2</f>
        <v>AFC Bournemouth</v>
      </c>
      <c r="O18" s="9" t="s">
        <v>12</v>
      </c>
      <c r="P18" s="7" t="s">
        <v>13</v>
      </c>
      <c r="Q18" s="6" t="s">
        <v>14</v>
      </c>
      <c r="R18" s="8" t="s">
        <v>15</v>
      </c>
      <c r="S18" s="9" t="s">
        <v>16</v>
      </c>
      <c r="T18" s="9" t="s">
        <v>17</v>
      </c>
      <c r="U18" s="9" t="s">
        <v>18</v>
      </c>
      <c r="V18" s="9" t="s">
        <v>19</v>
      </c>
    </row>
    <row r="19" spans="1:22" x14ac:dyDescent="0.2">
      <c r="A19">
        <v>18</v>
      </c>
      <c r="B19" s="1">
        <v>43820</v>
      </c>
      <c r="C19" t="str">
        <v>AFC Bournemouth</v>
      </c>
      <c r="D19">
        <v>0</v>
      </c>
      <c r="E19" t="str">
        <v>Burnley FC</v>
      </c>
      <c r="F19">
        <v>1</v>
      </c>
      <c r="H19" s="59" cm="1">
        <f t="array" ref="H19">_xlfn.IFS(AND(C19=$N$18,D19&gt;F19),3,AND(E19=$N$18,F19&gt;D19),3,AND(C19=$N$18,D19=F19),1,AND(E19=$N$18,D19=F19),1,AND(C19=$N$18,D19&lt;F19),0,AND(E19=$N$18,F19&lt;D19),0)</f>
        <v>0</v>
      </c>
      <c r="I19">
        <f t="shared" si="0"/>
        <v>0</v>
      </c>
      <c r="J19" s="59">
        <f t="shared" si="1"/>
        <v>1</v>
      </c>
      <c r="K19" cm="1">
        <f t="array" ref="K19">_xlfn.IFS(H19=3,1+K18,H19=1,1+K18,H19=0,0)</f>
        <v>0</v>
      </c>
      <c r="L19" cm="1">
        <f t="array" ref="L19">_xlfn.IFS(H19=0,1+L18,H19=1,1+L18,H19=3,0)</f>
        <v>1</v>
      </c>
      <c r="N19" s="10" t="s">
        <v>22</v>
      </c>
      <c r="O19" s="11">
        <f>COUNT(A2:A39)</f>
        <v>38</v>
      </c>
      <c r="P19" s="5" cm="1">
        <f t="array" ref="P19">SUMPRODUCT(((C2:C39=$N$18)*(D2:D39&gt;F2:F39))+((E2:E39=$N$18)*(F2:F39&gt;D2:D39)))</f>
        <v>9</v>
      </c>
      <c r="Q19" s="12" cm="1">
        <f t="array" ref="Q19">SUMPRODUCT(((C2:C39=$N$18)*(D2:D39=F2:F39))+((E2:E39=$N$18)*(F2:F39=D2:D39)))</f>
        <v>7</v>
      </c>
      <c r="R19" s="13" cm="1">
        <f t="array" ref="R19">SUMPRODUCT(((C2:C39=$N$18)*(D2:D39&lt;F2:F39))+((E2:E39=$N$18)*(F2:F39&lt;D2:D39)))</f>
        <v>22</v>
      </c>
      <c r="S19" s="11">
        <f>SUMIF(C2:C39,N18,D2:D39)+SUMIF(E2:E39,N18,F2:F39)</f>
        <v>40</v>
      </c>
      <c r="T19" s="11">
        <f>SUMIF(C2:C39,N18,F2:F39)+SUMIF(E2:E39,N18,D2:D39)</f>
        <v>65</v>
      </c>
      <c r="U19" s="11">
        <f>S19-T19</f>
        <v>-25</v>
      </c>
      <c r="V19" s="11">
        <f>V20+V21</f>
        <v>34</v>
      </c>
    </row>
    <row r="20" spans="1:22" x14ac:dyDescent="0.2">
      <c r="A20">
        <v>19</v>
      </c>
      <c r="B20" s="1">
        <v>43825</v>
      </c>
      <c r="C20" t="str">
        <v>AFC Bournemouth</v>
      </c>
      <c r="D20">
        <v>1</v>
      </c>
      <c r="E20" t="str">
        <v>Arsenal FC</v>
      </c>
      <c r="F20">
        <v>1</v>
      </c>
      <c r="H20" s="59" cm="1">
        <f t="array" ref="H20">_xlfn.IFS(AND(C20=$N$18,D20&gt;F20),3,AND(E20=$N$18,F20&gt;D20),3,AND(C20=$N$18,D20=F20),1,AND(E20=$N$18,D20=F20),1,AND(C20=$N$18,D20&lt;F20),0,AND(E20=$N$18,F20&lt;D20),0)</f>
        <v>1</v>
      </c>
      <c r="I20">
        <f t="shared" si="0"/>
        <v>0</v>
      </c>
      <c r="J20" s="59">
        <f t="shared" si="1"/>
        <v>0</v>
      </c>
      <c r="K20" cm="1">
        <f t="array" ref="K20">_xlfn.IFS(H20=3,1+K19,H20=1,1+K19,H20=0,0)</f>
        <v>1</v>
      </c>
      <c r="L20" cm="1">
        <f t="array" ref="L20">_xlfn.IFS(H20=0,1+L19,H20=1,1+L19,H20=3,0)</f>
        <v>2</v>
      </c>
      <c r="N20" s="10" t="s">
        <v>2</v>
      </c>
      <c r="O20" s="11">
        <f>COUNTIF(C2:C39,C2)</f>
        <v>19</v>
      </c>
      <c r="P20" s="20" cm="1">
        <f t="array" ref="P20">SUMPRODUCT(((C2:C39=$N$18)*(D2:D39&gt;F2:F39)))</f>
        <v>5</v>
      </c>
      <c r="Q20" s="12" cm="1">
        <f t="array" ref="Q20">SUMPRODUCT(((C2:C39=$N$18)*(D2:D39=F2:F39)))</f>
        <v>6</v>
      </c>
      <c r="R20" s="13" cm="1">
        <f t="array" ref="R20">SUMPRODUCT(((C2:C39=$N$18)*(D2:D39&lt;F2:F39)))</f>
        <v>8</v>
      </c>
      <c r="S20" s="11">
        <f>SUMIF(C2:C39,N18,D2:D39)</f>
        <v>22</v>
      </c>
      <c r="T20" s="11">
        <f>SUMIF(C2:C39,N18,F2:F39)</f>
        <v>30</v>
      </c>
      <c r="U20" s="11">
        <f>S20-T20</f>
        <v>-8</v>
      </c>
      <c r="V20" s="11">
        <f>(P20*3)+Q20</f>
        <v>21</v>
      </c>
    </row>
    <row r="21" spans="1:22" x14ac:dyDescent="0.2">
      <c r="A21">
        <v>20</v>
      </c>
      <c r="B21" s="1">
        <v>43827</v>
      </c>
      <c r="C21" t="str">
        <v>Brighton &amp; Hove Albion FC</v>
      </c>
      <c r="D21">
        <v>2</v>
      </c>
      <c r="E21" t="str">
        <v>AFC Bournemouth</v>
      </c>
      <c r="F21">
        <v>0</v>
      </c>
      <c r="H21" s="59" cm="1">
        <f t="array" ref="H21">_xlfn.IFS(AND(C21=$N$18,D21&gt;F21),3,AND(E21=$N$18,F21&gt;D21),3,AND(C21=$N$18,D21=F21),1,AND(E21=$N$18,D21=F21),1,AND(C21=$N$18,D21&lt;F21),0,AND(E21=$N$18,F21&lt;D21),0)</f>
        <v>0</v>
      </c>
      <c r="I21">
        <f t="shared" si="0"/>
        <v>0</v>
      </c>
      <c r="J21" s="59">
        <f t="shared" si="1"/>
        <v>1</v>
      </c>
      <c r="K21" cm="1">
        <f t="array" ref="K21">_xlfn.IFS(H21=3,1+K20,H21=1,1+K20,H21=0,0)</f>
        <v>0</v>
      </c>
      <c r="L21" cm="1">
        <f t="array" ref="L21">_xlfn.IFS(H21=0,1+L20,H21=1,1+L20,H21=3,0)</f>
        <v>3</v>
      </c>
      <c r="N21" s="10" t="s">
        <v>4</v>
      </c>
      <c r="O21" s="11">
        <f>COUNTIF(E2:E39,E3)</f>
        <v>19</v>
      </c>
      <c r="P21" s="5" cm="1">
        <f t="array" ref="P21">SUMPRODUCT(((E2:E39=$N$18)*(F2:F39&gt;D2:D39)))</f>
        <v>4</v>
      </c>
      <c r="Q21" s="12" cm="1">
        <f t="array" ref="Q21">SUMPRODUCT(((E2:E39=$N$18)*(F2:F39=D2:D39)))</f>
        <v>1</v>
      </c>
      <c r="R21" s="13" cm="1">
        <f t="array" ref="R21">SUMPRODUCT(((E2:E39=$N$18)*(F2:F39&lt;D2:D39)))</f>
        <v>14</v>
      </c>
      <c r="S21" s="11">
        <f>SUMIF(E2:E39,N18,F2:F39)</f>
        <v>18</v>
      </c>
      <c r="T21" s="11">
        <f>SUMIF(E2:E39,N18,D2:D39)</f>
        <v>35</v>
      </c>
      <c r="U21" s="11">
        <f>S21-T21</f>
        <v>-17</v>
      </c>
      <c r="V21" s="11">
        <f>(P21*3)+Q21</f>
        <v>13</v>
      </c>
    </row>
    <row r="22" spans="1:22" x14ac:dyDescent="0.2">
      <c r="A22">
        <v>21</v>
      </c>
      <c r="B22" s="1">
        <v>43831</v>
      </c>
      <c r="C22" t="str">
        <v>West Ham United FC</v>
      </c>
      <c r="D22">
        <v>4</v>
      </c>
      <c r="E22" t="str">
        <v>AFC Bournemouth</v>
      </c>
      <c r="F22">
        <v>0</v>
      </c>
      <c r="H22" s="59" cm="1">
        <f t="array" ref="H22">_xlfn.IFS(AND(C22=$N$18,D22&gt;F22),3,AND(E22=$N$18,F22&gt;D22),3,AND(C22=$N$18,D22=F22),1,AND(E22=$N$18,D22=F22),1,AND(C22=$N$18,D22&lt;F22),0,AND(E22=$N$18,F22&lt;D22),0)</f>
        <v>0</v>
      </c>
      <c r="I22">
        <f t="shared" si="0"/>
        <v>0</v>
      </c>
      <c r="J22" s="59">
        <f t="shared" si="1"/>
        <v>2</v>
      </c>
      <c r="K22" cm="1">
        <f t="array" ref="K22">_xlfn.IFS(H22=3,1+K21,H22=1,1+K21,H22=0,0)</f>
        <v>0</v>
      </c>
      <c r="L22" cm="1">
        <f t="array" ref="L22">_xlfn.IFS(H22=0,1+L21,H22=1,1+L21,H22=3,0)</f>
        <v>4</v>
      </c>
    </row>
    <row r="23" spans="1:22" x14ac:dyDescent="0.2">
      <c r="A23">
        <v>22</v>
      </c>
      <c r="B23" s="1">
        <v>43842</v>
      </c>
      <c r="C23" t="str">
        <v>AFC Bournemouth</v>
      </c>
      <c r="D23">
        <v>0</v>
      </c>
      <c r="E23" t="str">
        <v>Watford FC</v>
      </c>
      <c r="F23">
        <v>3</v>
      </c>
      <c r="H23" s="59" cm="1">
        <f t="array" ref="H23">_xlfn.IFS(AND(C23=$N$18,D23&gt;F23),3,AND(E23=$N$18,F23&gt;D23),3,AND(C23=$N$18,D23=F23),1,AND(E23=$N$18,D23=F23),1,AND(C23=$N$18,D23&lt;F23),0,AND(E23=$N$18,F23&lt;D23),0)</f>
        <v>0</v>
      </c>
      <c r="I23">
        <f t="shared" si="0"/>
        <v>0</v>
      </c>
      <c r="J23" s="59">
        <f t="shared" si="1"/>
        <v>3</v>
      </c>
      <c r="K23" cm="1">
        <f t="array" ref="K23">_xlfn.IFS(H23=3,1+K22,H23=1,1+K22,H23=0,0)</f>
        <v>0</v>
      </c>
      <c r="L23" cm="1">
        <f t="array" ref="L23">_xlfn.IFS(H23=0,1+L22,H23=1,1+L22,H23=3,0)</f>
        <v>5</v>
      </c>
    </row>
    <row r="24" spans="1:22" x14ac:dyDescent="0.2">
      <c r="A24">
        <v>23</v>
      </c>
      <c r="B24" s="1">
        <v>43848</v>
      </c>
      <c r="C24" t="str">
        <v>Norwich City FC</v>
      </c>
      <c r="D24">
        <v>1</v>
      </c>
      <c r="E24" t="str">
        <v>AFC Bournemouth</v>
      </c>
      <c r="F24">
        <v>0</v>
      </c>
      <c r="H24" s="59" cm="1">
        <f t="array" ref="H24">_xlfn.IFS(AND(C24=$N$18,D24&gt;F24),3,AND(E24=$N$18,F24&gt;D24),3,AND(C24=$N$18,D24=F24),1,AND(E24=$N$18,D24=F24),1,AND(C24=$N$18,D24&lt;F24),0,AND(E24=$N$18,F24&lt;D24),0)</f>
        <v>0</v>
      </c>
      <c r="I24">
        <f t="shared" si="0"/>
        <v>0</v>
      </c>
      <c r="J24" s="59">
        <f t="shared" si="1"/>
        <v>4</v>
      </c>
      <c r="K24" cm="1">
        <f t="array" ref="K24">_xlfn.IFS(H24=3,1+K23,H24=1,1+K23,H24=0,0)</f>
        <v>0</v>
      </c>
      <c r="L24" cm="1">
        <f t="array" ref="L24">_xlfn.IFS(H24=0,1+L23,H24=1,1+L23,H24=3,0)</f>
        <v>6</v>
      </c>
    </row>
    <row r="25" spans="1:22" x14ac:dyDescent="0.2">
      <c r="A25">
        <v>24</v>
      </c>
      <c r="B25" s="1">
        <v>43851</v>
      </c>
      <c r="C25" t="str">
        <v>AFC Bournemouth</v>
      </c>
      <c r="D25">
        <v>3</v>
      </c>
      <c r="E25" t="str">
        <v>Brighton &amp; Hove Albion FC</v>
      </c>
      <c r="F25">
        <v>1</v>
      </c>
      <c r="H25" s="59" cm="1">
        <f t="array" ref="H25">_xlfn.IFS(AND(C25=$N$18,D25&gt;F25),3,AND(E25=$N$18,F25&gt;D25),3,AND(C25=$N$18,D25=F25),1,AND(E25=$N$18,D25=F25),1,AND(C25=$N$18,D25&lt;F25),0,AND(E25=$N$18,F25&lt;D25),0)</f>
        <v>3</v>
      </c>
      <c r="I25">
        <f t="shared" si="0"/>
        <v>1</v>
      </c>
      <c r="J25" s="59">
        <f t="shared" si="1"/>
        <v>0</v>
      </c>
      <c r="K25" cm="1">
        <f t="array" ref="K25">_xlfn.IFS(H25=3,1+K24,H25=1,1+K24,H25=0,0)</f>
        <v>1</v>
      </c>
      <c r="L25" cm="1">
        <f t="array" ref="L25">_xlfn.IFS(H25=0,1+L24,H25=1,1+L24,H25=3,0)</f>
        <v>0</v>
      </c>
    </row>
    <row r="26" spans="1:22" x14ac:dyDescent="0.2">
      <c r="A26">
        <v>25</v>
      </c>
      <c r="B26" s="1">
        <v>43862</v>
      </c>
      <c r="C26" t="str">
        <v>AFC Bournemouth</v>
      </c>
      <c r="D26">
        <v>2</v>
      </c>
      <c r="E26" t="str">
        <v>Aston Villa FC</v>
      </c>
      <c r="F26">
        <v>1</v>
      </c>
      <c r="H26" s="59" cm="1">
        <f t="array" ref="H26">_xlfn.IFS(AND(C26=$N$18,D26&gt;F26),3,AND(E26=$N$18,F26&gt;D26),3,AND(C26=$N$18,D26=F26),1,AND(E26=$N$18,D26=F26),1,AND(C26=$N$18,D26&lt;F26),0,AND(E26=$N$18,F26&lt;D26),0)</f>
        <v>3</v>
      </c>
      <c r="I26">
        <f t="shared" si="0"/>
        <v>2</v>
      </c>
      <c r="J26" s="59">
        <f t="shared" si="1"/>
        <v>0</v>
      </c>
      <c r="K26" cm="1">
        <f t="array" ref="K26">_xlfn.IFS(H26=3,1+K25,H26=1,1+K25,H26=0,0)</f>
        <v>2</v>
      </c>
      <c r="L26" cm="1">
        <f t="array" ref="L26">_xlfn.IFS(H26=0,1+L25,H26=1,1+L25,H26=3,0)</f>
        <v>0</v>
      </c>
    </row>
    <row r="27" spans="1:22" x14ac:dyDescent="0.2">
      <c r="A27">
        <v>26</v>
      </c>
      <c r="B27" s="1">
        <v>43870</v>
      </c>
      <c r="C27" t="str">
        <v>Sheffield United FC</v>
      </c>
      <c r="D27">
        <v>2</v>
      </c>
      <c r="E27" t="str">
        <v>AFC Bournemouth</v>
      </c>
      <c r="F27">
        <v>1</v>
      </c>
      <c r="H27" s="59" cm="1">
        <f t="array" ref="H27">_xlfn.IFS(AND(C27=$N$18,D27&gt;F27),3,AND(E27=$N$18,F27&gt;D27),3,AND(C27=$N$18,D27=F27),1,AND(E27=$N$18,D27=F27),1,AND(C27=$N$18,D27&lt;F27),0,AND(E27=$N$18,F27&lt;D27),0)</f>
        <v>0</v>
      </c>
      <c r="I27">
        <f t="shared" si="0"/>
        <v>0</v>
      </c>
      <c r="J27" s="59">
        <f t="shared" si="1"/>
        <v>1</v>
      </c>
      <c r="K27" cm="1">
        <f t="array" ref="K27">_xlfn.IFS(H27=3,1+K26,H27=1,1+K26,H27=0,0)</f>
        <v>0</v>
      </c>
      <c r="L27" cm="1">
        <f t="array" ref="L27">_xlfn.IFS(H27=0,1+L26,H27=1,1+L26,H27=3,0)</f>
        <v>1</v>
      </c>
    </row>
    <row r="28" spans="1:22" x14ac:dyDescent="0.2">
      <c r="A28">
        <v>27</v>
      </c>
      <c r="B28" s="1">
        <v>43883</v>
      </c>
      <c r="C28" t="str">
        <v>Burnley FC</v>
      </c>
      <c r="D28">
        <v>3</v>
      </c>
      <c r="E28" t="str">
        <v>AFC Bournemouth</v>
      </c>
      <c r="F28">
        <v>0</v>
      </c>
      <c r="H28" s="59" cm="1">
        <f t="array" ref="H28">_xlfn.IFS(AND(C28=$N$18,D28&gt;F28),3,AND(E28=$N$18,F28&gt;D28),3,AND(C28=$N$18,D28=F28),1,AND(E28=$N$18,D28=F28),1,AND(C28=$N$18,D28&lt;F28),0,AND(E28=$N$18,F28&lt;D28),0)</f>
        <v>0</v>
      </c>
      <c r="I28">
        <f t="shared" si="0"/>
        <v>0</v>
      </c>
      <c r="J28" s="59">
        <f t="shared" si="1"/>
        <v>2</v>
      </c>
      <c r="K28" cm="1">
        <f t="array" ref="K28">_xlfn.IFS(H28=3,1+K27,H28=1,1+K27,H28=0,0)</f>
        <v>0</v>
      </c>
      <c r="L28" cm="1">
        <f t="array" ref="L28">_xlfn.IFS(H28=0,1+L27,H28=1,1+L27,H28=3,0)</f>
        <v>2</v>
      </c>
    </row>
    <row r="29" spans="1:22" x14ac:dyDescent="0.2">
      <c r="A29">
        <v>28</v>
      </c>
      <c r="B29" s="1">
        <v>43890</v>
      </c>
      <c r="C29" t="str">
        <v>AFC Bournemouth</v>
      </c>
      <c r="D29">
        <v>2</v>
      </c>
      <c r="E29" t="str">
        <v>Chelsea FC</v>
      </c>
      <c r="F29">
        <v>2</v>
      </c>
      <c r="H29" s="59" cm="1">
        <f t="array" ref="H29">_xlfn.IFS(AND(C29=$N$18,D29&gt;F29),3,AND(E29=$N$18,F29&gt;D29),3,AND(C29=$N$18,D29=F29),1,AND(E29=$N$18,D29=F29),1,AND(C29=$N$18,D29&lt;F29),0,AND(E29=$N$18,F29&lt;D29),0)</f>
        <v>1</v>
      </c>
      <c r="I29">
        <f t="shared" si="0"/>
        <v>0</v>
      </c>
      <c r="J29" s="59">
        <f t="shared" si="1"/>
        <v>0</v>
      </c>
      <c r="K29" cm="1">
        <f t="array" ref="K29">_xlfn.IFS(H29=3,1+K28,H29=1,1+K28,H29=0,0)</f>
        <v>1</v>
      </c>
      <c r="L29" cm="1">
        <f t="array" ref="L29">_xlfn.IFS(H29=0,1+L28,H29=1,1+L28,H29=3,0)</f>
        <v>3</v>
      </c>
    </row>
    <row r="30" spans="1:22" x14ac:dyDescent="0.2">
      <c r="A30">
        <v>29</v>
      </c>
      <c r="B30" s="1">
        <v>43897</v>
      </c>
      <c r="C30" t="str">
        <v>Liverpool FC</v>
      </c>
      <c r="D30">
        <v>2</v>
      </c>
      <c r="E30" t="str">
        <v>AFC Bournemouth</v>
      </c>
      <c r="F30">
        <v>1</v>
      </c>
      <c r="H30" s="59" cm="1">
        <f t="array" ref="H30">_xlfn.IFS(AND(C30=$N$18,D30&gt;F30),3,AND(E30=$N$18,F30&gt;D30),3,AND(C30=$N$18,D30=F30),1,AND(E30=$N$18,D30=F30),1,AND(C30=$N$18,D30&lt;F30),0,AND(E30=$N$18,F30&lt;D30),0)</f>
        <v>0</v>
      </c>
      <c r="I30">
        <f t="shared" si="0"/>
        <v>0</v>
      </c>
      <c r="J30" s="59">
        <f t="shared" si="1"/>
        <v>1</v>
      </c>
      <c r="K30" cm="1">
        <f t="array" ref="K30">_xlfn.IFS(H30=3,1+K29,H30=1,1+K29,H30=0,0)</f>
        <v>0</v>
      </c>
      <c r="L30" cm="1">
        <f t="array" ref="L30">_xlfn.IFS(H30=0,1+L29,H30=1,1+L29,H30=3,0)</f>
        <v>4</v>
      </c>
    </row>
    <row r="31" spans="1:22" x14ac:dyDescent="0.2">
      <c r="A31">
        <v>30</v>
      </c>
      <c r="B31" s="1">
        <v>44002</v>
      </c>
      <c r="C31" t="str">
        <v>AFC Bournemouth</v>
      </c>
      <c r="D31">
        <v>0</v>
      </c>
      <c r="E31" t="str">
        <v>Crystal Palace FC</v>
      </c>
      <c r="F31">
        <v>2</v>
      </c>
      <c r="H31" s="59" cm="1">
        <f t="array" ref="H31">_xlfn.IFS(AND(C31=$N$18,D31&gt;F31),3,AND(E31=$N$18,F31&gt;D31),3,AND(C31=$N$18,D31=F31),1,AND(E31=$N$18,D31=F31),1,AND(C31=$N$18,D31&lt;F31),0,AND(E31=$N$18,F31&lt;D31),0)</f>
        <v>0</v>
      </c>
      <c r="I31">
        <f t="shared" si="0"/>
        <v>0</v>
      </c>
      <c r="J31" s="59">
        <f t="shared" si="1"/>
        <v>2</v>
      </c>
      <c r="K31" cm="1">
        <f t="array" ref="K31">_xlfn.IFS(H31=3,1+K30,H31=1,1+K30,H31=0,0)</f>
        <v>0</v>
      </c>
      <c r="L31" cm="1">
        <f t="array" ref="L31">_xlfn.IFS(H31=0,1+L30,H31=1,1+L30,H31=3,0)</f>
        <v>5</v>
      </c>
    </row>
    <row r="32" spans="1:22" x14ac:dyDescent="0.2">
      <c r="A32">
        <v>31</v>
      </c>
      <c r="B32" s="1">
        <v>44006</v>
      </c>
      <c r="C32" t="str">
        <v>Wolverhampton Wanderers FC</v>
      </c>
      <c r="D32">
        <v>1</v>
      </c>
      <c r="E32" t="str">
        <v>AFC Bournemouth</v>
      </c>
      <c r="F32">
        <v>0</v>
      </c>
      <c r="H32" s="59" cm="1">
        <f t="array" ref="H32">_xlfn.IFS(AND(C32=$N$18,D32&gt;F32),3,AND(E32=$N$18,F32&gt;D32),3,AND(C32=$N$18,D32=F32),1,AND(E32=$N$18,D32=F32),1,AND(C32=$N$18,D32&lt;F32),0,AND(E32=$N$18,F32&lt;D32),0)</f>
        <v>0</v>
      </c>
      <c r="I32">
        <f t="shared" si="0"/>
        <v>0</v>
      </c>
      <c r="J32" s="59">
        <f t="shared" si="1"/>
        <v>3</v>
      </c>
      <c r="K32" cm="1">
        <f t="array" ref="K32">_xlfn.IFS(H32=3,1+K31,H32=1,1+K31,H32=0,0)</f>
        <v>0</v>
      </c>
      <c r="L32" cm="1">
        <f t="array" ref="L32">_xlfn.IFS(H32=0,1+L31,H32=1,1+L31,H32=3,0)</f>
        <v>6</v>
      </c>
    </row>
    <row r="33" spans="1:12" x14ac:dyDescent="0.2">
      <c r="A33">
        <v>32</v>
      </c>
      <c r="B33" s="1">
        <v>44013</v>
      </c>
      <c r="C33" t="str">
        <v>AFC Bournemouth</v>
      </c>
      <c r="D33">
        <v>1</v>
      </c>
      <c r="E33" t="str">
        <v>Newcastle United FC</v>
      </c>
      <c r="F33">
        <v>4</v>
      </c>
      <c r="H33" s="59" cm="1">
        <f t="array" ref="H33">_xlfn.IFS(AND(C33=$N$18,D33&gt;F33),3,AND(E33=$N$18,F33&gt;D33),3,AND(C33=$N$18,D33=F33),1,AND(E33=$N$18,D33=F33),1,AND(C33=$N$18,D33&lt;F33),0,AND(E33=$N$18,F33&lt;D33),0)</f>
        <v>0</v>
      </c>
      <c r="I33">
        <f t="shared" si="0"/>
        <v>0</v>
      </c>
      <c r="J33" s="59">
        <f t="shared" si="1"/>
        <v>4</v>
      </c>
      <c r="K33" cm="1">
        <f t="array" ref="K33">_xlfn.IFS(H33=3,1+K32,H33=1,1+K32,H33=0,0)</f>
        <v>0</v>
      </c>
      <c r="L33" cm="1">
        <f t="array" ref="L33">_xlfn.IFS(H33=0,1+L32,H33=1,1+L32,H33=3,0)</f>
        <v>7</v>
      </c>
    </row>
    <row r="34" spans="1:12" x14ac:dyDescent="0.2">
      <c r="A34">
        <v>33</v>
      </c>
      <c r="B34" s="1">
        <v>44016</v>
      </c>
      <c r="C34" t="str">
        <v>Manchester United FC</v>
      </c>
      <c r="D34">
        <v>5</v>
      </c>
      <c r="E34" t="str">
        <v>AFC Bournemouth</v>
      </c>
      <c r="F34">
        <v>2</v>
      </c>
      <c r="H34" s="59" cm="1">
        <f t="array" ref="H34">_xlfn.IFS(AND(C34=$N$18,D34&gt;F34),3,AND(E34=$N$18,F34&gt;D34),3,AND(C34=$N$18,D34=F34),1,AND(E34=$N$18,D34=F34),1,AND(C34=$N$18,D34&lt;F34),0,AND(E34=$N$18,F34&lt;D34),0)</f>
        <v>0</v>
      </c>
      <c r="I34">
        <f t="shared" si="0"/>
        <v>0</v>
      </c>
      <c r="J34" s="59">
        <f t="shared" si="1"/>
        <v>5</v>
      </c>
      <c r="K34" cm="1">
        <f t="array" ref="K34">_xlfn.IFS(H34=3,1+K33,H34=1,1+K33,H34=0,0)</f>
        <v>0</v>
      </c>
      <c r="L34" cm="1">
        <f t="array" ref="L34">_xlfn.IFS(H34=0,1+L33,H34=1,1+L33,H34=3,0)</f>
        <v>8</v>
      </c>
    </row>
    <row r="35" spans="1:12" x14ac:dyDescent="0.2">
      <c r="A35">
        <v>34</v>
      </c>
      <c r="B35" s="1">
        <v>44021</v>
      </c>
      <c r="C35" t="str">
        <v>AFC Bournemouth</v>
      </c>
      <c r="D35">
        <v>0</v>
      </c>
      <c r="E35" t="str">
        <v>Tottenham Hotspur FC</v>
      </c>
      <c r="F35">
        <v>0</v>
      </c>
      <c r="H35" s="59" cm="1">
        <f t="array" ref="H35">_xlfn.IFS(AND(C35=$N$18,D35&gt;F35),3,AND(E35=$N$18,F35&gt;D35),3,AND(C35=$N$18,D35=F35),1,AND(E35=$N$18,D35=F35),1,AND(C35=$N$18,D35&lt;F35),0,AND(E35=$N$18,F35&lt;D35),0)</f>
        <v>1</v>
      </c>
      <c r="I35">
        <f t="shared" si="0"/>
        <v>0</v>
      </c>
      <c r="J35" s="59">
        <f t="shared" si="1"/>
        <v>0</v>
      </c>
      <c r="K35" cm="1">
        <f t="array" ref="K35">_xlfn.IFS(H35=3,1+K34,H35=1,1+K34,H35=0,0)</f>
        <v>1</v>
      </c>
      <c r="L35" cm="1">
        <f t="array" ref="L35">_xlfn.IFS(H35=0,1+L34,H35=1,1+L34,H35=3,0)</f>
        <v>9</v>
      </c>
    </row>
    <row r="36" spans="1:12" x14ac:dyDescent="0.2">
      <c r="A36">
        <v>35</v>
      </c>
      <c r="B36" s="1">
        <v>44024</v>
      </c>
      <c r="C36" t="str">
        <v>AFC Bournemouth</v>
      </c>
      <c r="D36">
        <v>4</v>
      </c>
      <c r="E36" t="str">
        <v>Leicester City FC</v>
      </c>
      <c r="F36">
        <v>1</v>
      </c>
      <c r="H36" s="59" cm="1">
        <f t="array" ref="H36">_xlfn.IFS(AND(C36=$N$18,D36&gt;F36),3,AND(E36=$N$18,F36&gt;D36),3,AND(C36=$N$18,D36=F36),1,AND(E36=$N$18,D36=F36),1,AND(C36=$N$18,D36&lt;F36),0,AND(E36=$N$18,F36&lt;D36),0)</f>
        <v>3</v>
      </c>
      <c r="I36">
        <f t="shared" si="0"/>
        <v>1</v>
      </c>
      <c r="J36" s="59">
        <f t="shared" si="1"/>
        <v>0</v>
      </c>
      <c r="K36" cm="1">
        <f t="array" ref="K36">_xlfn.IFS(H36=3,1+K35,H36=1,1+K35,H36=0,0)</f>
        <v>2</v>
      </c>
      <c r="L36" cm="1">
        <f t="array" ref="L36">_xlfn.IFS(H36=0,1+L35,H36=1,1+L35,H36=3,0)</f>
        <v>0</v>
      </c>
    </row>
    <row r="37" spans="1:12" x14ac:dyDescent="0.2">
      <c r="A37">
        <v>36</v>
      </c>
      <c r="B37" s="1">
        <v>44027</v>
      </c>
      <c r="C37" t="str">
        <v>Manchester City FC</v>
      </c>
      <c r="D37">
        <v>2</v>
      </c>
      <c r="E37" t="str">
        <v>AFC Bournemouth</v>
      </c>
      <c r="F37">
        <v>1</v>
      </c>
      <c r="H37" s="59" cm="1">
        <f t="array" ref="H37">_xlfn.IFS(AND(C37=$N$18,D37&gt;F37),3,AND(E37=$N$18,F37&gt;D37),3,AND(C37=$N$18,D37=F37),1,AND(E37=$N$18,D37=F37),1,AND(C37=$N$18,D37&lt;F37),0,AND(E37=$N$18,F37&lt;D37),0)</f>
        <v>0</v>
      </c>
      <c r="I37">
        <f t="shared" si="0"/>
        <v>0</v>
      </c>
      <c r="J37" s="59">
        <f t="shared" si="1"/>
        <v>1</v>
      </c>
      <c r="K37" cm="1">
        <f t="array" ref="K37">_xlfn.IFS(H37=3,1+K36,H37=1,1+K36,H37=0,0)</f>
        <v>0</v>
      </c>
      <c r="L37" cm="1">
        <f t="array" ref="L37">_xlfn.IFS(H37=0,1+L36,H37=1,1+L36,H37=3,0)</f>
        <v>1</v>
      </c>
    </row>
    <row r="38" spans="1:12" x14ac:dyDescent="0.2">
      <c r="A38">
        <v>37</v>
      </c>
      <c r="B38" s="1">
        <v>44031</v>
      </c>
      <c r="C38" t="str">
        <v>AFC Bournemouth</v>
      </c>
      <c r="D38">
        <v>0</v>
      </c>
      <c r="E38" t="str">
        <v>Southampton FC</v>
      </c>
      <c r="F38">
        <v>2</v>
      </c>
      <c r="H38" s="59" cm="1">
        <f t="array" ref="H38">_xlfn.IFS(AND(C38=$N$18,D38&gt;F38),3,AND(E38=$N$18,F38&gt;D38),3,AND(C38=$N$18,D38=F38),1,AND(E38=$N$18,D38=F38),1,AND(C38=$N$18,D38&lt;F38),0,AND(E38=$N$18,F38&lt;D38),0)</f>
        <v>0</v>
      </c>
      <c r="I38">
        <f t="shared" si="0"/>
        <v>0</v>
      </c>
      <c r="J38" s="59">
        <f t="shared" si="1"/>
        <v>2</v>
      </c>
      <c r="K38" cm="1">
        <f t="array" ref="K38">_xlfn.IFS(H38=3,1+K37,H38=1,1+K37,H38=0,0)</f>
        <v>0</v>
      </c>
      <c r="L38" cm="1">
        <f t="array" ref="L38">_xlfn.IFS(H38=0,1+L37,H38=1,1+L37,H38=3,0)</f>
        <v>2</v>
      </c>
    </row>
    <row r="39" spans="1:12" x14ac:dyDescent="0.2">
      <c r="A39">
        <v>38</v>
      </c>
      <c r="B39" s="1">
        <v>44038</v>
      </c>
      <c r="C39" t="str">
        <v>Everton FC</v>
      </c>
      <c r="D39">
        <v>1</v>
      </c>
      <c r="E39" t="str">
        <v>AFC Bournemouth</v>
      </c>
      <c r="F39">
        <v>3</v>
      </c>
      <c r="H39" s="59" cm="1">
        <f t="array" ref="H39">_xlfn.IFS(AND(C39=$N$18,D39&gt;F39),3,AND(E39=$N$18,F39&gt;D39),3,AND(C39=$N$18,D39=F39),1,AND(E39=$N$18,D39=F39),1,AND(C39=$N$18,D39&lt;F39),0,AND(E39=$N$18,F39&lt;D39),0)</f>
        <v>3</v>
      </c>
      <c r="I39">
        <f t="shared" si="0"/>
        <v>1</v>
      </c>
      <c r="J39" s="59">
        <f t="shared" si="1"/>
        <v>0</v>
      </c>
      <c r="K39" cm="1">
        <f t="array" ref="K39">_xlfn.IFS(H39=3,1+K38,H39=1,1+K38,H39=0,0)</f>
        <v>1</v>
      </c>
      <c r="L39" cm="1">
        <f t="array" ref="L39">_xlfn.IFS(H39=0,1+L38,H39=1,1+L38,H39=3,0)</f>
        <v>0</v>
      </c>
    </row>
  </sheetData>
  <conditionalFormatting sqref="G2:G39">
    <cfRule type="expression" dxfId="101" priority="5">
      <formula>AND($E2=$N$18,$F2&gt;$D2)</formula>
    </cfRule>
  </conditionalFormatting>
  <conditionalFormatting sqref="G2:G39">
    <cfRule type="expression" dxfId="100" priority="4">
      <formula>AND($E2=$N$18,$F2&lt;$D2)</formula>
    </cfRule>
  </conditionalFormatting>
  <conditionalFormatting sqref="G2:G39">
    <cfRule type="expression" dxfId="99" priority="3">
      <formula>$D2=$F2</formula>
    </cfRule>
  </conditionalFormatting>
  <conditionalFormatting sqref="G2:G39">
    <cfRule type="expression" dxfId="98" priority="2">
      <formula>AND($C2=$N$18,$D2&lt;$F2)</formula>
    </cfRule>
  </conditionalFormatting>
  <conditionalFormatting sqref="G2:G39">
    <cfRule type="expression" dxfId="97" priority="1">
      <formula>AND($C2=$N$18,$D2&gt;$F2)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333FA-0A94-408A-8896-DCE075A68B7D}">
  <sheetPr codeName="Sheet9"/>
  <dimension ref="A1:V39"/>
  <sheetViews>
    <sheetView zoomScale="60" zoomScaleNormal="60" workbookViewId="0"/>
  </sheetViews>
  <sheetFormatPr baseColWidth="10" defaultColWidth="8.83203125" defaultRowHeight="15" x14ac:dyDescent="0.2"/>
  <cols>
    <col min="2" max="2" width="11.5" style="1" bestFit="1" customWidth="1"/>
    <col min="3" max="3" width="23.83203125" customWidth="1"/>
    <col min="4" max="4" width="12.33203125" customWidth="1"/>
    <col min="5" max="5" width="28.5" customWidth="1"/>
    <col min="6" max="6" width="12.5" customWidth="1"/>
    <col min="7" max="7" width="11.33203125" customWidth="1"/>
    <col min="14" max="14" width="21.6640625" bestFit="1" customWidth="1"/>
    <col min="15" max="22" width="10.6640625" customWidth="1"/>
  </cols>
  <sheetData>
    <row r="1" spans="1:20" ht="32" x14ac:dyDescent="0.2">
      <c r="A1" s="67" t="s">
        <v>0</v>
      </c>
      <c r="B1" s="71" t="s">
        <v>1</v>
      </c>
      <c r="C1" s="68" t="s">
        <v>2</v>
      </c>
      <c r="D1" s="68" t="s">
        <v>3</v>
      </c>
      <c r="E1" s="68" t="s">
        <v>4</v>
      </c>
      <c r="F1" s="69" t="s">
        <v>5</v>
      </c>
      <c r="G1" s="70" t="s">
        <v>71</v>
      </c>
      <c r="H1" s="70" t="s">
        <v>19</v>
      </c>
      <c r="I1" s="81" t="s">
        <v>72</v>
      </c>
      <c r="J1" s="81" t="s">
        <v>53</v>
      </c>
      <c r="K1" s="81" t="s">
        <v>55</v>
      </c>
      <c r="L1" s="81" t="s">
        <v>73</v>
      </c>
      <c r="Q1" s="58" t="s">
        <v>74</v>
      </c>
      <c r="R1" t="s">
        <v>75</v>
      </c>
      <c r="S1" t="s">
        <v>76</v>
      </c>
      <c r="T1" s="63" t="s">
        <v>77</v>
      </c>
    </row>
    <row r="2" spans="1:20" x14ac:dyDescent="0.2">
      <c r="A2" cm="1">
        <f t="array" ref="A2:F39">_xlfn._xlws.FILTER(eng_1[],(eng_1[Home]='England 1'!C6)+(eng_1[Away]='England 1'!E19))</f>
        <v>1</v>
      </c>
      <c r="B2" s="1">
        <v>43687</v>
      </c>
      <c r="C2" t="str">
        <v>Crystal Palace FC</v>
      </c>
      <c r="D2">
        <v>0</v>
      </c>
      <c r="E2" t="str">
        <v>Everton FC</v>
      </c>
      <c r="F2">
        <v>0</v>
      </c>
      <c r="H2" s="59" cm="1">
        <f t="array" ref="H2">_xlfn.IFS(AND(C2=$N$18,D2&gt;F2),3,AND(E2=$N$18,F2&gt;D2),3,AND(C2=$N$18,D2=F2),1,AND(E2=$N$18,D2=F2),1,AND(C2=$N$18,D2&lt;F2),0,AND(E2=$N$18,F2&lt;D2),0)</f>
        <v>1</v>
      </c>
      <c r="I2" cm="1">
        <f t="array" ref="I2">_xlfn.IFS(H2=3,1,H2=1,0,H2=0,0)</f>
        <v>0</v>
      </c>
      <c r="J2" s="59" cm="1">
        <f t="array" ref="J2">_xlfn.IFS(H2=0,1,H2=1,0,H2=3,0)</f>
        <v>0</v>
      </c>
      <c r="K2" cm="1">
        <f t="array" ref="K2">_xlfn.IFS(H2=3,1,H2=1,1,H2=0,0)</f>
        <v>1</v>
      </c>
      <c r="L2" cm="1">
        <f t="array" ref="L2">_xlfn.IFS(H2=0,1,H2=1,1,H2=3,0)</f>
        <v>1</v>
      </c>
      <c r="Q2" s="56" t="s">
        <v>78</v>
      </c>
      <c r="R2">
        <v>20</v>
      </c>
      <c r="S2">
        <v>27</v>
      </c>
      <c r="T2" s="60">
        <v>1.35</v>
      </c>
    </row>
    <row r="3" spans="1:20" x14ac:dyDescent="0.2">
      <c r="A3">
        <v>2</v>
      </c>
      <c r="B3" s="1">
        <v>43695</v>
      </c>
      <c r="C3" t="str">
        <v>Sheffield United FC</v>
      </c>
      <c r="D3">
        <v>1</v>
      </c>
      <c r="E3" t="str">
        <v>Crystal Palace FC</v>
      </c>
      <c r="F3">
        <v>0</v>
      </c>
      <c r="H3" s="59" cm="1">
        <f t="array" ref="H3">_xlfn.IFS(AND(C3=$N$18,D3&gt;F3),3,AND(E3=$N$18,F3&gt;D3),3,AND(C3=$N$18,D3=F3),1,AND(E3=$N$18,D3=F3),1,AND(C3=$N$18,D3&lt;F3),0,AND(E3=$N$18,F3&lt;D3),0)</f>
        <v>0</v>
      </c>
      <c r="I3">
        <f t="shared" ref="I3:I39" si="0">IF(H3=3,1+I2,0)</f>
        <v>0</v>
      </c>
      <c r="J3" s="59">
        <f t="shared" ref="J3:J39" si="1">IF(H3=0,1+J2,0)</f>
        <v>1</v>
      </c>
      <c r="K3" cm="1">
        <f t="array" ref="K3">_xlfn.IFS(H3=3,1+K2,H3=1,1+K2,H3=0,0)</f>
        <v>0</v>
      </c>
      <c r="L3" cm="1">
        <f t="array" ref="L3">_xlfn.IFS(H3=0,1+L2,H3=1,1+L2,H3=3,0)</f>
        <v>2</v>
      </c>
      <c r="N3" s="48" t="s">
        <v>79</v>
      </c>
      <c r="O3" s="48" t="s">
        <v>80</v>
      </c>
      <c r="Q3" s="57" t="s">
        <v>81</v>
      </c>
      <c r="R3">
        <v>4</v>
      </c>
      <c r="S3">
        <v>7</v>
      </c>
      <c r="T3" s="60">
        <v>1.75</v>
      </c>
    </row>
    <row r="4" spans="1:20" x14ac:dyDescent="0.2">
      <c r="A4">
        <v>3</v>
      </c>
      <c r="B4" s="1">
        <v>43701</v>
      </c>
      <c r="C4" t="str">
        <v>Manchester United FC</v>
      </c>
      <c r="D4">
        <v>1</v>
      </c>
      <c r="E4" t="str">
        <v>Crystal Palace FC</v>
      </c>
      <c r="F4">
        <v>2</v>
      </c>
      <c r="H4" s="59" cm="1">
        <f t="array" ref="H4">_xlfn.IFS(AND(C4=$N$18,D4&gt;F4),3,AND(E4=$N$18,F4&gt;D4),3,AND(C4=$N$18,D4=F4),1,AND(E4=$N$18,D4=F4),1,AND(C4=$N$18,D4&lt;F4),0,AND(E4=$N$18,F4&lt;D4),0)</f>
        <v>3</v>
      </c>
      <c r="I4">
        <f t="shared" si="0"/>
        <v>1</v>
      </c>
      <c r="J4" s="59">
        <f t="shared" si="1"/>
        <v>0</v>
      </c>
      <c r="K4" cm="1">
        <f t="array" ref="K4">_xlfn.IFS(H4=3,1+K3,H4=1,1+K3,H4=0,0)</f>
        <v>1</v>
      </c>
      <c r="L4" cm="1">
        <f t="array" ref="L4">_xlfn.IFS(H4=0,1+L3,H4=1,1+L3,H4=3,0)</f>
        <v>0</v>
      </c>
      <c r="N4" s="49" t="s">
        <v>82</v>
      </c>
      <c r="O4" s="50"/>
      <c r="Q4" s="57" t="s">
        <v>83</v>
      </c>
      <c r="R4">
        <v>3</v>
      </c>
      <c r="S4">
        <v>4</v>
      </c>
      <c r="T4" s="60">
        <v>1.3333333333333333</v>
      </c>
    </row>
    <row r="5" spans="1:20" x14ac:dyDescent="0.2">
      <c r="A5">
        <v>4</v>
      </c>
      <c r="B5" s="1">
        <v>43708</v>
      </c>
      <c r="C5" t="str">
        <v>Crystal Palace FC</v>
      </c>
      <c r="D5">
        <v>1</v>
      </c>
      <c r="E5" t="str">
        <v>Aston Villa FC</v>
      </c>
      <c r="F5">
        <v>0</v>
      </c>
      <c r="H5" s="59" cm="1">
        <f t="array" ref="H5">_xlfn.IFS(AND(C5=$N$18,D5&gt;F5),3,AND(E5=$N$18,F5&gt;D5),3,AND(C5=$N$18,D5=F5),1,AND(E5=$N$18,D5=F5),1,AND(C5=$N$18,D5&lt;F5),0,AND(E5=$N$18,F5&lt;D5),0)</f>
        <v>3</v>
      </c>
      <c r="I5">
        <f t="shared" si="0"/>
        <v>2</v>
      </c>
      <c r="J5" s="59">
        <f t="shared" si="1"/>
        <v>0</v>
      </c>
      <c r="K5" cm="1">
        <f t="array" ref="K5">_xlfn.IFS(H5=3,1+K4,H5=1,1+K4,H5=0,0)</f>
        <v>2</v>
      </c>
      <c r="L5" cm="1">
        <f t="array" ref="L5">_xlfn.IFS(H5=0,1+L4,H5=1,1+L4,H5=3,0)</f>
        <v>0</v>
      </c>
      <c r="N5" s="49" t="s">
        <v>84</v>
      </c>
      <c r="O5" s="51"/>
      <c r="Q5" s="57" t="s">
        <v>85</v>
      </c>
      <c r="R5">
        <v>3</v>
      </c>
      <c r="S5">
        <v>4</v>
      </c>
      <c r="T5" s="60">
        <v>1.3333333333333333</v>
      </c>
    </row>
    <row r="6" spans="1:20" x14ac:dyDescent="0.2">
      <c r="A6">
        <v>5</v>
      </c>
      <c r="B6" s="1">
        <v>43722</v>
      </c>
      <c r="C6" t="str">
        <v>Tottenham Hotspur FC</v>
      </c>
      <c r="D6">
        <v>4</v>
      </c>
      <c r="E6" t="str">
        <v>Crystal Palace FC</v>
      </c>
      <c r="F6">
        <v>0</v>
      </c>
      <c r="H6" s="59" cm="1">
        <f t="array" ref="H6">_xlfn.IFS(AND(C6=$N$18,D6&gt;F6),3,AND(E6=$N$18,F6&gt;D6),3,AND(C6=$N$18,D6=F6),1,AND(E6=$N$18,D6=F6),1,AND(C6=$N$18,D6&lt;F6),0,AND(E6=$N$18,F6&lt;D6),0)</f>
        <v>0</v>
      </c>
      <c r="I6">
        <f t="shared" si="0"/>
        <v>0</v>
      </c>
      <c r="J6" s="59">
        <f t="shared" si="1"/>
        <v>1</v>
      </c>
      <c r="K6" cm="1">
        <f t="array" ref="K6">_xlfn.IFS(H6=3,1+K5,H6=1,1+K5,H6=0,0)</f>
        <v>0</v>
      </c>
      <c r="L6" cm="1">
        <f t="array" ref="L6">_xlfn.IFS(H6=0,1+L5,H6=1,1+L5,H6=3,0)</f>
        <v>1</v>
      </c>
      <c r="N6" s="49" t="s">
        <v>86</v>
      </c>
      <c r="O6" s="52"/>
      <c r="Q6" s="57" t="s">
        <v>87</v>
      </c>
      <c r="R6">
        <v>4</v>
      </c>
      <c r="S6">
        <v>3</v>
      </c>
      <c r="T6" s="60">
        <v>0.75</v>
      </c>
    </row>
    <row r="7" spans="1:20" x14ac:dyDescent="0.2">
      <c r="A7">
        <v>6</v>
      </c>
      <c r="B7" s="1">
        <v>43730</v>
      </c>
      <c r="C7" t="str">
        <v>Crystal Palace FC</v>
      </c>
      <c r="D7">
        <v>1</v>
      </c>
      <c r="E7" t="str">
        <v>Wolverhampton Wanderers FC</v>
      </c>
      <c r="F7">
        <v>1</v>
      </c>
      <c r="H7" s="59" cm="1">
        <f t="array" ref="H7">_xlfn.IFS(AND(C7=$N$18,D7&gt;F7),3,AND(E7=$N$18,F7&gt;D7),3,AND(C7=$N$18,D7=F7),1,AND(E7=$N$18,D7=F7),1,AND(C7=$N$18,D7&lt;F7),0,AND(E7=$N$18,F7&lt;D7),0)</f>
        <v>1</v>
      </c>
      <c r="I7">
        <f t="shared" si="0"/>
        <v>0</v>
      </c>
      <c r="J7" s="59">
        <f t="shared" si="1"/>
        <v>0</v>
      </c>
      <c r="K7" cm="1">
        <f t="array" ref="K7">_xlfn.IFS(H7=3,1+K6,H7=1,1+K6,H7=0,0)</f>
        <v>1</v>
      </c>
      <c r="L7" cm="1">
        <f t="array" ref="L7">_xlfn.IFS(H7=0,1+L6,H7=1,1+L6,H7=3,0)</f>
        <v>2</v>
      </c>
      <c r="Q7" s="57" t="s">
        <v>88</v>
      </c>
      <c r="R7">
        <v>6</v>
      </c>
      <c r="S7">
        <v>9</v>
      </c>
      <c r="T7" s="60">
        <v>1.5</v>
      </c>
    </row>
    <row r="8" spans="1:20" x14ac:dyDescent="0.2">
      <c r="A8">
        <v>7</v>
      </c>
      <c r="B8" s="1">
        <v>43736</v>
      </c>
      <c r="C8" t="str">
        <v>Crystal Palace FC</v>
      </c>
      <c r="D8">
        <v>2</v>
      </c>
      <c r="E8" t="str">
        <v>Norwich City FC</v>
      </c>
      <c r="F8">
        <v>0</v>
      </c>
      <c r="H8" s="59" cm="1">
        <f t="array" ref="H8">_xlfn.IFS(AND(C8=$N$18,D8&gt;F8),3,AND(E8=$N$18,F8&gt;D8),3,AND(C8=$N$18,D8=F8),1,AND(E8=$N$18,D8=F8),1,AND(C8=$N$18,D8&lt;F8),0,AND(E8=$N$18,F8&lt;D8),0)</f>
        <v>3</v>
      </c>
      <c r="I8">
        <f t="shared" si="0"/>
        <v>1</v>
      </c>
      <c r="J8" s="59">
        <f t="shared" si="1"/>
        <v>0</v>
      </c>
      <c r="K8" cm="1">
        <f t="array" ref="K8">_xlfn.IFS(H8=3,1+K7,H8=1,1+K7,H8=0,0)</f>
        <v>2</v>
      </c>
      <c r="L8" cm="1">
        <f t="array" ref="L8">_xlfn.IFS(H8=0,1+L7,H8=1,1+L7,H8=3,0)</f>
        <v>0</v>
      </c>
      <c r="Q8" s="56" t="s">
        <v>89</v>
      </c>
      <c r="R8">
        <v>18</v>
      </c>
      <c r="S8">
        <v>16</v>
      </c>
      <c r="T8" s="60">
        <v>0.88888888888888884</v>
      </c>
    </row>
    <row r="9" spans="1:20" x14ac:dyDescent="0.2">
      <c r="A9">
        <v>8</v>
      </c>
      <c r="B9" s="1">
        <v>43743</v>
      </c>
      <c r="C9" t="str">
        <v>West Ham United FC</v>
      </c>
      <c r="D9">
        <v>1</v>
      </c>
      <c r="E9" t="str">
        <v>Crystal Palace FC</v>
      </c>
      <c r="F9">
        <v>2</v>
      </c>
      <c r="H9" s="59" cm="1">
        <f t="array" ref="H9">_xlfn.IFS(AND(C9=$N$18,D9&gt;F9),3,AND(E9=$N$18,F9&gt;D9),3,AND(C9=$N$18,D9=F9),1,AND(E9=$N$18,D9=F9),1,AND(C9=$N$18,D9&lt;F9),0,AND(E9=$N$18,F9&lt;D9),0)</f>
        <v>3</v>
      </c>
      <c r="I9">
        <f t="shared" si="0"/>
        <v>2</v>
      </c>
      <c r="J9" s="59">
        <f t="shared" si="1"/>
        <v>0</v>
      </c>
      <c r="K9" cm="1">
        <f t="array" ref="K9">_xlfn.IFS(H9=3,1+K8,H9=1,1+K8,H9=0,0)</f>
        <v>3</v>
      </c>
      <c r="L9" cm="1">
        <f t="array" ref="L9">_xlfn.IFS(H9=0,1+L8,H9=1,1+L8,H9=3,0)</f>
        <v>0</v>
      </c>
      <c r="Q9" s="57" t="s">
        <v>90</v>
      </c>
      <c r="R9">
        <v>4</v>
      </c>
      <c r="S9">
        <v>3</v>
      </c>
      <c r="T9" s="60">
        <v>0.75</v>
      </c>
    </row>
    <row r="10" spans="1:20" x14ac:dyDescent="0.2">
      <c r="A10">
        <v>9</v>
      </c>
      <c r="B10" s="1">
        <v>43757</v>
      </c>
      <c r="C10" t="str">
        <v>Crystal Palace FC</v>
      </c>
      <c r="D10">
        <v>0</v>
      </c>
      <c r="E10" t="str">
        <v>Manchester City FC</v>
      </c>
      <c r="F10">
        <v>2</v>
      </c>
      <c r="H10" s="59" cm="1">
        <f t="array" ref="H10">_xlfn.IFS(AND(C10=$N$18,D10&gt;F10),3,AND(E10=$N$18,F10&gt;D10),3,AND(C10=$N$18,D10=F10),1,AND(E10=$N$18,D10=F10),1,AND(C10=$N$18,D10&lt;F10),0,AND(E10=$N$18,F10&lt;D10),0)</f>
        <v>0</v>
      </c>
      <c r="I10">
        <f t="shared" si="0"/>
        <v>0</v>
      </c>
      <c r="J10" s="59">
        <f t="shared" si="1"/>
        <v>1</v>
      </c>
      <c r="K10" cm="1">
        <f t="array" ref="K10">_xlfn.IFS(H10=3,1+K9,H10=1,1+K9,H10=0,0)</f>
        <v>0</v>
      </c>
      <c r="L10" cm="1">
        <f t="array" ref="L10">_xlfn.IFS(H10=0,1+L9,H10=1,1+L9,H10=3,0)</f>
        <v>1</v>
      </c>
      <c r="Q10" s="57" t="s">
        <v>91</v>
      </c>
      <c r="R10">
        <v>4</v>
      </c>
      <c r="S10">
        <v>6</v>
      </c>
      <c r="T10" s="60">
        <v>1.5</v>
      </c>
    </row>
    <row r="11" spans="1:20" x14ac:dyDescent="0.2">
      <c r="A11">
        <v>10</v>
      </c>
      <c r="B11" s="1">
        <v>43765</v>
      </c>
      <c r="C11" t="str">
        <v>Arsenal FC</v>
      </c>
      <c r="D11">
        <v>2</v>
      </c>
      <c r="E11" t="str">
        <v>Crystal Palace FC</v>
      </c>
      <c r="F11">
        <v>2</v>
      </c>
      <c r="H11" s="59" cm="1">
        <f t="array" ref="H11">_xlfn.IFS(AND(C11=$N$18,D11&gt;F11),3,AND(E11=$N$18,F11&gt;D11),3,AND(C11=$N$18,D11=F11),1,AND(E11=$N$18,D11=F11),1,AND(C11=$N$18,D11&lt;F11),0,AND(E11=$N$18,F11&lt;D11),0)</f>
        <v>1</v>
      </c>
      <c r="I11">
        <f t="shared" si="0"/>
        <v>0</v>
      </c>
      <c r="J11" s="59">
        <f t="shared" si="1"/>
        <v>0</v>
      </c>
      <c r="K11" cm="1">
        <f t="array" ref="K11">_xlfn.IFS(H11=3,1+K10,H11=1,1+K10,H11=0,0)</f>
        <v>1</v>
      </c>
      <c r="L11" cm="1">
        <f t="array" ref="L11">_xlfn.IFS(H11=0,1+L10,H11=1,1+L10,H11=3,0)</f>
        <v>2</v>
      </c>
      <c r="Q11" s="57" t="s">
        <v>92</v>
      </c>
      <c r="R11">
        <v>1</v>
      </c>
      <c r="S11">
        <v>3</v>
      </c>
      <c r="T11" s="60">
        <v>3</v>
      </c>
    </row>
    <row r="12" spans="1:20" x14ac:dyDescent="0.2">
      <c r="A12">
        <v>11</v>
      </c>
      <c r="B12" s="1">
        <v>43772</v>
      </c>
      <c r="C12" t="str">
        <v>Crystal Palace FC</v>
      </c>
      <c r="D12">
        <v>0</v>
      </c>
      <c r="E12" t="str">
        <v>Leicester City FC</v>
      </c>
      <c r="F12">
        <v>2</v>
      </c>
      <c r="H12" s="59" cm="1">
        <f t="array" ref="H12">_xlfn.IFS(AND(C12=$N$18,D12&gt;F12),3,AND(E12=$N$18,F12&gt;D12),3,AND(C12=$N$18,D12=F12),1,AND(E12=$N$18,D12=F12),1,AND(C12=$N$18,D12&lt;F12),0,AND(E12=$N$18,F12&lt;D12),0)</f>
        <v>0</v>
      </c>
      <c r="I12">
        <f t="shared" si="0"/>
        <v>0</v>
      </c>
      <c r="J12" s="59">
        <f t="shared" si="1"/>
        <v>1</v>
      </c>
      <c r="K12" cm="1">
        <f t="array" ref="K12">_xlfn.IFS(H12=3,1+K11,H12=1,1+K11,H12=0,0)</f>
        <v>0</v>
      </c>
      <c r="L12" cm="1">
        <f t="array" ref="L12">_xlfn.IFS(H12=0,1+L11,H12=1,1+L11,H12=3,0)</f>
        <v>3</v>
      </c>
      <c r="Q12" s="57" t="s">
        <v>93</v>
      </c>
      <c r="R12">
        <v>3</v>
      </c>
      <c r="S12">
        <v>3</v>
      </c>
      <c r="T12" s="60">
        <v>1</v>
      </c>
    </row>
    <row r="13" spans="1:20" x14ac:dyDescent="0.2">
      <c r="A13">
        <v>12</v>
      </c>
      <c r="B13" s="1">
        <v>43778</v>
      </c>
      <c r="C13" t="str">
        <v>Chelsea FC</v>
      </c>
      <c r="D13">
        <v>2</v>
      </c>
      <c r="E13" t="str">
        <v>Crystal Palace FC</v>
      </c>
      <c r="F13">
        <v>0</v>
      </c>
      <c r="H13" s="59" cm="1">
        <f t="array" ref="H13">_xlfn.IFS(AND(C13=$N$18,D13&gt;F13),3,AND(E13=$N$18,F13&gt;D13),3,AND(C13=$N$18,D13=F13),1,AND(E13=$N$18,D13=F13),1,AND(C13=$N$18,D13&lt;F13),0,AND(E13=$N$18,F13&lt;D13),0)</f>
        <v>0</v>
      </c>
      <c r="I13">
        <f t="shared" si="0"/>
        <v>0</v>
      </c>
      <c r="J13" s="59">
        <f t="shared" si="1"/>
        <v>2</v>
      </c>
      <c r="K13" cm="1">
        <f t="array" ref="K13">_xlfn.IFS(H13=3,1+K12,H13=1,1+K12,H13=0,0)</f>
        <v>0</v>
      </c>
      <c r="L13" cm="1">
        <f t="array" ref="L13">_xlfn.IFS(H13=0,1+L12,H13=1,1+L12,H13=3,0)</f>
        <v>4</v>
      </c>
      <c r="Q13" s="57" t="s">
        <v>94</v>
      </c>
      <c r="R13">
        <v>6</v>
      </c>
      <c r="S13">
        <v>1</v>
      </c>
      <c r="T13" s="60">
        <v>0.16666666666666666</v>
      </c>
    </row>
    <row r="14" spans="1:20" x14ac:dyDescent="0.2">
      <c r="A14">
        <v>13</v>
      </c>
      <c r="B14" s="1">
        <v>43792</v>
      </c>
      <c r="C14" t="str">
        <v>Crystal Palace FC</v>
      </c>
      <c r="D14">
        <v>1</v>
      </c>
      <c r="E14" t="str">
        <v>Liverpool FC</v>
      </c>
      <c r="F14">
        <v>2</v>
      </c>
      <c r="H14" s="59" cm="1">
        <f t="array" ref="H14">_xlfn.IFS(AND(C14=$N$18,D14&gt;F14),3,AND(E14=$N$18,F14&gt;D14),3,AND(C14=$N$18,D14=F14),1,AND(E14=$N$18,D14=F14),1,AND(C14=$N$18,D14&lt;F14),0,AND(E14=$N$18,F14&lt;D14),0)</f>
        <v>0</v>
      </c>
      <c r="I14">
        <f t="shared" si="0"/>
        <v>0</v>
      </c>
      <c r="J14" s="59">
        <f t="shared" si="1"/>
        <v>3</v>
      </c>
      <c r="K14" cm="1">
        <f t="array" ref="K14">_xlfn.IFS(H14=3,1+K13,H14=1,1+K13,H14=0,0)</f>
        <v>0</v>
      </c>
      <c r="L14" cm="1">
        <f t="array" ref="L14">_xlfn.IFS(H14=0,1+L13,H14=1,1+L13,H14=3,0)</f>
        <v>5</v>
      </c>
      <c r="Q14" s="56" t="s">
        <v>95</v>
      </c>
      <c r="R14">
        <v>38</v>
      </c>
      <c r="S14">
        <v>43</v>
      </c>
      <c r="T14" s="60">
        <v>1.131578947368421</v>
      </c>
    </row>
    <row r="15" spans="1:20" x14ac:dyDescent="0.2">
      <c r="A15">
        <v>14</v>
      </c>
      <c r="B15" s="1">
        <v>43799</v>
      </c>
      <c r="C15" t="str">
        <v>Burnley FC</v>
      </c>
      <c r="D15">
        <v>0</v>
      </c>
      <c r="E15" t="str">
        <v>Crystal Palace FC</v>
      </c>
      <c r="F15">
        <v>2</v>
      </c>
      <c r="H15" s="59" cm="1">
        <f t="array" ref="H15">_xlfn.IFS(AND(C15=$N$18,D15&gt;F15),3,AND(E15=$N$18,F15&gt;D15),3,AND(C15=$N$18,D15=F15),1,AND(E15=$N$18,D15=F15),1,AND(C15=$N$18,D15&lt;F15),0,AND(E15=$N$18,F15&lt;D15),0)</f>
        <v>3</v>
      </c>
      <c r="I15">
        <f t="shared" si="0"/>
        <v>1</v>
      </c>
      <c r="J15" s="59">
        <f t="shared" si="1"/>
        <v>0</v>
      </c>
      <c r="K15" cm="1">
        <f t="array" ref="K15">_xlfn.IFS(H15=3,1+K14,H15=1,1+K14,H15=0,0)</f>
        <v>1</v>
      </c>
      <c r="L15" cm="1">
        <f t="array" ref="L15">_xlfn.IFS(H15=0,1+L14,H15=1,1+L14,H15=3,0)</f>
        <v>0</v>
      </c>
    </row>
    <row r="16" spans="1:20" x14ac:dyDescent="0.2">
      <c r="A16">
        <v>15</v>
      </c>
      <c r="B16" s="1">
        <v>43802</v>
      </c>
      <c r="C16" t="str">
        <v>Crystal Palace FC</v>
      </c>
      <c r="D16">
        <v>1</v>
      </c>
      <c r="E16" t="str">
        <v>AFC Bournemouth</v>
      </c>
      <c r="F16">
        <v>0</v>
      </c>
      <c r="H16" s="59" cm="1">
        <f t="array" ref="H16">_xlfn.IFS(AND(C16=$N$18,D16&gt;F16),3,AND(E16=$N$18,F16&gt;D16),3,AND(C16=$N$18,D16=F16),1,AND(E16=$N$18,D16=F16),1,AND(C16=$N$18,D16&lt;F16),0,AND(E16=$N$18,F16&lt;D16),0)</f>
        <v>3</v>
      </c>
      <c r="I16">
        <f t="shared" si="0"/>
        <v>2</v>
      </c>
      <c r="J16" s="59">
        <f t="shared" si="1"/>
        <v>0</v>
      </c>
      <c r="K16" cm="1">
        <f t="array" ref="K16">_xlfn.IFS(H16=3,1+K15,H16=1,1+K15,H16=0,0)</f>
        <v>2</v>
      </c>
      <c r="L16" cm="1">
        <f t="array" ref="L16">_xlfn.IFS(H16=0,1+L15,H16=1,1+L15,H16=3,0)</f>
        <v>0</v>
      </c>
    </row>
    <row r="17" spans="1:22" x14ac:dyDescent="0.2">
      <c r="A17">
        <v>16</v>
      </c>
      <c r="B17" s="1">
        <v>43806</v>
      </c>
      <c r="C17" t="str">
        <v>Watford FC</v>
      </c>
      <c r="D17">
        <v>0</v>
      </c>
      <c r="E17" t="str">
        <v>Crystal Palace FC</v>
      </c>
      <c r="F17">
        <v>0</v>
      </c>
      <c r="H17" s="59" cm="1">
        <f t="array" ref="H17">_xlfn.IFS(AND(C17=$N$18,D17&gt;F17),3,AND(E17=$N$18,F17&gt;D17),3,AND(C17=$N$18,D17=F17),1,AND(E17=$N$18,D17=F17),1,AND(C17=$N$18,D17&lt;F17),0,AND(E17=$N$18,F17&lt;D17),0)</f>
        <v>1</v>
      </c>
      <c r="I17">
        <f t="shared" si="0"/>
        <v>0</v>
      </c>
      <c r="J17" s="59">
        <f t="shared" si="1"/>
        <v>0</v>
      </c>
      <c r="K17" cm="1">
        <f t="array" ref="K17">_xlfn.IFS(H17=3,1+K16,H17=1,1+K16,H17=0,0)</f>
        <v>3</v>
      </c>
      <c r="L17" cm="1">
        <f t="array" ref="L17">_xlfn.IFS(H17=0,1+L16,H17=1,1+L16,H17=3,0)</f>
        <v>1</v>
      </c>
    </row>
    <row r="18" spans="1:22" x14ac:dyDescent="0.2">
      <c r="A18">
        <v>17</v>
      </c>
      <c r="B18" s="1">
        <v>43815</v>
      </c>
      <c r="C18" t="str">
        <v>Crystal Palace FC</v>
      </c>
      <c r="D18">
        <v>1</v>
      </c>
      <c r="E18" t="str">
        <v>Brighton &amp; Hove Albion FC</v>
      </c>
      <c r="F18">
        <v>1</v>
      </c>
      <c r="H18" s="59" cm="1">
        <f t="array" ref="H18">_xlfn.IFS(AND(C18=$N$18,D18&gt;F18),3,AND(E18=$N$18,F18&gt;D18),3,AND(C18=$N$18,D18=F18),1,AND(E18=$N$18,D18=F18),1,AND(C18=$N$18,D18&lt;F18),0,AND(E18=$N$18,F18&lt;D18),0)</f>
        <v>1</v>
      </c>
      <c r="I18">
        <f t="shared" si="0"/>
        <v>0</v>
      </c>
      <c r="J18" s="59">
        <f t="shared" si="1"/>
        <v>0</v>
      </c>
      <c r="K18" cm="1">
        <f t="array" ref="K18">_xlfn.IFS(H18=3,1+K17,H18=1,1+K17,H18=0,0)</f>
        <v>4</v>
      </c>
      <c r="L18" cm="1">
        <f t="array" ref="L18">_xlfn.IFS(H18=0,1+L17,H18=1,1+L17,H18=3,0)</f>
        <v>2</v>
      </c>
      <c r="N18" s="14" t="str">
        <f>C2</f>
        <v>Crystal Palace FC</v>
      </c>
      <c r="O18" s="9" t="s">
        <v>12</v>
      </c>
      <c r="P18" s="7" t="s">
        <v>13</v>
      </c>
      <c r="Q18" s="6" t="s">
        <v>14</v>
      </c>
      <c r="R18" s="8" t="s">
        <v>15</v>
      </c>
      <c r="S18" s="9" t="s">
        <v>16</v>
      </c>
      <c r="T18" s="9" t="s">
        <v>17</v>
      </c>
      <c r="U18" s="9" t="s">
        <v>18</v>
      </c>
      <c r="V18" s="9" t="s">
        <v>19</v>
      </c>
    </row>
    <row r="19" spans="1:22" x14ac:dyDescent="0.2">
      <c r="A19">
        <v>18</v>
      </c>
      <c r="B19" s="1">
        <v>43820</v>
      </c>
      <c r="C19" t="str">
        <v>Newcastle United FC</v>
      </c>
      <c r="D19">
        <v>1</v>
      </c>
      <c r="E19" t="str">
        <v>Crystal Palace FC</v>
      </c>
      <c r="F19">
        <v>0</v>
      </c>
      <c r="H19" s="59" cm="1">
        <f t="array" ref="H19">_xlfn.IFS(AND(C19=$N$18,D19&gt;F19),3,AND(E19=$N$18,F19&gt;D19),3,AND(C19=$N$18,D19=F19),1,AND(E19=$N$18,D19=F19),1,AND(C19=$N$18,D19&lt;F19),0,AND(E19=$N$18,F19&lt;D19),0)</f>
        <v>0</v>
      </c>
      <c r="I19">
        <f t="shared" si="0"/>
        <v>0</v>
      </c>
      <c r="J19" s="59">
        <f t="shared" si="1"/>
        <v>1</v>
      </c>
      <c r="K19" cm="1">
        <f t="array" ref="K19">_xlfn.IFS(H19=3,1+K18,H19=1,1+K18,H19=0,0)</f>
        <v>0</v>
      </c>
      <c r="L19" cm="1">
        <f t="array" ref="L19">_xlfn.IFS(H19=0,1+L18,H19=1,1+L18,H19=3,0)</f>
        <v>3</v>
      </c>
      <c r="N19" s="10" t="s">
        <v>22</v>
      </c>
      <c r="O19" s="11">
        <f>COUNT(A2:A39)</f>
        <v>38</v>
      </c>
      <c r="P19" s="5" cm="1">
        <f t="array" ref="P19">SUMPRODUCT(((C2:C39=$N$18)*(D2:D39&gt;F2:F39))+((E2:E39=$N$18)*(F2:F39&gt;D2:D39)))</f>
        <v>11</v>
      </c>
      <c r="Q19" s="12" cm="1">
        <f t="array" ref="Q19">SUMPRODUCT(((C2:C39=$N$18)*(D2:D39=F2:F39))+((E2:E39=$N$18)*(F2:F39=D2:D39)))</f>
        <v>10</v>
      </c>
      <c r="R19" s="13" cm="1">
        <f t="array" ref="R19">SUMPRODUCT(((C2:C39=$N$18)*(D2:D39&lt;F2:F39))+((E2:E39=$N$18)*(F2:F39&lt;D2:D39)))</f>
        <v>17</v>
      </c>
      <c r="S19" s="11">
        <f>SUMIF(C2:C39,N18,D2:D39)+SUMIF(E2:E39,N18,F2:F39)</f>
        <v>31</v>
      </c>
      <c r="T19" s="11">
        <f>SUMIF(C2:C39,N18,F2:F39)+SUMIF(E2:E39,N18,D2:D39)</f>
        <v>50</v>
      </c>
      <c r="U19" s="11">
        <f>S19-T19</f>
        <v>-19</v>
      </c>
      <c r="V19" s="11">
        <f>V20+V21</f>
        <v>43</v>
      </c>
    </row>
    <row r="20" spans="1:22" x14ac:dyDescent="0.2">
      <c r="A20">
        <v>19</v>
      </c>
      <c r="B20" s="1">
        <v>43825</v>
      </c>
      <c r="C20" t="str">
        <v>Crystal Palace FC</v>
      </c>
      <c r="D20">
        <v>2</v>
      </c>
      <c r="E20" t="str">
        <v>West Ham United FC</v>
      </c>
      <c r="F20">
        <v>1</v>
      </c>
      <c r="H20" s="59" cm="1">
        <f t="array" ref="H20">_xlfn.IFS(AND(C20=$N$18,D20&gt;F20),3,AND(E20=$N$18,F20&gt;D20),3,AND(C20=$N$18,D20=F20),1,AND(E20=$N$18,D20=F20),1,AND(C20=$N$18,D20&lt;F20),0,AND(E20=$N$18,F20&lt;D20),0)</f>
        <v>3</v>
      </c>
      <c r="I20">
        <f t="shared" si="0"/>
        <v>1</v>
      </c>
      <c r="J20" s="59">
        <f t="shared" si="1"/>
        <v>0</v>
      </c>
      <c r="K20" cm="1">
        <f t="array" ref="K20">_xlfn.IFS(H20=3,1+K19,H20=1,1+K19,H20=0,0)</f>
        <v>1</v>
      </c>
      <c r="L20" cm="1">
        <f t="array" ref="L20">_xlfn.IFS(H20=0,1+L19,H20=1,1+L19,H20=3,0)</f>
        <v>0</v>
      </c>
      <c r="N20" s="10" t="s">
        <v>2</v>
      </c>
      <c r="O20" s="11">
        <f>COUNTIF(C2:C39,C2)</f>
        <v>19</v>
      </c>
      <c r="P20" s="20" cm="1">
        <f t="array" ref="P20">SUMPRODUCT(((C2:C39=$N$18)*(D2:D39&gt;F2:F39)))</f>
        <v>6</v>
      </c>
      <c r="Q20" s="12" cm="1">
        <f t="array" ref="Q20">SUMPRODUCT(((C2:C39=$N$18)*(D2:D39=F2:F39)))</f>
        <v>5</v>
      </c>
      <c r="R20" s="13" cm="1">
        <f t="array" ref="R20">SUMPRODUCT(((C2:C39=$N$18)*(D2:D39&lt;F2:F39)))</f>
        <v>8</v>
      </c>
      <c r="S20" s="11">
        <f>SUMIF(C2:C39,N18,D2:D39)</f>
        <v>15</v>
      </c>
      <c r="T20" s="11">
        <f>SUMIF(C2:C39,N18,F2:F39)</f>
        <v>20</v>
      </c>
      <c r="U20" s="11">
        <f>S20-T20</f>
        <v>-5</v>
      </c>
      <c r="V20" s="11">
        <f>(P20*3)+Q20</f>
        <v>23</v>
      </c>
    </row>
    <row r="21" spans="1:22" x14ac:dyDescent="0.2">
      <c r="A21">
        <v>20</v>
      </c>
      <c r="B21" s="1">
        <v>43827</v>
      </c>
      <c r="C21" t="str">
        <v>Southampton FC</v>
      </c>
      <c r="D21">
        <v>1</v>
      </c>
      <c r="E21" t="str">
        <v>Crystal Palace FC</v>
      </c>
      <c r="F21">
        <v>1</v>
      </c>
      <c r="H21" s="59" cm="1">
        <f t="array" ref="H21">_xlfn.IFS(AND(C21=$N$18,D21&gt;F21),3,AND(E21=$N$18,F21&gt;D21),3,AND(C21=$N$18,D21=F21),1,AND(E21=$N$18,D21=F21),1,AND(C21=$N$18,D21&lt;F21),0,AND(E21=$N$18,F21&lt;D21),0)</f>
        <v>1</v>
      </c>
      <c r="I21">
        <f t="shared" si="0"/>
        <v>0</v>
      </c>
      <c r="J21" s="59">
        <f t="shared" si="1"/>
        <v>0</v>
      </c>
      <c r="K21" cm="1">
        <f t="array" ref="K21">_xlfn.IFS(H21=3,1+K20,H21=1,1+K20,H21=0,0)</f>
        <v>2</v>
      </c>
      <c r="L21" cm="1">
        <f t="array" ref="L21">_xlfn.IFS(H21=0,1+L20,H21=1,1+L20,H21=3,0)</f>
        <v>1</v>
      </c>
      <c r="N21" s="10" t="s">
        <v>4</v>
      </c>
      <c r="O21" s="11">
        <f>COUNTIF(E2:E39,E3)</f>
        <v>19</v>
      </c>
      <c r="P21" s="5" cm="1">
        <f t="array" ref="P21">SUMPRODUCT(((E2:E39=$N$18)*(F2:F39&gt;D2:D39)))</f>
        <v>5</v>
      </c>
      <c r="Q21" s="12" cm="1">
        <f t="array" ref="Q21">SUMPRODUCT(((E2:E39=$N$18)*(F2:F39=D2:D39)))</f>
        <v>5</v>
      </c>
      <c r="R21" s="13" cm="1">
        <f t="array" ref="R21">SUMPRODUCT(((E2:E39=$N$18)*(F2:F39&lt;D2:D39)))</f>
        <v>9</v>
      </c>
      <c r="S21" s="11">
        <f>SUMIF(E2:E39,N18,F2:F39)</f>
        <v>16</v>
      </c>
      <c r="T21" s="11">
        <f>SUMIF(E2:E39,N18,D2:D39)</f>
        <v>30</v>
      </c>
      <c r="U21" s="11">
        <f>S21-T21</f>
        <v>-14</v>
      </c>
      <c r="V21" s="11">
        <f>(P21*3)+Q21</f>
        <v>20</v>
      </c>
    </row>
    <row r="22" spans="1:22" x14ac:dyDescent="0.2">
      <c r="A22">
        <v>21</v>
      </c>
      <c r="B22" s="1">
        <v>43831</v>
      </c>
      <c r="C22" t="str">
        <v>Norwich City FC</v>
      </c>
      <c r="D22">
        <v>1</v>
      </c>
      <c r="E22" t="str">
        <v>Crystal Palace FC</v>
      </c>
      <c r="F22">
        <v>1</v>
      </c>
      <c r="H22" s="59" cm="1">
        <f t="array" ref="H22">_xlfn.IFS(AND(C22=$N$18,D22&gt;F22),3,AND(E22=$N$18,F22&gt;D22),3,AND(C22=$N$18,D22=F22),1,AND(E22=$N$18,D22=F22),1,AND(C22=$N$18,D22&lt;F22),0,AND(E22=$N$18,F22&lt;D22),0)</f>
        <v>1</v>
      </c>
      <c r="I22">
        <f t="shared" si="0"/>
        <v>0</v>
      </c>
      <c r="J22" s="59">
        <f t="shared" si="1"/>
        <v>0</v>
      </c>
      <c r="K22" cm="1">
        <f t="array" ref="K22">_xlfn.IFS(H22=3,1+K21,H22=1,1+K21,H22=0,0)</f>
        <v>3</v>
      </c>
      <c r="L22" cm="1">
        <f t="array" ref="L22">_xlfn.IFS(H22=0,1+L21,H22=1,1+L21,H22=3,0)</f>
        <v>2</v>
      </c>
    </row>
    <row r="23" spans="1:22" x14ac:dyDescent="0.2">
      <c r="A23">
        <v>22</v>
      </c>
      <c r="B23" s="1">
        <v>43841</v>
      </c>
      <c r="C23" t="str">
        <v>Crystal Palace FC</v>
      </c>
      <c r="D23">
        <v>1</v>
      </c>
      <c r="E23" t="str">
        <v>Arsenal FC</v>
      </c>
      <c r="F23">
        <v>1</v>
      </c>
      <c r="H23" s="59" cm="1">
        <f t="array" ref="H23">_xlfn.IFS(AND(C23=$N$18,D23&gt;F23),3,AND(E23=$N$18,F23&gt;D23),3,AND(C23=$N$18,D23=F23),1,AND(E23=$N$18,D23=F23),1,AND(C23=$N$18,D23&lt;F23),0,AND(E23=$N$18,F23&lt;D23),0)</f>
        <v>1</v>
      </c>
      <c r="I23">
        <f t="shared" si="0"/>
        <v>0</v>
      </c>
      <c r="J23" s="59">
        <f t="shared" si="1"/>
        <v>0</v>
      </c>
      <c r="K23" cm="1">
        <f t="array" ref="K23">_xlfn.IFS(H23=3,1+K22,H23=1,1+K22,H23=0,0)</f>
        <v>4</v>
      </c>
      <c r="L23" cm="1">
        <f t="array" ref="L23">_xlfn.IFS(H23=0,1+L22,H23=1,1+L22,H23=3,0)</f>
        <v>3</v>
      </c>
    </row>
    <row r="24" spans="1:22" x14ac:dyDescent="0.2">
      <c r="A24">
        <v>23</v>
      </c>
      <c r="B24" s="1">
        <v>43848</v>
      </c>
      <c r="C24" t="str">
        <v>Manchester City FC</v>
      </c>
      <c r="D24">
        <v>2</v>
      </c>
      <c r="E24" t="str">
        <v>Crystal Palace FC</v>
      </c>
      <c r="F24">
        <v>2</v>
      </c>
      <c r="H24" s="59" cm="1">
        <f t="array" ref="H24">_xlfn.IFS(AND(C24=$N$18,D24&gt;F24),3,AND(E24=$N$18,F24&gt;D24),3,AND(C24=$N$18,D24=F24),1,AND(E24=$N$18,D24=F24),1,AND(C24=$N$18,D24&lt;F24),0,AND(E24=$N$18,F24&lt;D24),0)</f>
        <v>1</v>
      </c>
      <c r="I24">
        <f t="shared" si="0"/>
        <v>0</v>
      </c>
      <c r="J24" s="59">
        <f t="shared" si="1"/>
        <v>0</v>
      </c>
      <c r="K24" cm="1">
        <f t="array" ref="K24">_xlfn.IFS(H24=3,1+K23,H24=1,1+K23,H24=0,0)</f>
        <v>5</v>
      </c>
      <c r="L24" cm="1">
        <f t="array" ref="L24">_xlfn.IFS(H24=0,1+L23,H24=1,1+L23,H24=3,0)</f>
        <v>4</v>
      </c>
    </row>
    <row r="25" spans="1:22" x14ac:dyDescent="0.2">
      <c r="A25">
        <v>24</v>
      </c>
      <c r="B25" s="1">
        <v>43851</v>
      </c>
      <c r="C25" t="str">
        <v>Crystal Palace FC</v>
      </c>
      <c r="D25">
        <v>0</v>
      </c>
      <c r="E25" t="str">
        <v>Southampton FC</v>
      </c>
      <c r="F25">
        <v>2</v>
      </c>
      <c r="H25" s="59" cm="1">
        <f t="array" ref="H25">_xlfn.IFS(AND(C25=$N$18,D25&gt;F25),3,AND(E25=$N$18,F25&gt;D25),3,AND(C25=$N$18,D25=F25),1,AND(E25=$N$18,D25=F25),1,AND(C25=$N$18,D25&lt;F25),0,AND(E25=$N$18,F25&lt;D25),0)</f>
        <v>0</v>
      </c>
      <c r="I25">
        <f t="shared" si="0"/>
        <v>0</v>
      </c>
      <c r="J25" s="59">
        <f t="shared" si="1"/>
        <v>1</v>
      </c>
      <c r="K25" cm="1">
        <f t="array" ref="K25">_xlfn.IFS(H25=3,1+K24,H25=1,1+K24,H25=0,0)</f>
        <v>0</v>
      </c>
      <c r="L25" cm="1">
        <f t="array" ref="L25">_xlfn.IFS(H25=0,1+L24,H25=1,1+L24,H25=3,0)</f>
        <v>5</v>
      </c>
    </row>
    <row r="26" spans="1:22" x14ac:dyDescent="0.2">
      <c r="A26">
        <v>25</v>
      </c>
      <c r="B26" s="1">
        <v>43862</v>
      </c>
      <c r="C26" t="str">
        <v>Crystal Palace FC</v>
      </c>
      <c r="D26">
        <v>0</v>
      </c>
      <c r="E26" t="str">
        <v>Sheffield United FC</v>
      </c>
      <c r="F26">
        <v>1</v>
      </c>
      <c r="H26" s="59" cm="1">
        <f t="array" ref="H26">_xlfn.IFS(AND(C26=$N$18,D26&gt;F26),3,AND(E26=$N$18,F26&gt;D26),3,AND(C26=$N$18,D26=F26),1,AND(E26=$N$18,D26=F26),1,AND(C26=$N$18,D26&lt;F26),0,AND(E26=$N$18,F26&lt;D26),0)</f>
        <v>0</v>
      </c>
      <c r="I26">
        <f t="shared" si="0"/>
        <v>0</v>
      </c>
      <c r="J26" s="59">
        <f t="shared" si="1"/>
        <v>2</v>
      </c>
      <c r="K26" cm="1">
        <f t="array" ref="K26">_xlfn.IFS(H26=3,1+K25,H26=1,1+K25,H26=0,0)</f>
        <v>0</v>
      </c>
      <c r="L26" cm="1">
        <f t="array" ref="L26">_xlfn.IFS(H26=0,1+L25,H26=1,1+L25,H26=3,0)</f>
        <v>6</v>
      </c>
    </row>
    <row r="27" spans="1:22" x14ac:dyDescent="0.2">
      <c r="A27">
        <v>26</v>
      </c>
      <c r="B27" s="1">
        <v>43869</v>
      </c>
      <c r="C27" t="str">
        <v>Everton FC</v>
      </c>
      <c r="D27">
        <v>3</v>
      </c>
      <c r="E27" t="str">
        <v>Crystal Palace FC</v>
      </c>
      <c r="F27">
        <v>1</v>
      </c>
      <c r="H27" s="59" cm="1">
        <f t="array" ref="H27">_xlfn.IFS(AND(C27=$N$18,D27&gt;F27),3,AND(E27=$N$18,F27&gt;D27),3,AND(C27=$N$18,D27=F27),1,AND(E27=$N$18,D27=F27),1,AND(C27=$N$18,D27&lt;F27),0,AND(E27=$N$18,F27&lt;D27),0)</f>
        <v>0</v>
      </c>
      <c r="I27">
        <f t="shared" si="0"/>
        <v>0</v>
      </c>
      <c r="J27" s="59">
        <f t="shared" si="1"/>
        <v>3</v>
      </c>
      <c r="K27" cm="1">
        <f t="array" ref="K27">_xlfn.IFS(H27=3,1+K26,H27=1,1+K26,H27=0,0)</f>
        <v>0</v>
      </c>
      <c r="L27" cm="1">
        <f t="array" ref="L27">_xlfn.IFS(H27=0,1+L26,H27=1,1+L26,H27=3,0)</f>
        <v>7</v>
      </c>
    </row>
    <row r="28" spans="1:22" x14ac:dyDescent="0.2">
      <c r="A28">
        <v>27</v>
      </c>
      <c r="B28" s="1">
        <v>43883</v>
      </c>
      <c r="C28" t="str">
        <v>Crystal Palace FC</v>
      </c>
      <c r="D28">
        <v>1</v>
      </c>
      <c r="E28" t="str">
        <v>Newcastle United FC</v>
      </c>
      <c r="F28">
        <v>0</v>
      </c>
      <c r="H28" s="59" cm="1">
        <f t="array" ref="H28">_xlfn.IFS(AND(C28=$N$18,D28&gt;F28),3,AND(E28=$N$18,F28&gt;D28),3,AND(C28=$N$18,D28=F28),1,AND(E28=$N$18,D28=F28),1,AND(C28=$N$18,D28&lt;F28),0,AND(E28=$N$18,F28&lt;D28),0)</f>
        <v>3</v>
      </c>
      <c r="I28">
        <f t="shared" si="0"/>
        <v>1</v>
      </c>
      <c r="J28" s="59">
        <f t="shared" si="1"/>
        <v>0</v>
      </c>
      <c r="K28" cm="1">
        <f t="array" ref="K28">_xlfn.IFS(H28=3,1+K27,H28=1,1+K27,H28=0,0)</f>
        <v>1</v>
      </c>
      <c r="L28" cm="1">
        <f t="array" ref="L28">_xlfn.IFS(H28=0,1+L27,H28=1,1+L27,H28=3,0)</f>
        <v>0</v>
      </c>
    </row>
    <row r="29" spans="1:22" x14ac:dyDescent="0.2">
      <c r="A29">
        <v>28</v>
      </c>
      <c r="B29" s="1">
        <v>43890</v>
      </c>
      <c r="C29" t="str">
        <v>Brighton &amp; Hove Albion FC</v>
      </c>
      <c r="D29">
        <v>0</v>
      </c>
      <c r="E29" t="str">
        <v>Crystal Palace FC</v>
      </c>
      <c r="F29">
        <v>1</v>
      </c>
      <c r="H29" s="59" cm="1">
        <f t="array" ref="H29">_xlfn.IFS(AND(C29=$N$18,D29&gt;F29),3,AND(E29=$N$18,F29&gt;D29),3,AND(C29=$N$18,D29=F29),1,AND(E29=$N$18,D29=F29),1,AND(C29=$N$18,D29&lt;F29),0,AND(E29=$N$18,F29&lt;D29),0)</f>
        <v>3</v>
      </c>
      <c r="I29">
        <f t="shared" si="0"/>
        <v>2</v>
      </c>
      <c r="J29" s="59">
        <f t="shared" si="1"/>
        <v>0</v>
      </c>
      <c r="K29" cm="1">
        <f t="array" ref="K29">_xlfn.IFS(H29=3,1+K28,H29=1,1+K28,H29=0,0)</f>
        <v>2</v>
      </c>
      <c r="L29" cm="1">
        <f t="array" ref="L29">_xlfn.IFS(H29=0,1+L28,H29=1,1+L28,H29=3,0)</f>
        <v>0</v>
      </c>
    </row>
    <row r="30" spans="1:22" x14ac:dyDescent="0.2">
      <c r="A30">
        <v>29</v>
      </c>
      <c r="B30" s="1">
        <v>43897</v>
      </c>
      <c r="C30" t="str">
        <v>Crystal Palace FC</v>
      </c>
      <c r="D30">
        <v>1</v>
      </c>
      <c r="E30" t="str">
        <v>Watford FC</v>
      </c>
      <c r="F30">
        <v>0</v>
      </c>
      <c r="H30" s="59" cm="1">
        <f t="array" ref="H30">_xlfn.IFS(AND(C30=$N$18,D30&gt;F30),3,AND(E30=$N$18,F30&gt;D30),3,AND(C30=$N$18,D30=F30),1,AND(E30=$N$18,D30=F30),1,AND(C30=$N$18,D30&lt;F30),0,AND(E30=$N$18,F30&lt;D30),0)</f>
        <v>3</v>
      </c>
      <c r="I30">
        <f t="shared" si="0"/>
        <v>3</v>
      </c>
      <c r="J30" s="59">
        <f t="shared" si="1"/>
        <v>0</v>
      </c>
      <c r="K30" cm="1">
        <f t="array" ref="K30">_xlfn.IFS(H30=3,1+K29,H30=1,1+K29,H30=0,0)</f>
        <v>3</v>
      </c>
      <c r="L30" cm="1">
        <f t="array" ref="L30">_xlfn.IFS(H30=0,1+L29,H30=1,1+L29,H30=3,0)</f>
        <v>0</v>
      </c>
    </row>
    <row r="31" spans="1:22" x14ac:dyDescent="0.2">
      <c r="A31">
        <v>30</v>
      </c>
      <c r="B31" s="1">
        <v>44002</v>
      </c>
      <c r="C31" t="str">
        <v>AFC Bournemouth</v>
      </c>
      <c r="D31">
        <v>0</v>
      </c>
      <c r="E31" t="str">
        <v>Crystal Palace FC</v>
      </c>
      <c r="F31">
        <v>2</v>
      </c>
      <c r="H31" s="59" cm="1">
        <f t="array" ref="H31">_xlfn.IFS(AND(C31=$N$18,D31&gt;F31),3,AND(E31=$N$18,F31&gt;D31),3,AND(C31=$N$18,D31=F31),1,AND(E31=$N$18,D31=F31),1,AND(C31=$N$18,D31&lt;F31),0,AND(E31=$N$18,F31&lt;D31),0)</f>
        <v>3</v>
      </c>
      <c r="I31">
        <f t="shared" si="0"/>
        <v>4</v>
      </c>
      <c r="J31" s="59">
        <f t="shared" si="1"/>
        <v>0</v>
      </c>
      <c r="K31" cm="1">
        <f t="array" ref="K31">_xlfn.IFS(H31=3,1+K30,H31=1,1+K30,H31=0,0)</f>
        <v>4</v>
      </c>
      <c r="L31" cm="1">
        <f t="array" ref="L31">_xlfn.IFS(H31=0,1+L30,H31=1,1+L30,H31=3,0)</f>
        <v>0</v>
      </c>
    </row>
    <row r="32" spans="1:22" x14ac:dyDescent="0.2">
      <c r="A32">
        <v>31</v>
      </c>
      <c r="B32" s="1">
        <v>44006</v>
      </c>
      <c r="C32" t="str">
        <v>Liverpool FC</v>
      </c>
      <c r="D32">
        <v>4</v>
      </c>
      <c r="E32" t="str">
        <v>Crystal Palace FC</v>
      </c>
      <c r="F32">
        <v>0</v>
      </c>
      <c r="H32" s="59" cm="1">
        <f t="array" ref="H32">_xlfn.IFS(AND(C32=$N$18,D32&gt;F32),3,AND(E32=$N$18,F32&gt;D32),3,AND(C32=$N$18,D32=F32),1,AND(E32=$N$18,D32=F32),1,AND(C32=$N$18,D32&lt;F32),0,AND(E32=$N$18,F32&lt;D32),0)</f>
        <v>0</v>
      </c>
      <c r="I32">
        <f t="shared" si="0"/>
        <v>0</v>
      </c>
      <c r="J32" s="59">
        <f t="shared" si="1"/>
        <v>1</v>
      </c>
      <c r="K32" cm="1">
        <f t="array" ref="K32">_xlfn.IFS(H32=3,1+K31,H32=1,1+K31,H32=0,0)</f>
        <v>0</v>
      </c>
      <c r="L32" cm="1">
        <f t="array" ref="L32">_xlfn.IFS(H32=0,1+L31,H32=1,1+L31,H32=3,0)</f>
        <v>1</v>
      </c>
    </row>
    <row r="33" spans="1:12" x14ac:dyDescent="0.2">
      <c r="A33">
        <v>32</v>
      </c>
      <c r="B33" s="1">
        <v>44011</v>
      </c>
      <c r="C33" t="str">
        <v>Crystal Palace FC</v>
      </c>
      <c r="D33">
        <v>0</v>
      </c>
      <c r="E33" t="str">
        <v>Burnley FC</v>
      </c>
      <c r="F33">
        <v>1</v>
      </c>
      <c r="H33" s="59" cm="1">
        <f t="array" ref="H33">_xlfn.IFS(AND(C33=$N$18,D33&gt;F33),3,AND(E33=$N$18,F33&gt;D33),3,AND(C33=$N$18,D33=F33),1,AND(E33=$N$18,D33=F33),1,AND(C33=$N$18,D33&lt;F33),0,AND(E33=$N$18,F33&lt;D33),0)</f>
        <v>0</v>
      </c>
      <c r="I33">
        <f t="shared" si="0"/>
        <v>0</v>
      </c>
      <c r="J33" s="59">
        <f t="shared" si="1"/>
        <v>2</v>
      </c>
      <c r="K33" cm="1">
        <f t="array" ref="K33">_xlfn.IFS(H33=3,1+K32,H33=1,1+K32,H33=0,0)</f>
        <v>0</v>
      </c>
      <c r="L33" cm="1">
        <f t="array" ref="L33">_xlfn.IFS(H33=0,1+L32,H33=1,1+L32,H33=3,0)</f>
        <v>2</v>
      </c>
    </row>
    <row r="34" spans="1:12" x14ac:dyDescent="0.2">
      <c r="A34">
        <v>33</v>
      </c>
      <c r="B34" s="1">
        <v>44016</v>
      </c>
      <c r="C34" t="str">
        <v>Leicester City FC</v>
      </c>
      <c r="D34">
        <v>3</v>
      </c>
      <c r="E34" t="str">
        <v>Crystal Palace FC</v>
      </c>
      <c r="F34">
        <v>0</v>
      </c>
      <c r="H34" s="59" cm="1">
        <f t="array" ref="H34">_xlfn.IFS(AND(C34=$N$18,D34&gt;F34),3,AND(E34=$N$18,F34&gt;D34),3,AND(C34=$N$18,D34=F34),1,AND(E34=$N$18,D34=F34),1,AND(C34=$N$18,D34&lt;F34),0,AND(E34=$N$18,F34&lt;D34),0)</f>
        <v>0</v>
      </c>
      <c r="I34">
        <f t="shared" si="0"/>
        <v>0</v>
      </c>
      <c r="J34" s="59">
        <f t="shared" si="1"/>
        <v>3</v>
      </c>
      <c r="K34" cm="1">
        <f t="array" ref="K34">_xlfn.IFS(H34=3,1+K33,H34=1,1+K33,H34=0,0)</f>
        <v>0</v>
      </c>
      <c r="L34" cm="1">
        <f t="array" ref="L34">_xlfn.IFS(H34=0,1+L33,H34=1,1+L33,H34=3,0)</f>
        <v>3</v>
      </c>
    </row>
    <row r="35" spans="1:12" x14ac:dyDescent="0.2">
      <c r="A35">
        <v>34</v>
      </c>
      <c r="B35" s="1">
        <v>44019</v>
      </c>
      <c r="C35" t="str">
        <v>Crystal Palace FC</v>
      </c>
      <c r="D35">
        <v>2</v>
      </c>
      <c r="E35" t="str">
        <v>Chelsea FC</v>
      </c>
      <c r="F35">
        <v>3</v>
      </c>
      <c r="H35" s="59" cm="1">
        <f t="array" ref="H35">_xlfn.IFS(AND(C35=$N$18,D35&gt;F35),3,AND(E35=$N$18,F35&gt;D35),3,AND(C35=$N$18,D35=F35),1,AND(E35=$N$18,D35=F35),1,AND(C35=$N$18,D35&lt;F35),0,AND(E35=$N$18,F35&lt;D35),0)</f>
        <v>0</v>
      </c>
      <c r="I35">
        <f t="shared" si="0"/>
        <v>0</v>
      </c>
      <c r="J35" s="59">
        <f t="shared" si="1"/>
        <v>4</v>
      </c>
      <c r="K35" cm="1">
        <f t="array" ref="K35">_xlfn.IFS(H35=3,1+K34,H35=1,1+K34,H35=0,0)</f>
        <v>0</v>
      </c>
      <c r="L35" cm="1">
        <f t="array" ref="L35">_xlfn.IFS(H35=0,1+L34,H35=1,1+L34,H35=3,0)</f>
        <v>4</v>
      </c>
    </row>
    <row r="36" spans="1:12" x14ac:dyDescent="0.2">
      <c r="A36">
        <v>35</v>
      </c>
      <c r="B36" s="1">
        <v>44024</v>
      </c>
      <c r="C36" t="str">
        <v>Aston Villa FC</v>
      </c>
      <c r="D36">
        <v>2</v>
      </c>
      <c r="E36" t="str">
        <v>Crystal Palace FC</v>
      </c>
      <c r="F36">
        <v>0</v>
      </c>
      <c r="H36" s="59" cm="1">
        <f t="array" ref="H36">_xlfn.IFS(AND(C36=$N$18,D36&gt;F36),3,AND(E36=$N$18,F36&gt;D36),3,AND(C36=$N$18,D36=F36),1,AND(E36=$N$18,D36=F36),1,AND(C36=$N$18,D36&lt;F36),0,AND(E36=$N$18,F36&lt;D36),0)</f>
        <v>0</v>
      </c>
      <c r="I36">
        <f t="shared" si="0"/>
        <v>0</v>
      </c>
      <c r="J36" s="59">
        <f t="shared" si="1"/>
        <v>5</v>
      </c>
      <c r="K36" cm="1">
        <f t="array" ref="K36">_xlfn.IFS(H36=3,1+K35,H36=1,1+K35,H36=0,0)</f>
        <v>0</v>
      </c>
      <c r="L36" cm="1">
        <f t="array" ref="L36">_xlfn.IFS(H36=0,1+L35,H36=1,1+L35,H36=3,0)</f>
        <v>5</v>
      </c>
    </row>
    <row r="37" spans="1:12" x14ac:dyDescent="0.2">
      <c r="A37">
        <v>36</v>
      </c>
      <c r="B37" s="1">
        <v>44028</v>
      </c>
      <c r="C37" t="str">
        <v>Crystal Palace FC</v>
      </c>
      <c r="D37">
        <v>0</v>
      </c>
      <c r="E37" t="str">
        <v>Manchester United FC</v>
      </c>
      <c r="F37">
        <v>2</v>
      </c>
      <c r="H37" s="59" cm="1">
        <f t="array" ref="H37">_xlfn.IFS(AND(C37=$N$18,D37&gt;F37),3,AND(E37=$N$18,F37&gt;D37),3,AND(C37=$N$18,D37=F37),1,AND(E37=$N$18,D37=F37),1,AND(C37=$N$18,D37&lt;F37),0,AND(E37=$N$18,F37&lt;D37),0)</f>
        <v>0</v>
      </c>
      <c r="I37">
        <f t="shared" si="0"/>
        <v>0</v>
      </c>
      <c r="J37" s="59">
        <f t="shared" si="1"/>
        <v>6</v>
      </c>
      <c r="K37" cm="1">
        <f t="array" ref="K37">_xlfn.IFS(H37=3,1+K36,H37=1,1+K36,H37=0,0)</f>
        <v>0</v>
      </c>
      <c r="L37" cm="1">
        <f t="array" ref="L37">_xlfn.IFS(H37=0,1+L36,H37=1,1+L36,H37=3,0)</f>
        <v>6</v>
      </c>
    </row>
    <row r="38" spans="1:12" x14ac:dyDescent="0.2">
      <c r="A38">
        <v>37</v>
      </c>
      <c r="B38" s="1">
        <v>44032</v>
      </c>
      <c r="C38" t="str">
        <v>Wolverhampton Wanderers FC</v>
      </c>
      <c r="D38">
        <v>2</v>
      </c>
      <c r="E38" t="str">
        <v>Crystal Palace FC</v>
      </c>
      <c r="F38">
        <v>0</v>
      </c>
      <c r="H38" s="59" cm="1">
        <f t="array" ref="H38">_xlfn.IFS(AND(C38=$N$18,D38&gt;F38),3,AND(E38=$N$18,F38&gt;D38),3,AND(C38=$N$18,D38=F38),1,AND(E38=$N$18,D38=F38),1,AND(C38=$N$18,D38&lt;F38),0,AND(E38=$N$18,F38&lt;D38),0)</f>
        <v>0</v>
      </c>
      <c r="I38">
        <f t="shared" si="0"/>
        <v>0</v>
      </c>
      <c r="J38" s="59">
        <f t="shared" si="1"/>
        <v>7</v>
      </c>
      <c r="K38" cm="1">
        <f t="array" ref="K38">_xlfn.IFS(H38=3,1+K37,H38=1,1+K37,H38=0,0)</f>
        <v>0</v>
      </c>
      <c r="L38" cm="1">
        <f t="array" ref="L38">_xlfn.IFS(H38=0,1+L37,H38=1,1+L37,H38=3,0)</f>
        <v>7</v>
      </c>
    </row>
    <row r="39" spans="1:12" x14ac:dyDescent="0.2">
      <c r="A39">
        <v>38</v>
      </c>
      <c r="B39" s="1">
        <v>44038</v>
      </c>
      <c r="C39" t="str">
        <v>Crystal Palace FC</v>
      </c>
      <c r="D39">
        <v>1</v>
      </c>
      <c r="E39" t="str">
        <v>Tottenham Hotspur FC</v>
      </c>
      <c r="F39">
        <v>1</v>
      </c>
      <c r="H39" s="59" cm="1">
        <f t="array" ref="H39">_xlfn.IFS(AND(C39=$N$18,D39&gt;F39),3,AND(E39=$N$18,F39&gt;D39),3,AND(C39=$N$18,D39=F39),1,AND(E39=$N$18,D39=F39),1,AND(C39=$N$18,D39&lt;F39),0,AND(E39=$N$18,F39&lt;D39),0)</f>
        <v>1</v>
      </c>
      <c r="I39">
        <f t="shared" si="0"/>
        <v>0</v>
      </c>
      <c r="J39" s="59">
        <f t="shared" si="1"/>
        <v>0</v>
      </c>
      <c r="K39" cm="1">
        <f t="array" ref="K39">_xlfn.IFS(H39=3,1+K38,H39=1,1+K38,H39=0,0)</f>
        <v>1</v>
      </c>
      <c r="L39" cm="1">
        <f t="array" ref="L39">_xlfn.IFS(H39=0,1+L38,H39=1,1+L38,H39=3,0)</f>
        <v>8</v>
      </c>
    </row>
  </sheetData>
  <conditionalFormatting sqref="G2:G39">
    <cfRule type="expression" dxfId="95" priority="3">
      <formula>$D2=$F2</formula>
    </cfRule>
  </conditionalFormatting>
  <conditionalFormatting sqref="G2:G39">
    <cfRule type="expression" dxfId="94" priority="6">
      <formula>AND($E2=$N$18,$F2&gt;$D2)</formula>
    </cfRule>
  </conditionalFormatting>
  <conditionalFormatting sqref="G2:G39">
    <cfRule type="expression" dxfId="93" priority="7">
      <formula>AND($E2=$N$18,$F2&lt;$D2)</formula>
    </cfRule>
  </conditionalFormatting>
  <conditionalFormatting sqref="G2:G39">
    <cfRule type="expression" dxfId="92" priority="8">
      <formula>AND($C2=$N$18,$D2&lt;$F2)</formula>
    </cfRule>
  </conditionalFormatting>
  <conditionalFormatting sqref="G2:G39">
    <cfRule type="expression" dxfId="91" priority="9">
      <formula>AND($C2=$N$18,$D2&gt;$F2)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9D4E2-A38A-4B3D-B751-C9D3851A2D6F}">
  <sheetPr codeName="Sheet10"/>
  <dimension ref="A1:V39"/>
  <sheetViews>
    <sheetView zoomScale="60" zoomScaleNormal="60" workbookViewId="0"/>
  </sheetViews>
  <sheetFormatPr baseColWidth="10" defaultColWidth="8.83203125" defaultRowHeight="15" x14ac:dyDescent="0.2"/>
  <cols>
    <col min="1" max="1" width="9.5" customWidth="1"/>
    <col min="2" max="2" width="11.5" style="1" bestFit="1" customWidth="1"/>
    <col min="3" max="3" width="27.6640625" customWidth="1"/>
    <col min="4" max="4" width="13" customWidth="1"/>
    <col min="5" max="5" width="23.83203125" customWidth="1"/>
    <col min="6" max="6" width="11" customWidth="1"/>
    <col min="14" max="14" width="14.33203125" bestFit="1" customWidth="1"/>
    <col min="15" max="22" width="10.6640625" customWidth="1"/>
  </cols>
  <sheetData>
    <row r="1" spans="1:20" ht="32" x14ac:dyDescent="0.2">
      <c r="A1" s="67" t="s">
        <v>0</v>
      </c>
      <c r="B1" s="71" t="s">
        <v>1</v>
      </c>
      <c r="C1" s="68" t="s">
        <v>2</v>
      </c>
      <c r="D1" s="68" t="s">
        <v>3</v>
      </c>
      <c r="E1" s="68" t="s">
        <v>4</v>
      </c>
      <c r="F1" s="69" t="s">
        <v>5</v>
      </c>
      <c r="G1" s="70" t="s">
        <v>71</v>
      </c>
      <c r="H1" s="70" t="s">
        <v>19</v>
      </c>
      <c r="I1" s="81" t="s">
        <v>72</v>
      </c>
      <c r="J1" s="81" t="s">
        <v>53</v>
      </c>
      <c r="K1" s="81" t="s">
        <v>55</v>
      </c>
      <c r="L1" s="81" t="s">
        <v>73</v>
      </c>
      <c r="Q1" s="58" t="s">
        <v>74</v>
      </c>
      <c r="R1" t="s">
        <v>75</v>
      </c>
      <c r="S1" t="s">
        <v>76</v>
      </c>
      <c r="T1" s="63" t="s">
        <v>77</v>
      </c>
    </row>
    <row r="2" spans="1:20" x14ac:dyDescent="0.2">
      <c r="A2" cm="1">
        <f t="array" ref="A2:F39">_xlfn._xlws.FILTER(eng_1[],(eng_1[Home]='England 1'!C7)+(eng_1[Away]='England 1'!E13))</f>
        <v>1</v>
      </c>
      <c r="B2" s="1">
        <v>43687</v>
      </c>
      <c r="C2" t="str">
        <v>Watford FC</v>
      </c>
      <c r="D2">
        <v>0</v>
      </c>
      <c r="E2" t="str">
        <v>Brighton &amp; Hove Albion FC</v>
      </c>
      <c r="F2">
        <v>3</v>
      </c>
      <c r="H2" s="59" cm="1">
        <f t="array" ref="H2">_xlfn.IFS(AND(C2=$N$18,D2&gt;F2),3,AND(E2=$N$18,F2&gt;D2),3,AND(C2=$N$18,D2=F2),1,AND(E2=$N$18,D2=F2),1,AND(C2=$N$18,D2&lt;F2),0,AND(E2=$N$18,F2&lt;D2),0)</f>
        <v>0</v>
      </c>
      <c r="I2" cm="1">
        <f t="array" ref="I2">_xlfn.IFS(H2=3,1,H2=1,0,H2=0,0)</f>
        <v>0</v>
      </c>
      <c r="J2" s="59" cm="1">
        <f t="array" ref="J2">_xlfn.IFS(H2=0,1,H2=1,0,H2=3,0)</f>
        <v>1</v>
      </c>
      <c r="K2" cm="1">
        <f t="array" ref="K2">_xlfn.IFS(H2=3,1,H2=1,1,H2=0,0)</f>
        <v>0</v>
      </c>
      <c r="L2" cm="1">
        <f t="array" ref="L2">_xlfn.IFS(H2=0,1,H2=1,1,H2=3,0)</f>
        <v>1</v>
      </c>
      <c r="Q2" s="56" t="s">
        <v>78</v>
      </c>
      <c r="R2">
        <v>20</v>
      </c>
      <c r="S2">
        <v>16</v>
      </c>
      <c r="T2" s="60">
        <v>0.8</v>
      </c>
    </row>
    <row r="3" spans="1:20" x14ac:dyDescent="0.2">
      <c r="A3">
        <v>2</v>
      </c>
      <c r="B3" s="1">
        <v>43694</v>
      </c>
      <c r="C3" t="str">
        <v>Everton FC</v>
      </c>
      <c r="D3">
        <v>1</v>
      </c>
      <c r="E3" t="str">
        <v>Watford FC</v>
      </c>
      <c r="F3">
        <v>0</v>
      </c>
      <c r="H3" s="59" cm="1">
        <f t="array" ref="H3">_xlfn.IFS(AND(C3=$N$18,D3&gt;F3),3,AND(E3=$N$18,F3&gt;D3),3,AND(C3=$N$18,D3=F3),1,AND(E3=$N$18,D3=F3),1,AND(C3=$N$18,D3&lt;F3),0,AND(E3=$N$18,F3&lt;D3),0)</f>
        <v>0</v>
      </c>
      <c r="I3">
        <f t="shared" ref="I3:I39" si="0">IF(H3=3,1+I2,0)</f>
        <v>0</v>
      </c>
      <c r="J3" s="59">
        <f t="shared" ref="J3:J39" si="1">IF(H3=0,1+J2,0)</f>
        <v>2</v>
      </c>
      <c r="K3" cm="1">
        <f t="array" ref="K3">_xlfn.IFS(H3=3,1+K2,H3=1,1+K2,H3=0,0)</f>
        <v>0</v>
      </c>
      <c r="L3" cm="1">
        <f t="array" ref="L3">_xlfn.IFS(H3=0,1+L2,H3=1,1+L2,H3=3,0)</f>
        <v>2</v>
      </c>
      <c r="N3" s="48" t="s">
        <v>79</v>
      </c>
      <c r="O3" s="48" t="s">
        <v>80</v>
      </c>
      <c r="Q3" s="57" t="s">
        <v>81</v>
      </c>
      <c r="R3">
        <v>4</v>
      </c>
      <c r="S3">
        <v>1</v>
      </c>
      <c r="T3" s="60">
        <v>0.25</v>
      </c>
    </row>
    <row r="4" spans="1:20" x14ac:dyDescent="0.2">
      <c r="A4">
        <v>3</v>
      </c>
      <c r="B4" s="1">
        <v>43701</v>
      </c>
      <c r="C4" t="str">
        <v>Watford FC</v>
      </c>
      <c r="D4">
        <v>1</v>
      </c>
      <c r="E4" t="str">
        <v>West Ham United FC</v>
      </c>
      <c r="F4">
        <v>3</v>
      </c>
      <c r="H4" s="59" cm="1">
        <f t="array" ref="H4">_xlfn.IFS(AND(C4=$N$18,D4&gt;F4),3,AND(E4=$N$18,F4&gt;D4),3,AND(C4=$N$18,D4=F4),1,AND(E4=$N$18,D4=F4),1,AND(C4=$N$18,D4&lt;F4),0,AND(E4=$N$18,F4&lt;D4),0)</f>
        <v>0</v>
      </c>
      <c r="I4">
        <f t="shared" si="0"/>
        <v>0</v>
      </c>
      <c r="J4" s="59">
        <f t="shared" si="1"/>
        <v>3</v>
      </c>
      <c r="K4" cm="1">
        <f t="array" ref="K4">_xlfn.IFS(H4=3,1+K3,H4=1,1+K3,H4=0,0)</f>
        <v>0</v>
      </c>
      <c r="L4" cm="1">
        <f t="array" ref="L4">_xlfn.IFS(H4=0,1+L3,H4=1,1+L3,H4=3,0)</f>
        <v>3</v>
      </c>
      <c r="N4" s="49" t="s">
        <v>82</v>
      </c>
      <c r="O4" s="50"/>
      <c r="Q4" s="57" t="s">
        <v>83</v>
      </c>
      <c r="R4">
        <v>3</v>
      </c>
      <c r="S4">
        <v>1</v>
      </c>
      <c r="T4" s="60">
        <v>0.33333333333333331</v>
      </c>
    </row>
    <row r="5" spans="1:20" x14ac:dyDescent="0.2">
      <c r="A5">
        <v>4</v>
      </c>
      <c r="B5" s="1">
        <v>43708</v>
      </c>
      <c r="C5" t="str">
        <v>Newcastle United FC</v>
      </c>
      <c r="D5">
        <v>1</v>
      </c>
      <c r="E5" t="str">
        <v>Watford FC</v>
      </c>
      <c r="F5">
        <v>1</v>
      </c>
      <c r="H5" s="59" cm="1">
        <f t="array" ref="H5">_xlfn.IFS(AND(C5=$N$18,D5&gt;F5),3,AND(E5=$N$18,F5&gt;D5),3,AND(C5=$N$18,D5=F5),1,AND(E5=$N$18,D5=F5),1,AND(C5=$N$18,D5&lt;F5),0,AND(E5=$N$18,F5&lt;D5),0)</f>
        <v>1</v>
      </c>
      <c r="I5">
        <f t="shared" si="0"/>
        <v>0</v>
      </c>
      <c r="J5" s="59">
        <f t="shared" si="1"/>
        <v>0</v>
      </c>
      <c r="K5" cm="1">
        <f t="array" ref="K5">_xlfn.IFS(H5=3,1+K4,H5=1,1+K4,H5=0,0)</f>
        <v>1</v>
      </c>
      <c r="L5" cm="1">
        <f t="array" ref="L5">_xlfn.IFS(H5=0,1+L4,H5=1,1+L4,H5=3,0)</f>
        <v>4</v>
      </c>
      <c r="N5" s="49" t="s">
        <v>84</v>
      </c>
      <c r="O5" s="51"/>
      <c r="Q5" s="57" t="s">
        <v>85</v>
      </c>
      <c r="R5">
        <v>3</v>
      </c>
      <c r="S5">
        <v>3</v>
      </c>
      <c r="T5" s="60">
        <v>1</v>
      </c>
    </row>
    <row r="6" spans="1:20" x14ac:dyDescent="0.2">
      <c r="A6">
        <v>5</v>
      </c>
      <c r="B6" s="1">
        <v>43723</v>
      </c>
      <c r="C6" t="str">
        <v>Watford FC</v>
      </c>
      <c r="D6">
        <v>2</v>
      </c>
      <c r="E6" t="str">
        <v>Arsenal FC</v>
      </c>
      <c r="F6">
        <v>2</v>
      </c>
      <c r="H6" s="59" cm="1">
        <f t="array" ref="H6">_xlfn.IFS(AND(C6=$N$18,D6&gt;F6),3,AND(E6=$N$18,F6&gt;D6),3,AND(C6=$N$18,D6=F6),1,AND(E6=$N$18,D6=F6),1,AND(C6=$N$18,D6&lt;F6),0,AND(E6=$N$18,F6&lt;D6),0)</f>
        <v>1</v>
      </c>
      <c r="I6">
        <f t="shared" si="0"/>
        <v>0</v>
      </c>
      <c r="J6" s="59">
        <f t="shared" si="1"/>
        <v>0</v>
      </c>
      <c r="K6" cm="1">
        <f t="array" ref="K6">_xlfn.IFS(H6=3,1+K5,H6=1,1+K5,H6=0,0)</f>
        <v>2</v>
      </c>
      <c r="L6" cm="1">
        <f t="array" ref="L6">_xlfn.IFS(H6=0,1+L5,H6=1,1+L5,H6=3,0)</f>
        <v>5</v>
      </c>
      <c r="N6" s="49" t="s">
        <v>86</v>
      </c>
      <c r="O6" s="52"/>
      <c r="Q6" s="57" t="s">
        <v>87</v>
      </c>
      <c r="R6">
        <v>4</v>
      </c>
      <c r="S6">
        <v>3</v>
      </c>
      <c r="T6" s="60">
        <v>0.75</v>
      </c>
    </row>
    <row r="7" spans="1:20" x14ac:dyDescent="0.2">
      <c r="A7">
        <v>6</v>
      </c>
      <c r="B7" s="1">
        <v>43729</v>
      </c>
      <c r="C7" t="str">
        <v>Manchester City FC</v>
      </c>
      <c r="D7">
        <v>8</v>
      </c>
      <c r="E7" t="str">
        <v>Watford FC</v>
      </c>
      <c r="F7">
        <v>0</v>
      </c>
      <c r="H7" s="59" cm="1">
        <f t="array" ref="H7">_xlfn.IFS(AND(C7=$N$18,D7&gt;F7),3,AND(E7=$N$18,F7&gt;D7),3,AND(C7=$N$18,D7=F7),1,AND(E7=$N$18,D7=F7),1,AND(C7=$N$18,D7&lt;F7),0,AND(E7=$N$18,F7&lt;D7),0)</f>
        <v>0</v>
      </c>
      <c r="I7">
        <f t="shared" si="0"/>
        <v>0</v>
      </c>
      <c r="J7" s="59">
        <f t="shared" si="1"/>
        <v>1</v>
      </c>
      <c r="K7" cm="1">
        <f t="array" ref="K7">_xlfn.IFS(H7=3,1+K6,H7=1,1+K6,H7=0,0)</f>
        <v>0</v>
      </c>
      <c r="L7" cm="1">
        <f t="array" ref="L7">_xlfn.IFS(H7=0,1+L6,H7=1,1+L6,H7=3,0)</f>
        <v>6</v>
      </c>
      <c r="Q7" s="57" t="s">
        <v>88</v>
      </c>
      <c r="R7">
        <v>6</v>
      </c>
      <c r="S7">
        <v>8</v>
      </c>
      <c r="T7" s="60">
        <v>1.3333333333333333</v>
      </c>
    </row>
    <row r="8" spans="1:20" x14ac:dyDescent="0.2">
      <c r="A8">
        <v>7</v>
      </c>
      <c r="B8" s="1">
        <v>43736</v>
      </c>
      <c r="C8" t="str">
        <v>Wolverhampton Wanderers FC</v>
      </c>
      <c r="D8">
        <v>2</v>
      </c>
      <c r="E8" t="str">
        <v>Watford FC</v>
      </c>
      <c r="F8">
        <v>0</v>
      </c>
      <c r="H8" s="59" cm="1">
        <f t="array" ref="H8">_xlfn.IFS(AND(C8=$N$18,D8&gt;F8),3,AND(E8=$N$18,F8&gt;D8),3,AND(C8=$N$18,D8=F8),1,AND(E8=$N$18,D8=F8),1,AND(C8=$N$18,D8&lt;F8),0,AND(E8=$N$18,F8&lt;D8),0)</f>
        <v>0</v>
      </c>
      <c r="I8">
        <f t="shared" si="0"/>
        <v>0</v>
      </c>
      <c r="J8" s="59">
        <f t="shared" si="1"/>
        <v>2</v>
      </c>
      <c r="K8" cm="1">
        <f t="array" ref="K8">_xlfn.IFS(H8=3,1+K7,H8=1,1+K7,H8=0,0)</f>
        <v>0</v>
      </c>
      <c r="L8" cm="1">
        <f t="array" ref="L8">_xlfn.IFS(H8=0,1+L7,H8=1,1+L7,H8=3,0)</f>
        <v>7</v>
      </c>
      <c r="Q8" s="56" t="s">
        <v>89</v>
      </c>
      <c r="R8">
        <v>18</v>
      </c>
      <c r="S8">
        <v>18</v>
      </c>
      <c r="T8" s="60">
        <v>1</v>
      </c>
    </row>
    <row r="9" spans="1:20" x14ac:dyDescent="0.2">
      <c r="A9">
        <v>8</v>
      </c>
      <c r="B9" s="1">
        <v>43743</v>
      </c>
      <c r="C9" t="str">
        <v>Watford FC</v>
      </c>
      <c r="D9">
        <v>0</v>
      </c>
      <c r="E9" t="str">
        <v>Sheffield United FC</v>
      </c>
      <c r="F9">
        <v>0</v>
      </c>
      <c r="H9" s="59" cm="1">
        <f t="array" ref="H9">_xlfn.IFS(AND(C9=$N$18,D9&gt;F9),3,AND(E9=$N$18,F9&gt;D9),3,AND(C9=$N$18,D9=F9),1,AND(E9=$N$18,D9=F9),1,AND(C9=$N$18,D9&lt;F9),0,AND(E9=$N$18,F9&lt;D9),0)</f>
        <v>1</v>
      </c>
      <c r="I9">
        <f t="shared" si="0"/>
        <v>0</v>
      </c>
      <c r="J9" s="59">
        <f t="shared" si="1"/>
        <v>0</v>
      </c>
      <c r="K9" cm="1">
        <f t="array" ref="K9">_xlfn.IFS(H9=3,1+K8,H9=1,1+K8,H9=0,0)</f>
        <v>1</v>
      </c>
      <c r="L9" cm="1">
        <f t="array" ref="L9">_xlfn.IFS(H9=0,1+L8,H9=1,1+L8,H9=3,0)</f>
        <v>8</v>
      </c>
      <c r="Q9" s="57" t="s">
        <v>90</v>
      </c>
      <c r="R9">
        <v>4</v>
      </c>
      <c r="S9">
        <v>7</v>
      </c>
      <c r="T9" s="60">
        <v>1.75</v>
      </c>
    </row>
    <row r="10" spans="1:20" x14ac:dyDescent="0.2">
      <c r="A10">
        <v>9</v>
      </c>
      <c r="B10" s="1">
        <v>43757</v>
      </c>
      <c r="C10" t="str">
        <v>Tottenham Hotspur FC</v>
      </c>
      <c r="D10">
        <v>1</v>
      </c>
      <c r="E10" t="str">
        <v>Watford FC</v>
      </c>
      <c r="F10">
        <v>1</v>
      </c>
      <c r="H10" s="59" cm="1">
        <f t="array" ref="H10">_xlfn.IFS(AND(C10=$N$18,D10&gt;F10),3,AND(E10=$N$18,F10&gt;D10),3,AND(C10=$N$18,D10=F10),1,AND(E10=$N$18,D10=F10),1,AND(C10=$N$18,D10&lt;F10),0,AND(E10=$N$18,F10&lt;D10),0)</f>
        <v>1</v>
      </c>
      <c r="I10">
        <f t="shared" si="0"/>
        <v>0</v>
      </c>
      <c r="J10" s="59">
        <f t="shared" si="1"/>
        <v>0</v>
      </c>
      <c r="K10" cm="1">
        <f t="array" ref="K10">_xlfn.IFS(H10=3,1+K9,H10=1,1+K9,H10=0,0)</f>
        <v>2</v>
      </c>
      <c r="L10" cm="1">
        <f t="array" ref="L10">_xlfn.IFS(H10=0,1+L9,H10=1,1+L9,H10=3,0)</f>
        <v>9</v>
      </c>
      <c r="Q10" s="57" t="s">
        <v>91</v>
      </c>
      <c r="R10">
        <v>4</v>
      </c>
      <c r="S10">
        <v>4</v>
      </c>
      <c r="T10" s="60">
        <v>1</v>
      </c>
    </row>
    <row r="11" spans="1:20" x14ac:dyDescent="0.2">
      <c r="A11">
        <v>10</v>
      </c>
      <c r="B11" s="1">
        <v>43764</v>
      </c>
      <c r="C11" t="str">
        <v>Watford FC</v>
      </c>
      <c r="D11">
        <v>0</v>
      </c>
      <c r="E11" t="str">
        <v>AFC Bournemouth</v>
      </c>
      <c r="F11">
        <v>0</v>
      </c>
      <c r="H11" s="59" cm="1">
        <f t="array" ref="H11">_xlfn.IFS(AND(C11=$N$18,D11&gt;F11),3,AND(E11=$N$18,F11&gt;D11),3,AND(C11=$N$18,D11=F11),1,AND(E11=$N$18,D11=F11),1,AND(C11=$N$18,D11&lt;F11),0,AND(E11=$N$18,F11&lt;D11),0)</f>
        <v>1</v>
      </c>
      <c r="I11">
        <f t="shared" si="0"/>
        <v>0</v>
      </c>
      <c r="J11" s="59">
        <f t="shared" si="1"/>
        <v>0</v>
      </c>
      <c r="K11" cm="1">
        <f t="array" ref="K11">_xlfn.IFS(H11=3,1+K10,H11=1,1+K10,H11=0,0)</f>
        <v>3</v>
      </c>
      <c r="L11" cm="1">
        <f t="array" ref="L11">_xlfn.IFS(H11=0,1+L10,H11=1,1+L10,H11=3,0)</f>
        <v>10</v>
      </c>
      <c r="Q11" s="57" t="s">
        <v>92</v>
      </c>
      <c r="R11">
        <v>1</v>
      </c>
      <c r="S11">
        <v>0</v>
      </c>
      <c r="T11" s="60">
        <v>0</v>
      </c>
    </row>
    <row r="12" spans="1:20" x14ac:dyDescent="0.2">
      <c r="A12">
        <v>11</v>
      </c>
      <c r="B12" s="1">
        <v>43771</v>
      </c>
      <c r="C12" t="str">
        <v>Watford FC</v>
      </c>
      <c r="D12">
        <v>1</v>
      </c>
      <c r="E12" t="str">
        <v>Chelsea FC</v>
      </c>
      <c r="F12">
        <v>2</v>
      </c>
      <c r="H12" s="59" cm="1">
        <f t="array" ref="H12">_xlfn.IFS(AND(C12=$N$18,D12&gt;F12),3,AND(E12=$N$18,F12&gt;D12),3,AND(C12=$N$18,D12=F12),1,AND(E12=$N$18,D12=F12),1,AND(C12=$N$18,D12&lt;F12),0,AND(E12=$N$18,F12&lt;D12),0)</f>
        <v>0</v>
      </c>
      <c r="I12">
        <f t="shared" si="0"/>
        <v>0</v>
      </c>
      <c r="J12" s="59">
        <f t="shared" si="1"/>
        <v>1</v>
      </c>
      <c r="K12" cm="1">
        <f t="array" ref="K12">_xlfn.IFS(H12=3,1+K11,H12=1,1+K11,H12=0,0)</f>
        <v>0</v>
      </c>
      <c r="L12" cm="1">
        <f t="array" ref="L12">_xlfn.IFS(H12=0,1+L11,H12=1,1+L11,H12=3,0)</f>
        <v>11</v>
      </c>
      <c r="Q12" s="57" t="s">
        <v>93</v>
      </c>
      <c r="R12">
        <v>3</v>
      </c>
      <c r="S12">
        <v>1</v>
      </c>
      <c r="T12" s="60">
        <v>0.33333333333333331</v>
      </c>
    </row>
    <row r="13" spans="1:20" x14ac:dyDescent="0.2">
      <c r="A13">
        <v>12</v>
      </c>
      <c r="B13" s="1">
        <v>43777</v>
      </c>
      <c r="C13" t="str">
        <v>Norwich City FC</v>
      </c>
      <c r="D13">
        <v>0</v>
      </c>
      <c r="E13" t="str">
        <v>Watford FC</v>
      </c>
      <c r="F13">
        <v>2</v>
      </c>
      <c r="H13" s="59" cm="1">
        <f t="array" ref="H13">_xlfn.IFS(AND(C13=$N$18,D13&gt;F13),3,AND(E13=$N$18,F13&gt;D13),3,AND(C13=$N$18,D13=F13),1,AND(E13=$N$18,D13=F13),1,AND(C13=$N$18,D13&lt;F13),0,AND(E13=$N$18,F13&lt;D13),0)</f>
        <v>3</v>
      </c>
      <c r="I13">
        <f t="shared" si="0"/>
        <v>1</v>
      </c>
      <c r="J13" s="59">
        <f t="shared" si="1"/>
        <v>0</v>
      </c>
      <c r="K13" cm="1">
        <f t="array" ref="K13">_xlfn.IFS(H13=3,1+K12,H13=1,1+K12,H13=0,0)</f>
        <v>1</v>
      </c>
      <c r="L13" cm="1">
        <f t="array" ref="L13">_xlfn.IFS(H13=0,1+L12,H13=1,1+L12,H13=3,0)</f>
        <v>0</v>
      </c>
      <c r="Q13" s="57" t="s">
        <v>94</v>
      </c>
      <c r="R13">
        <v>6</v>
      </c>
      <c r="S13">
        <v>6</v>
      </c>
      <c r="T13" s="60">
        <v>1</v>
      </c>
    </row>
    <row r="14" spans="1:20" x14ac:dyDescent="0.2">
      <c r="A14">
        <v>13</v>
      </c>
      <c r="B14" s="1">
        <v>43792</v>
      </c>
      <c r="C14" t="str">
        <v>Watford FC</v>
      </c>
      <c r="D14">
        <v>0</v>
      </c>
      <c r="E14" t="str">
        <v>Burnley FC</v>
      </c>
      <c r="F14">
        <v>3</v>
      </c>
      <c r="H14" s="59" cm="1">
        <f t="array" ref="H14">_xlfn.IFS(AND(C14=$N$18,D14&gt;F14),3,AND(E14=$N$18,F14&gt;D14),3,AND(C14=$N$18,D14=F14),1,AND(E14=$N$18,D14=F14),1,AND(C14=$N$18,D14&lt;F14),0,AND(E14=$N$18,F14&lt;D14),0)</f>
        <v>0</v>
      </c>
      <c r="I14">
        <f t="shared" si="0"/>
        <v>0</v>
      </c>
      <c r="J14" s="59">
        <f t="shared" si="1"/>
        <v>1</v>
      </c>
      <c r="K14" cm="1">
        <f t="array" ref="K14">_xlfn.IFS(H14=3,1+K13,H14=1,1+K13,H14=0,0)</f>
        <v>0</v>
      </c>
      <c r="L14" cm="1">
        <f t="array" ref="L14">_xlfn.IFS(H14=0,1+L13,H14=1,1+L13,H14=3,0)</f>
        <v>1</v>
      </c>
      <c r="Q14" s="56" t="s">
        <v>95</v>
      </c>
      <c r="R14">
        <v>38</v>
      </c>
      <c r="S14">
        <v>34</v>
      </c>
      <c r="T14" s="60">
        <v>0.89473684210526316</v>
      </c>
    </row>
    <row r="15" spans="1:20" x14ac:dyDescent="0.2">
      <c r="A15">
        <v>14</v>
      </c>
      <c r="B15" s="1">
        <v>43799</v>
      </c>
      <c r="C15" t="str">
        <v>Southampton FC</v>
      </c>
      <c r="D15">
        <v>2</v>
      </c>
      <c r="E15" t="str">
        <v>Watford FC</v>
      </c>
      <c r="F15">
        <v>1</v>
      </c>
      <c r="H15" s="59" cm="1">
        <f t="array" ref="H15">_xlfn.IFS(AND(C15=$N$18,D15&gt;F15),3,AND(E15=$N$18,F15&gt;D15),3,AND(C15=$N$18,D15=F15),1,AND(E15=$N$18,D15=F15),1,AND(C15=$N$18,D15&lt;F15),0,AND(E15=$N$18,F15&lt;D15),0)</f>
        <v>0</v>
      </c>
      <c r="I15">
        <f t="shared" si="0"/>
        <v>0</v>
      </c>
      <c r="J15" s="59">
        <f t="shared" si="1"/>
        <v>2</v>
      </c>
      <c r="K15" cm="1">
        <f t="array" ref="K15">_xlfn.IFS(H15=3,1+K14,H15=1,1+K14,H15=0,0)</f>
        <v>0</v>
      </c>
      <c r="L15" cm="1">
        <f t="array" ref="L15">_xlfn.IFS(H15=0,1+L14,H15=1,1+L14,H15=3,0)</f>
        <v>2</v>
      </c>
    </row>
    <row r="16" spans="1:20" x14ac:dyDescent="0.2">
      <c r="A16">
        <v>15</v>
      </c>
      <c r="B16" s="1">
        <v>43803</v>
      </c>
      <c r="C16" t="str">
        <v>Leicester City FC</v>
      </c>
      <c r="D16">
        <v>2</v>
      </c>
      <c r="E16" t="str">
        <v>Watford FC</v>
      </c>
      <c r="F16">
        <v>0</v>
      </c>
      <c r="H16" s="59" cm="1">
        <f t="array" ref="H16">_xlfn.IFS(AND(C16=$N$18,D16&gt;F16),3,AND(E16=$N$18,F16&gt;D16),3,AND(C16=$N$18,D16=F16),1,AND(E16=$N$18,D16=F16),1,AND(C16=$N$18,D16&lt;F16),0,AND(E16=$N$18,F16&lt;D16),0)</f>
        <v>0</v>
      </c>
      <c r="I16">
        <f t="shared" si="0"/>
        <v>0</v>
      </c>
      <c r="J16" s="59">
        <f t="shared" si="1"/>
        <v>3</v>
      </c>
      <c r="K16" cm="1">
        <f t="array" ref="K16">_xlfn.IFS(H16=3,1+K15,H16=1,1+K15,H16=0,0)</f>
        <v>0</v>
      </c>
      <c r="L16" cm="1">
        <f t="array" ref="L16">_xlfn.IFS(H16=0,1+L15,H16=1,1+L15,H16=3,0)</f>
        <v>3</v>
      </c>
    </row>
    <row r="17" spans="1:22" x14ac:dyDescent="0.2">
      <c r="A17">
        <v>16</v>
      </c>
      <c r="B17" s="1">
        <v>43806</v>
      </c>
      <c r="C17" t="str">
        <v>Watford FC</v>
      </c>
      <c r="D17">
        <v>0</v>
      </c>
      <c r="E17" t="str">
        <v>Crystal Palace FC</v>
      </c>
      <c r="F17">
        <v>0</v>
      </c>
      <c r="H17" s="59" cm="1">
        <f t="array" ref="H17">_xlfn.IFS(AND(C17=$N$18,D17&gt;F17),3,AND(E17=$N$18,F17&gt;D17),3,AND(C17=$N$18,D17=F17),1,AND(E17=$N$18,D17=F17),1,AND(C17=$N$18,D17&lt;F17),0,AND(E17=$N$18,F17&lt;D17),0)</f>
        <v>1</v>
      </c>
      <c r="I17">
        <f t="shared" si="0"/>
        <v>0</v>
      </c>
      <c r="J17" s="59">
        <f t="shared" si="1"/>
        <v>0</v>
      </c>
      <c r="K17" cm="1">
        <f t="array" ref="K17">_xlfn.IFS(H17=3,1+K16,H17=1,1+K16,H17=0,0)</f>
        <v>1</v>
      </c>
      <c r="L17" cm="1">
        <f t="array" ref="L17">_xlfn.IFS(H17=0,1+L16,H17=1,1+L16,H17=3,0)</f>
        <v>4</v>
      </c>
    </row>
    <row r="18" spans="1:22" x14ac:dyDescent="0.2">
      <c r="A18">
        <v>17</v>
      </c>
      <c r="B18" s="1">
        <v>43813</v>
      </c>
      <c r="C18" t="str">
        <v>Liverpool FC</v>
      </c>
      <c r="D18">
        <v>2</v>
      </c>
      <c r="E18" t="str">
        <v>Watford FC</v>
      </c>
      <c r="F18">
        <v>0</v>
      </c>
      <c r="H18" s="59" cm="1">
        <f t="array" ref="H18">_xlfn.IFS(AND(C18=$N$18,D18&gt;F18),3,AND(E18=$N$18,F18&gt;D18),3,AND(C18=$N$18,D18=F18),1,AND(E18=$N$18,D18=F18),1,AND(C18=$N$18,D18&lt;F18),0,AND(E18=$N$18,F18&lt;D18),0)</f>
        <v>0</v>
      </c>
      <c r="I18">
        <f t="shared" si="0"/>
        <v>0</v>
      </c>
      <c r="J18" s="59">
        <f t="shared" si="1"/>
        <v>1</v>
      </c>
      <c r="K18" cm="1">
        <f t="array" ref="K18">_xlfn.IFS(H18=3,1+K17,H18=1,1+K17,H18=0,0)</f>
        <v>0</v>
      </c>
      <c r="L18" cm="1">
        <f t="array" ref="L18">_xlfn.IFS(H18=0,1+L17,H18=1,1+L17,H18=3,0)</f>
        <v>5</v>
      </c>
      <c r="N18" s="14" t="str">
        <f>C2</f>
        <v>Watford FC</v>
      </c>
      <c r="O18" s="9" t="s">
        <v>12</v>
      </c>
      <c r="P18" s="7" t="s">
        <v>13</v>
      </c>
      <c r="Q18" s="6" t="s">
        <v>14</v>
      </c>
      <c r="R18" s="8" t="s">
        <v>15</v>
      </c>
      <c r="S18" s="9" t="s">
        <v>16</v>
      </c>
      <c r="T18" s="9" t="s">
        <v>17</v>
      </c>
      <c r="U18" s="9" t="s">
        <v>18</v>
      </c>
      <c r="V18" s="9" t="s">
        <v>19</v>
      </c>
    </row>
    <row r="19" spans="1:22" x14ac:dyDescent="0.2">
      <c r="A19">
        <v>18</v>
      </c>
      <c r="B19" s="1">
        <v>43821</v>
      </c>
      <c r="C19" t="str">
        <v>Watford FC</v>
      </c>
      <c r="D19">
        <v>2</v>
      </c>
      <c r="E19" t="str">
        <v>Manchester United FC</v>
      </c>
      <c r="F19">
        <v>0</v>
      </c>
      <c r="H19" s="59" cm="1">
        <f t="array" ref="H19">_xlfn.IFS(AND(C19=$N$18,D19&gt;F19),3,AND(E19=$N$18,F19&gt;D19),3,AND(C19=$N$18,D19=F19),1,AND(E19=$N$18,D19=F19),1,AND(C19=$N$18,D19&lt;F19),0,AND(E19=$N$18,F19&lt;D19),0)</f>
        <v>3</v>
      </c>
      <c r="I19">
        <f t="shared" si="0"/>
        <v>1</v>
      </c>
      <c r="J19" s="59">
        <f t="shared" si="1"/>
        <v>0</v>
      </c>
      <c r="K19" cm="1">
        <f t="array" ref="K19">_xlfn.IFS(H19=3,1+K18,H19=1,1+K18,H19=0,0)</f>
        <v>1</v>
      </c>
      <c r="L19" cm="1">
        <f t="array" ref="L19">_xlfn.IFS(H19=0,1+L18,H19=1,1+L18,H19=3,0)</f>
        <v>0</v>
      </c>
      <c r="N19" s="10" t="s">
        <v>22</v>
      </c>
      <c r="O19" s="11">
        <f>COUNT(A2:A39)</f>
        <v>38</v>
      </c>
      <c r="P19" s="5" cm="1">
        <f t="array" ref="P19">SUMPRODUCT(((C2:C39=$N$18)*(D2:D39&gt;F2:F39))+((E2:E39=$N$18)*(F2:F39&gt;D2:D39)))</f>
        <v>8</v>
      </c>
      <c r="Q19" s="12" cm="1">
        <f t="array" ref="Q19">SUMPRODUCT(((C2:C39=$N$18)*(D2:D39=F2:F39))+((E2:E39=$N$18)*(F2:F39=D2:D39)))</f>
        <v>10</v>
      </c>
      <c r="R19" s="13" cm="1">
        <f t="array" ref="R19">SUMPRODUCT(((C2:C39=$N$18)*(D2:D39&lt;F2:F39))+((E2:E39=$N$18)*(F2:F39&lt;D2:D39)))</f>
        <v>20</v>
      </c>
      <c r="S19" s="11">
        <f>SUMIF(C2:C39,N18,D2:D39)+SUMIF(E2:E39,N18,F2:F39)</f>
        <v>36</v>
      </c>
      <c r="T19" s="11">
        <f>SUMIF(C2:C39,N18,F2:F39)+SUMIF(E2:E39,N18,D2:D39)</f>
        <v>64</v>
      </c>
      <c r="U19" s="11">
        <f>S19-T19</f>
        <v>-28</v>
      </c>
      <c r="V19" s="11">
        <f>V20+V21</f>
        <v>34</v>
      </c>
    </row>
    <row r="20" spans="1:22" x14ac:dyDescent="0.2">
      <c r="A20">
        <v>19</v>
      </c>
      <c r="B20" s="1">
        <v>43825</v>
      </c>
      <c r="C20" t="str">
        <v>Sheffield United FC</v>
      </c>
      <c r="D20">
        <v>1</v>
      </c>
      <c r="E20" t="str">
        <v>Watford FC</v>
      </c>
      <c r="F20">
        <v>1</v>
      </c>
      <c r="H20" s="59" cm="1">
        <f t="array" ref="H20">_xlfn.IFS(AND(C20=$N$18,D20&gt;F20),3,AND(E20=$N$18,F20&gt;D20),3,AND(C20=$N$18,D20=F20),1,AND(E20=$N$18,D20=F20),1,AND(C20=$N$18,D20&lt;F20),0,AND(E20=$N$18,F20&lt;D20),0)</f>
        <v>1</v>
      </c>
      <c r="I20">
        <f t="shared" si="0"/>
        <v>0</v>
      </c>
      <c r="J20" s="59">
        <f t="shared" si="1"/>
        <v>0</v>
      </c>
      <c r="K20" cm="1">
        <f t="array" ref="K20">_xlfn.IFS(H20=3,1+K19,H20=1,1+K19,H20=0,0)</f>
        <v>2</v>
      </c>
      <c r="L20" cm="1">
        <f t="array" ref="L20">_xlfn.IFS(H20=0,1+L19,H20=1,1+L19,H20=3,0)</f>
        <v>1</v>
      </c>
      <c r="N20" s="10" t="s">
        <v>2</v>
      </c>
      <c r="O20" s="11">
        <f>COUNTIF(C2:C39,C2)</f>
        <v>19</v>
      </c>
      <c r="P20" s="20" cm="1">
        <f t="array" ref="P20">SUMPRODUCT(((C2:C39=$N$18)*(D2:D39&gt;F2:F39)))</f>
        <v>6</v>
      </c>
      <c r="Q20" s="12" cm="1">
        <f t="array" ref="Q20">SUMPRODUCT(((C2:C39=$N$18)*(D2:D39=F2:F39)))</f>
        <v>6</v>
      </c>
      <c r="R20" s="13" cm="1">
        <f t="array" ref="R20">SUMPRODUCT(((C2:C39=$N$18)*(D2:D39&lt;F2:F39)))</f>
        <v>7</v>
      </c>
      <c r="S20" s="11">
        <f>SUMIF(C2:C39,N18,D2:D39)</f>
        <v>22</v>
      </c>
      <c r="T20" s="11">
        <f>SUMIF(C2:C39,N18,F2:F39)</f>
        <v>27</v>
      </c>
      <c r="U20" s="11">
        <f>S20-T20</f>
        <v>-5</v>
      </c>
      <c r="V20" s="11">
        <f>(P20*3)+Q20</f>
        <v>24</v>
      </c>
    </row>
    <row r="21" spans="1:22" x14ac:dyDescent="0.2">
      <c r="A21">
        <v>20</v>
      </c>
      <c r="B21" s="1">
        <v>43827</v>
      </c>
      <c r="C21" t="str">
        <v>Watford FC</v>
      </c>
      <c r="D21">
        <v>3</v>
      </c>
      <c r="E21" t="str">
        <v>Aston Villa FC</v>
      </c>
      <c r="F21">
        <v>0</v>
      </c>
      <c r="H21" s="59" cm="1">
        <f t="array" ref="H21">_xlfn.IFS(AND(C21=$N$18,D21&gt;F21),3,AND(E21=$N$18,F21&gt;D21),3,AND(C21=$N$18,D21=F21),1,AND(E21=$N$18,D21=F21),1,AND(C21=$N$18,D21&lt;F21),0,AND(E21=$N$18,F21&lt;D21),0)</f>
        <v>3</v>
      </c>
      <c r="I21">
        <f t="shared" si="0"/>
        <v>1</v>
      </c>
      <c r="J21" s="59">
        <f t="shared" si="1"/>
        <v>0</v>
      </c>
      <c r="K21" cm="1">
        <f t="array" ref="K21">_xlfn.IFS(H21=3,1+K20,H21=1,1+K20,H21=0,0)</f>
        <v>3</v>
      </c>
      <c r="L21" cm="1">
        <f t="array" ref="L21">_xlfn.IFS(H21=0,1+L20,H21=1,1+L20,H21=3,0)</f>
        <v>0</v>
      </c>
      <c r="N21" s="10" t="s">
        <v>4</v>
      </c>
      <c r="O21" s="11">
        <f>COUNTIF(E2:E39,E3)</f>
        <v>19</v>
      </c>
      <c r="P21" s="5" cm="1">
        <f t="array" ref="P21">SUMPRODUCT(((E2:E39=$N$18)*(F2:F39&gt;D2:D39)))</f>
        <v>2</v>
      </c>
      <c r="Q21" s="12" cm="1">
        <f t="array" ref="Q21">SUMPRODUCT(((E2:E39=$N$18)*(F2:F39=D2:D39)))</f>
        <v>4</v>
      </c>
      <c r="R21" s="13" cm="1">
        <f t="array" ref="R21">SUMPRODUCT(((E2:E39=$N$18)*(F2:F39&lt;D2:D39)))</f>
        <v>13</v>
      </c>
      <c r="S21" s="11">
        <f>SUMIF(E2:E39,N18,F2:F39)</f>
        <v>14</v>
      </c>
      <c r="T21" s="11">
        <f>SUMIF(E2:E39,N18,D2:D39)</f>
        <v>37</v>
      </c>
      <c r="U21" s="11">
        <f>S21-T21</f>
        <v>-23</v>
      </c>
      <c r="V21" s="11">
        <f>(P21*3)+Q21</f>
        <v>10</v>
      </c>
    </row>
    <row r="22" spans="1:22" x14ac:dyDescent="0.2">
      <c r="A22">
        <v>21</v>
      </c>
      <c r="B22" s="1">
        <v>43831</v>
      </c>
      <c r="C22" t="str">
        <v>Watford FC</v>
      </c>
      <c r="D22">
        <v>2</v>
      </c>
      <c r="E22" t="str">
        <v>Wolverhampton Wanderers FC</v>
      </c>
      <c r="F22">
        <v>1</v>
      </c>
      <c r="H22" s="59" cm="1">
        <f t="array" ref="H22">_xlfn.IFS(AND(C22=$N$18,D22&gt;F22),3,AND(E22=$N$18,F22&gt;D22),3,AND(C22=$N$18,D22=F22),1,AND(E22=$N$18,D22=F22),1,AND(C22=$N$18,D22&lt;F22),0,AND(E22=$N$18,F22&lt;D22),0)</f>
        <v>3</v>
      </c>
      <c r="I22">
        <f t="shared" si="0"/>
        <v>2</v>
      </c>
      <c r="J22" s="59">
        <f t="shared" si="1"/>
        <v>0</v>
      </c>
      <c r="K22" cm="1">
        <f t="array" ref="K22">_xlfn.IFS(H22=3,1+K21,H22=1,1+K21,H22=0,0)</f>
        <v>4</v>
      </c>
      <c r="L22" cm="1">
        <f t="array" ref="L22">_xlfn.IFS(H22=0,1+L21,H22=1,1+L21,H22=3,0)</f>
        <v>0</v>
      </c>
    </row>
    <row r="23" spans="1:22" x14ac:dyDescent="0.2">
      <c r="A23">
        <v>22</v>
      </c>
      <c r="B23" s="1">
        <v>43842</v>
      </c>
      <c r="C23" t="str">
        <v>AFC Bournemouth</v>
      </c>
      <c r="D23">
        <v>0</v>
      </c>
      <c r="E23" t="str">
        <v>Watford FC</v>
      </c>
      <c r="F23">
        <v>3</v>
      </c>
      <c r="H23" s="59" cm="1">
        <f t="array" ref="H23">_xlfn.IFS(AND(C23=$N$18,D23&gt;F23),3,AND(E23=$N$18,F23&gt;D23),3,AND(C23=$N$18,D23=F23),1,AND(E23=$N$18,D23=F23),1,AND(C23=$N$18,D23&lt;F23),0,AND(E23=$N$18,F23&lt;D23),0)</f>
        <v>3</v>
      </c>
      <c r="I23">
        <f t="shared" si="0"/>
        <v>3</v>
      </c>
      <c r="J23" s="59">
        <f t="shared" si="1"/>
        <v>0</v>
      </c>
      <c r="K23" cm="1">
        <f t="array" ref="K23">_xlfn.IFS(H23=3,1+K22,H23=1,1+K22,H23=0,0)</f>
        <v>5</v>
      </c>
      <c r="L23" cm="1">
        <f t="array" ref="L23">_xlfn.IFS(H23=0,1+L22,H23=1,1+L22,H23=3,0)</f>
        <v>0</v>
      </c>
    </row>
    <row r="24" spans="1:22" x14ac:dyDescent="0.2">
      <c r="A24">
        <v>23</v>
      </c>
      <c r="B24" s="1">
        <v>43848</v>
      </c>
      <c r="C24" t="str">
        <v>Watford FC</v>
      </c>
      <c r="D24">
        <v>0</v>
      </c>
      <c r="E24" t="str">
        <v>Tottenham Hotspur FC</v>
      </c>
      <c r="F24">
        <v>0</v>
      </c>
      <c r="H24" s="59" cm="1">
        <f t="array" ref="H24">_xlfn.IFS(AND(C24=$N$18,D24&gt;F24),3,AND(E24=$N$18,F24&gt;D24),3,AND(C24=$N$18,D24=F24),1,AND(E24=$N$18,D24=F24),1,AND(C24=$N$18,D24&lt;F24),0,AND(E24=$N$18,F24&lt;D24),0)</f>
        <v>1</v>
      </c>
      <c r="I24">
        <f t="shared" si="0"/>
        <v>0</v>
      </c>
      <c r="J24" s="59">
        <f t="shared" si="1"/>
        <v>0</v>
      </c>
      <c r="K24" cm="1">
        <f t="array" ref="K24">_xlfn.IFS(H24=3,1+K23,H24=1,1+K23,H24=0,0)</f>
        <v>6</v>
      </c>
      <c r="L24" cm="1">
        <f t="array" ref="L24">_xlfn.IFS(H24=0,1+L23,H24=1,1+L23,H24=3,0)</f>
        <v>1</v>
      </c>
    </row>
    <row r="25" spans="1:22" x14ac:dyDescent="0.2">
      <c r="A25">
        <v>24</v>
      </c>
      <c r="B25" s="1">
        <v>43851</v>
      </c>
      <c r="C25" t="str">
        <v>Aston Villa FC</v>
      </c>
      <c r="D25">
        <v>2</v>
      </c>
      <c r="E25" t="str">
        <v>Watford FC</v>
      </c>
      <c r="F25">
        <v>1</v>
      </c>
      <c r="H25" s="59" cm="1">
        <f t="array" ref="H25">_xlfn.IFS(AND(C25=$N$18,D25&gt;F25),3,AND(E25=$N$18,F25&gt;D25),3,AND(C25=$N$18,D25=F25),1,AND(E25=$N$18,D25=F25),1,AND(C25=$N$18,D25&lt;F25),0,AND(E25=$N$18,F25&lt;D25),0)</f>
        <v>0</v>
      </c>
      <c r="I25">
        <f t="shared" si="0"/>
        <v>0</v>
      </c>
      <c r="J25" s="59">
        <f t="shared" si="1"/>
        <v>1</v>
      </c>
      <c r="K25" cm="1">
        <f t="array" ref="K25">_xlfn.IFS(H25=3,1+K24,H25=1,1+K24,H25=0,0)</f>
        <v>0</v>
      </c>
      <c r="L25" cm="1">
        <f t="array" ref="L25">_xlfn.IFS(H25=0,1+L24,H25=1,1+L24,H25=3,0)</f>
        <v>2</v>
      </c>
    </row>
    <row r="26" spans="1:22" x14ac:dyDescent="0.2">
      <c r="A26">
        <v>25</v>
      </c>
      <c r="B26" s="1">
        <v>43862</v>
      </c>
      <c r="C26" t="str">
        <v>Watford FC</v>
      </c>
      <c r="D26">
        <v>2</v>
      </c>
      <c r="E26" t="str">
        <v>Everton FC</v>
      </c>
      <c r="F26">
        <v>3</v>
      </c>
      <c r="H26" s="59" cm="1">
        <f t="array" ref="H26">_xlfn.IFS(AND(C26=$N$18,D26&gt;F26),3,AND(E26=$N$18,F26&gt;D26),3,AND(C26=$N$18,D26=F26),1,AND(E26=$N$18,D26=F26),1,AND(C26=$N$18,D26&lt;F26),0,AND(E26=$N$18,F26&lt;D26),0)</f>
        <v>0</v>
      </c>
      <c r="I26">
        <f t="shared" si="0"/>
        <v>0</v>
      </c>
      <c r="J26" s="59">
        <f t="shared" si="1"/>
        <v>2</v>
      </c>
      <c r="K26" cm="1">
        <f t="array" ref="K26">_xlfn.IFS(H26=3,1+K25,H26=1,1+K25,H26=0,0)</f>
        <v>0</v>
      </c>
      <c r="L26" cm="1">
        <f t="array" ref="L26">_xlfn.IFS(H26=0,1+L25,H26=1,1+L25,H26=3,0)</f>
        <v>3</v>
      </c>
    </row>
    <row r="27" spans="1:22" x14ac:dyDescent="0.2">
      <c r="A27">
        <v>26</v>
      </c>
      <c r="B27" s="1">
        <v>43869</v>
      </c>
      <c r="C27" t="str">
        <v>Brighton &amp; Hove Albion FC</v>
      </c>
      <c r="D27">
        <v>1</v>
      </c>
      <c r="E27" t="str">
        <v>Watford FC</v>
      </c>
      <c r="F27">
        <v>1</v>
      </c>
      <c r="H27" s="59" cm="1">
        <f t="array" ref="H27">_xlfn.IFS(AND(C27=$N$18,D27&gt;F27),3,AND(E27=$N$18,F27&gt;D27),3,AND(C27=$N$18,D27=F27),1,AND(E27=$N$18,D27=F27),1,AND(C27=$N$18,D27&lt;F27),0,AND(E27=$N$18,F27&lt;D27),0)</f>
        <v>1</v>
      </c>
      <c r="I27">
        <f t="shared" si="0"/>
        <v>0</v>
      </c>
      <c r="J27" s="59">
        <f t="shared" si="1"/>
        <v>0</v>
      </c>
      <c r="K27" cm="1">
        <f t="array" ref="K27">_xlfn.IFS(H27=3,1+K26,H27=1,1+K26,H27=0,0)</f>
        <v>1</v>
      </c>
      <c r="L27" cm="1">
        <f t="array" ref="L27">_xlfn.IFS(H27=0,1+L26,H27=1,1+L26,H27=3,0)</f>
        <v>4</v>
      </c>
    </row>
    <row r="28" spans="1:22" x14ac:dyDescent="0.2">
      <c r="A28">
        <v>27</v>
      </c>
      <c r="B28" s="1">
        <v>43884</v>
      </c>
      <c r="C28" t="str">
        <v>Manchester United FC</v>
      </c>
      <c r="D28">
        <v>3</v>
      </c>
      <c r="E28" t="str">
        <v>Watford FC</v>
      </c>
      <c r="F28">
        <v>0</v>
      </c>
      <c r="H28" s="59" cm="1">
        <f t="array" ref="H28">_xlfn.IFS(AND(C28=$N$18,D28&gt;F28),3,AND(E28=$N$18,F28&gt;D28),3,AND(C28=$N$18,D28=F28),1,AND(E28=$N$18,D28=F28),1,AND(C28=$N$18,D28&lt;F28),0,AND(E28=$N$18,F28&lt;D28),0)</f>
        <v>0</v>
      </c>
      <c r="I28">
        <f t="shared" si="0"/>
        <v>0</v>
      </c>
      <c r="J28" s="59">
        <f t="shared" si="1"/>
        <v>1</v>
      </c>
      <c r="K28" cm="1">
        <f t="array" ref="K28">_xlfn.IFS(H28=3,1+K27,H28=1,1+K27,H28=0,0)</f>
        <v>0</v>
      </c>
      <c r="L28" cm="1">
        <f t="array" ref="L28">_xlfn.IFS(H28=0,1+L27,H28=1,1+L27,H28=3,0)</f>
        <v>5</v>
      </c>
    </row>
    <row r="29" spans="1:22" x14ac:dyDescent="0.2">
      <c r="A29">
        <v>28</v>
      </c>
      <c r="B29" s="1">
        <v>43890</v>
      </c>
      <c r="C29" t="str">
        <v>Watford FC</v>
      </c>
      <c r="D29">
        <v>3</v>
      </c>
      <c r="E29" t="str">
        <v>Liverpool FC</v>
      </c>
      <c r="F29">
        <v>0</v>
      </c>
      <c r="H29" s="59" cm="1">
        <f t="array" ref="H29">_xlfn.IFS(AND(C29=$N$18,D29&gt;F29),3,AND(E29=$N$18,F29&gt;D29),3,AND(C29=$N$18,D29=F29),1,AND(E29=$N$18,D29=F29),1,AND(C29=$N$18,D29&lt;F29),0,AND(E29=$N$18,F29&lt;D29),0)</f>
        <v>3</v>
      </c>
      <c r="I29">
        <f t="shared" si="0"/>
        <v>1</v>
      </c>
      <c r="J29" s="59">
        <f t="shared" si="1"/>
        <v>0</v>
      </c>
      <c r="K29" cm="1">
        <f t="array" ref="K29">_xlfn.IFS(H29=3,1+K28,H29=1,1+K28,H29=0,0)</f>
        <v>1</v>
      </c>
      <c r="L29" cm="1">
        <f t="array" ref="L29">_xlfn.IFS(H29=0,1+L28,H29=1,1+L28,H29=3,0)</f>
        <v>0</v>
      </c>
    </row>
    <row r="30" spans="1:22" x14ac:dyDescent="0.2">
      <c r="A30">
        <v>29</v>
      </c>
      <c r="B30" s="1">
        <v>43897</v>
      </c>
      <c r="C30" t="str">
        <v>Crystal Palace FC</v>
      </c>
      <c r="D30">
        <v>1</v>
      </c>
      <c r="E30" t="str">
        <v>Watford FC</v>
      </c>
      <c r="F30">
        <v>0</v>
      </c>
      <c r="H30" s="59" cm="1">
        <f t="array" ref="H30">_xlfn.IFS(AND(C30=$N$18,D30&gt;F30),3,AND(E30=$N$18,F30&gt;D30),3,AND(C30=$N$18,D30=F30),1,AND(E30=$N$18,D30=F30),1,AND(C30=$N$18,D30&lt;F30),0,AND(E30=$N$18,F30&lt;D30),0)</f>
        <v>0</v>
      </c>
      <c r="I30">
        <f t="shared" si="0"/>
        <v>0</v>
      </c>
      <c r="J30" s="59">
        <f t="shared" si="1"/>
        <v>1</v>
      </c>
      <c r="K30" cm="1">
        <f t="array" ref="K30">_xlfn.IFS(H30=3,1+K29,H30=1,1+K29,H30=0,0)</f>
        <v>0</v>
      </c>
      <c r="L30" cm="1">
        <f t="array" ref="L30">_xlfn.IFS(H30=0,1+L29,H30=1,1+L29,H30=3,0)</f>
        <v>1</v>
      </c>
    </row>
    <row r="31" spans="1:22" x14ac:dyDescent="0.2">
      <c r="A31">
        <v>30</v>
      </c>
      <c r="B31" s="1">
        <v>44002</v>
      </c>
      <c r="C31" t="str">
        <v>Watford FC</v>
      </c>
      <c r="D31">
        <v>1</v>
      </c>
      <c r="E31" t="str">
        <v>Leicester City FC</v>
      </c>
      <c r="F31">
        <v>1</v>
      </c>
      <c r="H31" s="59" cm="1">
        <f t="array" ref="H31">_xlfn.IFS(AND(C31=$N$18,D31&gt;F31),3,AND(E31=$N$18,F31&gt;D31),3,AND(C31=$N$18,D31=F31),1,AND(E31=$N$18,D31=F31),1,AND(C31=$N$18,D31&lt;F31),0,AND(E31=$N$18,F31&lt;D31),0)</f>
        <v>1</v>
      </c>
      <c r="I31">
        <f t="shared" si="0"/>
        <v>0</v>
      </c>
      <c r="J31" s="59">
        <f t="shared" si="1"/>
        <v>0</v>
      </c>
      <c r="K31" cm="1">
        <f t="array" ref="K31">_xlfn.IFS(H31=3,1+K30,H31=1,1+K30,H31=0,0)</f>
        <v>1</v>
      </c>
      <c r="L31" cm="1">
        <f t="array" ref="L31">_xlfn.IFS(H31=0,1+L30,H31=1,1+L30,H31=3,0)</f>
        <v>2</v>
      </c>
    </row>
    <row r="32" spans="1:22" x14ac:dyDescent="0.2">
      <c r="A32">
        <v>31</v>
      </c>
      <c r="B32" s="1">
        <v>44007</v>
      </c>
      <c r="C32" t="str">
        <v>Burnley FC</v>
      </c>
      <c r="D32">
        <v>1</v>
      </c>
      <c r="E32" t="str">
        <v>Watford FC</v>
      </c>
      <c r="F32">
        <v>0</v>
      </c>
      <c r="H32" s="59" cm="1">
        <f t="array" ref="H32">_xlfn.IFS(AND(C32=$N$18,D32&gt;F32),3,AND(E32=$N$18,F32&gt;D32),3,AND(C32=$N$18,D32=F32),1,AND(E32=$N$18,D32=F32),1,AND(C32=$N$18,D32&lt;F32),0,AND(E32=$N$18,F32&lt;D32),0)</f>
        <v>0</v>
      </c>
      <c r="I32">
        <f t="shared" si="0"/>
        <v>0</v>
      </c>
      <c r="J32" s="59">
        <f t="shared" si="1"/>
        <v>1</v>
      </c>
      <c r="K32" cm="1">
        <f t="array" ref="K32">_xlfn.IFS(H32=3,1+K31,H32=1,1+K31,H32=0,0)</f>
        <v>0</v>
      </c>
      <c r="L32" cm="1">
        <f t="array" ref="L32">_xlfn.IFS(H32=0,1+L31,H32=1,1+L31,H32=3,0)</f>
        <v>3</v>
      </c>
    </row>
    <row r="33" spans="1:12" x14ac:dyDescent="0.2">
      <c r="A33">
        <v>32</v>
      </c>
      <c r="B33" s="1">
        <v>44010</v>
      </c>
      <c r="C33" t="str">
        <v>Watford FC</v>
      </c>
      <c r="D33">
        <v>1</v>
      </c>
      <c r="E33" t="str">
        <v>Southampton FC</v>
      </c>
      <c r="F33">
        <v>3</v>
      </c>
      <c r="H33" s="59" cm="1">
        <f t="array" ref="H33">_xlfn.IFS(AND(C33=$N$18,D33&gt;F33),3,AND(E33=$N$18,F33&gt;D33),3,AND(C33=$N$18,D33=F33),1,AND(E33=$N$18,D33=F33),1,AND(C33=$N$18,D33&lt;F33),0,AND(E33=$N$18,F33&lt;D33),0)</f>
        <v>0</v>
      </c>
      <c r="I33">
        <f t="shared" si="0"/>
        <v>0</v>
      </c>
      <c r="J33" s="59">
        <f t="shared" si="1"/>
        <v>2</v>
      </c>
      <c r="K33" cm="1">
        <f t="array" ref="K33">_xlfn.IFS(H33=3,1+K32,H33=1,1+K32,H33=0,0)</f>
        <v>0</v>
      </c>
      <c r="L33" cm="1">
        <f t="array" ref="L33">_xlfn.IFS(H33=0,1+L32,H33=1,1+L32,H33=3,0)</f>
        <v>4</v>
      </c>
    </row>
    <row r="34" spans="1:12" x14ac:dyDescent="0.2">
      <c r="A34">
        <v>33</v>
      </c>
      <c r="B34" s="1">
        <v>44016</v>
      </c>
      <c r="C34" t="str">
        <v>Chelsea FC</v>
      </c>
      <c r="D34">
        <v>3</v>
      </c>
      <c r="E34" t="str">
        <v>Watford FC</v>
      </c>
      <c r="F34">
        <v>0</v>
      </c>
      <c r="H34" s="59" cm="1">
        <f t="array" ref="H34">_xlfn.IFS(AND(C34=$N$18,D34&gt;F34),3,AND(E34=$N$18,F34&gt;D34),3,AND(C34=$N$18,D34=F34),1,AND(E34=$N$18,D34=F34),1,AND(C34=$N$18,D34&lt;F34),0,AND(E34=$N$18,F34&lt;D34),0)</f>
        <v>0</v>
      </c>
      <c r="I34">
        <f t="shared" si="0"/>
        <v>0</v>
      </c>
      <c r="J34" s="59">
        <f t="shared" si="1"/>
        <v>3</v>
      </c>
      <c r="K34" cm="1">
        <f t="array" ref="K34">_xlfn.IFS(H34=3,1+K33,H34=1,1+K33,H34=0,0)</f>
        <v>0</v>
      </c>
      <c r="L34" cm="1">
        <f t="array" ref="L34">_xlfn.IFS(H34=0,1+L33,H34=1,1+L33,H34=3,0)</f>
        <v>5</v>
      </c>
    </row>
    <row r="35" spans="1:12" x14ac:dyDescent="0.2">
      <c r="A35">
        <v>34</v>
      </c>
      <c r="B35" s="1">
        <v>44019</v>
      </c>
      <c r="C35" t="str">
        <v>Watford FC</v>
      </c>
      <c r="D35">
        <v>2</v>
      </c>
      <c r="E35" t="str">
        <v>Norwich City FC</v>
      </c>
      <c r="F35">
        <v>1</v>
      </c>
      <c r="H35" s="59" cm="1">
        <f t="array" ref="H35">_xlfn.IFS(AND(C35=$N$18,D35&gt;F35),3,AND(E35=$N$18,F35&gt;D35),3,AND(C35=$N$18,D35=F35),1,AND(E35=$N$18,D35=F35),1,AND(C35=$N$18,D35&lt;F35),0,AND(E35=$N$18,F35&lt;D35),0)</f>
        <v>3</v>
      </c>
      <c r="I35">
        <f t="shared" si="0"/>
        <v>1</v>
      </c>
      <c r="J35" s="59">
        <f t="shared" si="1"/>
        <v>0</v>
      </c>
      <c r="K35" cm="1">
        <f t="array" ref="K35">_xlfn.IFS(H35=3,1+K34,H35=1,1+K34,H35=0,0)</f>
        <v>1</v>
      </c>
      <c r="L35" cm="1">
        <f t="array" ref="L35">_xlfn.IFS(H35=0,1+L34,H35=1,1+L34,H35=3,0)</f>
        <v>0</v>
      </c>
    </row>
    <row r="36" spans="1:12" x14ac:dyDescent="0.2">
      <c r="A36">
        <v>35</v>
      </c>
      <c r="B36" s="1">
        <v>44023</v>
      </c>
      <c r="C36" t="str">
        <v>Watford FC</v>
      </c>
      <c r="D36">
        <v>2</v>
      </c>
      <c r="E36" t="str">
        <v>Newcastle United FC</v>
      </c>
      <c r="F36">
        <v>1</v>
      </c>
      <c r="H36" s="59" cm="1">
        <f t="array" ref="H36">_xlfn.IFS(AND(C36=$N$18,D36&gt;F36),3,AND(E36=$N$18,F36&gt;D36),3,AND(C36=$N$18,D36=F36),1,AND(E36=$N$18,D36=F36),1,AND(C36=$N$18,D36&lt;F36),0,AND(E36=$N$18,F36&lt;D36),0)</f>
        <v>3</v>
      </c>
      <c r="I36">
        <f t="shared" si="0"/>
        <v>2</v>
      </c>
      <c r="J36" s="59">
        <f t="shared" si="1"/>
        <v>0</v>
      </c>
      <c r="K36" cm="1">
        <f t="array" ref="K36">_xlfn.IFS(H36=3,1+K35,H36=1,1+K35,H36=0,0)</f>
        <v>2</v>
      </c>
      <c r="L36" cm="1">
        <f t="array" ref="L36">_xlfn.IFS(H36=0,1+L35,H36=1,1+L35,H36=3,0)</f>
        <v>0</v>
      </c>
    </row>
    <row r="37" spans="1:12" x14ac:dyDescent="0.2">
      <c r="A37">
        <v>36</v>
      </c>
      <c r="B37" s="1">
        <v>44029</v>
      </c>
      <c r="C37" t="str">
        <v>West Ham United FC</v>
      </c>
      <c r="D37">
        <v>3</v>
      </c>
      <c r="E37" t="str">
        <v>Watford FC</v>
      </c>
      <c r="F37">
        <v>1</v>
      </c>
      <c r="H37" s="59" cm="1">
        <f t="array" ref="H37">_xlfn.IFS(AND(C37=$N$18,D37&gt;F37),3,AND(E37=$N$18,F37&gt;D37),3,AND(C37=$N$18,D37=F37),1,AND(E37=$N$18,D37=F37),1,AND(C37=$N$18,D37&lt;F37),0,AND(E37=$N$18,F37&lt;D37),0)</f>
        <v>0</v>
      </c>
      <c r="I37">
        <f t="shared" si="0"/>
        <v>0</v>
      </c>
      <c r="J37" s="59">
        <f t="shared" si="1"/>
        <v>1</v>
      </c>
      <c r="K37" cm="1">
        <f t="array" ref="K37">_xlfn.IFS(H37=3,1+K36,H37=1,1+K36,H37=0,0)</f>
        <v>0</v>
      </c>
      <c r="L37" cm="1">
        <f t="array" ref="L37">_xlfn.IFS(H37=0,1+L36,H37=1,1+L36,H37=3,0)</f>
        <v>1</v>
      </c>
    </row>
    <row r="38" spans="1:12" x14ac:dyDescent="0.2">
      <c r="A38">
        <v>37</v>
      </c>
      <c r="B38" s="1">
        <v>44033</v>
      </c>
      <c r="C38" t="str">
        <v>Watford FC</v>
      </c>
      <c r="D38">
        <v>0</v>
      </c>
      <c r="E38" t="str">
        <v>Manchester City FC</v>
      </c>
      <c r="F38">
        <v>4</v>
      </c>
      <c r="H38" s="59" cm="1">
        <f t="array" ref="H38">_xlfn.IFS(AND(C38=$N$18,D38&gt;F38),3,AND(E38=$N$18,F38&gt;D38),3,AND(C38=$N$18,D38=F38),1,AND(E38=$N$18,D38=F38),1,AND(C38=$N$18,D38&lt;F38),0,AND(E38=$N$18,F38&lt;D38),0)</f>
        <v>0</v>
      </c>
      <c r="I38">
        <f t="shared" si="0"/>
        <v>0</v>
      </c>
      <c r="J38" s="59">
        <f t="shared" si="1"/>
        <v>2</v>
      </c>
      <c r="K38" cm="1">
        <f t="array" ref="K38">_xlfn.IFS(H38=3,1+K37,H38=1,1+K37,H38=0,0)</f>
        <v>0</v>
      </c>
      <c r="L38" cm="1">
        <f t="array" ref="L38">_xlfn.IFS(H38=0,1+L37,H38=1,1+L37,H38=3,0)</f>
        <v>2</v>
      </c>
    </row>
    <row r="39" spans="1:12" x14ac:dyDescent="0.2">
      <c r="A39">
        <v>38</v>
      </c>
      <c r="B39" s="1">
        <v>44038</v>
      </c>
      <c r="C39" t="str">
        <v>Arsenal FC</v>
      </c>
      <c r="D39">
        <v>3</v>
      </c>
      <c r="E39" t="str">
        <v>Watford FC</v>
      </c>
      <c r="F39">
        <v>2</v>
      </c>
      <c r="H39" s="59" cm="1">
        <f t="array" ref="H39">_xlfn.IFS(AND(C39=$N$18,D39&gt;F39),3,AND(E39=$N$18,F39&gt;D39),3,AND(C39=$N$18,D39=F39),1,AND(E39=$N$18,D39=F39),1,AND(C39=$N$18,D39&lt;F39),0,AND(E39=$N$18,F39&lt;D39),0)</f>
        <v>0</v>
      </c>
      <c r="I39">
        <f t="shared" si="0"/>
        <v>0</v>
      </c>
      <c r="J39" s="59">
        <f t="shared" si="1"/>
        <v>3</v>
      </c>
      <c r="K39" cm="1">
        <f t="array" ref="K39">_xlfn.IFS(H39=3,1+K38,H39=1,1+K38,H39=0,0)</f>
        <v>0</v>
      </c>
      <c r="L39" cm="1">
        <f t="array" ref="L39">_xlfn.IFS(H39=0,1+L38,H39=1,1+L38,H39=3,0)</f>
        <v>3</v>
      </c>
    </row>
  </sheetData>
  <conditionalFormatting sqref="G2:G39">
    <cfRule type="expression" dxfId="89" priority="5">
      <formula>AND($E2=$N$18,$F2&gt;$D2)</formula>
    </cfRule>
  </conditionalFormatting>
  <conditionalFormatting sqref="G2:G39">
    <cfRule type="expression" dxfId="88" priority="4">
      <formula>AND($E2=$N$18,$F2&lt;$D2)</formula>
    </cfRule>
  </conditionalFormatting>
  <conditionalFormatting sqref="G2:G39">
    <cfRule type="expression" dxfId="87" priority="3">
      <formula>$D2=$F2</formula>
    </cfRule>
  </conditionalFormatting>
  <conditionalFormatting sqref="G2:G39">
    <cfRule type="expression" dxfId="86" priority="2">
      <formula>AND($C2=$N$18,$D2&lt;$F2)</formula>
    </cfRule>
  </conditionalFormatting>
  <conditionalFormatting sqref="G2:G39">
    <cfRule type="expression" dxfId="85" priority="1">
      <formula>AND($C2=$N$18,$D2&gt;$F2)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5FAF3-1F99-472D-A060-2417FF8227FC}">
  <sheetPr codeName="Sheet11"/>
  <dimension ref="A1:V39"/>
  <sheetViews>
    <sheetView zoomScale="60" zoomScaleNormal="60" workbookViewId="0"/>
  </sheetViews>
  <sheetFormatPr baseColWidth="10" defaultColWidth="8.83203125" defaultRowHeight="15" x14ac:dyDescent="0.2"/>
  <cols>
    <col min="2" max="2" width="11.5" style="1" bestFit="1" customWidth="1"/>
    <col min="3" max="3" width="24" customWidth="1"/>
    <col min="4" max="4" width="12.5" customWidth="1"/>
    <col min="5" max="5" width="23" customWidth="1"/>
    <col min="6" max="6" width="11.83203125" customWidth="1"/>
    <col min="14" max="14" width="27.1640625" bestFit="1" customWidth="1"/>
    <col min="15" max="22" width="10.6640625" customWidth="1"/>
  </cols>
  <sheetData>
    <row r="1" spans="1:20" ht="32" x14ac:dyDescent="0.2">
      <c r="A1" s="67" t="s">
        <v>0</v>
      </c>
      <c r="B1" s="71" t="s">
        <v>1</v>
      </c>
      <c r="C1" s="68" t="s">
        <v>2</v>
      </c>
      <c r="D1" s="68" t="s">
        <v>3</v>
      </c>
      <c r="E1" s="68" t="s">
        <v>4</v>
      </c>
      <c r="F1" s="69" t="s">
        <v>5</v>
      </c>
      <c r="G1" s="70" t="s">
        <v>71</v>
      </c>
      <c r="H1" s="70" t="s">
        <v>19</v>
      </c>
      <c r="I1" s="81" t="s">
        <v>72</v>
      </c>
      <c r="J1" s="81" t="s">
        <v>53</v>
      </c>
      <c r="K1" s="81" t="s">
        <v>55</v>
      </c>
      <c r="L1" s="81" t="s">
        <v>73</v>
      </c>
      <c r="Q1" s="58" t="s">
        <v>74</v>
      </c>
      <c r="R1" t="s">
        <v>75</v>
      </c>
      <c r="S1" t="s">
        <v>76</v>
      </c>
      <c r="T1" s="63" t="s">
        <v>77</v>
      </c>
    </row>
    <row r="2" spans="1:20" x14ac:dyDescent="0.2">
      <c r="A2" cm="1">
        <f t="array" ref="A2:F39">_xlfn._xlws.FILTER(eng_1[],(eng_1[Home]='England 1'!C8)+(eng_1[Away]='England 1'!E18))</f>
        <v>1</v>
      </c>
      <c r="B2" s="1">
        <v>43687</v>
      </c>
      <c r="C2" t="str">
        <v>Tottenham Hotspur FC</v>
      </c>
      <c r="D2">
        <v>3</v>
      </c>
      <c r="E2" t="str">
        <v>Aston Villa FC</v>
      </c>
      <c r="F2">
        <v>1</v>
      </c>
      <c r="H2" s="59" cm="1">
        <f t="array" ref="H2">_xlfn.IFS(AND(C2=$N$18,D2&gt;F2),3,AND(E2=$N$18,F2&gt;D2),3,AND(C2=$N$18,D2=F2),1,AND(E2=$N$18,D2=F2),1,AND(C2=$N$18,D2&lt;F2),0,AND(E2=$N$18,F2&lt;D2),0)</f>
        <v>3</v>
      </c>
      <c r="I2" cm="1">
        <f t="array" ref="I2">_xlfn.IFS(H2=3,1,H2=1,0,H2=0,0)</f>
        <v>1</v>
      </c>
      <c r="J2" s="59" cm="1">
        <f t="array" ref="J2">_xlfn.IFS(H2=0,1,H2=1,0,H2=3,0)</f>
        <v>0</v>
      </c>
      <c r="K2" cm="1">
        <f t="array" ref="K2">_xlfn.IFS(H2=3,1,H2=1,1,H2=0,0)</f>
        <v>1</v>
      </c>
      <c r="L2" cm="1">
        <f t="array" ref="L2">_xlfn.IFS(H2=0,1,H2=1,1,H2=3,0)</f>
        <v>0</v>
      </c>
      <c r="Q2" s="56" t="s">
        <v>78</v>
      </c>
      <c r="R2">
        <v>20</v>
      </c>
      <c r="S2">
        <v>30</v>
      </c>
      <c r="T2" s="60">
        <v>1.5</v>
      </c>
    </row>
    <row r="3" spans="1:20" x14ac:dyDescent="0.2">
      <c r="A3">
        <v>2</v>
      </c>
      <c r="B3" s="1">
        <v>43694</v>
      </c>
      <c r="C3" t="str">
        <v>Manchester City FC</v>
      </c>
      <c r="D3">
        <v>2</v>
      </c>
      <c r="E3" t="str">
        <v>Tottenham Hotspur FC</v>
      </c>
      <c r="F3">
        <v>2</v>
      </c>
      <c r="H3" s="59" cm="1">
        <f t="array" ref="H3">_xlfn.IFS(AND(C3=$N$18,D3&gt;F3),3,AND(E3=$N$18,F3&gt;D3),3,AND(C3=$N$18,D3=F3),1,AND(E3=$N$18,D3=F3),1,AND(C3=$N$18,D3&lt;F3),0,AND(E3=$N$18,F3&lt;D3),0)</f>
        <v>1</v>
      </c>
      <c r="I3">
        <f t="shared" ref="I3:I39" si="0">IF(H3=3,1+I2,0)</f>
        <v>0</v>
      </c>
      <c r="J3" s="59">
        <f t="shared" ref="J3:J39" si="1">IF(H3=0,1+J2,0)</f>
        <v>0</v>
      </c>
      <c r="K3" cm="1">
        <f t="array" ref="K3">_xlfn.IFS(H3=3,1+K2,H3=1,1+K2,H3=0,0)</f>
        <v>2</v>
      </c>
      <c r="L3" cm="1">
        <f t="array" ref="L3">_xlfn.IFS(H3=0,1+L2,H3=1,1+L2,H3=3,0)</f>
        <v>1</v>
      </c>
      <c r="N3" s="48" t="s">
        <v>79</v>
      </c>
      <c r="O3" s="48" t="s">
        <v>80</v>
      </c>
      <c r="Q3" s="57" t="s">
        <v>81</v>
      </c>
      <c r="R3">
        <v>3</v>
      </c>
      <c r="S3">
        <v>4</v>
      </c>
      <c r="T3" s="60">
        <v>1.3333333333333333</v>
      </c>
    </row>
    <row r="4" spans="1:20" x14ac:dyDescent="0.2">
      <c r="A4">
        <v>3</v>
      </c>
      <c r="B4" s="1">
        <v>43702</v>
      </c>
      <c r="C4" t="str">
        <v>Tottenham Hotspur FC</v>
      </c>
      <c r="D4">
        <v>0</v>
      </c>
      <c r="E4" t="str">
        <v>Newcastle United FC</v>
      </c>
      <c r="F4">
        <v>1</v>
      </c>
      <c r="H4" s="59" cm="1">
        <f t="array" ref="H4">_xlfn.IFS(AND(C4=$N$18,D4&gt;F4),3,AND(E4=$N$18,F4&gt;D4),3,AND(C4=$N$18,D4=F4),1,AND(E4=$N$18,D4=F4),1,AND(C4=$N$18,D4&lt;F4),0,AND(E4=$N$18,F4&lt;D4),0)</f>
        <v>0</v>
      </c>
      <c r="I4">
        <f t="shared" si="0"/>
        <v>0</v>
      </c>
      <c r="J4" s="59">
        <f t="shared" si="1"/>
        <v>1</v>
      </c>
      <c r="K4" cm="1">
        <f t="array" ref="K4">_xlfn.IFS(H4=3,1+K3,H4=1,1+K3,H4=0,0)</f>
        <v>0</v>
      </c>
      <c r="L4" cm="1">
        <f t="array" ref="L4">_xlfn.IFS(H4=0,1+L3,H4=1,1+L3,H4=3,0)</f>
        <v>2</v>
      </c>
      <c r="N4" s="49" t="s">
        <v>82</v>
      </c>
      <c r="O4" s="50"/>
      <c r="Q4" s="57" t="s">
        <v>83</v>
      </c>
      <c r="R4">
        <v>4</v>
      </c>
      <c r="S4">
        <v>7</v>
      </c>
      <c r="T4" s="60">
        <v>1.75</v>
      </c>
    </row>
    <row r="5" spans="1:20" x14ac:dyDescent="0.2">
      <c r="A5">
        <v>4</v>
      </c>
      <c r="B5" s="1">
        <v>43709</v>
      </c>
      <c r="C5" t="str">
        <v>Arsenal FC</v>
      </c>
      <c r="D5">
        <v>2</v>
      </c>
      <c r="E5" t="str">
        <v>Tottenham Hotspur FC</v>
      </c>
      <c r="F5">
        <v>2</v>
      </c>
      <c r="H5" s="59" cm="1">
        <f t="array" ref="H5">_xlfn.IFS(AND(C5=$N$18,D5&gt;F5),3,AND(E5=$N$18,F5&gt;D5),3,AND(C5=$N$18,D5=F5),1,AND(E5=$N$18,D5=F5),1,AND(C5=$N$18,D5&lt;F5),0,AND(E5=$N$18,F5&lt;D5),0)</f>
        <v>1</v>
      </c>
      <c r="I5">
        <f t="shared" si="0"/>
        <v>0</v>
      </c>
      <c r="J5" s="59">
        <f t="shared" si="1"/>
        <v>0</v>
      </c>
      <c r="K5" cm="1">
        <f t="array" ref="K5">_xlfn.IFS(H5=3,1+K4,H5=1,1+K4,H5=0,0)</f>
        <v>1</v>
      </c>
      <c r="L5" cm="1">
        <f t="array" ref="L5">_xlfn.IFS(H5=0,1+L4,H5=1,1+L4,H5=3,0)</f>
        <v>3</v>
      </c>
      <c r="N5" s="49" t="s">
        <v>84</v>
      </c>
      <c r="O5" s="51"/>
      <c r="Q5" s="57" t="s">
        <v>85</v>
      </c>
      <c r="R5">
        <v>3</v>
      </c>
      <c r="S5">
        <v>1</v>
      </c>
      <c r="T5" s="60">
        <v>0.33333333333333331</v>
      </c>
    </row>
    <row r="6" spans="1:20" x14ac:dyDescent="0.2">
      <c r="A6">
        <v>5</v>
      </c>
      <c r="B6" s="1">
        <v>43722</v>
      </c>
      <c r="C6" t="str">
        <v>Tottenham Hotspur FC</v>
      </c>
      <c r="D6">
        <v>4</v>
      </c>
      <c r="E6" t="str">
        <v>Crystal Palace FC</v>
      </c>
      <c r="F6">
        <v>0</v>
      </c>
      <c r="H6" s="59" cm="1">
        <f t="array" ref="H6">_xlfn.IFS(AND(C6=$N$18,D6&gt;F6),3,AND(E6=$N$18,F6&gt;D6),3,AND(C6=$N$18,D6=F6),1,AND(E6=$N$18,D6=F6),1,AND(C6=$N$18,D6&lt;F6),0,AND(E6=$N$18,F6&lt;D6),0)</f>
        <v>3</v>
      </c>
      <c r="I6">
        <f t="shared" si="0"/>
        <v>1</v>
      </c>
      <c r="J6" s="59">
        <f t="shared" si="1"/>
        <v>0</v>
      </c>
      <c r="K6" cm="1">
        <f t="array" ref="K6">_xlfn.IFS(H6=3,1+K5,H6=1,1+K5,H6=0,0)</f>
        <v>2</v>
      </c>
      <c r="L6" cm="1">
        <f t="array" ref="L6">_xlfn.IFS(H6=0,1+L5,H6=1,1+L5,H6=3,0)</f>
        <v>0</v>
      </c>
      <c r="N6" s="49" t="s">
        <v>86</v>
      </c>
      <c r="O6" s="52"/>
      <c r="Q6" s="57" t="s">
        <v>87</v>
      </c>
      <c r="R6">
        <v>4</v>
      </c>
      <c r="S6">
        <v>8</v>
      </c>
      <c r="T6" s="60">
        <v>2</v>
      </c>
    </row>
    <row r="7" spans="1:20" x14ac:dyDescent="0.2">
      <c r="A7">
        <v>6</v>
      </c>
      <c r="B7" s="1">
        <v>43729</v>
      </c>
      <c r="C7" t="str">
        <v>Leicester City FC</v>
      </c>
      <c r="D7">
        <v>2</v>
      </c>
      <c r="E7" t="str">
        <v>Tottenham Hotspur FC</v>
      </c>
      <c r="F7">
        <v>1</v>
      </c>
      <c r="H7" s="59" cm="1">
        <f t="array" ref="H7">_xlfn.IFS(AND(C7=$N$18,D7&gt;F7),3,AND(E7=$N$18,F7&gt;D7),3,AND(C7=$N$18,D7=F7),1,AND(E7=$N$18,D7=F7),1,AND(C7=$N$18,D7&lt;F7),0,AND(E7=$N$18,F7&lt;D7),0)</f>
        <v>0</v>
      </c>
      <c r="I7">
        <f t="shared" si="0"/>
        <v>0</v>
      </c>
      <c r="J7" s="59">
        <f t="shared" si="1"/>
        <v>1</v>
      </c>
      <c r="K7" cm="1">
        <f t="array" ref="K7">_xlfn.IFS(H7=3,1+K6,H7=1,1+K6,H7=0,0)</f>
        <v>0</v>
      </c>
      <c r="L7" cm="1">
        <f t="array" ref="L7">_xlfn.IFS(H7=0,1+L6,H7=1,1+L6,H7=3,0)</f>
        <v>1</v>
      </c>
      <c r="Q7" s="57" t="s">
        <v>88</v>
      </c>
      <c r="R7">
        <v>6</v>
      </c>
      <c r="S7">
        <v>10</v>
      </c>
      <c r="T7" s="60">
        <v>1.6666666666666667</v>
      </c>
    </row>
    <row r="8" spans="1:20" x14ac:dyDescent="0.2">
      <c r="A8">
        <v>7</v>
      </c>
      <c r="B8" s="1">
        <v>43736</v>
      </c>
      <c r="C8" t="str">
        <v>Tottenham Hotspur FC</v>
      </c>
      <c r="D8">
        <v>2</v>
      </c>
      <c r="E8" t="str">
        <v>Southampton FC</v>
      </c>
      <c r="F8">
        <v>1</v>
      </c>
      <c r="H8" s="59" cm="1">
        <f t="array" ref="H8">_xlfn.IFS(AND(C8=$N$18,D8&gt;F8),3,AND(E8=$N$18,F8&gt;D8),3,AND(C8=$N$18,D8=F8),1,AND(E8=$N$18,D8=F8),1,AND(C8=$N$18,D8&lt;F8),0,AND(E8=$N$18,F8&lt;D8),0)</f>
        <v>3</v>
      </c>
      <c r="I8">
        <f t="shared" si="0"/>
        <v>1</v>
      </c>
      <c r="J8" s="59">
        <f t="shared" si="1"/>
        <v>0</v>
      </c>
      <c r="K8" cm="1">
        <f t="array" ref="K8">_xlfn.IFS(H8=3,1+K7,H8=1,1+K7,H8=0,0)</f>
        <v>1</v>
      </c>
      <c r="L8" cm="1">
        <f t="array" ref="L8">_xlfn.IFS(H8=0,1+L7,H8=1,1+L7,H8=3,0)</f>
        <v>0</v>
      </c>
      <c r="Q8" s="56" t="s">
        <v>89</v>
      </c>
      <c r="R8">
        <v>18</v>
      </c>
      <c r="S8">
        <v>29</v>
      </c>
      <c r="T8" s="60">
        <v>1.6111111111111112</v>
      </c>
    </row>
    <row r="9" spans="1:20" x14ac:dyDescent="0.2">
      <c r="A9">
        <v>8</v>
      </c>
      <c r="B9" s="1">
        <v>43743</v>
      </c>
      <c r="C9" t="str">
        <v>Brighton &amp; Hove Albion FC</v>
      </c>
      <c r="D9">
        <v>3</v>
      </c>
      <c r="E9" t="str">
        <v>Tottenham Hotspur FC</v>
      </c>
      <c r="F9">
        <v>0</v>
      </c>
      <c r="H9" s="59" cm="1">
        <f t="array" ref="H9">_xlfn.IFS(AND(C9=$N$18,D9&gt;F9),3,AND(E9=$N$18,F9&gt;D9),3,AND(C9=$N$18,D9=F9),1,AND(E9=$N$18,D9=F9),1,AND(C9=$N$18,D9&lt;F9),0,AND(E9=$N$18,F9&lt;D9),0)</f>
        <v>0</v>
      </c>
      <c r="I9">
        <f t="shared" si="0"/>
        <v>0</v>
      </c>
      <c r="J9" s="59">
        <f t="shared" si="1"/>
        <v>1</v>
      </c>
      <c r="K9" cm="1">
        <f t="array" ref="K9">_xlfn.IFS(H9=3,1+K8,H9=1,1+K8,H9=0,0)</f>
        <v>0</v>
      </c>
      <c r="L9" cm="1">
        <f t="array" ref="L9">_xlfn.IFS(H9=0,1+L8,H9=1,1+L8,H9=3,0)</f>
        <v>1</v>
      </c>
      <c r="Q9" s="57" t="s">
        <v>90</v>
      </c>
      <c r="R9">
        <v>4</v>
      </c>
      <c r="S9">
        <v>4</v>
      </c>
      <c r="T9" s="60">
        <v>1</v>
      </c>
    </row>
    <row r="10" spans="1:20" x14ac:dyDescent="0.2">
      <c r="A10">
        <v>9</v>
      </c>
      <c r="B10" s="1">
        <v>43757</v>
      </c>
      <c r="C10" t="str">
        <v>Tottenham Hotspur FC</v>
      </c>
      <c r="D10">
        <v>1</v>
      </c>
      <c r="E10" t="str">
        <v>Watford FC</v>
      </c>
      <c r="F10">
        <v>1</v>
      </c>
      <c r="H10" s="59" cm="1">
        <f t="array" ref="H10">_xlfn.IFS(AND(C10=$N$18,D10&gt;F10),3,AND(E10=$N$18,F10&gt;D10),3,AND(C10=$N$18,D10=F10),1,AND(E10=$N$18,D10=F10),1,AND(C10=$N$18,D10&lt;F10),0,AND(E10=$N$18,F10&lt;D10),0)</f>
        <v>1</v>
      </c>
      <c r="I10">
        <f t="shared" si="0"/>
        <v>0</v>
      </c>
      <c r="J10" s="59">
        <f t="shared" si="1"/>
        <v>0</v>
      </c>
      <c r="K10" cm="1">
        <f t="array" ref="K10">_xlfn.IFS(H10=3,1+K9,H10=1,1+K9,H10=0,0)</f>
        <v>1</v>
      </c>
      <c r="L10" cm="1">
        <f t="array" ref="L10">_xlfn.IFS(H10=0,1+L9,H10=1,1+L9,H10=3,0)</f>
        <v>2</v>
      </c>
      <c r="Q10" s="57" t="s">
        <v>91</v>
      </c>
      <c r="R10">
        <v>3</v>
      </c>
      <c r="S10">
        <v>6</v>
      </c>
      <c r="T10" s="60">
        <v>2</v>
      </c>
    </row>
    <row r="11" spans="1:20" x14ac:dyDescent="0.2">
      <c r="A11">
        <v>10</v>
      </c>
      <c r="B11" s="1">
        <v>43765</v>
      </c>
      <c r="C11" t="str">
        <v>Liverpool FC</v>
      </c>
      <c r="D11">
        <v>2</v>
      </c>
      <c r="E11" t="str">
        <v>Tottenham Hotspur FC</v>
      </c>
      <c r="F11">
        <v>1</v>
      </c>
      <c r="H11" s="59" cm="1">
        <f t="array" ref="H11">_xlfn.IFS(AND(C11=$N$18,D11&gt;F11),3,AND(E11=$N$18,F11&gt;D11),3,AND(C11=$N$18,D11=F11),1,AND(E11=$N$18,D11=F11),1,AND(C11=$N$18,D11&lt;F11),0,AND(E11=$N$18,F11&lt;D11),0)</f>
        <v>0</v>
      </c>
      <c r="I11">
        <f t="shared" si="0"/>
        <v>0</v>
      </c>
      <c r="J11" s="59">
        <f t="shared" si="1"/>
        <v>1</v>
      </c>
      <c r="K11" cm="1">
        <f t="array" ref="K11">_xlfn.IFS(H11=3,1+K10,H11=1,1+K10,H11=0,0)</f>
        <v>0</v>
      </c>
      <c r="L11" cm="1">
        <f t="array" ref="L11">_xlfn.IFS(H11=0,1+L10,H11=1,1+L10,H11=3,0)</f>
        <v>3</v>
      </c>
      <c r="Q11" s="57" t="s">
        <v>92</v>
      </c>
      <c r="R11">
        <v>2</v>
      </c>
      <c r="S11">
        <v>1</v>
      </c>
      <c r="T11" s="60">
        <v>0.5</v>
      </c>
    </row>
    <row r="12" spans="1:20" x14ac:dyDescent="0.2">
      <c r="A12">
        <v>11</v>
      </c>
      <c r="B12" s="1">
        <v>43772</v>
      </c>
      <c r="C12" t="str">
        <v>Everton FC</v>
      </c>
      <c r="D12">
        <v>1</v>
      </c>
      <c r="E12" t="str">
        <v>Tottenham Hotspur FC</v>
      </c>
      <c r="F12">
        <v>1</v>
      </c>
      <c r="H12" s="59" cm="1">
        <f t="array" ref="H12">_xlfn.IFS(AND(C12=$N$18,D12&gt;F12),3,AND(E12=$N$18,F12&gt;D12),3,AND(C12=$N$18,D12=F12),1,AND(E12=$N$18,D12=F12),1,AND(C12=$N$18,D12&lt;F12),0,AND(E12=$N$18,F12&lt;D12),0)</f>
        <v>1</v>
      </c>
      <c r="I12">
        <f t="shared" si="0"/>
        <v>0</v>
      </c>
      <c r="J12" s="59">
        <f t="shared" si="1"/>
        <v>0</v>
      </c>
      <c r="K12" cm="1">
        <f t="array" ref="K12">_xlfn.IFS(H12=3,1+K11,H12=1,1+K11,H12=0,0)</f>
        <v>1</v>
      </c>
      <c r="L12" cm="1">
        <f t="array" ref="L12">_xlfn.IFS(H12=0,1+L11,H12=1,1+L11,H12=3,0)</f>
        <v>4</v>
      </c>
      <c r="Q12" s="57" t="s">
        <v>93</v>
      </c>
      <c r="R12">
        <v>2</v>
      </c>
      <c r="S12">
        <v>4</v>
      </c>
      <c r="T12" s="60">
        <v>2</v>
      </c>
    </row>
    <row r="13" spans="1:20" x14ac:dyDescent="0.2">
      <c r="A13">
        <v>12</v>
      </c>
      <c r="B13" s="1">
        <v>43778</v>
      </c>
      <c r="C13" t="str">
        <v>Tottenham Hotspur FC</v>
      </c>
      <c r="D13">
        <v>1</v>
      </c>
      <c r="E13" t="str">
        <v>Sheffield United FC</v>
      </c>
      <c r="F13">
        <v>1</v>
      </c>
      <c r="H13" s="59" cm="1">
        <f t="array" ref="H13">_xlfn.IFS(AND(C13=$N$18,D13&gt;F13),3,AND(E13=$N$18,F13&gt;D13),3,AND(C13=$N$18,D13=F13),1,AND(E13=$N$18,D13=F13),1,AND(C13=$N$18,D13&lt;F13),0,AND(E13=$N$18,F13&lt;D13),0)</f>
        <v>1</v>
      </c>
      <c r="I13">
        <f t="shared" si="0"/>
        <v>0</v>
      </c>
      <c r="J13" s="59">
        <f t="shared" si="1"/>
        <v>0</v>
      </c>
      <c r="K13" cm="1">
        <f t="array" ref="K13">_xlfn.IFS(H13=3,1+K12,H13=1,1+K12,H13=0,0)</f>
        <v>2</v>
      </c>
      <c r="L13" cm="1">
        <f t="array" ref="L13">_xlfn.IFS(H13=0,1+L12,H13=1,1+L12,H13=3,0)</f>
        <v>5</v>
      </c>
      <c r="Q13" s="57" t="s">
        <v>94</v>
      </c>
      <c r="R13">
        <v>7</v>
      </c>
      <c r="S13">
        <v>14</v>
      </c>
      <c r="T13" s="60">
        <v>2</v>
      </c>
    </row>
    <row r="14" spans="1:20" x14ac:dyDescent="0.2">
      <c r="A14">
        <v>13</v>
      </c>
      <c r="B14" s="1">
        <v>43792</v>
      </c>
      <c r="C14" t="str">
        <v>West Ham United FC</v>
      </c>
      <c r="D14">
        <v>2</v>
      </c>
      <c r="E14" t="str">
        <v>Tottenham Hotspur FC</v>
      </c>
      <c r="F14">
        <v>3</v>
      </c>
      <c r="H14" s="59" cm="1">
        <f t="array" ref="H14">_xlfn.IFS(AND(C14=$N$18,D14&gt;F14),3,AND(E14=$N$18,F14&gt;D14),3,AND(C14=$N$18,D14=F14),1,AND(E14=$N$18,D14=F14),1,AND(C14=$N$18,D14&lt;F14),0,AND(E14=$N$18,F14&lt;D14),0)</f>
        <v>3</v>
      </c>
      <c r="I14">
        <f t="shared" si="0"/>
        <v>1</v>
      </c>
      <c r="J14" s="59">
        <f t="shared" si="1"/>
        <v>0</v>
      </c>
      <c r="K14" cm="1">
        <f t="array" ref="K14">_xlfn.IFS(H14=3,1+K13,H14=1,1+K13,H14=0,0)</f>
        <v>3</v>
      </c>
      <c r="L14" cm="1">
        <f t="array" ref="L14">_xlfn.IFS(H14=0,1+L13,H14=1,1+L13,H14=3,0)</f>
        <v>0</v>
      </c>
      <c r="Q14" s="56" t="s">
        <v>95</v>
      </c>
      <c r="R14">
        <v>38</v>
      </c>
      <c r="S14">
        <v>59</v>
      </c>
      <c r="T14" s="60">
        <v>1.5526315789473684</v>
      </c>
    </row>
    <row r="15" spans="1:20" x14ac:dyDescent="0.2">
      <c r="A15">
        <v>14</v>
      </c>
      <c r="B15" s="1">
        <v>43799</v>
      </c>
      <c r="C15" t="str">
        <v>Tottenham Hotspur FC</v>
      </c>
      <c r="D15">
        <v>3</v>
      </c>
      <c r="E15" t="str">
        <v>AFC Bournemouth</v>
      </c>
      <c r="F15">
        <v>2</v>
      </c>
      <c r="H15" s="59" cm="1">
        <f t="array" ref="H15">_xlfn.IFS(AND(C15=$N$18,D15&gt;F15),3,AND(E15=$N$18,F15&gt;D15),3,AND(C15=$N$18,D15=F15),1,AND(E15=$N$18,D15=F15),1,AND(C15=$N$18,D15&lt;F15),0,AND(E15=$N$18,F15&lt;D15),0)</f>
        <v>3</v>
      </c>
      <c r="I15">
        <f t="shared" si="0"/>
        <v>2</v>
      </c>
      <c r="J15" s="59">
        <f t="shared" si="1"/>
        <v>0</v>
      </c>
      <c r="K15" cm="1">
        <f t="array" ref="K15">_xlfn.IFS(H15=3,1+K14,H15=1,1+K14,H15=0,0)</f>
        <v>4</v>
      </c>
      <c r="L15" cm="1">
        <f t="array" ref="L15">_xlfn.IFS(H15=0,1+L14,H15=1,1+L14,H15=3,0)</f>
        <v>0</v>
      </c>
    </row>
    <row r="16" spans="1:20" x14ac:dyDescent="0.2">
      <c r="A16">
        <v>15</v>
      </c>
      <c r="B16" s="1">
        <v>43803</v>
      </c>
      <c r="C16" t="str">
        <v>Manchester United FC</v>
      </c>
      <c r="D16">
        <v>2</v>
      </c>
      <c r="E16" t="str">
        <v>Tottenham Hotspur FC</v>
      </c>
      <c r="F16">
        <v>1</v>
      </c>
      <c r="H16" s="59" cm="1">
        <f t="array" ref="H16">_xlfn.IFS(AND(C16=$N$18,D16&gt;F16),3,AND(E16=$N$18,F16&gt;D16),3,AND(C16=$N$18,D16=F16),1,AND(E16=$N$18,D16=F16),1,AND(C16=$N$18,D16&lt;F16),0,AND(E16=$N$18,F16&lt;D16),0)</f>
        <v>0</v>
      </c>
      <c r="I16">
        <f t="shared" si="0"/>
        <v>0</v>
      </c>
      <c r="J16" s="59">
        <f t="shared" si="1"/>
        <v>1</v>
      </c>
      <c r="K16" cm="1">
        <f t="array" ref="K16">_xlfn.IFS(H16=3,1+K15,H16=1,1+K15,H16=0,0)</f>
        <v>0</v>
      </c>
      <c r="L16" cm="1">
        <f t="array" ref="L16">_xlfn.IFS(H16=0,1+L15,H16=1,1+L15,H16=3,0)</f>
        <v>1</v>
      </c>
    </row>
    <row r="17" spans="1:22" x14ac:dyDescent="0.2">
      <c r="A17">
        <v>16</v>
      </c>
      <c r="B17" s="1">
        <v>43806</v>
      </c>
      <c r="C17" t="str">
        <v>Tottenham Hotspur FC</v>
      </c>
      <c r="D17">
        <v>5</v>
      </c>
      <c r="E17" t="str">
        <v>Burnley FC</v>
      </c>
      <c r="F17">
        <v>0</v>
      </c>
      <c r="H17" s="59" cm="1">
        <f t="array" ref="H17">_xlfn.IFS(AND(C17=$N$18,D17&gt;F17),3,AND(E17=$N$18,F17&gt;D17),3,AND(C17=$N$18,D17=F17),1,AND(E17=$N$18,D17=F17),1,AND(C17=$N$18,D17&lt;F17),0,AND(E17=$N$18,F17&lt;D17),0)</f>
        <v>3</v>
      </c>
      <c r="I17">
        <f t="shared" si="0"/>
        <v>1</v>
      </c>
      <c r="J17" s="59">
        <f t="shared" si="1"/>
        <v>0</v>
      </c>
      <c r="K17" cm="1">
        <f t="array" ref="K17">_xlfn.IFS(H17=3,1+K16,H17=1,1+K16,H17=0,0)</f>
        <v>1</v>
      </c>
      <c r="L17" cm="1">
        <f t="array" ref="L17">_xlfn.IFS(H17=0,1+L16,H17=1,1+L16,H17=3,0)</f>
        <v>0</v>
      </c>
    </row>
    <row r="18" spans="1:22" x14ac:dyDescent="0.2">
      <c r="A18">
        <v>17</v>
      </c>
      <c r="B18" s="1">
        <v>43814</v>
      </c>
      <c r="C18" t="str">
        <v>Wolverhampton Wanderers FC</v>
      </c>
      <c r="D18">
        <v>1</v>
      </c>
      <c r="E18" t="str">
        <v>Tottenham Hotspur FC</v>
      </c>
      <c r="F18">
        <v>2</v>
      </c>
      <c r="H18" s="59" cm="1">
        <f t="array" ref="H18">_xlfn.IFS(AND(C18=$N$18,D18&gt;F18),3,AND(E18=$N$18,F18&gt;D18),3,AND(C18=$N$18,D18=F18),1,AND(E18=$N$18,D18=F18),1,AND(C18=$N$18,D18&lt;F18),0,AND(E18=$N$18,F18&lt;D18),0)</f>
        <v>3</v>
      </c>
      <c r="I18">
        <f t="shared" si="0"/>
        <v>2</v>
      </c>
      <c r="J18" s="59">
        <f t="shared" si="1"/>
        <v>0</v>
      </c>
      <c r="K18" cm="1">
        <f t="array" ref="K18">_xlfn.IFS(H18=3,1+K17,H18=1,1+K17,H18=0,0)</f>
        <v>2</v>
      </c>
      <c r="L18" cm="1">
        <f t="array" ref="L18">_xlfn.IFS(H18=0,1+L17,H18=1,1+L17,H18=3,0)</f>
        <v>0</v>
      </c>
      <c r="N18" s="14" t="str">
        <f>C2</f>
        <v>Tottenham Hotspur FC</v>
      </c>
      <c r="O18" s="9" t="s">
        <v>12</v>
      </c>
      <c r="P18" s="7" t="s">
        <v>13</v>
      </c>
      <c r="Q18" s="6" t="s">
        <v>14</v>
      </c>
      <c r="R18" s="8" t="s">
        <v>15</v>
      </c>
      <c r="S18" s="9" t="s">
        <v>16</v>
      </c>
      <c r="T18" s="9" t="s">
        <v>17</v>
      </c>
      <c r="U18" s="9" t="s">
        <v>18</v>
      </c>
      <c r="V18" s="9" t="s">
        <v>19</v>
      </c>
    </row>
    <row r="19" spans="1:22" x14ac:dyDescent="0.2">
      <c r="A19">
        <v>18</v>
      </c>
      <c r="B19" s="1">
        <v>43821</v>
      </c>
      <c r="C19" t="str">
        <v>Tottenham Hotspur FC</v>
      </c>
      <c r="D19">
        <v>0</v>
      </c>
      <c r="E19" t="str">
        <v>Chelsea FC</v>
      </c>
      <c r="F19">
        <v>2</v>
      </c>
      <c r="H19" s="59" cm="1">
        <f t="array" ref="H19">_xlfn.IFS(AND(C19=$N$18,D19&gt;F19),3,AND(E19=$N$18,F19&gt;D19),3,AND(C19=$N$18,D19=F19),1,AND(E19=$N$18,D19=F19),1,AND(C19=$N$18,D19&lt;F19),0,AND(E19=$N$18,F19&lt;D19),0)</f>
        <v>0</v>
      </c>
      <c r="I19">
        <f t="shared" si="0"/>
        <v>0</v>
      </c>
      <c r="J19" s="59">
        <f t="shared" si="1"/>
        <v>1</v>
      </c>
      <c r="K19" cm="1">
        <f t="array" ref="K19">_xlfn.IFS(H19=3,1+K18,H19=1,1+K18,H19=0,0)</f>
        <v>0</v>
      </c>
      <c r="L19" cm="1">
        <f t="array" ref="L19">_xlfn.IFS(H19=0,1+L18,H19=1,1+L18,H19=3,0)</f>
        <v>1</v>
      </c>
      <c r="N19" s="10" t="s">
        <v>22</v>
      </c>
      <c r="O19" s="11">
        <f>COUNT(A2:A39)</f>
        <v>38</v>
      </c>
      <c r="P19" s="5" cm="1">
        <f t="array" ref="P19">SUMPRODUCT(((C2:C39=$N$18)*(D2:D39&gt;F2:F39))+((E2:E39=$N$18)*(F2:F39&gt;D2:D39)))</f>
        <v>16</v>
      </c>
      <c r="Q19" s="12" cm="1">
        <f t="array" ref="Q19">SUMPRODUCT(((C2:C39=$N$18)*(D2:D39=F2:F39))+((E2:E39=$N$18)*(F2:F39=D2:D39)))</f>
        <v>11</v>
      </c>
      <c r="R19" s="13" cm="1">
        <f t="array" ref="R19">SUMPRODUCT(((C2:C39=$N$18)*(D2:D39&lt;F2:F39))+((E2:E39=$N$18)*(F2:F39&lt;D2:D39)))</f>
        <v>11</v>
      </c>
      <c r="S19" s="11">
        <f>SUMIF(C2:C39,N18,D2:D39)+SUMIF(E2:E39,N18,F2:F39)</f>
        <v>61</v>
      </c>
      <c r="T19" s="11">
        <f>SUMIF(C2:C39,N18,F2:F39)+SUMIF(E2:E39,N18,D2:D39)</f>
        <v>47</v>
      </c>
      <c r="U19" s="11">
        <f>S19-T19</f>
        <v>14</v>
      </c>
      <c r="V19" s="11">
        <f>V20+V21</f>
        <v>59</v>
      </c>
    </row>
    <row r="20" spans="1:22" x14ac:dyDescent="0.2">
      <c r="A20">
        <v>19</v>
      </c>
      <c r="B20" s="1">
        <v>43825</v>
      </c>
      <c r="C20" t="str">
        <v>Tottenham Hotspur FC</v>
      </c>
      <c r="D20">
        <v>2</v>
      </c>
      <c r="E20" t="str">
        <v>Brighton &amp; Hove Albion FC</v>
      </c>
      <c r="F20">
        <v>1</v>
      </c>
      <c r="H20" s="59" cm="1">
        <f t="array" ref="H20">_xlfn.IFS(AND(C20=$N$18,D20&gt;F20),3,AND(E20=$N$18,F20&gt;D20),3,AND(C20=$N$18,D20=F20),1,AND(E20=$N$18,D20=F20),1,AND(C20=$N$18,D20&lt;F20),0,AND(E20=$N$18,F20&lt;D20),0)</f>
        <v>3</v>
      </c>
      <c r="I20">
        <f t="shared" si="0"/>
        <v>1</v>
      </c>
      <c r="J20" s="59">
        <f t="shared" si="1"/>
        <v>0</v>
      </c>
      <c r="K20" cm="1">
        <f t="array" ref="K20">_xlfn.IFS(H20=3,1+K19,H20=1,1+K19,H20=0,0)</f>
        <v>1</v>
      </c>
      <c r="L20" cm="1">
        <f t="array" ref="L20">_xlfn.IFS(H20=0,1+L19,H20=1,1+L19,H20=3,0)</f>
        <v>0</v>
      </c>
      <c r="N20" s="10" t="s">
        <v>2</v>
      </c>
      <c r="O20" s="11">
        <f>COUNTIF(C2:C39,C2)</f>
        <v>19</v>
      </c>
      <c r="P20" s="20" cm="1">
        <f t="array" ref="P20">SUMPRODUCT(((C2:C39=$N$18)*(D2:D39&gt;F2:F39)))</f>
        <v>12</v>
      </c>
      <c r="Q20" s="12" cm="1">
        <f t="array" ref="Q20">SUMPRODUCT(((C2:C39=$N$18)*(D2:D39=F2:F39)))</f>
        <v>3</v>
      </c>
      <c r="R20" s="13" cm="1">
        <f t="array" ref="R20">SUMPRODUCT(((C2:C39=$N$18)*(D2:D39&lt;F2:F39)))</f>
        <v>4</v>
      </c>
      <c r="S20" s="11">
        <f>SUMIF(C2:C39,N18,D2:D39)</f>
        <v>36</v>
      </c>
      <c r="T20" s="11">
        <f>SUMIF(C2:C39,N18,F2:F39)</f>
        <v>17</v>
      </c>
      <c r="U20" s="11">
        <f>S20-T20</f>
        <v>19</v>
      </c>
      <c r="V20" s="11">
        <f>(P20*3)+Q20</f>
        <v>39</v>
      </c>
    </row>
    <row r="21" spans="1:22" x14ac:dyDescent="0.2">
      <c r="A21">
        <v>20</v>
      </c>
      <c r="B21" s="1">
        <v>43827</v>
      </c>
      <c r="C21" t="str">
        <v>Norwich City FC</v>
      </c>
      <c r="D21">
        <v>2</v>
      </c>
      <c r="E21" t="str">
        <v>Tottenham Hotspur FC</v>
      </c>
      <c r="F21">
        <v>2</v>
      </c>
      <c r="H21" s="59" cm="1">
        <f t="array" ref="H21">_xlfn.IFS(AND(C21=$N$18,D21&gt;F21),3,AND(E21=$N$18,F21&gt;D21),3,AND(C21=$N$18,D21=F21),1,AND(E21=$N$18,D21=F21),1,AND(C21=$N$18,D21&lt;F21),0,AND(E21=$N$18,F21&lt;D21),0)</f>
        <v>1</v>
      </c>
      <c r="I21">
        <f t="shared" si="0"/>
        <v>0</v>
      </c>
      <c r="J21" s="59">
        <f t="shared" si="1"/>
        <v>0</v>
      </c>
      <c r="K21" cm="1">
        <f t="array" ref="K21">_xlfn.IFS(H21=3,1+K20,H21=1,1+K20,H21=0,0)</f>
        <v>2</v>
      </c>
      <c r="L21" cm="1">
        <f t="array" ref="L21">_xlfn.IFS(H21=0,1+L20,H21=1,1+L20,H21=3,0)</f>
        <v>1</v>
      </c>
      <c r="N21" s="10" t="s">
        <v>4</v>
      </c>
      <c r="O21" s="11">
        <f>COUNTIF(E2:E39,E3)</f>
        <v>19</v>
      </c>
      <c r="P21" s="5" cm="1">
        <f t="array" ref="P21">SUMPRODUCT(((E2:E39=$N$18)*(F2:F39&gt;D2:D39)))</f>
        <v>4</v>
      </c>
      <c r="Q21" s="12" cm="1">
        <f t="array" ref="Q21">SUMPRODUCT(((E2:E39=$N$18)*(F2:F39=D2:D39)))</f>
        <v>8</v>
      </c>
      <c r="R21" s="13" cm="1">
        <f t="array" ref="R21">SUMPRODUCT(((E2:E39=$N$18)*(F2:F39&lt;D2:D39)))</f>
        <v>7</v>
      </c>
      <c r="S21" s="11">
        <f>SUMIF(E2:E39,N18,F2:F39)</f>
        <v>25</v>
      </c>
      <c r="T21" s="11">
        <f>SUMIF(E2:E39,N18,D2:D39)</f>
        <v>30</v>
      </c>
      <c r="U21" s="11">
        <f>S21-T21</f>
        <v>-5</v>
      </c>
      <c r="V21" s="11">
        <f>(P21*3)+Q21</f>
        <v>20</v>
      </c>
    </row>
    <row r="22" spans="1:22" x14ac:dyDescent="0.2">
      <c r="A22">
        <v>21</v>
      </c>
      <c r="B22" s="1">
        <v>43831</v>
      </c>
      <c r="C22" t="str">
        <v>Southampton FC</v>
      </c>
      <c r="D22">
        <v>1</v>
      </c>
      <c r="E22" t="str">
        <v>Tottenham Hotspur FC</v>
      </c>
      <c r="F22">
        <v>0</v>
      </c>
      <c r="H22" s="59" cm="1">
        <f t="array" ref="H22">_xlfn.IFS(AND(C22=$N$18,D22&gt;F22),3,AND(E22=$N$18,F22&gt;D22),3,AND(C22=$N$18,D22=F22),1,AND(E22=$N$18,D22=F22),1,AND(C22=$N$18,D22&lt;F22),0,AND(E22=$N$18,F22&lt;D22),0)</f>
        <v>0</v>
      </c>
      <c r="I22">
        <f t="shared" si="0"/>
        <v>0</v>
      </c>
      <c r="J22" s="59">
        <f t="shared" si="1"/>
        <v>1</v>
      </c>
      <c r="K22" cm="1">
        <f t="array" ref="K22">_xlfn.IFS(H22=3,1+K21,H22=1,1+K21,H22=0,0)</f>
        <v>0</v>
      </c>
      <c r="L22" cm="1">
        <f t="array" ref="L22">_xlfn.IFS(H22=0,1+L21,H22=1,1+L21,H22=3,0)</f>
        <v>2</v>
      </c>
    </row>
    <row r="23" spans="1:22" x14ac:dyDescent="0.2">
      <c r="A23">
        <v>22</v>
      </c>
      <c r="B23" s="1">
        <v>43841</v>
      </c>
      <c r="C23" t="str">
        <v>Tottenham Hotspur FC</v>
      </c>
      <c r="D23">
        <v>0</v>
      </c>
      <c r="E23" t="str">
        <v>Liverpool FC</v>
      </c>
      <c r="F23">
        <v>1</v>
      </c>
      <c r="H23" s="59" cm="1">
        <f t="array" ref="H23">_xlfn.IFS(AND(C23=$N$18,D23&gt;F23),3,AND(E23=$N$18,F23&gt;D23),3,AND(C23=$N$18,D23=F23),1,AND(E23=$N$18,D23=F23),1,AND(C23=$N$18,D23&lt;F23),0,AND(E23=$N$18,F23&lt;D23),0)</f>
        <v>0</v>
      </c>
      <c r="I23">
        <f t="shared" si="0"/>
        <v>0</v>
      </c>
      <c r="J23" s="59">
        <f t="shared" si="1"/>
        <v>2</v>
      </c>
      <c r="K23" cm="1">
        <f t="array" ref="K23">_xlfn.IFS(H23=3,1+K22,H23=1,1+K22,H23=0,0)</f>
        <v>0</v>
      </c>
      <c r="L23" cm="1">
        <f t="array" ref="L23">_xlfn.IFS(H23=0,1+L22,H23=1,1+L22,H23=3,0)</f>
        <v>3</v>
      </c>
    </row>
    <row r="24" spans="1:22" x14ac:dyDescent="0.2">
      <c r="A24">
        <v>23</v>
      </c>
      <c r="B24" s="1">
        <v>43848</v>
      </c>
      <c r="C24" t="str">
        <v>Watford FC</v>
      </c>
      <c r="D24">
        <v>0</v>
      </c>
      <c r="E24" t="str">
        <v>Tottenham Hotspur FC</v>
      </c>
      <c r="F24">
        <v>0</v>
      </c>
      <c r="H24" s="59" cm="1">
        <f t="array" ref="H24">_xlfn.IFS(AND(C24=$N$18,D24&gt;F24),3,AND(E24=$N$18,F24&gt;D24),3,AND(C24=$N$18,D24=F24),1,AND(E24=$N$18,D24=F24),1,AND(C24=$N$18,D24&lt;F24),0,AND(E24=$N$18,F24&lt;D24),0)</f>
        <v>1</v>
      </c>
      <c r="I24">
        <f t="shared" si="0"/>
        <v>0</v>
      </c>
      <c r="J24" s="59">
        <f t="shared" si="1"/>
        <v>0</v>
      </c>
      <c r="K24" cm="1">
        <f t="array" ref="K24">_xlfn.IFS(H24=3,1+K23,H24=1,1+K23,H24=0,0)</f>
        <v>1</v>
      </c>
      <c r="L24" cm="1">
        <f t="array" ref="L24">_xlfn.IFS(H24=0,1+L23,H24=1,1+L23,H24=3,0)</f>
        <v>4</v>
      </c>
    </row>
    <row r="25" spans="1:22" x14ac:dyDescent="0.2">
      <c r="A25">
        <v>24</v>
      </c>
      <c r="B25" s="1">
        <v>43852</v>
      </c>
      <c r="C25" t="str">
        <v>Tottenham Hotspur FC</v>
      </c>
      <c r="D25">
        <v>2</v>
      </c>
      <c r="E25" t="str">
        <v>Norwich City FC</v>
      </c>
      <c r="F25">
        <v>1</v>
      </c>
      <c r="H25" s="59" cm="1">
        <f t="array" ref="H25">_xlfn.IFS(AND(C25=$N$18,D25&gt;F25),3,AND(E25=$N$18,F25&gt;D25),3,AND(C25=$N$18,D25=F25),1,AND(E25=$N$18,D25=F25),1,AND(C25=$N$18,D25&lt;F25),0,AND(E25=$N$18,F25&lt;D25),0)</f>
        <v>3</v>
      </c>
      <c r="I25">
        <f t="shared" si="0"/>
        <v>1</v>
      </c>
      <c r="J25" s="59">
        <f t="shared" si="1"/>
        <v>0</v>
      </c>
      <c r="K25" cm="1">
        <f t="array" ref="K25">_xlfn.IFS(H25=3,1+K24,H25=1,1+K24,H25=0,0)</f>
        <v>2</v>
      </c>
      <c r="L25" cm="1">
        <f t="array" ref="L25">_xlfn.IFS(H25=0,1+L24,H25=1,1+L24,H25=3,0)</f>
        <v>0</v>
      </c>
    </row>
    <row r="26" spans="1:22" x14ac:dyDescent="0.2">
      <c r="A26">
        <v>25</v>
      </c>
      <c r="B26" s="1">
        <v>43863</v>
      </c>
      <c r="C26" t="str">
        <v>Tottenham Hotspur FC</v>
      </c>
      <c r="D26">
        <v>2</v>
      </c>
      <c r="E26" t="str">
        <v>Manchester City FC</v>
      </c>
      <c r="F26">
        <v>0</v>
      </c>
      <c r="H26" s="59" cm="1">
        <f t="array" ref="H26">_xlfn.IFS(AND(C26=$N$18,D26&gt;F26),3,AND(E26=$N$18,F26&gt;D26),3,AND(C26=$N$18,D26=F26),1,AND(E26=$N$18,D26=F26),1,AND(C26=$N$18,D26&lt;F26),0,AND(E26=$N$18,F26&lt;D26),0)</f>
        <v>3</v>
      </c>
      <c r="I26">
        <f t="shared" si="0"/>
        <v>2</v>
      </c>
      <c r="J26" s="59">
        <f t="shared" si="1"/>
        <v>0</v>
      </c>
      <c r="K26" cm="1">
        <f t="array" ref="K26">_xlfn.IFS(H26=3,1+K25,H26=1,1+K25,H26=0,0)</f>
        <v>3</v>
      </c>
      <c r="L26" cm="1">
        <f t="array" ref="L26">_xlfn.IFS(H26=0,1+L25,H26=1,1+L25,H26=3,0)</f>
        <v>0</v>
      </c>
    </row>
    <row r="27" spans="1:22" x14ac:dyDescent="0.2">
      <c r="A27">
        <v>26</v>
      </c>
      <c r="B27" s="1">
        <v>43877</v>
      </c>
      <c r="C27" t="str">
        <v>Aston Villa FC</v>
      </c>
      <c r="D27">
        <v>2</v>
      </c>
      <c r="E27" t="str">
        <v>Tottenham Hotspur FC</v>
      </c>
      <c r="F27">
        <v>3</v>
      </c>
      <c r="H27" s="59" cm="1">
        <f t="array" ref="H27">_xlfn.IFS(AND(C27=$N$18,D27&gt;F27),3,AND(E27=$N$18,F27&gt;D27),3,AND(C27=$N$18,D27=F27),1,AND(E27=$N$18,D27=F27),1,AND(C27=$N$18,D27&lt;F27),0,AND(E27=$N$18,F27&lt;D27),0)</f>
        <v>3</v>
      </c>
      <c r="I27">
        <f t="shared" si="0"/>
        <v>3</v>
      </c>
      <c r="J27" s="59">
        <f t="shared" si="1"/>
        <v>0</v>
      </c>
      <c r="K27" cm="1">
        <f t="array" ref="K27">_xlfn.IFS(H27=3,1+K26,H27=1,1+K26,H27=0,0)</f>
        <v>4</v>
      </c>
      <c r="L27" cm="1">
        <f t="array" ref="L27">_xlfn.IFS(H27=0,1+L26,H27=1,1+L26,H27=3,0)</f>
        <v>0</v>
      </c>
    </row>
    <row r="28" spans="1:22" x14ac:dyDescent="0.2">
      <c r="A28">
        <v>27</v>
      </c>
      <c r="B28" s="1">
        <v>43883</v>
      </c>
      <c r="C28" t="str">
        <v>Chelsea FC</v>
      </c>
      <c r="D28">
        <v>2</v>
      </c>
      <c r="E28" t="str">
        <v>Tottenham Hotspur FC</v>
      </c>
      <c r="F28">
        <v>1</v>
      </c>
      <c r="H28" s="59" cm="1">
        <f t="array" ref="H28">_xlfn.IFS(AND(C28=$N$18,D28&gt;F28),3,AND(E28=$N$18,F28&gt;D28),3,AND(C28=$N$18,D28=F28),1,AND(E28=$N$18,D28=F28),1,AND(C28=$N$18,D28&lt;F28),0,AND(E28=$N$18,F28&lt;D28),0)</f>
        <v>0</v>
      </c>
      <c r="I28">
        <f t="shared" si="0"/>
        <v>0</v>
      </c>
      <c r="J28" s="59">
        <f t="shared" si="1"/>
        <v>1</v>
      </c>
      <c r="K28" cm="1">
        <f t="array" ref="K28">_xlfn.IFS(H28=3,1+K27,H28=1,1+K27,H28=0,0)</f>
        <v>0</v>
      </c>
      <c r="L28" cm="1">
        <f t="array" ref="L28">_xlfn.IFS(H28=0,1+L27,H28=1,1+L27,H28=3,0)</f>
        <v>1</v>
      </c>
    </row>
    <row r="29" spans="1:22" x14ac:dyDescent="0.2">
      <c r="A29">
        <v>28</v>
      </c>
      <c r="B29" s="1">
        <v>43891</v>
      </c>
      <c r="C29" t="str">
        <v>Tottenham Hotspur FC</v>
      </c>
      <c r="D29">
        <v>2</v>
      </c>
      <c r="E29" t="str">
        <v>Wolverhampton Wanderers FC</v>
      </c>
      <c r="F29">
        <v>3</v>
      </c>
      <c r="H29" s="59" cm="1">
        <f t="array" ref="H29">_xlfn.IFS(AND(C29=$N$18,D29&gt;F29),3,AND(E29=$N$18,F29&gt;D29),3,AND(C29=$N$18,D29=F29),1,AND(E29=$N$18,D29=F29),1,AND(C29=$N$18,D29&lt;F29),0,AND(E29=$N$18,F29&lt;D29),0)</f>
        <v>0</v>
      </c>
      <c r="I29">
        <f t="shared" si="0"/>
        <v>0</v>
      </c>
      <c r="J29" s="59">
        <f t="shared" si="1"/>
        <v>2</v>
      </c>
      <c r="K29" cm="1">
        <f t="array" ref="K29">_xlfn.IFS(H29=3,1+K28,H29=1,1+K28,H29=0,0)</f>
        <v>0</v>
      </c>
      <c r="L29" cm="1">
        <f t="array" ref="L29">_xlfn.IFS(H29=0,1+L28,H29=1,1+L28,H29=3,0)</f>
        <v>2</v>
      </c>
    </row>
    <row r="30" spans="1:22" x14ac:dyDescent="0.2">
      <c r="A30">
        <v>29</v>
      </c>
      <c r="B30" s="1">
        <v>43897</v>
      </c>
      <c r="C30" t="str">
        <v>Burnley FC</v>
      </c>
      <c r="D30">
        <v>1</v>
      </c>
      <c r="E30" t="str">
        <v>Tottenham Hotspur FC</v>
      </c>
      <c r="F30">
        <v>1</v>
      </c>
      <c r="H30" s="59" cm="1">
        <f t="array" ref="H30">_xlfn.IFS(AND(C30=$N$18,D30&gt;F30),3,AND(E30=$N$18,F30&gt;D30),3,AND(C30=$N$18,D30=F30),1,AND(E30=$N$18,D30=F30),1,AND(C30=$N$18,D30&lt;F30),0,AND(E30=$N$18,F30&lt;D30),0)</f>
        <v>1</v>
      </c>
      <c r="I30">
        <f t="shared" si="0"/>
        <v>0</v>
      </c>
      <c r="J30" s="59">
        <f t="shared" si="1"/>
        <v>0</v>
      </c>
      <c r="K30" cm="1">
        <f t="array" ref="K30">_xlfn.IFS(H30=3,1+K29,H30=1,1+K29,H30=0,0)</f>
        <v>1</v>
      </c>
      <c r="L30" cm="1">
        <f t="array" ref="L30">_xlfn.IFS(H30=0,1+L29,H30=1,1+L29,H30=3,0)</f>
        <v>3</v>
      </c>
    </row>
    <row r="31" spans="1:22" x14ac:dyDescent="0.2">
      <c r="A31">
        <v>30</v>
      </c>
      <c r="B31" s="1">
        <v>44001</v>
      </c>
      <c r="C31" t="str">
        <v>Tottenham Hotspur FC</v>
      </c>
      <c r="D31">
        <v>1</v>
      </c>
      <c r="E31" t="str">
        <v>Manchester United FC</v>
      </c>
      <c r="F31">
        <v>1</v>
      </c>
      <c r="H31" s="59" cm="1">
        <f t="array" ref="H31">_xlfn.IFS(AND(C31=$N$18,D31&gt;F31),3,AND(E31=$N$18,F31&gt;D31),3,AND(C31=$N$18,D31=F31),1,AND(E31=$N$18,D31=F31),1,AND(C31=$N$18,D31&lt;F31),0,AND(E31=$N$18,F31&lt;D31),0)</f>
        <v>1</v>
      </c>
      <c r="I31">
        <f t="shared" si="0"/>
        <v>0</v>
      </c>
      <c r="J31" s="59">
        <f t="shared" si="1"/>
        <v>0</v>
      </c>
      <c r="K31" cm="1">
        <f t="array" ref="K31">_xlfn.IFS(H31=3,1+K30,H31=1,1+K30,H31=0,0)</f>
        <v>2</v>
      </c>
      <c r="L31" cm="1">
        <f t="array" ref="L31">_xlfn.IFS(H31=0,1+L30,H31=1,1+L30,H31=3,0)</f>
        <v>4</v>
      </c>
    </row>
    <row r="32" spans="1:22" x14ac:dyDescent="0.2">
      <c r="A32">
        <v>31</v>
      </c>
      <c r="B32" s="1">
        <v>44005</v>
      </c>
      <c r="C32" t="str">
        <v>Tottenham Hotspur FC</v>
      </c>
      <c r="D32">
        <v>2</v>
      </c>
      <c r="E32" t="str">
        <v>West Ham United FC</v>
      </c>
      <c r="F32">
        <v>0</v>
      </c>
      <c r="H32" s="59" cm="1">
        <f t="array" ref="H32">_xlfn.IFS(AND(C32=$N$18,D32&gt;F32),3,AND(E32=$N$18,F32&gt;D32),3,AND(C32=$N$18,D32=F32),1,AND(E32=$N$18,D32=F32),1,AND(C32=$N$18,D32&lt;F32),0,AND(E32=$N$18,F32&lt;D32),0)</f>
        <v>3</v>
      </c>
      <c r="I32">
        <f t="shared" si="0"/>
        <v>1</v>
      </c>
      <c r="J32" s="59">
        <f t="shared" si="1"/>
        <v>0</v>
      </c>
      <c r="K32" cm="1">
        <f t="array" ref="K32">_xlfn.IFS(H32=3,1+K31,H32=1,1+K31,H32=0,0)</f>
        <v>3</v>
      </c>
      <c r="L32" cm="1">
        <f t="array" ref="L32">_xlfn.IFS(H32=0,1+L31,H32=1,1+L31,H32=3,0)</f>
        <v>0</v>
      </c>
    </row>
    <row r="33" spans="1:12" x14ac:dyDescent="0.2">
      <c r="A33">
        <v>32</v>
      </c>
      <c r="B33" s="1">
        <v>44014</v>
      </c>
      <c r="C33" t="str">
        <v>Sheffield United FC</v>
      </c>
      <c r="D33">
        <v>3</v>
      </c>
      <c r="E33" t="str">
        <v>Tottenham Hotspur FC</v>
      </c>
      <c r="F33">
        <v>1</v>
      </c>
      <c r="H33" s="59" cm="1">
        <f t="array" ref="H33">_xlfn.IFS(AND(C33=$N$18,D33&gt;F33),3,AND(E33=$N$18,F33&gt;D33),3,AND(C33=$N$18,D33=F33),1,AND(E33=$N$18,D33=F33),1,AND(C33=$N$18,D33&lt;F33),0,AND(E33=$N$18,F33&lt;D33),0)</f>
        <v>0</v>
      </c>
      <c r="I33">
        <f t="shared" si="0"/>
        <v>0</v>
      </c>
      <c r="J33" s="59">
        <f t="shared" si="1"/>
        <v>1</v>
      </c>
      <c r="K33" cm="1">
        <f t="array" ref="K33">_xlfn.IFS(H33=3,1+K32,H33=1,1+K32,H33=0,0)</f>
        <v>0</v>
      </c>
      <c r="L33" cm="1">
        <f t="array" ref="L33">_xlfn.IFS(H33=0,1+L32,H33=1,1+L32,H33=3,0)</f>
        <v>1</v>
      </c>
    </row>
    <row r="34" spans="1:12" x14ac:dyDescent="0.2">
      <c r="A34">
        <v>33</v>
      </c>
      <c r="B34" s="1">
        <v>44018</v>
      </c>
      <c r="C34" t="str">
        <v>Tottenham Hotspur FC</v>
      </c>
      <c r="D34">
        <v>1</v>
      </c>
      <c r="E34" t="str">
        <v>Everton FC</v>
      </c>
      <c r="F34">
        <v>0</v>
      </c>
      <c r="H34" s="59" cm="1">
        <f t="array" ref="H34">_xlfn.IFS(AND(C34=$N$18,D34&gt;F34),3,AND(E34=$N$18,F34&gt;D34),3,AND(C34=$N$18,D34=F34),1,AND(E34=$N$18,D34=F34),1,AND(C34=$N$18,D34&lt;F34),0,AND(E34=$N$18,F34&lt;D34),0)</f>
        <v>3</v>
      </c>
      <c r="I34">
        <f t="shared" si="0"/>
        <v>1</v>
      </c>
      <c r="J34" s="59">
        <f t="shared" si="1"/>
        <v>0</v>
      </c>
      <c r="K34" cm="1">
        <f t="array" ref="K34">_xlfn.IFS(H34=3,1+K33,H34=1,1+K33,H34=0,0)</f>
        <v>1</v>
      </c>
      <c r="L34" cm="1">
        <f t="array" ref="L34">_xlfn.IFS(H34=0,1+L33,H34=1,1+L33,H34=3,0)</f>
        <v>0</v>
      </c>
    </row>
    <row r="35" spans="1:12" x14ac:dyDescent="0.2">
      <c r="A35">
        <v>34</v>
      </c>
      <c r="B35" s="1">
        <v>44021</v>
      </c>
      <c r="C35" t="str">
        <v>AFC Bournemouth</v>
      </c>
      <c r="D35">
        <v>0</v>
      </c>
      <c r="E35" t="str">
        <v>Tottenham Hotspur FC</v>
      </c>
      <c r="F35">
        <v>0</v>
      </c>
      <c r="H35" s="59" cm="1">
        <f t="array" ref="H35">_xlfn.IFS(AND(C35=$N$18,D35&gt;F35),3,AND(E35=$N$18,F35&gt;D35),3,AND(C35=$N$18,D35=F35),1,AND(E35=$N$18,D35=F35),1,AND(C35=$N$18,D35&lt;F35),0,AND(E35=$N$18,F35&lt;D35),0)</f>
        <v>1</v>
      </c>
      <c r="I35">
        <f t="shared" si="0"/>
        <v>0</v>
      </c>
      <c r="J35" s="59">
        <f t="shared" si="1"/>
        <v>0</v>
      </c>
      <c r="K35" cm="1">
        <f t="array" ref="K35">_xlfn.IFS(H35=3,1+K34,H35=1,1+K34,H35=0,0)</f>
        <v>2</v>
      </c>
      <c r="L35" cm="1">
        <f t="array" ref="L35">_xlfn.IFS(H35=0,1+L34,H35=1,1+L34,H35=3,0)</f>
        <v>1</v>
      </c>
    </row>
    <row r="36" spans="1:12" x14ac:dyDescent="0.2">
      <c r="A36">
        <v>35</v>
      </c>
      <c r="B36" s="1">
        <v>44024</v>
      </c>
      <c r="C36" t="str">
        <v>Tottenham Hotspur FC</v>
      </c>
      <c r="D36">
        <v>2</v>
      </c>
      <c r="E36" t="str">
        <v>Arsenal FC</v>
      </c>
      <c r="F36">
        <v>1</v>
      </c>
      <c r="H36" s="59" cm="1">
        <f t="array" ref="H36">_xlfn.IFS(AND(C36=$N$18,D36&gt;F36),3,AND(E36=$N$18,F36&gt;D36),3,AND(C36=$N$18,D36=F36),1,AND(E36=$N$18,D36=F36),1,AND(C36=$N$18,D36&lt;F36),0,AND(E36=$N$18,F36&lt;D36),0)</f>
        <v>3</v>
      </c>
      <c r="I36">
        <f t="shared" si="0"/>
        <v>1</v>
      </c>
      <c r="J36" s="59">
        <f t="shared" si="1"/>
        <v>0</v>
      </c>
      <c r="K36" cm="1">
        <f t="array" ref="K36">_xlfn.IFS(H36=3,1+K35,H36=1,1+K35,H36=0,0)</f>
        <v>3</v>
      </c>
      <c r="L36" cm="1">
        <f t="array" ref="L36">_xlfn.IFS(H36=0,1+L35,H36=1,1+L35,H36=3,0)</f>
        <v>0</v>
      </c>
    </row>
    <row r="37" spans="1:12" x14ac:dyDescent="0.2">
      <c r="A37">
        <v>36</v>
      </c>
      <c r="B37" s="1">
        <v>44027</v>
      </c>
      <c r="C37" t="str">
        <v>Newcastle United FC</v>
      </c>
      <c r="D37">
        <v>1</v>
      </c>
      <c r="E37" t="str">
        <v>Tottenham Hotspur FC</v>
      </c>
      <c r="F37">
        <v>3</v>
      </c>
      <c r="H37" s="59" cm="1">
        <f t="array" ref="H37">_xlfn.IFS(AND(C37=$N$18,D37&gt;F37),3,AND(E37=$N$18,F37&gt;D37),3,AND(C37=$N$18,D37=F37),1,AND(E37=$N$18,D37=F37),1,AND(C37=$N$18,D37&lt;F37),0,AND(E37=$N$18,F37&lt;D37),0)</f>
        <v>3</v>
      </c>
      <c r="I37">
        <f t="shared" si="0"/>
        <v>2</v>
      </c>
      <c r="J37" s="59">
        <f t="shared" si="1"/>
        <v>0</v>
      </c>
      <c r="K37" cm="1">
        <f t="array" ref="K37">_xlfn.IFS(H37=3,1+K36,H37=1,1+K36,H37=0,0)</f>
        <v>4</v>
      </c>
      <c r="L37" cm="1">
        <f t="array" ref="L37">_xlfn.IFS(H37=0,1+L36,H37=1,1+L36,H37=3,0)</f>
        <v>0</v>
      </c>
    </row>
    <row r="38" spans="1:12" x14ac:dyDescent="0.2">
      <c r="A38">
        <v>37</v>
      </c>
      <c r="B38" s="1">
        <v>44031</v>
      </c>
      <c r="C38" t="str">
        <v>Tottenham Hotspur FC</v>
      </c>
      <c r="D38">
        <v>3</v>
      </c>
      <c r="E38" t="str">
        <v>Leicester City FC</v>
      </c>
      <c r="F38">
        <v>0</v>
      </c>
      <c r="H38" s="59" cm="1">
        <f t="array" ref="H38">_xlfn.IFS(AND(C38=$N$18,D38&gt;F38),3,AND(E38=$N$18,F38&gt;D38),3,AND(C38=$N$18,D38=F38),1,AND(E38=$N$18,D38=F38),1,AND(C38=$N$18,D38&lt;F38),0,AND(E38=$N$18,F38&lt;D38),0)</f>
        <v>3</v>
      </c>
      <c r="I38">
        <f t="shared" si="0"/>
        <v>3</v>
      </c>
      <c r="J38" s="59">
        <f t="shared" si="1"/>
        <v>0</v>
      </c>
      <c r="K38" cm="1">
        <f t="array" ref="K38">_xlfn.IFS(H38=3,1+K37,H38=1,1+K37,H38=0,0)</f>
        <v>5</v>
      </c>
      <c r="L38" cm="1">
        <f t="array" ref="L38">_xlfn.IFS(H38=0,1+L37,H38=1,1+L37,H38=3,0)</f>
        <v>0</v>
      </c>
    </row>
    <row r="39" spans="1:12" x14ac:dyDescent="0.2">
      <c r="A39">
        <v>38</v>
      </c>
      <c r="B39" s="1">
        <v>44038</v>
      </c>
      <c r="C39" t="str">
        <v>Crystal Palace FC</v>
      </c>
      <c r="D39">
        <v>1</v>
      </c>
      <c r="E39" t="str">
        <v>Tottenham Hotspur FC</v>
      </c>
      <c r="F39">
        <v>1</v>
      </c>
      <c r="H39" s="59" cm="1">
        <f t="array" ref="H39">_xlfn.IFS(AND(C39=$N$18,D39&gt;F39),3,AND(E39=$N$18,F39&gt;D39),3,AND(C39=$N$18,D39=F39),1,AND(E39=$N$18,D39=F39),1,AND(C39=$N$18,D39&lt;F39),0,AND(E39=$N$18,F39&lt;D39),0)</f>
        <v>1</v>
      </c>
      <c r="I39">
        <f t="shared" si="0"/>
        <v>0</v>
      </c>
      <c r="J39" s="59">
        <f t="shared" si="1"/>
        <v>0</v>
      </c>
      <c r="K39" cm="1">
        <f t="array" ref="K39">_xlfn.IFS(H39=3,1+K38,H39=1,1+K38,H39=0,0)</f>
        <v>6</v>
      </c>
      <c r="L39" cm="1">
        <f t="array" ref="L39">_xlfn.IFS(H39=0,1+L38,H39=1,1+L38,H39=3,0)</f>
        <v>1</v>
      </c>
    </row>
  </sheetData>
  <conditionalFormatting sqref="G2:G39">
    <cfRule type="expression" dxfId="83" priority="5">
      <formula>AND($E2=$N$18,$F2&gt;$D2)</formula>
    </cfRule>
  </conditionalFormatting>
  <conditionalFormatting sqref="G2:G39">
    <cfRule type="expression" dxfId="82" priority="4">
      <formula>AND($E2=$N$18,$F2&lt;$D2)</formula>
    </cfRule>
  </conditionalFormatting>
  <conditionalFormatting sqref="G2:G39">
    <cfRule type="expression" dxfId="81" priority="3">
      <formula>$D2=$F2</formula>
    </cfRule>
  </conditionalFormatting>
  <conditionalFormatting sqref="G2:G39">
    <cfRule type="expression" dxfId="80" priority="2">
      <formula>AND($C2=$N$18,$D2&lt;$F2)</formula>
    </cfRule>
  </conditionalFormatting>
  <conditionalFormatting sqref="G2:G39">
    <cfRule type="expression" dxfId="79" priority="1">
      <formula>AND($C2=$N$18,$D2&gt;$F2)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ADCF6-2236-40DF-95AA-CBFE73C76AA9}">
  <sheetPr codeName="Sheet12"/>
  <dimension ref="A1:V39"/>
  <sheetViews>
    <sheetView zoomScale="60" zoomScaleNormal="60" workbookViewId="0">
      <selection activeCell="P15" sqref="P15"/>
    </sheetView>
  </sheetViews>
  <sheetFormatPr baseColWidth="10" defaultColWidth="8.83203125" defaultRowHeight="15" x14ac:dyDescent="0.2"/>
  <cols>
    <col min="2" max="2" width="11.5" style="1" bestFit="1" customWidth="1"/>
    <col min="3" max="3" width="26.5" customWidth="1"/>
    <col min="5" max="5" width="30.83203125" customWidth="1"/>
    <col min="6" max="6" width="11.6640625" customWidth="1"/>
    <col min="14" max="14" width="21" bestFit="1" customWidth="1"/>
    <col min="15" max="22" width="10.6640625" customWidth="1"/>
  </cols>
  <sheetData>
    <row r="1" spans="1:20" ht="32" x14ac:dyDescent="0.2">
      <c r="A1" s="67" t="s">
        <v>0</v>
      </c>
      <c r="B1" s="68" t="s">
        <v>1</v>
      </c>
      <c r="C1" s="68" t="s">
        <v>2</v>
      </c>
      <c r="D1" s="68" t="s">
        <v>3</v>
      </c>
      <c r="E1" s="68" t="s">
        <v>4</v>
      </c>
      <c r="F1" s="69" t="s">
        <v>96</v>
      </c>
      <c r="G1" s="69" t="s">
        <v>71</v>
      </c>
      <c r="H1" s="70" t="s">
        <v>19</v>
      </c>
      <c r="I1" s="81" t="s">
        <v>72</v>
      </c>
      <c r="J1" s="81" t="s">
        <v>53</v>
      </c>
      <c r="K1" s="81" t="s">
        <v>55</v>
      </c>
      <c r="L1" s="81" t="s">
        <v>73</v>
      </c>
      <c r="Q1" s="58" t="s">
        <v>74</v>
      </c>
      <c r="R1" t="s">
        <v>75</v>
      </c>
      <c r="S1" t="s">
        <v>76</v>
      </c>
      <c r="T1" s="63" t="s">
        <v>77</v>
      </c>
    </row>
    <row r="2" spans="1:20" x14ac:dyDescent="0.2">
      <c r="A2" cm="1">
        <f t="array" ref="A2:F39">_xlfn._xlws.FILTER(eng_1[],(eng_1[Home]='England 1'!C9)+(eng_1[Away]='England 1'!E20))</f>
        <v>1</v>
      </c>
      <c r="B2" s="1">
        <v>43688</v>
      </c>
      <c r="C2" t="str">
        <v>Leicester City FC</v>
      </c>
      <c r="D2">
        <v>0</v>
      </c>
      <c r="E2" t="str">
        <v>Wolverhampton Wanderers FC</v>
      </c>
      <c r="F2">
        <v>0</v>
      </c>
      <c r="H2" s="59" cm="1">
        <f t="array" ref="H2">_xlfn.IFS(AND(C2=$N$18,D2&gt;F2),3,AND(E2=$N$18,F2&gt;D2),3,AND(C2=$N$18,D2=F2),1,AND(E2=$N$18,D2=F2),1,AND(C2=$N$18,D2&lt;F2),0,AND(E2=$N$18,F2&lt;D2),0)</f>
        <v>1</v>
      </c>
      <c r="I2" cm="1">
        <f t="array" ref="I2">_xlfn.IFS(H2=3,1,H2=1,0,H2=0,0)</f>
        <v>0</v>
      </c>
      <c r="J2" s="59" cm="1">
        <f t="array" ref="J2">_xlfn.IFS(H2=0,1,H2=1,0,H2=3,0)</f>
        <v>0</v>
      </c>
      <c r="K2" cm="1">
        <f t="array" ref="K2">_xlfn.IFS(H2=3,1,H2=1,1,H2=0,0)</f>
        <v>1</v>
      </c>
      <c r="L2" cm="1">
        <f t="array" ref="L2">_xlfn.IFS(H2=0,1,H2=1,1,H2=3,0)</f>
        <v>1</v>
      </c>
      <c r="Q2" s="56" t="s">
        <v>78</v>
      </c>
      <c r="R2">
        <v>20</v>
      </c>
      <c r="S2">
        <v>42</v>
      </c>
      <c r="T2" s="60">
        <v>2.1</v>
      </c>
    </row>
    <row r="3" spans="1:20" x14ac:dyDescent="0.2">
      <c r="A3">
        <v>2</v>
      </c>
      <c r="B3" s="1">
        <v>43695</v>
      </c>
      <c r="C3" t="str">
        <v>Chelsea FC</v>
      </c>
      <c r="D3">
        <v>1</v>
      </c>
      <c r="E3" t="str">
        <v>Leicester City FC</v>
      </c>
      <c r="F3">
        <v>1</v>
      </c>
      <c r="H3" s="59" cm="1">
        <f t="array" ref="H3">_xlfn.IFS(AND(C3=$N$18,D3&gt;F3),3,AND(E3=$N$18,F3&gt;D3),3,AND(C3=$N$18,D3=F3),1,AND(E3=$N$18,D3=F3),1,AND(C3=$N$18,D3&lt;F3),0,AND(E3=$N$18,F3&lt;D3),0)</f>
        <v>1</v>
      </c>
      <c r="I3">
        <f t="shared" ref="I3:I39" si="0">IF(H3=3,1+I2,0)</f>
        <v>0</v>
      </c>
      <c r="J3" s="59">
        <f t="shared" ref="J3:J39" si="1">IF(H3=0,1+J2,0)</f>
        <v>0</v>
      </c>
      <c r="K3" cm="1">
        <f t="array" ref="K3">_xlfn.IFS(H3=3,1+K2,H3=1,1+K2,H3=0,0)</f>
        <v>2</v>
      </c>
      <c r="L3" cm="1">
        <f t="array" ref="L3">_xlfn.IFS(H3=0,1+L2,H3=1,1+L2,H3=3,0)</f>
        <v>2</v>
      </c>
      <c r="N3" s="48" t="s">
        <v>79</v>
      </c>
      <c r="O3" s="48" t="s">
        <v>80</v>
      </c>
      <c r="Q3" s="57" t="s">
        <v>81</v>
      </c>
      <c r="R3">
        <v>4</v>
      </c>
      <c r="S3">
        <v>8</v>
      </c>
      <c r="T3" s="60">
        <v>2</v>
      </c>
    </row>
    <row r="4" spans="1:20" x14ac:dyDescent="0.2">
      <c r="A4">
        <v>3</v>
      </c>
      <c r="B4" s="1">
        <v>43701</v>
      </c>
      <c r="C4" t="str">
        <v>Sheffield United FC</v>
      </c>
      <c r="D4">
        <v>1</v>
      </c>
      <c r="E4" t="str">
        <v>Leicester City FC</v>
      </c>
      <c r="F4">
        <v>2</v>
      </c>
      <c r="H4" s="59" cm="1">
        <f t="array" ref="H4">_xlfn.IFS(AND(C4=$N$18,D4&gt;F4),3,AND(E4=$N$18,F4&gt;D4),3,AND(C4=$N$18,D4=F4),1,AND(E4=$N$18,D4=F4),1,AND(C4=$N$18,D4&lt;F4),0,AND(E4=$N$18,F4&lt;D4),0)</f>
        <v>3</v>
      </c>
      <c r="I4">
        <f t="shared" si="0"/>
        <v>1</v>
      </c>
      <c r="J4" s="59">
        <f t="shared" si="1"/>
        <v>0</v>
      </c>
      <c r="K4" cm="1">
        <f t="array" ref="K4">_xlfn.IFS(H4=3,1+K3,H4=1,1+K3,H4=0,0)</f>
        <v>3</v>
      </c>
      <c r="L4" cm="1">
        <f t="array" ref="L4">_xlfn.IFS(H4=0,1+L3,H4=1,1+L3,H4=3,0)</f>
        <v>0</v>
      </c>
      <c r="N4" s="49" t="s">
        <v>82</v>
      </c>
      <c r="O4" s="50"/>
      <c r="Q4" s="57" t="s">
        <v>83</v>
      </c>
      <c r="R4">
        <v>3</v>
      </c>
      <c r="S4">
        <v>6</v>
      </c>
      <c r="T4" s="60">
        <v>2</v>
      </c>
    </row>
    <row r="5" spans="1:20" x14ac:dyDescent="0.2">
      <c r="A5">
        <v>4</v>
      </c>
      <c r="B5" s="1">
        <v>43708</v>
      </c>
      <c r="C5" t="str">
        <v>Leicester City FC</v>
      </c>
      <c r="D5">
        <v>3</v>
      </c>
      <c r="E5" t="str">
        <v>AFC Bournemouth</v>
      </c>
      <c r="F5">
        <v>1</v>
      </c>
      <c r="H5" s="59" cm="1">
        <f t="array" ref="H5">_xlfn.IFS(AND(C5=$N$18,D5&gt;F5),3,AND(E5=$N$18,F5&gt;D5),3,AND(C5=$N$18,D5=F5),1,AND(E5=$N$18,D5=F5),1,AND(C5=$N$18,D5&lt;F5),0,AND(E5=$N$18,F5&lt;D5),0)</f>
        <v>3</v>
      </c>
      <c r="I5">
        <f t="shared" si="0"/>
        <v>2</v>
      </c>
      <c r="J5" s="59">
        <f t="shared" si="1"/>
        <v>0</v>
      </c>
      <c r="K5" cm="1">
        <f t="array" ref="K5">_xlfn.IFS(H5=3,1+K4,H5=1,1+K4,H5=0,0)</f>
        <v>4</v>
      </c>
      <c r="L5" cm="1">
        <f t="array" ref="L5">_xlfn.IFS(H5=0,1+L4,H5=1,1+L4,H5=3,0)</f>
        <v>0</v>
      </c>
      <c r="N5" s="49" t="s">
        <v>84</v>
      </c>
      <c r="O5" s="51"/>
      <c r="Q5" s="57" t="s">
        <v>85</v>
      </c>
      <c r="R5">
        <v>3</v>
      </c>
      <c r="S5">
        <v>6</v>
      </c>
      <c r="T5" s="60">
        <v>2</v>
      </c>
    </row>
    <row r="6" spans="1:20" x14ac:dyDescent="0.2">
      <c r="A6">
        <v>5</v>
      </c>
      <c r="B6" s="1">
        <v>43722</v>
      </c>
      <c r="C6" t="str">
        <v>Manchester United FC</v>
      </c>
      <c r="D6">
        <v>1</v>
      </c>
      <c r="E6" t="str">
        <v>Leicester City FC</v>
      </c>
      <c r="F6">
        <v>0</v>
      </c>
      <c r="H6" s="59" cm="1">
        <f t="array" ref="H6">_xlfn.IFS(AND(C6=$N$18,D6&gt;F6),3,AND(E6=$N$18,F6&gt;D6),3,AND(C6=$N$18,D6=F6),1,AND(E6=$N$18,D6=F6),1,AND(C6=$N$18,D6&lt;F6),0,AND(E6=$N$18,F6&lt;D6),0)</f>
        <v>0</v>
      </c>
      <c r="I6">
        <f t="shared" si="0"/>
        <v>0</v>
      </c>
      <c r="J6" s="59">
        <f t="shared" si="1"/>
        <v>1</v>
      </c>
      <c r="K6" cm="1">
        <f t="array" ref="K6">_xlfn.IFS(H6=3,1+K5,H6=1,1+K5,H6=0,0)</f>
        <v>0</v>
      </c>
      <c r="L6" cm="1">
        <f t="array" ref="L6">_xlfn.IFS(H6=0,1+L5,H6=1,1+L5,H6=3,0)</f>
        <v>1</v>
      </c>
      <c r="N6" s="49" t="s">
        <v>86</v>
      </c>
      <c r="O6" s="52"/>
      <c r="Q6" s="57" t="s">
        <v>87</v>
      </c>
      <c r="R6">
        <v>3</v>
      </c>
      <c r="S6">
        <v>9</v>
      </c>
      <c r="T6" s="60">
        <v>3</v>
      </c>
    </row>
    <row r="7" spans="1:20" x14ac:dyDescent="0.2">
      <c r="A7">
        <v>6</v>
      </c>
      <c r="B7" s="1">
        <v>43729</v>
      </c>
      <c r="C7" t="str">
        <v>Leicester City FC</v>
      </c>
      <c r="D7">
        <v>2</v>
      </c>
      <c r="E7" t="str">
        <v>Tottenham Hotspur FC</v>
      </c>
      <c r="F7">
        <v>1</v>
      </c>
      <c r="H7" s="59" cm="1">
        <f t="array" ref="H7">_xlfn.IFS(AND(C7=$N$18,D7&gt;F7),3,AND(E7=$N$18,F7&gt;D7),3,AND(C7=$N$18,D7=F7),1,AND(E7=$N$18,D7=F7),1,AND(C7=$N$18,D7&lt;F7),0,AND(E7=$N$18,F7&lt;D7),0)</f>
        <v>3</v>
      </c>
      <c r="I7">
        <f t="shared" si="0"/>
        <v>1</v>
      </c>
      <c r="J7" s="59">
        <f t="shared" si="1"/>
        <v>0</v>
      </c>
      <c r="K7" cm="1">
        <f t="array" ref="K7">_xlfn.IFS(H7=3,1+K6,H7=1,1+K6,H7=0,0)</f>
        <v>1</v>
      </c>
      <c r="L7" cm="1">
        <f t="array" ref="L7">_xlfn.IFS(H7=0,1+L6,H7=1,1+L6,H7=3,0)</f>
        <v>0</v>
      </c>
      <c r="Q7" s="57" t="s">
        <v>88</v>
      </c>
      <c r="R7">
        <v>7</v>
      </c>
      <c r="S7">
        <v>13</v>
      </c>
      <c r="T7" s="60">
        <v>1.8571428571428572</v>
      </c>
    </row>
    <row r="8" spans="1:20" x14ac:dyDescent="0.2">
      <c r="A8">
        <v>7</v>
      </c>
      <c r="B8" s="1">
        <v>43737</v>
      </c>
      <c r="C8" t="str">
        <v>Leicester City FC</v>
      </c>
      <c r="D8">
        <v>5</v>
      </c>
      <c r="E8" t="str">
        <v>Newcastle United FC</v>
      </c>
      <c r="F8">
        <v>0</v>
      </c>
      <c r="H8" s="59" cm="1">
        <f t="array" ref="H8">_xlfn.IFS(AND(C8=$N$18,D8&gt;F8),3,AND(E8=$N$18,F8&gt;D8),3,AND(C8=$N$18,D8=F8),1,AND(E8=$N$18,D8=F8),1,AND(C8=$N$18,D8&lt;F8),0,AND(E8=$N$18,F8&lt;D8),0)</f>
        <v>3</v>
      </c>
      <c r="I8">
        <f t="shared" si="0"/>
        <v>2</v>
      </c>
      <c r="J8" s="59">
        <f t="shared" si="1"/>
        <v>0</v>
      </c>
      <c r="K8" cm="1">
        <f t="array" ref="K8">_xlfn.IFS(H8=3,1+K7,H8=1,1+K7,H8=0,0)</f>
        <v>2</v>
      </c>
      <c r="L8" cm="1">
        <f t="array" ref="L8">_xlfn.IFS(H8=0,1+L7,H8=1,1+L7,H8=3,0)</f>
        <v>0</v>
      </c>
      <c r="Q8" s="56" t="s">
        <v>89</v>
      </c>
      <c r="R8">
        <v>18</v>
      </c>
      <c r="S8">
        <v>20</v>
      </c>
      <c r="T8" s="60">
        <v>1.1111111111111112</v>
      </c>
    </row>
    <row r="9" spans="1:20" x14ac:dyDescent="0.2">
      <c r="A9">
        <v>8</v>
      </c>
      <c r="B9" s="1">
        <v>43743</v>
      </c>
      <c r="C9" t="str">
        <v>Liverpool FC</v>
      </c>
      <c r="D9">
        <v>2</v>
      </c>
      <c r="E9" t="str">
        <v>Leicester City FC</v>
      </c>
      <c r="F9">
        <v>1</v>
      </c>
      <c r="H9" s="59" cm="1">
        <f t="array" ref="H9">_xlfn.IFS(AND(C9=$N$18,D9&gt;F9),3,AND(E9=$N$18,F9&gt;D9),3,AND(C9=$N$18,D9=F9),1,AND(E9=$N$18,D9=F9),1,AND(C9=$N$18,D9&lt;F9),0,AND(E9=$N$18,F9&lt;D9),0)</f>
        <v>0</v>
      </c>
      <c r="I9">
        <f t="shared" si="0"/>
        <v>0</v>
      </c>
      <c r="J9" s="59">
        <f t="shared" si="1"/>
        <v>1</v>
      </c>
      <c r="K9" cm="1">
        <f t="array" ref="K9">_xlfn.IFS(H9=3,1+K8,H9=1,1+K8,H9=0,0)</f>
        <v>0</v>
      </c>
      <c r="L9" cm="1">
        <f t="array" ref="L9">_xlfn.IFS(H9=0,1+L8,H9=1,1+L8,H9=3,0)</f>
        <v>1</v>
      </c>
      <c r="Q9" s="57" t="s">
        <v>90</v>
      </c>
      <c r="R9">
        <v>4</v>
      </c>
      <c r="S9">
        <v>6</v>
      </c>
      <c r="T9" s="60">
        <v>1.5</v>
      </c>
    </row>
    <row r="10" spans="1:20" x14ac:dyDescent="0.2">
      <c r="A10">
        <v>9</v>
      </c>
      <c r="B10" s="1">
        <v>43757</v>
      </c>
      <c r="C10" t="str">
        <v>Leicester City FC</v>
      </c>
      <c r="D10">
        <v>2</v>
      </c>
      <c r="E10" t="str">
        <v>Burnley FC</v>
      </c>
      <c r="F10">
        <v>1</v>
      </c>
      <c r="H10" s="59" cm="1">
        <f t="array" ref="H10">_xlfn.IFS(AND(C10=$N$18,D10&gt;F10),3,AND(E10=$N$18,F10&gt;D10),3,AND(C10=$N$18,D10=F10),1,AND(E10=$N$18,D10=F10),1,AND(C10=$N$18,D10&lt;F10),0,AND(E10=$N$18,F10&lt;D10),0)</f>
        <v>3</v>
      </c>
      <c r="I10">
        <f t="shared" si="0"/>
        <v>1</v>
      </c>
      <c r="J10" s="59">
        <f t="shared" si="1"/>
        <v>0</v>
      </c>
      <c r="K10" cm="1">
        <f t="array" ref="K10">_xlfn.IFS(H10=3,1+K9,H10=1,1+K9,H10=0,0)</f>
        <v>1</v>
      </c>
      <c r="L10" cm="1">
        <f t="array" ref="L10">_xlfn.IFS(H10=0,1+L9,H10=1,1+L9,H10=3,0)</f>
        <v>0</v>
      </c>
      <c r="Q10" s="57" t="s">
        <v>91</v>
      </c>
      <c r="R10">
        <v>4</v>
      </c>
      <c r="S10">
        <v>2</v>
      </c>
      <c r="T10" s="60">
        <v>0.5</v>
      </c>
    </row>
    <row r="11" spans="1:20" x14ac:dyDescent="0.2">
      <c r="A11">
        <v>10</v>
      </c>
      <c r="B11" s="1">
        <v>43763</v>
      </c>
      <c r="C11" t="str">
        <v>Southampton FC</v>
      </c>
      <c r="D11">
        <v>0</v>
      </c>
      <c r="E11" t="str">
        <v>Leicester City FC</v>
      </c>
      <c r="F11">
        <v>9</v>
      </c>
      <c r="H11" s="59" cm="1">
        <f t="array" ref="H11">_xlfn.IFS(AND(C11=$N$18,D11&gt;F11),3,AND(E11=$N$18,F11&gt;D11),3,AND(C11=$N$18,D11=F11),1,AND(E11=$N$18,D11=F11),1,AND(C11=$N$18,D11&lt;F11),0,AND(E11=$N$18,F11&lt;D11),0)</f>
        <v>3</v>
      </c>
      <c r="I11">
        <f t="shared" si="0"/>
        <v>2</v>
      </c>
      <c r="J11" s="59">
        <f t="shared" si="1"/>
        <v>0</v>
      </c>
      <c r="K11" cm="1">
        <f t="array" ref="K11">_xlfn.IFS(H11=3,1+K10,H11=1,1+K10,H11=0,0)</f>
        <v>2</v>
      </c>
      <c r="L11" cm="1">
        <f t="array" ref="L11">_xlfn.IFS(H11=0,1+L10,H11=1,1+L10,H11=3,0)</f>
        <v>0</v>
      </c>
      <c r="Q11" s="57" t="s">
        <v>92</v>
      </c>
      <c r="R11">
        <v>1</v>
      </c>
      <c r="S11">
        <v>3</v>
      </c>
      <c r="T11" s="60">
        <v>3</v>
      </c>
    </row>
    <row r="12" spans="1:20" x14ac:dyDescent="0.2">
      <c r="A12">
        <v>11</v>
      </c>
      <c r="B12" s="1">
        <v>43772</v>
      </c>
      <c r="C12" t="str">
        <v>Crystal Palace FC</v>
      </c>
      <c r="D12">
        <v>0</v>
      </c>
      <c r="E12" t="str">
        <v>Leicester City FC</v>
      </c>
      <c r="F12">
        <v>2</v>
      </c>
      <c r="H12" s="59" cm="1">
        <f t="array" ref="H12">_xlfn.IFS(AND(C12=$N$18,D12&gt;F12),3,AND(E12=$N$18,F12&gt;D12),3,AND(C12=$N$18,D12=F12),1,AND(E12=$N$18,D12=F12),1,AND(C12=$N$18,D12&lt;F12),0,AND(E12=$N$18,F12&lt;D12),0)</f>
        <v>3</v>
      </c>
      <c r="I12">
        <f t="shared" si="0"/>
        <v>3</v>
      </c>
      <c r="J12" s="59">
        <f t="shared" si="1"/>
        <v>0</v>
      </c>
      <c r="K12" cm="1">
        <f t="array" ref="K12">_xlfn.IFS(H12=3,1+K11,H12=1,1+K11,H12=0,0)</f>
        <v>3</v>
      </c>
      <c r="L12" cm="1">
        <f t="array" ref="L12">_xlfn.IFS(H12=0,1+L11,H12=1,1+L11,H12=3,0)</f>
        <v>0</v>
      </c>
      <c r="Q12" s="57" t="s">
        <v>93</v>
      </c>
      <c r="R12">
        <v>2</v>
      </c>
      <c r="S12">
        <v>2</v>
      </c>
      <c r="T12" s="60">
        <v>1</v>
      </c>
    </row>
    <row r="13" spans="1:20" x14ac:dyDescent="0.2">
      <c r="A13">
        <v>12</v>
      </c>
      <c r="B13" s="1">
        <v>43778</v>
      </c>
      <c r="C13" t="str">
        <v>Leicester City FC</v>
      </c>
      <c r="D13">
        <v>2</v>
      </c>
      <c r="E13" t="str">
        <v>Arsenal FC</v>
      </c>
      <c r="F13">
        <v>0</v>
      </c>
      <c r="H13" s="59" cm="1">
        <f t="array" ref="H13">_xlfn.IFS(AND(C13=$N$18,D13&gt;F13),3,AND(E13=$N$18,F13&gt;D13),3,AND(C13=$N$18,D13=F13),1,AND(E13=$N$18,D13=F13),1,AND(C13=$N$18,D13&lt;F13),0,AND(E13=$N$18,F13&lt;D13),0)</f>
        <v>3</v>
      </c>
      <c r="I13">
        <f t="shared" si="0"/>
        <v>4</v>
      </c>
      <c r="J13" s="59">
        <f t="shared" si="1"/>
        <v>0</v>
      </c>
      <c r="K13" cm="1">
        <f t="array" ref="K13">_xlfn.IFS(H13=3,1+K12,H13=1,1+K12,H13=0,0)</f>
        <v>4</v>
      </c>
      <c r="L13" cm="1">
        <f t="array" ref="L13">_xlfn.IFS(H13=0,1+L12,H13=1,1+L12,H13=3,0)</f>
        <v>0</v>
      </c>
      <c r="Q13" s="57" t="s">
        <v>94</v>
      </c>
      <c r="R13">
        <v>7</v>
      </c>
      <c r="S13">
        <v>7</v>
      </c>
      <c r="T13" s="60">
        <v>1</v>
      </c>
    </row>
    <row r="14" spans="1:20" x14ac:dyDescent="0.2">
      <c r="A14">
        <v>13</v>
      </c>
      <c r="B14" s="1">
        <v>43792</v>
      </c>
      <c r="C14" t="str">
        <v>Brighton &amp; Hove Albion FC</v>
      </c>
      <c r="D14">
        <v>0</v>
      </c>
      <c r="E14" t="str">
        <v>Leicester City FC</v>
      </c>
      <c r="F14">
        <v>2</v>
      </c>
      <c r="H14" s="59" cm="1">
        <f t="array" ref="H14">_xlfn.IFS(AND(C14=$N$18,D14&gt;F14),3,AND(E14=$N$18,F14&gt;D14),3,AND(C14=$N$18,D14=F14),1,AND(E14=$N$18,D14=F14),1,AND(C14=$N$18,D14&lt;F14),0,AND(E14=$N$18,F14&lt;D14),0)</f>
        <v>3</v>
      </c>
      <c r="I14">
        <f t="shared" si="0"/>
        <v>5</v>
      </c>
      <c r="J14" s="59">
        <f t="shared" si="1"/>
        <v>0</v>
      </c>
      <c r="K14" cm="1">
        <f t="array" ref="K14">_xlfn.IFS(H14=3,1+K13,H14=1,1+K13,H14=0,0)</f>
        <v>5</v>
      </c>
      <c r="L14" cm="1">
        <f t="array" ref="L14">_xlfn.IFS(H14=0,1+L13,H14=1,1+L13,H14=3,0)</f>
        <v>0</v>
      </c>
      <c r="Q14" s="56" t="s">
        <v>95</v>
      </c>
      <c r="R14">
        <v>38</v>
      </c>
      <c r="S14">
        <v>62</v>
      </c>
      <c r="T14" s="60">
        <v>1.631578947368421</v>
      </c>
    </row>
    <row r="15" spans="1:20" x14ac:dyDescent="0.2">
      <c r="A15">
        <v>14</v>
      </c>
      <c r="B15" s="1">
        <v>43800</v>
      </c>
      <c r="C15" t="str">
        <v>Leicester City FC</v>
      </c>
      <c r="D15">
        <v>2</v>
      </c>
      <c r="E15" t="str">
        <v>Everton FC</v>
      </c>
      <c r="F15">
        <v>1</v>
      </c>
      <c r="H15" s="59" cm="1">
        <f t="array" ref="H15">_xlfn.IFS(AND(C15=$N$18,D15&gt;F15),3,AND(E15=$N$18,F15&gt;D15),3,AND(C15=$N$18,D15=F15),1,AND(E15=$N$18,D15=F15),1,AND(C15=$N$18,D15&lt;F15),0,AND(E15=$N$18,F15&lt;D15),0)</f>
        <v>3</v>
      </c>
      <c r="I15">
        <f t="shared" si="0"/>
        <v>6</v>
      </c>
      <c r="J15" s="59">
        <f t="shared" si="1"/>
        <v>0</v>
      </c>
      <c r="K15" cm="1">
        <f t="array" ref="K15">_xlfn.IFS(H15=3,1+K14,H15=1,1+K14,H15=0,0)</f>
        <v>6</v>
      </c>
      <c r="L15" cm="1">
        <f t="array" ref="L15">_xlfn.IFS(H15=0,1+L14,H15=1,1+L14,H15=3,0)</f>
        <v>0</v>
      </c>
    </row>
    <row r="16" spans="1:20" x14ac:dyDescent="0.2">
      <c r="A16">
        <v>15</v>
      </c>
      <c r="B16" s="1">
        <v>43803</v>
      </c>
      <c r="C16" t="str">
        <v>Leicester City FC</v>
      </c>
      <c r="D16">
        <v>2</v>
      </c>
      <c r="E16" t="str">
        <v>Watford FC</v>
      </c>
      <c r="F16">
        <v>0</v>
      </c>
      <c r="H16" s="59" cm="1">
        <f t="array" ref="H16">_xlfn.IFS(AND(C16=$N$18,D16&gt;F16),3,AND(E16=$N$18,F16&gt;D16),3,AND(C16=$N$18,D16=F16),1,AND(E16=$N$18,D16=F16),1,AND(C16=$N$18,D16&lt;F16),0,AND(E16=$N$18,F16&lt;D16),0)</f>
        <v>3</v>
      </c>
      <c r="I16">
        <f t="shared" si="0"/>
        <v>7</v>
      </c>
      <c r="J16" s="59">
        <f t="shared" si="1"/>
        <v>0</v>
      </c>
      <c r="K16" cm="1">
        <f t="array" ref="K16">_xlfn.IFS(H16=3,1+K15,H16=1,1+K15,H16=0,0)</f>
        <v>7</v>
      </c>
      <c r="L16" cm="1">
        <f t="array" ref="L16">_xlfn.IFS(H16=0,1+L15,H16=1,1+L15,H16=3,0)</f>
        <v>0</v>
      </c>
    </row>
    <row r="17" spans="1:22" x14ac:dyDescent="0.2">
      <c r="A17">
        <v>16</v>
      </c>
      <c r="B17" s="1">
        <v>43807</v>
      </c>
      <c r="C17" t="str">
        <v>Aston Villa FC</v>
      </c>
      <c r="D17">
        <v>1</v>
      </c>
      <c r="E17" t="str">
        <v>Leicester City FC</v>
      </c>
      <c r="F17">
        <v>4</v>
      </c>
      <c r="H17" s="59" cm="1">
        <f t="array" ref="H17">_xlfn.IFS(AND(C17=$N$18,D17&gt;F17),3,AND(E17=$N$18,F17&gt;D17),3,AND(C17=$N$18,D17=F17),1,AND(E17=$N$18,D17=F17),1,AND(C17=$N$18,D17&lt;F17),0,AND(E17=$N$18,F17&lt;D17),0)</f>
        <v>3</v>
      </c>
      <c r="I17">
        <f t="shared" si="0"/>
        <v>8</v>
      </c>
      <c r="J17" s="59">
        <f t="shared" si="1"/>
        <v>0</v>
      </c>
      <c r="K17" cm="1">
        <f t="array" ref="K17">_xlfn.IFS(H17=3,1+K16,H17=1,1+K16,H17=0,0)</f>
        <v>8</v>
      </c>
      <c r="L17" cm="1">
        <f t="array" ref="L17">_xlfn.IFS(H17=0,1+L16,H17=1,1+L16,H17=3,0)</f>
        <v>0</v>
      </c>
    </row>
    <row r="18" spans="1:22" x14ac:dyDescent="0.2">
      <c r="A18">
        <v>17</v>
      </c>
      <c r="B18" s="1">
        <v>43813</v>
      </c>
      <c r="C18" t="str">
        <v>Leicester City FC</v>
      </c>
      <c r="D18">
        <v>1</v>
      </c>
      <c r="E18" t="str">
        <v>Norwich City FC</v>
      </c>
      <c r="F18">
        <v>1</v>
      </c>
      <c r="H18" s="59" cm="1">
        <f t="array" ref="H18">_xlfn.IFS(AND(C18=$N$18,D18&gt;F18),3,AND(E18=$N$18,F18&gt;D18),3,AND(C18=$N$18,D18=F18),1,AND(E18=$N$18,D18=F18),1,AND(C18=$N$18,D18&lt;F18),0,AND(E18=$N$18,F18&lt;D18),0)</f>
        <v>1</v>
      </c>
      <c r="I18">
        <f t="shared" si="0"/>
        <v>0</v>
      </c>
      <c r="J18" s="59">
        <f t="shared" si="1"/>
        <v>0</v>
      </c>
      <c r="K18" cm="1">
        <f t="array" ref="K18">_xlfn.IFS(H18=3,1+K17,H18=1,1+K17,H18=0,0)</f>
        <v>9</v>
      </c>
      <c r="L18" cm="1">
        <f t="array" ref="L18">_xlfn.IFS(H18=0,1+L17,H18=1,1+L17,H18=3,0)</f>
        <v>1</v>
      </c>
      <c r="N18" s="14" t="str">
        <f>C2</f>
        <v>Leicester City FC</v>
      </c>
      <c r="O18" s="9" t="s">
        <v>12</v>
      </c>
      <c r="P18" s="7" t="s">
        <v>13</v>
      </c>
      <c r="Q18" s="6" t="s">
        <v>14</v>
      </c>
      <c r="R18" s="8" t="s">
        <v>15</v>
      </c>
      <c r="S18" s="9" t="s">
        <v>16</v>
      </c>
      <c r="T18" s="9" t="s">
        <v>17</v>
      </c>
      <c r="U18" s="9" t="s">
        <v>18</v>
      </c>
      <c r="V18" s="9" t="s">
        <v>19</v>
      </c>
    </row>
    <row r="19" spans="1:22" x14ac:dyDescent="0.2">
      <c r="A19">
        <v>18</v>
      </c>
      <c r="B19" s="1">
        <v>43820</v>
      </c>
      <c r="C19" t="str">
        <v>Manchester City FC</v>
      </c>
      <c r="D19">
        <v>3</v>
      </c>
      <c r="E19" t="str">
        <v>Leicester City FC</v>
      </c>
      <c r="F19">
        <v>1</v>
      </c>
      <c r="H19" s="59" cm="1">
        <f t="array" ref="H19">_xlfn.IFS(AND(C19=$N$18,D19&gt;F19),3,AND(E19=$N$18,F19&gt;D19),3,AND(C19=$N$18,D19=F19),1,AND(E19=$N$18,D19=F19),1,AND(C19=$N$18,D19&lt;F19),0,AND(E19=$N$18,F19&lt;D19),0)</f>
        <v>0</v>
      </c>
      <c r="I19">
        <f t="shared" si="0"/>
        <v>0</v>
      </c>
      <c r="J19" s="59">
        <f t="shared" si="1"/>
        <v>1</v>
      </c>
      <c r="K19" cm="1">
        <f t="array" ref="K19">_xlfn.IFS(H19=3,1+K18,H19=1,1+K18,H19=0,0)</f>
        <v>0</v>
      </c>
      <c r="L19" cm="1">
        <f t="array" ref="L19">_xlfn.IFS(H19=0,1+L18,H19=1,1+L18,H19=3,0)</f>
        <v>2</v>
      </c>
      <c r="N19" s="10" t="s">
        <v>22</v>
      </c>
      <c r="O19" s="11">
        <f>COUNT(A2:A39)</f>
        <v>38</v>
      </c>
      <c r="P19" s="5" cm="1">
        <f t="array" ref="P19">SUMPRODUCT(((C2:C39=$N$18)*(D2:D39&gt;F2:F39))+((E2:E39=$N$18)*(F2:F39&gt;D2:D39)))</f>
        <v>18</v>
      </c>
      <c r="Q19" s="12" cm="1">
        <f t="array" ref="Q19">SUMPRODUCT(((C2:C39=$N$18)*(D2:D39=F2:F39))+((E2:E39=$N$18)*(F2:F39=D2:D39)))</f>
        <v>8</v>
      </c>
      <c r="R19" s="13" cm="1">
        <f t="array" ref="R19">SUMPRODUCT(((C2:C39=$N$18)*(D2:D39&lt;F2:F39))+((E2:E39=$N$18)*(F2:F39&lt;D2:D39)))</f>
        <v>12</v>
      </c>
      <c r="S19" s="11">
        <f>SUMIF(C2:C39,N18,D2:D39)+SUMIF(E2:E39,N18,F2:F39)</f>
        <v>67</v>
      </c>
      <c r="T19" s="11">
        <f>SUMIF(C2:C39,N18,F2:F39)+SUMIF(E2:E39,N18,D2:D39)</f>
        <v>41</v>
      </c>
      <c r="U19" s="11">
        <f>S19-T19</f>
        <v>26</v>
      </c>
      <c r="V19" s="11">
        <f>V20+V21</f>
        <v>62</v>
      </c>
    </row>
    <row r="20" spans="1:22" x14ac:dyDescent="0.2">
      <c r="A20">
        <v>19</v>
      </c>
      <c r="B20" s="1">
        <v>43825</v>
      </c>
      <c r="C20" t="str">
        <v>Leicester City FC</v>
      </c>
      <c r="D20">
        <v>0</v>
      </c>
      <c r="E20" t="str">
        <v>Liverpool FC</v>
      </c>
      <c r="F20">
        <v>4</v>
      </c>
      <c r="H20" s="59" cm="1">
        <f t="array" ref="H20">_xlfn.IFS(AND(C20=$N$18,D20&gt;F20),3,AND(E20=$N$18,F20&gt;D20),3,AND(C20=$N$18,D20=F20),1,AND(E20=$N$18,D20=F20),1,AND(C20=$N$18,D20&lt;F20),0,AND(E20=$N$18,F20&lt;D20),0)</f>
        <v>0</v>
      </c>
      <c r="I20">
        <f t="shared" si="0"/>
        <v>0</v>
      </c>
      <c r="J20" s="59">
        <f t="shared" si="1"/>
        <v>2</v>
      </c>
      <c r="K20" cm="1">
        <f t="array" ref="K20">_xlfn.IFS(H20=3,1+K19,H20=1,1+K19,H20=0,0)</f>
        <v>0</v>
      </c>
      <c r="L20" cm="1">
        <f t="array" ref="L20">_xlfn.IFS(H20=0,1+L19,H20=1,1+L19,H20=3,0)</f>
        <v>3</v>
      </c>
      <c r="N20" s="10" t="s">
        <v>2</v>
      </c>
      <c r="O20" s="11">
        <f>COUNTIF(C2:C39,C2)</f>
        <v>19</v>
      </c>
      <c r="P20" s="20" cm="1">
        <f t="array" ref="P20">SUMPRODUCT(((C2:C39=$N$18)*(D2:D39&gt;F2:F39)))</f>
        <v>11</v>
      </c>
      <c r="Q20" s="12" cm="1">
        <f t="array" ref="Q20">SUMPRODUCT(((C2:C39=$N$18)*(D2:D39=F2:F39)))</f>
        <v>4</v>
      </c>
      <c r="R20" s="13" cm="1">
        <f t="array" ref="R20">SUMPRODUCT(((C2:C39=$N$18)*(D2:D39&lt;F2:F39)))</f>
        <v>4</v>
      </c>
      <c r="S20" s="11">
        <f>SUMIF(C2:C39,N18,D2:D39)</f>
        <v>35</v>
      </c>
      <c r="T20" s="11">
        <f>SUMIF(C2:C39,N18,F2:F39)</f>
        <v>17</v>
      </c>
      <c r="U20" s="11">
        <f>S20-T20</f>
        <v>18</v>
      </c>
      <c r="V20" s="11">
        <f>(P20*3)+Q20</f>
        <v>37</v>
      </c>
    </row>
    <row r="21" spans="1:22" x14ac:dyDescent="0.2">
      <c r="A21">
        <v>20</v>
      </c>
      <c r="B21" s="1">
        <v>43827</v>
      </c>
      <c r="C21" t="str">
        <v>West Ham United FC</v>
      </c>
      <c r="D21">
        <v>1</v>
      </c>
      <c r="E21" t="str">
        <v>Leicester City FC</v>
      </c>
      <c r="F21">
        <v>2</v>
      </c>
      <c r="H21" s="59" cm="1">
        <f t="array" ref="H21">_xlfn.IFS(AND(C21=$N$18,D21&gt;F21),3,AND(E21=$N$18,F21&gt;D21),3,AND(C21=$N$18,D21=F21),1,AND(E21=$N$18,D21=F21),1,AND(C21=$N$18,D21&lt;F21),0,AND(E21=$N$18,F21&lt;D21),0)</f>
        <v>3</v>
      </c>
      <c r="I21">
        <f t="shared" si="0"/>
        <v>1</v>
      </c>
      <c r="J21" s="59">
        <f t="shared" si="1"/>
        <v>0</v>
      </c>
      <c r="K21" cm="1">
        <f t="array" ref="K21">_xlfn.IFS(H21=3,1+K20,H21=1,1+K20,H21=0,0)</f>
        <v>1</v>
      </c>
      <c r="L21" cm="1">
        <f t="array" ref="L21">_xlfn.IFS(H21=0,1+L20,H21=1,1+L20,H21=3,0)</f>
        <v>0</v>
      </c>
      <c r="N21" s="10" t="s">
        <v>4</v>
      </c>
      <c r="O21" s="11">
        <f>COUNTIF(E2:E39,E3)</f>
        <v>19</v>
      </c>
      <c r="P21" s="5" cm="1">
        <f t="array" ref="P21">SUMPRODUCT(((E2:E39=$N$18)*(F2:F39&gt;D2:D39)))</f>
        <v>7</v>
      </c>
      <c r="Q21" s="12" cm="1">
        <f t="array" ref="Q21">SUMPRODUCT(((E2:E39=$N$18)*(F2:F39=D2:D39)))</f>
        <v>4</v>
      </c>
      <c r="R21" s="13" cm="1">
        <f t="array" ref="R21">SUMPRODUCT(((E2:E39=$N$18)*(F2:F39&lt;D2:D39)))</f>
        <v>8</v>
      </c>
      <c r="S21" s="11">
        <f>SUMIF(E2:E39,N18,F2:F39)</f>
        <v>32</v>
      </c>
      <c r="T21" s="11">
        <f>SUMIF(E2:E39,N18,D2:D39)</f>
        <v>24</v>
      </c>
      <c r="U21" s="11">
        <f>S21-T21</f>
        <v>8</v>
      </c>
      <c r="V21" s="11">
        <f>(P21*3)+Q21</f>
        <v>25</v>
      </c>
    </row>
    <row r="22" spans="1:22" x14ac:dyDescent="0.2">
      <c r="A22">
        <v>21</v>
      </c>
      <c r="B22" s="1">
        <v>43831</v>
      </c>
      <c r="C22" t="str">
        <v>Newcastle United FC</v>
      </c>
      <c r="D22">
        <v>0</v>
      </c>
      <c r="E22" t="str">
        <v>Leicester City FC</v>
      </c>
      <c r="F22">
        <v>3</v>
      </c>
      <c r="H22" s="59" cm="1">
        <f t="array" ref="H22">_xlfn.IFS(AND(C22=$N$18,D22&gt;F22),3,AND(E22=$N$18,F22&gt;D22),3,AND(C22=$N$18,D22=F22),1,AND(E22=$N$18,D22=F22),1,AND(C22=$N$18,D22&lt;F22),0,AND(E22=$N$18,F22&lt;D22),0)</f>
        <v>3</v>
      </c>
      <c r="I22">
        <f t="shared" si="0"/>
        <v>2</v>
      </c>
      <c r="J22" s="59">
        <f t="shared" si="1"/>
        <v>0</v>
      </c>
      <c r="K22" cm="1">
        <f t="array" ref="K22">_xlfn.IFS(H22=3,1+K21,H22=1,1+K21,H22=0,0)</f>
        <v>2</v>
      </c>
      <c r="L22" cm="1">
        <f t="array" ref="L22">_xlfn.IFS(H22=0,1+L21,H22=1,1+L21,H22=3,0)</f>
        <v>0</v>
      </c>
    </row>
    <row r="23" spans="1:22" x14ac:dyDescent="0.2">
      <c r="A23">
        <v>22</v>
      </c>
      <c r="B23" s="1">
        <v>43841</v>
      </c>
      <c r="C23" t="str">
        <v>Leicester City FC</v>
      </c>
      <c r="D23">
        <v>1</v>
      </c>
      <c r="E23" t="str">
        <v>Southampton FC</v>
      </c>
      <c r="F23">
        <v>2</v>
      </c>
      <c r="H23" s="59" cm="1">
        <f t="array" ref="H23">_xlfn.IFS(AND(C23=$N$18,D23&gt;F23),3,AND(E23=$N$18,F23&gt;D23),3,AND(C23=$N$18,D23=F23),1,AND(E23=$N$18,D23=F23),1,AND(C23=$N$18,D23&lt;F23),0,AND(E23=$N$18,F23&lt;D23),0)</f>
        <v>0</v>
      </c>
      <c r="I23">
        <f t="shared" si="0"/>
        <v>0</v>
      </c>
      <c r="J23" s="59">
        <f t="shared" si="1"/>
        <v>1</v>
      </c>
      <c r="K23" cm="1">
        <f t="array" ref="K23">_xlfn.IFS(H23=3,1+K22,H23=1,1+K22,H23=0,0)</f>
        <v>0</v>
      </c>
      <c r="L23" cm="1">
        <f t="array" ref="L23">_xlfn.IFS(H23=0,1+L22,H23=1,1+L22,H23=3,0)</f>
        <v>1</v>
      </c>
    </row>
    <row r="24" spans="1:22" x14ac:dyDescent="0.2">
      <c r="A24">
        <v>23</v>
      </c>
      <c r="B24" s="1">
        <v>43849</v>
      </c>
      <c r="C24" t="str">
        <v>Burnley FC</v>
      </c>
      <c r="D24">
        <v>2</v>
      </c>
      <c r="E24" t="str">
        <v>Leicester City FC</v>
      </c>
      <c r="F24">
        <v>1</v>
      </c>
      <c r="H24" s="59" cm="1">
        <f t="array" ref="H24">_xlfn.IFS(AND(C24=$N$18,D24&gt;F24),3,AND(E24=$N$18,F24&gt;D24),3,AND(C24=$N$18,D24=F24),1,AND(E24=$N$18,D24=F24),1,AND(C24=$N$18,D24&lt;F24),0,AND(E24=$N$18,F24&lt;D24),0)</f>
        <v>0</v>
      </c>
      <c r="I24">
        <f t="shared" si="0"/>
        <v>0</v>
      </c>
      <c r="J24" s="59">
        <f t="shared" si="1"/>
        <v>2</v>
      </c>
      <c r="K24" cm="1">
        <f t="array" ref="K24">_xlfn.IFS(H24=3,1+K23,H24=1,1+K23,H24=0,0)</f>
        <v>0</v>
      </c>
      <c r="L24" cm="1">
        <f t="array" ref="L24">_xlfn.IFS(H24=0,1+L23,H24=1,1+L23,H24=3,0)</f>
        <v>2</v>
      </c>
    </row>
    <row r="25" spans="1:22" x14ac:dyDescent="0.2">
      <c r="A25">
        <v>24</v>
      </c>
      <c r="B25" s="1">
        <v>43852</v>
      </c>
      <c r="C25" t="str">
        <v>Leicester City FC</v>
      </c>
      <c r="D25">
        <v>4</v>
      </c>
      <c r="E25" t="str">
        <v>West Ham United FC</v>
      </c>
      <c r="F25">
        <v>1</v>
      </c>
      <c r="H25" s="59" cm="1">
        <f t="array" ref="H25">_xlfn.IFS(AND(C25=$N$18,D25&gt;F25),3,AND(E25=$N$18,F25&gt;D25),3,AND(C25=$N$18,D25=F25),1,AND(E25=$N$18,D25=F25),1,AND(C25=$N$18,D25&lt;F25),0,AND(E25=$N$18,F25&lt;D25),0)</f>
        <v>3</v>
      </c>
      <c r="I25">
        <f t="shared" si="0"/>
        <v>1</v>
      </c>
      <c r="J25" s="59">
        <f t="shared" si="1"/>
        <v>0</v>
      </c>
      <c r="K25" cm="1">
        <f t="array" ref="K25">_xlfn.IFS(H25=3,1+K24,H25=1,1+K24,H25=0,0)</f>
        <v>1</v>
      </c>
      <c r="L25" cm="1">
        <f t="array" ref="L25">_xlfn.IFS(H25=0,1+L24,H25=1,1+L24,H25=3,0)</f>
        <v>0</v>
      </c>
    </row>
    <row r="26" spans="1:22" x14ac:dyDescent="0.2">
      <c r="A26">
        <v>25</v>
      </c>
      <c r="B26" s="1">
        <v>43862</v>
      </c>
      <c r="C26" t="str">
        <v>Leicester City FC</v>
      </c>
      <c r="D26">
        <v>2</v>
      </c>
      <c r="E26" t="str">
        <v>Chelsea FC</v>
      </c>
      <c r="F26">
        <v>2</v>
      </c>
      <c r="H26" s="59" cm="1">
        <f t="array" ref="H26">_xlfn.IFS(AND(C26=$N$18,D26&gt;F26),3,AND(E26=$N$18,F26&gt;D26),3,AND(C26=$N$18,D26=F26),1,AND(E26=$N$18,D26=F26),1,AND(C26=$N$18,D26&lt;F26),0,AND(E26=$N$18,F26&lt;D26),0)</f>
        <v>1</v>
      </c>
      <c r="I26">
        <f t="shared" si="0"/>
        <v>0</v>
      </c>
      <c r="J26" s="59">
        <f t="shared" si="1"/>
        <v>0</v>
      </c>
      <c r="K26" cm="1">
        <f t="array" ref="K26">_xlfn.IFS(H26=3,1+K25,H26=1,1+K25,H26=0,0)</f>
        <v>2</v>
      </c>
      <c r="L26" cm="1">
        <f t="array" ref="L26">_xlfn.IFS(H26=0,1+L25,H26=1,1+L25,H26=3,0)</f>
        <v>1</v>
      </c>
    </row>
    <row r="27" spans="1:22" x14ac:dyDescent="0.2">
      <c r="A27">
        <v>26</v>
      </c>
      <c r="B27" s="1">
        <v>43875</v>
      </c>
      <c r="C27" t="str">
        <v>Wolverhampton Wanderers FC</v>
      </c>
      <c r="D27">
        <v>0</v>
      </c>
      <c r="E27" t="str">
        <v>Leicester City FC</v>
      </c>
      <c r="F27">
        <v>0</v>
      </c>
      <c r="H27" s="59" cm="1">
        <f t="array" ref="H27">_xlfn.IFS(AND(C27=$N$18,D27&gt;F27),3,AND(E27=$N$18,F27&gt;D27),3,AND(C27=$N$18,D27=F27),1,AND(E27=$N$18,D27=F27),1,AND(C27=$N$18,D27&lt;F27),0,AND(E27=$N$18,F27&lt;D27),0)</f>
        <v>1</v>
      </c>
      <c r="I27">
        <f t="shared" si="0"/>
        <v>0</v>
      </c>
      <c r="J27" s="59">
        <f t="shared" si="1"/>
        <v>0</v>
      </c>
      <c r="K27" cm="1">
        <f t="array" ref="K27">_xlfn.IFS(H27=3,1+K26,H27=1,1+K26,H27=0,0)</f>
        <v>3</v>
      </c>
      <c r="L27" cm="1">
        <f t="array" ref="L27">_xlfn.IFS(H27=0,1+L26,H27=1,1+L26,H27=3,0)</f>
        <v>2</v>
      </c>
    </row>
    <row r="28" spans="1:22" x14ac:dyDescent="0.2">
      <c r="A28">
        <v>27</v>
      </c>
      <c r="B28" s="1">
        <v>43883</v>
      </c>
      <c r="C28" t="str">
        <v>Leicester City FC</v>
      </c>
      <c r="D28">
        <v>0</v>
      </c>
      <c r="E28" t="str">
        <v>Manchester City FC</v>
      </c>
      <c r="F28">
        <v>1</v>
      </c>
      <c r="H28" s="59" cm="1">
        <f t="array" ref="H28">_xlfn.IFS(AND(C28=$N$18,D28&gt;F28),3,AND(E28=$N$18,F28&gt;D28),3,AND(C28=$N$18,D28=F28),1,AND(E28=$N$18,D28=F28),1,AND(C28=$N$18,D28&lt;F28),0,AND(E28=$N$18,F28&lt;D28),0)</f>
        <v>0</v>
      </c>
      <c r="I28">
        <f t="shared" si="0"/>
        <v>0</v>
      </c>
      <c r="J28" s="59">
        <f t="shared" si="1"/>
        <v>1</v>
      </c>
      <c r="K28" cm="1">
        <f t="array" ref="K28">_xlfn.IFS(H28=3,1+K27,H28=1,1+K27,H28=0,0)</f>
        <v>0</v>
      </c>
      <c r="L28" cm="1">
        <f t="array" ref="L28">_xlfn.IFS(H28=0,1+L27,H28=1,1+L27,H28=3,0)</f>
        <v>3</v>
      </c>
    </row>
    <row r="29" spans="1:22" x14ac:dyDescent="0.2">
      <c r="A29">
        <v>28</v>
      </c>
      <c r="B29" s="1">
        <v>43889</v>
      </c>
      <c r="C29" t="str">
        <v>Norwich City FC</v>
      </c>
      <c r="D29">
        <v>1</v>
      </c>
      <c r="E29" t="str">
        <v>Leicester City FC</v>
      </c>
      <c r="F29">
        <v>0</v>
      </c>
      <c r="H29" s="59" cm="1">
        <f t="array" ref="H29">_xlfn.IFS(AND(C29=$N$18,D29&gt;F29),3,AND(E29=$N$18,F29&gt;D29),3,AND(C29=$N$18,D29=F29),1,AND(E29=$N$18,D29=F29),1,AND(C29=$N$18,D29&lt;F29),0,AND(E29=$N$18,F29&lt;D29),0)</f>
        <v>0</v>
      </c>
      <c r="I29">
        <f t="shared" si="0"/>
        <v>0</v>
      </c>
      <c r="J29" s="59">
        <f t="shared" si="1"/>
        <v>2</v>
      </c>
      <c r="K29" cm="1">
        <f t="array" ref="K29">_xlfn.IFS(H29=3,1+K28,H29=1,1+K28,H29=0,0)</f>
        <v>0</v>
      </c>
      <c r="L29" cm="1">
        <f t="array" ref="L29">_xlfn.IFS(H29=0,1+L28,H29=1,1+L28,H29=3,0)</f>
        <v>4</v>
      </c>
    </row>
    <row r="30" spans="1:22" x14ac:dyDescent="0.2">
      <c r="A30">
        <v>29</v>
      </c>
      <c r="B30" s="1">
        <v>43899</v>
      </c>
      <c r="C30" t="str">
        <v>Leicester City FC</v>
      </c>
      <c r="D30">
        <v>4</v>
      </c>
      <c r="E30" t="str">
        <v>Aston Villa FC</v>
      </c>
      <c r="F30">
        <v>0</v>
      </c>
      <c r="H30" s="59" cm="1">
        <f t="array" ref="H30">_xlfn.IFS(AND(C30=$N$18,D30&gt;F30),3,AND(E30=$N$18,F30&gt;D30),3,AND(C30=$N$18,D30=F30),1,AND(E30=$N$18,D30=F30),1,AND(C30=$N$18,D30&lt;F30),0,AND(E30=$N$18,F30&lt;D30),0)</f>
        <v>3</v>
      </c>
      <c r="I30">
        <f t="shared" si="0"/>
        <v>1</v>
      </c>
      <c r="J30" s="59">
        <f t="shared" si="1"/>
        <v>0</v>
      </c>
      <c r="K30" cm="1">
        <f t="array" ref="K30">_xlfn.IFS(H30=3,1+K29,H30=1,1+K29,H30=0,0)</f>
        <v>1</v>
      </c>
      <c r="L30" cm="1">
        <f t="array" ref="L30">_xlfn.IFS(H30=0,1+L29,H30=1,1+L29,H30=3,0)</f>
        <v>0</v>
      </c>
    </row>
    <row r="31" spans="1:22" x14ac:dyDescent="0.2">
      <c r="A31">
        <v>30</v>
      </c>
      <c r="B31" s="1">
        <v>44002</v>
      </c>
      <c r="C31" t="str">
        <v>Watford FC</v>
      </c>
      <c r="D31">
        <v>1</v>
      </c>
      <c r="E31" t="str">
        <v>Leicester City FC</v>
      </c>
      <c r="F31">
        <v>1</v>
      </c>
      <c r="H31" s="59" cm="1">
        <f t="array" ref="H31">_xlfn.IFS(AND(C31=$N$18,D31&gt;F31),3,AND(E31=$N$18,F31&gt;D31),3,AND(C31=$N$18,D31=F31),1,AND(E31=$N$18,D31=F31),1,AND(C31=$N$18,D31&lt;F31),0,AND(E31=$N$18,F31&lt;D31),0)</f>
        <v>1</v>
      </c>
      <c r="I31">
        <f t="shared" si="0"/>
        <v>0</v>
      </c>
      <c r="J31" s="59">
        <f t="shared" si="1"/>
        <v>0</v>
      </c>
      <c r="K31" cm="1">
        <f t="array" ref="K31">_xlfn.IFS(H31=3,1+K30,H31=1,1+K30,H31=0,0)</f>
        <v>2</v>
      </c>
      <c r="L31" cm="1">
        <f t="array" ref="L31">_xlfn.IFS(H31=0,1+L30,H31=1,1+L30,H31=3,0)</f>
        <v>1</v>
      </c>
    </row>
    <row r="32" spans="1:22" x14ac:dyDescent="0.2">
      <c r="A32">
        <v>31</v>
      </c>
      <c r="B32" s="1">
        <v>44005</v>
      </c>
      <c r="C32" t="str">
        <v>Leicester City FC</v>
      </c>
      <c r="D32">
        <v>0</v>
      </c>
      <c r="E32" t="str">
        <v>Brighton &amp; Hove Albion FC</v>
      </c>
      <c r="F32">
        <v>0</v>
      </c>
      <c r="H32" s="59" cm="1">
        <f t="array" ref="H32">_xlfn.IFS(AND(C32=$N$18,D32&gt;F32),3,AND(E32=$N$18,F32&gt;D32),3,AND(C32=$N$18,D32=F32),1,AND(E32=$N$18,D32=F32),1,AND(C32=$N$18,D32&lt;F32),0,AND(E32=$N$18,F32&lt;D32),0)</f>
        <v>1</v>
      </c>
      <c r="I32">
        <f t="shared" si="0"/>
        <v>0</v>
      </c>
      <c r="J32" s="59">
        <f t="shared" si="1"/>
        <v>0</v>
      </c>
      <c r="K32" cm="1">
        <f t="array" ref="K32">_xlfn.IFS(H32=3,1+K31,H32=1,1+K31,H32=0,0)</f>
        <v>3</v>
      </c>
      <c r="L32" cm="1">
        <f t="array" ref="L32">_xlfn.IFS(H32=0,1+L31,H32=1,1+L31,H32=3,0)</f>
        <v>2</v>
      </c>
    </row>
    <row r="33" spans="1:12" x14ac:dyDescent="0.2">
      <c r="A33">
        <v>32</v>
      </c>
      <c r="B33" s="1">
        <v>44013</v>
      </c>
      <c r="C33" t="str">
        <v>Everton FC</v>
      </c>
      <c r="D33">
        <v>2</v>
      </c>
      <c r="E33" t="str">
        <v>Leicester City FC</v>
      </c>
      <c r="F33">
        <v>1</v>
      </c>
      <c r="H33" s="59" cm="1">
        <f t="array" ref="H33">_xlfn.IFS(AND(C33=$N$18,D33&gt;F33),3,AND(E33=$N$18,F33&gt;D33),3,AND(C33=$N$18,D33=F33),1,AND(E33=$N$18,D33=F33),1,AND(C33=$N$18,D33&lt;F33),0,AND(E33=$N$18,F33&lt;D33),0)</f>
        <v>0</v>
      </c>
      <c r="I33">
        <f t="shared" si="0"/>
        <v>0</v>
      </c>
      <c r="J33" s="59">
        <f t="shared" si="1"/>
        <v>1</v>
      </c>
      <c r="K33" cm="1">
        <f t="array" ref="K33">_xlfn.IFS(H33=3,1+K32,H33=1,1+K32,H33=0,0)</f>
        <v>0</v>
      </c>
      <c r="L33" cm="1">
        <f t="array" ref="L33">_xlfn.IFS(H33=0,1+L32,H33=1,1+L32,H33=3,0)</f>
        <v>3</v>
      </c>
    </row>
    <row r="34" spans="1:12" x14ac:dyDescent="0.2">
      <c r="A34">
        <v>33</v>
      </c>
      <c r="B34" s="1">
        <v>44016</v>
      </c>
      <c r="C34" t="str">
        <v>Leicester City FC</v>
      </c>
      <c r="D34">
        <v>3</v>
      </c>
      <c r="E34" t="str">
        <v>Crystal Palace FC</v>
      </c>
      <c r="F34">
        <v>0</v>
      </c>
      <c r="H34" s="59" cm="1">
        <f t="array" ref="H34">_xlfn.IFS(AND(C34=$N$18,D34&gt;F34),3,AND(E34=$N$18,F34&gt;D34),3,AND(C34=$N$18,D34=F34),1,AND(E34=$N$18,D34=F34),1,AND(C34=$N$18,D34&lt;F34),0,AND(E34=$N$18,F34&lt;D34),0)</f>
        <v>3</v>
      </c>
      <c r="I34">
        <f t="shared" si="0"/>
        <v>1</v>
      </c>
      <c r="J34" s="59">
        <f t="shared" si="1"/>
        <v>0</v>
      </c>
      <c r="K34" cm="1">
        <f t="array" ref="K34">_xlfn.IFS(H34=3,1+K33,H34=1,1+K33,H34=0,0)</f>
        <v>1</v>
      </c>
      <c r="L34" cm="1">
        <f t="array" ref="L34">_xlfn.IFS(H34=0,1+L33,H34=1,1+L33,H34=3,0)</f>
        <v>0</v>
      </c>
    </row>
    <row r="35" spans="1:12" x14ac:dyDescent="0.2">
      <c r="A35">
        <v>34</v>
      </c>
      <c r="B35" s="1">
        <v>44019</v>
      </c>
      <c r="C35" t="str">
        <v>Arsenal FC</v>
      </c>
      <c r="D35">
        <v>1</v>
      </c>
      <c r="E35" t="str">
        <v>Leicester City FC</v>
      </c>
      <c r="F35">
        <v>1</v>
      </c>
      <c r="H35" s="59" cm="1">
        <f t="array" ref="H35">_xlfn.IFS(AND(C35=$N$18,D35&gt;F35),3,AND(E35=$N$18,F35&gt;D35),3,AND(C35=$N$18,D35=F35),1,AND(E35=$N$18,D35=F35),1,AND(C35=$N$18,D35&lt;F35),0,AND(E35=$N$18,F35&lt;D35),0)</f>
        <v>1</v>
      </c>
      <c r="I35">
        <f t="shared" si="0"/>
        <v>0</v>
      </c>
      <c r="J35" s="59">
        <f t="shared" si="1"/>
        <v>0</v>
      </c>
      <c r="K35" cm="1">
        <f t="array" ref="K35">_xlfn.IFS(H35=3,1+K34,H35=1,1+K34,H35=0,0)</f>
        <v>2</v>
      </c>
      <c r="L35" cm="1">
        <f t="array" ref="L35">_xlfn.IFS(H35=0,1+L34,H35=1,1+L34,H35=3,0)</f>
        <v>1</v>
      </c>
    </row>
    <row r="36" spans="1:12" x14ac:dyDescent="0.2">
      <c r="A36">
        <v>35</v>
      </c>
      <c r="B36" s="1">
        <v>44024</v>
      </c>
      <c r="C36" t="str">
        <v>AFC Bournemouth</v>
      </c>
      <c r="D36">
        <v>4</v>
      </c>
      <c r="E36" t="str">
        <v>Leicester City FC</v>
      </c>
      <c r="F36">
        <v>1</v>
      </c>
      <c r="H36" s="59" cm="1">
        <f t="array" ref="H36">_xlfn.IFS(AND(C36=$N$18,D36&gt;F36),3,AND(E36=$N$18,F36&gt;D36),3,AND(C36=$N$18,D36=F36),1,AND(E36=$N$18,D36=F36),1,AND(C36=$N$18,D36&lt;F36),0,AND(E36=$N$18,F36&lt;D36),0)</f>
        <v>0</v>
      </c>
      <c r="I36">
        <f t="shared" si="0"/>
        <v>0</v>
      </c>
      <c r="J36" s="59">
        <f t="shared" si="1"/>
        <v>1</v>
      </c>
      <c r="K36" cm="1">
        <f t="array" ref="K36">_xlfn.IFS(H36=3,1+K35,H36=1,1+K35,H36=0,0)</f>
        <v>0</v>
      </c>
      <c r="L36" cm="1">
        <f t="array" ref="L36">_xlfn.IFS(H36=0,1+L35,H36=1,1+L35,H36=3,0)</f>
        <v>2</v>
      </c>
    </row>
    <row r="37" spans="1:12" x14ac:dyDescent="0.2">
      <c r="A37">
        <v>36</v>
      </c>
      <c r="B37" s="1">
        <v>44028</v>
      </c>
      <c r="C37" t="str">
        <v>Leicester City FC</v>
      </c>
      <c r="D37">
        <v>2</v>
      </c>
      <c r="E37" t="str">
        <v>Sheffield United FC</v>
      </c>
      <c r="F37">
        <v>0</v>
      </c>
      <c r="H37" s="59" cm="1">
        <f t="array" ref="H37">_xlfn.IFS(AND(C37=$N$18,D37&gt;F37),3,AND(E37=$N$18,F37&gt;D37),3,AND(C37=$N$18,D37=F37),1,AND(E37=$N$18,D37=F37),1,AND(C37=$N$18,D37&lt;F37),0,AND(E37=$N$18,F37&lt;D37),0)</f>
        <v>3</v>
      </c>
      <c r="I37">
        <f t="shared" si="0"/>
        <v>1</v>
      </c>
      <c r="J37" s="59">
        <f t="shared" si="1"/>
        <v>0</v>
      </c>
      <c r="K37" cm="1">
        <f t="array" ref="K37">_xlfn.IFS(H37=3,1+K36,H37=1,1+K36,H37=0,0)</f>
        <v>1</v>
      </c>
      <c r="L37" cm="1">
        <f t="array" ref="L37">_xlfn.IFS(H37=0,1+L36,H37=1,1+L36,H37=3,0)</f>
        <v>0</v>
      </c>
    </row>
    <row r="38" spans="1:12" x14ac:dyDescent="0.2">
      <c r="A38">
        <v>37</v>
      </c>
      <c r="B38" s="1">
        <v>44031</v>
      </c>
      <c r="C38" t="str">
        <v>Tottenham Hotspur FC</v>
      </c>
      <c r="D38">
        <v>3</v>
      </c>
      <c r="E38" t="str">
        <v>Leicester City FC</v>
      </c>
      <c r="F38">
        <v>0</v>
      </c>
      <c r="H38" s="59" cm="1">
        <f t="array" ref="H38">_xlfn.IFS(AND(C38=$N$18,D38&gt;F38),3,AND(E38=$N$18,F38&gt;D38),3,AND(C38=$N$18,D38=F38),1,AND(E38=$N$18,D38=F38),1,AND(C38=$N$18,D38&lt;F38),0,AND(E38=$N$18,F38&lt;D38),0)</f>
        <v>0</v>
      </c>
      <c r="I38">
        <f t="shared" si="0"/>
        <v>0</v>
      </c>
      <c r="J38" s="59">
        <f t="shared" si="1"/>
        <v>1</v>
      </c>
      <c r="K38" cm="1">
        <f t="array" ref="K38">_xlfn.IFS(H38=3,1+K37,H38=1,1+K37,H38=0,0)</f>
        <v>0</v>
      </c>
      <c r="L38" cm="1">
        <f t="array" ref="L38">_xlfn.IFS(H38=0,1+L37,H38=1,1+L37,H38=3,0)</f>
        <v>1</v>
      </c>
    </row>
    <row r="39" spans="1:12" x14ac:dyDescent="0.2">
      <c r="A39">
        <v>38</v>
      </c>
      <c r="B39" s="1">
        <v>44038</v>
      </c>
      <c r="C39" t="str">
        <v>Leicester City FC</v>
      </c>
      <c r="D39">
        <v>0</v>
      </c>
      <c r="E39" t="str">
        <v>Manchester United FC</v>
      </c>
      <c r="F39">
        <v>2</v>
      </c>
      <c r="H39" s="59" cm="1">
        <f t="array" ref="H39">_xlfn.IFS(AND(C39=$N$18,D39&gt;F39),3,AND(E39=$N$18,F39&gt;D39),3,AND(C39=$N$18,D39=F39),1,AND(E39=$N$18,D39=F39),1,AND(C39=$N$18,D39&lt;F39),0,AND(E39=$N$18,F39&lt;D39),0)</f>
        <v>0</v>
      </c>
      <c r="I39">
        <f t="shared" si="0"/>
        <v>0</v>
      </c>
      <c r="J39" s="59">
        <f t="shared" si="1"/>
        <v>2</v>
      </c>
      <c r="K39" cm="1">
        <f t="array" ref="K39">_xlfn.IFS(H39=3,1+K38,H39=1,1+K38,H39=0,0)</f>
        <v>0</v>
      </c>
      <c r="L39" cm="1">
        <f t="array" ref="L39">_xlfn.IFS(H39=0,1+L38,H39=1,1+L38,H39=3,0)</f>
        <v>2</v>
      </c>
    </row>
  </sheetData>
  <conditionalFormatting sqref="G2:G39">
    <cfRule type="expression" dxfId="77" priority="5">
      <formula>AND($E2=$N$18,$F2&gt;$D2)</formula>
    </cfRule>
  </conditionalFormatting>
  <conditionalFormatting sqref="G2:G39">
    <cfRule type="expression" dxfId="76" priority="4">
      <formula>AND($E2=$N$18,$F2&lt;$D2)</formula>
    </cfRule>
  </conditionalFormatting>
  <conditionalFormatting sqref="G2:G39">
    <cfRule type="expression" dxfId="75" priority="3">
      <formula>$D2=$F2</formula>
    </cfRule>
  </conditionalFormatting>
  <conditionalFormatting sqref="G2:G39">
    <cfRule type="expression" dxfId="74" priority="2">
      <formula>AND($C2=$N$18,$D2&lt;$F2)</formula>
    </cfRule>
  </conditionalFormatting>
  <conditionalFormatting sqref="G2:G39">
    <cfRule type="expression" dxfId="73" priority="1">
      <formula>AND($C2=$N$18,$D2&gt;$F2)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08C56-EBE5-4974-93FB-E23CBE2364E3}">
  <sheetPr codeName="Sheet13"/>
  <dimension ref="A1:V39"/>
  <sheetViews>
    <sheetView zoomScale="60" zoomScaleNormal="60" workbookViewId="0"/>
  </sheetViews>
  <sheetFormatPr baseColWidth="10" defaultColWidth="8.83203125" defaultRowHeight="15" x14ac:dyDescent="0.2"/>
  <cols>
    <col min="2" max="2" width="11.5" style="1" bestFit="1" customWidth="1"/>
    <col min="3" max="3" width="24.5" customWidth="1"/>
    <col min="4" max="4" width="11.83203125" customWidth="1"/>
    <col min="5" max="5" width="25" customWidth="1"/>
    <col min="6" max="6" width="11.6640625" customWidth="1"/>
    <col min="14" max="14" width="25" bestFit="1" customWidth="1"/>
    <col min="15" max="22" width="10.6640625" customWidth="1"/>
  </cols>
  <sheetData>
    <row r="1" spans="1:20" ht="32" x14ac:dyDescent="0.2">
      <c r="A1" s="67" t="s">
        <v>0</v>
      </c>
      <c r="B1" s="71" t="s">
        <v>1</v>
      </c>
      <c r="C1" s="68" t="s">
        <v>2</v>
      </c>
      <c r="D1" s="68" t="s">
        <v>3</v>
      </c>
      <c r="E1" s="68" t="s">
        <v>4</v>
      </c>
      <c r="F1" s="69" t="s">
        <v>5</v>
      </c>
      <c r="G1" s="70" t="s">
        <v>71</v>
      </c>
      <c r="H1" s="70" t="s">
        <v>19</v>
      </c>
      <c r="I1" s="81" t="s">
        <v>72</v>
      </c>
      <c r="J1" s="81" t="s">
        <v>53</v>
      </c>
      <c r="K1" s="81" t="s">
        <v>55</v>
      </c>
      <c r="L1" s="81" t="s">
        <v>73</v>
      </c>
      <c r="Q1" s="58" t="s">
        <v>74</v>
      </c>
      <c r="R1" t="s">
        <v>75</v>
      </c>
      <c r="S1" t="s">
        <v>76</v>
      </c>
      <c r="T1" s="63" t="s">
        <v>77</v>
      </c>
    </row>
    <row r="2" spans="1:20" x14ac:dyDescent="0.2">
      <c r="A2" cm="1">
        <f t="array" ref="A2:F39">_xlfn._xlws.FILTER(eng_1[],(eng_1[Home]='England 1'!C10)+(eng_1[Away]='England 1'!E16))</f>
        <v>1</v>
      </c>
      <c r="B2" s="1">
        <v>43688</v>
      </c>
      <c r="C2" t="str">
        <v>Newcastle United FC</v>
      </c>
      <c r="D2">
        <v>0</v>
      </c>
      <c r="E2" t="str">
        <v>Arsenal FC</v>
      </c>
      <c r="F2">
        <v>1</v>
      </c>
      <c r="H2" s="59" cm="1">
        <f t="array" ref="H2">_xlfn.IFS(AND(C2=$N$18,D2&gt;F2),3,AND(E2=$N$18,F2&gt;D2),3,AND(C2=$N$18,D2=F2),1,AND(E2=$N$18,D2=F2),1,AND(C2=$N$18,D2&lt;F2),0,AND(E2=$N$18,F2&lt;D2),0)</f>
        <v>0</v>
      </c>
      <c r="I2" cm="1">
        <f t="array" ref="I2">_xlfn.IFS(H2=3,1,H2=1,0,H2=0,0)</f>
        <v>0</v>
      </c>
      <c r="J2" s="59" cm="1">
        <f t="array" ref="J2">_xlfn.IFS(H2=0,1,H2=1,0,H2=3,0)</f>
        <v>1</v>
      </c>
      <c r="K2" cm="1">
        <f t="array" ref="K2">_xlfn.IFS(H2=3,1,H2=1,1,H2=0,0)</f>
        <v>0</v>
      </c>
      <c r="L2" cm="1">
        <f t="array" ref="L2">_xlfn.IFS(H2=0,1,H2=1,1,H2=3,0)</f>
        <v>1</v>
      </c>
      <c r="Q2" s="56" t="s">
        <v>78</v>
      </c>
      <c r="R2">
        <v>20</v>
      </c>
      <c r="S2">
        <v>25</v>
      </c>
      <c r="T2" s="60">
        <v>1.25</v>
      </c>
    </row>
    <row r="3" spans="1:20" x14ac:dyDescent="0.2">
      <c r="A3">
        <v>2</v>
      </c>
      <c r="B3" s="1">
        <v>43694</v>
      </c>
      <c r="C3" t="str">
        <v>Norwich City FC</v>
      </c>
      <c r="D3">
        <v>3</v>
      </c>
      <c r="E3" t="str">
        <v>Newcastle United FC</v>
      </c>
      <c r="F3">
        <v>1</v>
      </c>
      <c r="H3" s="59" cm="1">
        <f t="array" ref="H3">_xlfn.IFS(AND(C3=$N$18,D3&gt;F3),3,AND(E3=$N$18,F3&gt;D3),3,AND(C3=$N$18,D3=F3),1,AND(E3=$N$18,D3=F3),1,AND(C3=$N$18,D3&lt;F3),0,AND(E3=$N$18,F3&lt;D3),0)</f>
        <v>0</v>
      </c>
      <c r="I3">
        <f t="shared" ref="I3:I39" si="0">IF(H3=3,1+I2,0)</f>
        <v>0</v>
      </c>
      <c r="J3" s="59">
        <f t="shared" ref="J3:J39" si="1">IF(H3=0,1+J2,0)</f>
        <v>2</v>
      </c>
      <c r="K3" cm="1">
        <f t="array" ref="K3">_xlfn.IFS(H3=3,1+K2,H3=1,1+K2,H3=0,0)</f>
        <v>0</v>
      </c>
      <c r="L3" cm="1">
        <f t="array" ref="L3">_xlfn.IFS(H3=0,1+L2,H3=1,1+L2,H3=3,0)</f>
        <v>2</v>
      </c>
      <c r="N3" s="48" t="s">
        <v>79</v>
      </c>
      <c r="O3" s="48" t="s">
        <v>80</v>
      </c>
      <c r="Q3" s="57" t="s">
        <v>81</v>
      </c>
      <c r="R3">
        <v>4</v>
      </c>
      <c r="S3">
        <v>4</v>
      </c>
      <c r="T3" s="60">
        <v>1</v>
      </c>
    </row>
    <row r="4" spans="1:20" x14ac:dyDescent="0.2">
      <c r="A4">
        <v>3</v>
      </c>
      <c r="B4" s="1">
        <v>43702</v>
      </c>
      <c r="C4" t="str">
        <v>Tottenham Hotspur FC</v>
      </c>
      <c r="D4">
        <v>0</v>
      </c>
      <c r="E4" t="str">
        <v>Newcastle United FC</v>
      </c>
      <c r="F4">
        <v>1</v>
      </c>
      <c r="H4" s="59" cm="1">
        <f t="array" ref="H4">_xlfn.IFS(AND(C4=$N$18,D4&gt;F4),3,AND(E4=$N$18,F4&gt;D4),3,AND(C4=$N$18,D4=F4),1,AND(E4=$N$18,D4=F4),1,AND(C4=$N$18,D4&lt;F4),0,AND(E4=$N$18,F4&lt;D4),0)</f>
        <v>3</v>
      </c>
      <c r="I4">
        <f t="shared" si="0"/>
        <v>1</v>
      </c>
      <c r="J4" s="59">
        <f t="shared" si="1"/>
        <v>0</v>
      </c>
      <c r="K4" cm="1">
        <f t="array" ref="K4">_xlfn.IFS(H4=3,1+K3,H4=1,1+K3,H4=0,0)</f>
        <v>1</v>
      </c>
      <c r="L4" cm="1">
        <f t="array" ref="L4">_xlfn.IFS(H4=0,1+L3,H4=1,1+L3,H4=3,0)</f>
        <v>0</v>
      </c>
      <c r="N4" s="49" t="s">
        <v>82</v>
      </c>
      <c r="O4" s="50"/>
      <c r="Q4" s="57" t="s">
        <v>83</v>
      </c>
      <c r="R4">
        <v>3</v>
      </c>
      <c r="S4">
        <v>1</v>
      </c>
      <c r="T4" s="60">
        <v>0.33333333333333331</v>
      </c>
    </row>
    <row r="5" spans="1:20" x14ac:dyDescent="0.2">
      <c r="A5">
        <v>4</v>
      </c>
      <c r="B5" s="1">
        <v>43708</v>
      </c>
      <c r="C5" t="str">
        <v>Newcastle United FC</v>
      </c>
      <c r="D5">
        <v>1</v>
      </c>
      <c r="E5" t="str">
        <v>Watford FC</v>
      </c>
      <c r="F5">
        <v>1</v>
      </c>
      <c r="H5" s="59" cm="1">
        <f t="array" ref="H5">_xlfn.IFS(AND(C5=$N$18,D5&gt;F5),3,AND(E5=$N$18,F5&gt;D5),3,AND(C5=$N$18,D5=F5),1,AND(E5=$N$18,D5=F5),1,AND(C5=$N$18,D5&lt;F5),0,AND(E5=$N$18,F5&lt;D5),0)</f>
        <v>1</v>
      </c>
      <c r="I5">
        <f t="shared" si="0"/>
        <v>0</v>
      </c>
      <c r="J5" s="59">
        <f t="shared" si="1"/>
        <v>0</v>
      </c>
      <c r="K5" cm="1">
        <f t="array" ref="K5">_xlfn.IFS(H5=3,1+K4,H5=1,1+K4,H5=0,0)</f>
        <v>2</v>
      </c>
      <c r="L5" cm="1">
        <f t="array" ref="L5">_xlfn.IFS(H5=0,1+L4,H5=1,1+L4,H5=3,0)</f>
        <v>1</v>
      </c>
      <c r="N5" s="49" t="s">
        <v>84</v>
      </c>
      <c r="O5" s="51"/>
      <c r="Q5" s="57" t="s">
        <v>85</v>
      </c>
      <c r="R5">
        <v>3</v>
      </c>
      <c r="S5">
        <v>4</v>
      </c>
      <c r="T5" s="60">
        <v>1.3333333333333333</v>
      </c>
    </row>
    <row r="6" spans="1:20" x14ac:dyDescent="0.2">
      <c r="A6">
        <v>5</v>
      </c>
      <c r="B6" s="1">
        <v>43722</v>
      </c>
      <c r="C6" t="str">
        <v>Liverpool FC</v>
      </c>
      <c r="D6">
        <v>3</v>
      </c>
      <c r="E6" t="str">
        <v>Newcastle United FC</v>
      </c>
      <c r="F6">
        <v>1</v>
      </c>
      <c r="H6" s="59" cm="1">
        <f t="array" ref="H6">_xlfn.IFS(AND(C6=$N$18,D6&gt;F6),3,AND(E6=$N$18,F6&gt;D6),3,AND(C6=$N$18,D6=F6),1,AND(E6=$N$18,D6=F6),1,AND(C6=$N$18,D6&lt;F6),0,AND(E6=$N$18,F6&lt;D6),0)</f>
        <v>0</v>
      </c>
      <c r="I6">
        <f t="shared" si="0"/>
        <v>0</v>
      </c>
      <c r="J6" s="59">
        <f t="shared" si="1"/>
        <v>1</v>
      </c>
      <c r="K6" cm="1">
        <f t="array" ref="K6">_xlfn.IFS(H6=3,1+K5,H6=1,1+K5,H6=0,0)</f>
        <v>0</v>
      </c>
      <c r="L6" cm="1">
        <f t="array" ref="L6">_xlfn.IFS(H6=0,1+L5,H6=1,1+L5,H6=3,0)</f>
        <v>2</v>
      </c>
      <c r="N6" s="49" t="s">
        <v>86</v>
      </c>
      <c r="O6" s="52"/>
      <c r="Q6" s="57" t="s">
        <v>87</v>
      </c>
      <c r="R6">
        <v>4</v>
      </c>
      <c r="S6">
        <v>7</v>
      </c>
      <c r="T6" s="60">
        <v>1.75</v>
      </c>
    </row>
    <row r="7" spans="1:20" x14ac:dyDescent="0.2">
      <c r="A7">
        <v>6</v>
      </c>
      <c r="B7" s="1">
        <v>43729</v>
      </c>
      <c r="C7" t="str">
        <v>Newcastle United FC</v>
      </c>
      <c r="D7">
        <v>0</v>
      </c>
      <c r="E7" t="str">
        <v>Brighton &amp; Hove Albion FC</v>
      </c>
      <c r="F7">
        <v>0</v>
      </c>
      <c r="H7" s="59" cm="1">
        <f t="array" ref="H7">_xlfn.IFS(AND(C7=$N$18,D7&gt;F7),3,AND(E7=$N$18,F7&gt;D7),3,AND(C7=$N$18,D7=F7),1,AND(E7=$N$18,D7=F7),1,AND(C7=$N$18,D7&lt;F7),0,AND(E7=$N$18,F7&lt;D7),0)</f>
        <v>1</v>
      </c>
      <c r="I7">
        <f t="shared" si="0"/>
        <v>0</v>
      </c>
      <c r="J7" s="59">
        <f t="shared" si="1"/>
        <v>0</v>
      </c>
      <c r="K7" cm="1">
        <f t="array" ref="K7">_xlfn.IFS(H7=3,1+K6,H7=1,1+K6,H7=0,0)</f>
        <v>1</v>
      </c>
      <c r="L7" cm="1">
        <f t="array" ref="L7">_xlfn.IFS(H7=0,1+L6,H7=1,1+L6,H7=3,0)</f>
        <v>3</v>
      </c>
      <c r="Q7" s="57" t="s">
        <v>88</v>
      </c>
      <c r="R7">
        <v>6</v>
      </c>
      <c r="S7">
        <v>9</v>
      </c>
      <c r="T7" s="60">
        <v>1.5</v>
      </c>
    </row>
    <row r="8" spans="1:20" x14ac:dyDescent="0.2">
      <c r="A8">
        <v>7</v>
      </c>
      <c r="B8" s="1">
        <v>43737</v>
      </c>
      <c r="C8" t="str">
        <v>Leicester City FC</v>
      </c>
      <c r="D8">
        <v>5</v>
      </c>
      <c r="E8" t="str">
        <v>Newcastle United FC</v>
      </c>
      <c r="F8">
        <v>0</v>
      </c>
      <c r="H8" s="59" cm="1">
        <f t="array" ref="H8">_xlfn.IFS(AND(C8=$N$18,D8&gt;F8),3,AND(E8=$N$18,F8&gt;D8),3,AND(C8=$N$18,D8=F8),1,AND(E8=$N$18,D8=F8),1,AND(C8=$N$18,D8&lt;F8),0,AND(E8=$N$18,F8&lt;D8),0)</f>
        <v>0</v>
      </c>
      <c r="I8">
        <f t="shared" si="0"/>
        <v>0</v>
      </c>
      <c r="J8" s="59">
        <f t="shared" si="1"/>
        <v>1</v>
      </c>
      <c r="K8" cm="1">
        <f t="array" ref="K8">_xlfn.IFS(H8=3,1+K7,H8=1,1+K7,H8=0,0)</f>
        <v>0</v>
      </c>
      <c r="L8" cm="1">
        <f t="array" ref="L8">_xlfn.IFS(H8=0,1+L7,H8=1,1+L7,H8=3,0)</f>
        <v>4</v>
      </c>
      <c r="Q8" s="56" t="s">
        <v>89</v>
      </c>
      <c r="R8">
        <v>18</v>
      </c>
      <c r="S8">
        <v>19</v>
      </c>
      <c r="T8" s="60">
        <v>1.0555555555555556</v>
      </c>
    </row>
    <row r="9" spans="1:20" x14ac:dyDescent="0.2">
      <c r="A9">
        <v>8</v>
      </c>
      <c r="B9" s="1">
        <v>43744</v>
      </c>
      <c r="C9" t="str">
        <v>Newcastle United FC</v>
      </c>
      <c r="D9">
        <v>1</v>
      </c>
      <c r="E9" t="str">
        <v>Manchester United FC</v>
      </c>
      <c r="F9">
        <v>0</v>
      </c>
      <c r="H9" s="59" cm="1">
        <f t="array" ref="H9">_xlfn.IFS(AND(C9=$N$18,D9&gt;F9),3,AND(E9=$N$18,F9&gt;D9),3,AND(C9=$N$18,D9=F9),1,AND(E9=$N$18,D9=F9),1,AND(C9=$N$18,D9&lt;F9),0,AND(E9=$N$18,F9&lt;D9),0)</f>
        <v>3</v>
      </c>
      <c r="I9">
        <f t="shared" si="0"/>
        <v>1</v>
      </c>
      <c r="J9" s="59">
        <f t="shared" si="1"/>
        <v>0</v>
      </c>
      <c r="K9" cm="1">
        <f t="array" ref="K9">_xlfn.IFS(H9=3,1+K8,H9=1,1+K8,H9=0,0)</f>
        <v>1</v>
      </c>
      <c r="L9" cm="1">
        <f t="array" ref="L9">_xlfn.IFS(H9=0,1+L8,H9=1,1+L8,H9=3,0)</f>
        <v>0</v>
      </c>
      <c r="Q9" s="57" t="s">
        <v>90</v>
      </c>
      <c r="R9">
        <v>4</v>
      </c>
      <c r="S9">
        <v>5</v>
      </c>
      <c r="T9" s="60">
        <v>1.25</v>
      </c>
    </row>
    <row r="10" spans="1:20" x14ac:dyDescent="0.2">
      <c r="A10">
        <v>9</v>
      </c>
      <c r="B10" s="1">
        <v>43757</v>
      </c>
      <c r="C10" t="str">
        <v>Chelsea FC</v>
      </c>
      <c r="D10">
        <v>1</v>
      </c>
      <c r="E10" t="str">
        <v>Newcastle United FC</v>
      </c>
      <c r="F10">
        <v>0</v>
      </c>
      <c r="H10" s="59" cm="1">
        <f t="array" ref="H10">_xlfn.IFS(AND(C10=$N$18,D10&gt;F10),3,AND(E10=$N$18,F10&gt;D10),3,AND(C10=$N$18,D10=F10),1,AND(E10=$N$18,D10=F10),1,AND(C10=$N$18,D10&lt;F10),0,AND(E10=$N$18,F10&lt;D10),0)</f>
        <v>0</v>
      </c>
      <c r="I10">
        <f t="shared" si="0"/>
        <v>0</v>
      </c>
      <c r="J10" s="59">
        <f t="shared" si="1"/>
        <v>1</v>
      </c>
      <c r="K10" cm="1">
        <f t="array" ref="K10">_xlfn.IFS(H10=3,1+K9,H10=1,1+K9,H10=0,0)</f>
        <v>0</v>
      </c>
      <c r="L10" cm="1">
        <f t="array" ref="L10">_xlfn.IFS(H10=0,1+L9,H10=1,1+L9,H10=3,0)</f>
        <v>1</v>
      </c>
      <c r="Q10" s="57" t="s">
        <v>91</v>
      </c>
      <c r="R10">
        <v>4</v>
      </c>
      <c r="S10">
        <v>2</v>
      </c>
      <c r="T10" s="60">
        <v>0.5</v>
      </c>
    </row>
    <row r="11" spans="1:20" x14ac:dyDescent="0.2">
      <c r="A11">
        <v>10</v>
      </c>
      <c r="B11" s="1">
        <v>43765</v>
      </c>
      <c r="C11" t="str">
        <v>Newcastle United FC</v>
      </c>
      <c r="D11">
        <v>1</v>
      </c>
      <c r="E11" t="str">
        <v>Wolverhampton Wanderers FC</v>
      </c>
      <c r="F11">
        <v>1</v>
      </c>
      <c r="H11" s="59" cm="1">
        <f t="array" ref="H11">_xlfn.IFS(AND(C11=$N$18,D11&gt;F11),3,AND(E11=$N$18,F11&gt;D11),3,AND(C11=$N$18,D11=F11),1,AND(E11=$N$18,D11=F11),1,AND(C11=$N$18,D11&lt;F11),0,AND(E11=$N$18,F11&lt;D11),0)</f>
        <v>1</v>
      </c>
      <c r="I11">
        <f t="shared" si="0"/>
        <v>0</v>
      </c>
      <c r="J11" s="59">
        <f t="shared" si="1"/>
        <v>0</v>
      </c>
      <c r="K11" cm="1">
        <f t="array" ref="K11">_xlfn.IFS(H11=3,1+K10,H11=1,1+K10,H11=0,0)</f>
        <v>1</v>
      </c>
      <c r="L11" cm="1">
        <f t="array" ref="L11">_xlfn.IFS(H11=0,1+L10,H11=1,1+L10,H11=3,0)</f>
        <v>2</v>
      </c>
      <c r="Q11" s="57" t="s">
        <v>92</v>
      </c>
      <c r="R11">
        <v>1</v>
      </c>
      <c r="S11">
        <v>3</v>
      </c>
      <c r="T11" s="60">
        <v>3</v>
      </c>
    </row>
    <row r="12" spans="1:20" x14ac:dyDescent="0.2">
      <c r="A12">
        <v>11</v>
      </c>
      <c r="B12" s="1">
        <v>43771</v>
      </c>
      <c r="C12" t="str">
        <v>West Ham United FC</v>
      </c>
      <c r="D12">
        <v>2</v>
      </c>
      <c r="E12" t="str">
        <v>Newcastle United FC</v>
      </c>
      <c r="F12">
        <v>3</v>
      </c>
      <c r="H12" s="59" cm="1">
        <f t="array" ref="H12">_xlfn.IFS(AND(C12=$N$18,D12&gt;F12),3,AND(E12=$N$18,F12&gt;D12),3,AND(C12=$N$18,D12=F12),1,AND(E12=$N$18,D12=F12),1,AND(C12=$N$18,D12&lt;F12),0,AND(E12=$N$18,F12&lt;D12),0)</f>
        <v>3</v>
      </c>
      <c r="I12">
        <f t="shared" si="0"/>
        <v>1</v>
      </c>
      <c r="J12" s="59">
        <f t="shared" si="1"/>
        <v>0</v>
      </c>
      <c r="K12" cm="1">
        <f t="array" ref="K12">_xlfn.IFS(H12=3,1+K11,H12=1,1+K11,H12=0,0)</f>
        <v>2</v>
      </c>
      <c r="L12" cm="1">
        <f t="array" ref="L12">_xlfn.IFS(H12=0,1+L11,H12=1,1+L11,H12=3,0)</f>
        <v>0</v>
      </c>
      <c r="Q12" s="57" t="s">
        <v>93</v>
      </c>
      <c r="R12">
        <v>2</v>
      </c>
      <c r="S12">
        <v>4</v>
      </c>
      <c r="T12" s="60">
        <v>2</v>
      </c>
    </row>
    <row r="13" spans="1:20" x14ac:dyDescent="0.2">
      <c r="A13">
        <v>12</v>
      </c>
      <c r="B13" s="1">
        <v>43778</v>
      </c>
      <c r="C13" t="str">
        <v>Newcastle United FC</v>
      </c>
      <c r="D13">
        <v>2</v>
      </c>
      <c r="E13" t="str">
        <v>AFC Bournemouth</v>
      </c>
      <c r="F13">
        <v>1</v>
      </c>
      <c r="H13" s="59" cm="1">
        <f t="array" ref="H13">_xlfn.IFS(AND(C13=$N$18,D13&gt;F13),3,AND(E13=$N$18,F13&gt;D13),3,AND(C13=$N$18,D13=F13),1,AND(E13=$N$18,D13=F13),1,AND(C13=$N$18,D13&lt;F13),0,AND(E13=$N$18,F13&lt;D13),0)</f>
        <v>3</v>
      </c>
      <c r="I13">
        <f t="shared" si="0"/>
        <v>2</v>
      </c>
      <c r="J13" s="59">
        <f t="shared" si="1"/>
        <v>0</v>
      </c>
      <c r="K13" cm="1">
        <f t="array" ref="K13">_xlfn.IFS(H13=3,1+K12,H13=1,1+K12,H13=0,0)</f>
        <v>3</v>
      </c>
      <c r="L13" cm="1">
        <f t="array" ref="L13">_xlfn.IFS(H13=0,1+L12,H13=1,1+L12,H13=3,0)</f>
        <v>0</v>
      </c>
      <c r="Q13" s="57" t="s">
        <v>94</v>
      </c>
      <c r="R13">
        <v>7</v>
      </c>
      <c r="S13">
        <v>5</v>
      </c>
      <c r="T13" s="60">
        <v>0.7142857142857143</v>
      </c>
    </row>
    <row r="14" spans="1:20" x14ac:dyDescent="0.2">
      <c r="A14">
        <v>13</v>
      </c>
      <c r="B14" s="1">
        <v>43794</v>
      </c>
      <c r="C14" t="str">
        <v>Aston Villa FC</v>
      </c>
      <c r="D14">
        <v>2</v>
      </c>
      <c r="E14" t="str">
        <v>Newcastle United FC</v>
      </c>
      <c r="F14">
        <v>0</v>
      </c>
      <c r="H14" s="59" cm="1">
        <f t="array" ref="H14">_xlfn.IFS(AND(C14=$N$18,D14&gt;F14),3,AND(E14=$N$18,F14&gt;D14),3,AND(C14=$N$18,D14=F14),1,AND(E14=$N$18,D14=F14),1,AND(C14=$N$18,D14&lt;F14),0,AND(E14=$N$18,F14&lt;D14),0)</f>
        <v>0</v>
      </c>
      <c r="I14">
        <f t="shared" si="0"/>
        <v>0</v>
      </c>
      <c r="J14" s="59">
        <f t="shared" si="1"/>
        <v>1</v>
      </c>
      <c r="K14" cm="1">
        <f t="array" ref="K14">_xlfn.IFS(H14=3,1+K13,H14=1,1+K13,H14=0,0)</f>
        <v>0</v>
      </c>
      <c r="L14" cm="1">
        <f t="array" ref="L14">_xlfn.IFS(H14=0,1+L13,H14=1,1+L13,H14=3,0)</f>
        <v>1</v>
      </c>
      <c r="Q14" s="56" t="s">
        <v>95</v>
      </c>
      <c r="R14">
        <v>38</v>
      </c>
      <c r="S14">
        <v>44</v>
      </c>
      <c r="T14" s="60">
        <v>1.1578947368421053</v>
      </c>
    </row>
    <row r="15" spans="1:20" x14ac:dyDescent="0.2">
      <c r="A15">
        <v>14</v>
      </c>
      <c r="B15" s="1">
        <v>43799</v>
      </c>
      <c r="C15" t="str">
        <v>Newcastle United FC</v>
      </c>
      <c r="D15">
        <v>2</v>
      </c>
      <c r="E15" t="str">
        <v>Manchester City FC</v>
      </c>
      <c r="F15">
        <v>2</v>
      </c>
      <c r="H15" s="59" cm="1">
        <f t="array" ref="H15">_xlfn.IFS(AND(C15=$N$18,D15&gt;F15),3,AND(E15=$N$18,F15&gt;D15),3,AND(C15=$N$18,D15=F15),1,AND(E15=$N$18,D15=F15),1,AND(C15=$N$18,D15&lt;F15),0,AND(E15=$N$18,F15&lt;D15),0)</f>
        <v>1</v>
      </c>
      <c r="I15">
        <f t="shared" si="0"/>
        <v>0</v>
      </c>
      <c r="J15" s="59">
        <f t="shared" si="1"/>
        <v>0</v>
      </c>
      <c r="K15" cm="1">
        <f t="array" ref="K15">_xlfn.IFS(H15=3,1+K14,H15=1,1+K14,H15=0,0)</f>
        <v>1</v>
      </c>
      <c r="L15" cm="1">
        <f t="array" ref="L15">_xlfn.IFS(H15=0,1+L14,H15=1,1+L14,H15=3,0)</f>
        <v>2</v>
      </c>
    </row>
    <row r="16" spans="1:20" x14ac:dyDescent="0.2">
      <c r="A16">
        <v>15</v>
      </c>
      <c r="B16" s="1">
        <v>43804</v>
      </c>
      <c r="C16" t="str">
        <v>Sheffield United FC</v>
      </c>
      <c r="D16">
        <v>0</v>
      </c>
      <c r="E16" t="str">
        <v>Newcastle United FC</v>
      </c>
      <c r="F16">
        <v>2</v>
      </c>
      <c r="H16" s="59" cm="1">
        <f t="array" ref="H16">_xlfn.IFS(AND(C16=$N$18,D16&gt;F16),3,AND(E16=$N$18,F16&gt;D16),3,AND(C16=$N$18,D16=F16),1,AND(E16=$N$18,D16=F16),1,AND(C16=$N$18,D16&lt;F16),0,AND(E16=$N$18,F16&lt;D16),0)</f>
        <v>3</v>
      </c>
      <c r="I16">
        <f t="shared" si="0"/>
        <v>1</v>
      </c>
      <c r="J16" s="59">
        <f t="shared" si="1"/>
        <v>0</v>
      </c>
      <c r="K16" cm="1">
        <f t="array" ref="K16">_xlfn.IFS(H16=3,1+K15,H16=1,1+K15,H16=0,0)</f>
        <v>2</v>
      </c>
      <c r="L16" cm="1">
        <f t="array" ref="L16">_xlfn.IFS(H16=0,1+L15,H16=1,1+L15,H16=3,0)</f>
        <v>0</v>
      </c>
    </row>
    <row r="17" spans="1:22" x14ac:dyDescent="0.2">
      <c r="A17">
        <v>16</v>
      </c>
      <c r="B17" s="1">
        <v>43807</v>
      </c>
      <c r="C17" t="str">
        <v>Newcastle United FC</v>
      </c>
      <c r="D17">
        <v>2</v>
      </c>
      <c r="E17" t="str">
        <v>Southampton FC</v>
      </c>
      <c r="F17">
        <v>1</v>
      </c>
      <c r="H17" s="59" cm="1">
        <f t="array" ref="H17">_xlfn.IFS(AND(C17=$N$18,D17&gt;F17),3,AND(E17=$N$18,F17&gt;D17),3,AND(C17=$N$18,D17=F17),1,AND(E17=$N$18,D17=F17),1,AND(C17=$N$18,D17&lt;F17),0,AND(E17=$N$18,F17&lt;D17),0)</f>
        <v>3</v>
      </c>
      <c r="I17">
        <f t="shared" si="0"/>
        <v>2</v>
      </c>
      <c r="J17" s="59">
        <f t="shared" si="1"/>
        <v>0</v>
      </c>
      <c r="K17" cm="1">
        <f t="array" ref="K17">_xlfn.IFS(H17=3,1+K16,H17=1,1+K16,H17=0,0)</f>
        <v>3</v>
      </c>
      <c r="L17" cm="1">
        <f t="array" ref="L17">_xlfn.IFS(H17=0,1+L16,H17=1,1+L16,H17=3,0)</f>
        <v>0</v>
      </c>
    </row>
    <row r="18" spans="1:22" x14ac:dyDescent="0.2">
      <c r="A18">
        <v>17</v>
      </c>
      <c r="B18" s="1">
        <v>43813</v>
      </c>
      <c r="C18" t="str">
        <v>Burnley FC</v>
      </c>
      <c r="D18">
        <v>1</v>
      </c>
      <c r="E18" t="str">
        <v>Newcastle United FC</v>
      </c>
      <c r="F18">
        <v>0</v>
      </c>
      <c r="H18" s="59" cm="1">
        <f t="array" ref="H18">_xlfn.IFS(AND(C18=$N$18,D18&gt;F18),3,AND(E18=$N$18,F18&gt;D18),3,AND(C18=$N$18,D18=F18),1,AND(E18=$N$18,D18=F18),1,AND(C18=$N$18,D18&lt;F18),0,AND(E18=$N$18,F18&lt;D18),0)</f>
        <v>0</v>
      </c>
      <c r="I18">
        <f t="shared" si="0"/>
        <v>0</v>
      </c>
      <c r="J18" s="59">
        <f t="shared" si="1"/>
        <v>1</v>
      </c>
      <c r="K18" cm="1">
        <f t="array" ref="K18">_xlfn.IFS(H18=3,1+K17,H18=1,1+K17,H18=0,0)</f>
        <v>0</v>
      </c>
      <c r="L18" cm="1">
        <f t="array" ref="L18">_xlfn.IFS(H18=0,1+L17,H18=1,1+L17,H18=3,0)</f>
        <v>1</v>
      </c>
      <c r="N18" s="14" t="str">
        <f>C2</f>
        <v>Newcastle United FC</v>
      </c>
      <c r="O18" s="9" t="s">
        <v>12</v>
      </c>
      <c r="P18" s="7" t="s">
        <v>13</v>
      </c>
      <c r="Q18" s="6" t="s">
        <v>14</v>
      </c>
      <c r="R18" s="8" t="s">
        <v>15</v>
      </c>
      <c r="S18" s="9" t="s">
        <v>16</v>
      </c>
      <c r="T18" s="9" t="s">
        <v>17</v>
      </c>
      <c r="U18" s="9" t="s">
        <v>18</v>
      </c>
      <c r="V18" s="9" t="s">
        <v>19</v>
      </c>
    </row>
    <row r="19" spans="1:22" x14ac:dyDescent="0.2">
      <c r="A19">
        <v>18</v>
      </c>
      <c r="B19" s="1">
        <v>43820</v>
      </c>
      <c r="C19" t="str">
        <v>Newcastle United FC</v>
      </c>
      <c r="D19">
        <v>1</v>
      </c>
      <c r="E19" t="str">
        <v>Crystal Palace FC</v>
      </c>
      <c r="F19">
        <v>0</v>
      </c>
      <c r="H19" s="59" cm="1">
        <f t="array" ref="H19">_xlfn.IFS(AND(C19=$N$18,D19&gt;F19),3,AND(E19=$N$18,F19&gt;D19),3,AND(C19=$N$18,D19=F19),1,AND(E19=$N$18,D19=F19),1,AND(C19=$N$18,D19&lt;F19),0,AND(E19=$N$18,F19&lt;D19),0)</f>
        <v>3</v>
      </c>
      <c r="I19">
        <f t="shared" si="0"/>
        <v>1</v>
      </c>
      <c r="J19" s="59">
        <f t="shared" si="1"/>
        <v>0</v>
      </c>
      <c r="K19" cm="1">
        <f t="array" ref="K19">_xlfn.IFS(H19=3,1+K18,H19=1,1+K18,H19=0,0)</f>
        <v>1</v>
      </c>
      <c r="L19" cm="1">
        <f t="array" ref="L19">_xlfn.IFS(H19=0,1+L18,H19=1,1+L18,H19=3,0)</f>
        <v>0</v>
      </c>
      <c r="N19" s="10" t="s">
        <v>22</v>
      </c>
      <c r="O19" s="11">
        <f>COUNT(A2:A39)</f>
        <v>38</v>
      </c>
      <c r="P19" s="5" cm="1">
        <f t="array" ref="P19">SUMPRODUCT(((C2:C39=$N$18)*(D2:D39&gt;F2:F39))+((E2:E39=$N$18)*(F2:F39&gt;D2:D39)))</f>
        <v>11</v>
      </c>
      <c r="Q19" s="12" cm="1">
        <f t="array" ref="Q19">SUMPRODUCT(((C2:C39=$N$18)*(D2:D39=F2:F39))+((E2:E39=$N$18)*(F2:F39=D2:D39)))</f>
        <v>11</v>
      </c>
      <c r="R19" s="13" cm="1">
        <f t="array" ref="R19">SUMPRODUCT(((C2:C39=$N$18)*(D2:D39&lt;F2:F39))+((E2:E39=$N$18)*(F2:F39&lt;D2:D39)))</f>
        <v>16</v>
      </c>
      <c r="S19" s="11">
        <f>SUMIF(C2:C39,N18,D2:D39)+SUMIF(E2:E39,N18,F2:F39)</f>
        <v>38</v>
      </c>
      <c r="T19" s="11">
        <f>SUMIF(C2:C39,N18,F2:F39)+SUMIF(E2:E39,N18,D2:D39)</f>
        <v>58</v>
      </c>
      <c r="U19" s="11">
        <f>S19-T19</f>
        <v>-20</v>
      </c>
      <c r="V19" s="11">
        <f>V20+V21</f>
        <v>44</v>
      </c>
    </row>
    <row r="20" spans="1:22" x14ac:dyDescent="0.2">
      <c r="A20">
        <v>19</v>
      </c>
      <c r="B20" s="1">
        <v>43825</v>
      </c>
      <c r="C20" t="str">
        <v>Manchester United FC</v>
      </c>
      <c r="D20">
        <v>4</v>
      </c>
      <c r="E20" t="str">
        <v>Newcastle United FC</v>
      </c>
      <c r="F20">
        <v>1</v>
      </c>
      <c r="H20" s="59" cm="1">
        <f t="array" ref="H20">_xlfn.IFS(AND(C20=$N$18,D20&gt;F20),3,AND(E20=$N$18,F20&gt;D20),3,AND(C20=$N$18,D20=F20),1,AND(E20=$N$18,D20=F20),1,AND(C20=$N$18,D20&lt;F20),0,AND(E20=$N$18,F20&lt;D20),0)</f>
        <v>0</v>
      </c>
      <c r="I20">
        <f t="shared" si="0"/>
        <v>0</v>
      </c>
      <c r="J20" s="59">
        <f t="shared" si="1"/>
        <v>1</v>
      </c>
      <c r="K20" cm="1">
        <f t="array" ref="K20">_xlfn.IFS(H20=3,1+K19,H20=1,1+K19,H20=0,0)</f>
        <v>0</v>
      </c>
      <c r="L20" cm="1">
        <f t="array" ref="L20">_xlfn.IFS(H20=0,1+L19,H20=1,1+L19,H20=3,0)</f>
        <v>1</v>
      </c>
      <c r="N20" s="10" t="s">
        <v>2</v>
      </c>
      <c r="O20" s="11">
        <f>COUNTIF(C2:C39,C2)</f>
        <v>19</v>
      </c>
      <c r="P20" s="20" cm="1">
        <f t="array" ref="P20">SUMPRODUCT(((C2:C39=$N$18)*(D2:D39&gt;F2:F39)))</f>
        <v>6</v>
      </c>
      <c r="Q20" s="12" cm="1">
        <f t="array" ref="Q20">SUMPRODUCT(((C2:C39=$N$18)*(D2:D39=F2:F39)))</f>
        <v>8</v>
      </c>
      <c r="R20" s="13" cm="1">
        <f t="array" ref="R20">SUMPRODUCT(((C2:C39=$N$18)*(D2:D39&lt;F2:F39)))</f>
        <v>5</v>
      </c>
      <c r="S20" s="11">
        <f>SUMIF(C2:C39,N18,D2:D39)</f>
        <v>20</v>
      </c>
      <c r="T20" s="11">
        <f>SUMIF(C2:C39,N18,F2:F39)</f>
        <v>21</v>
      </c>
      <c r="U20" s="11">
        <f>S20-T20</f>
        <v>-1</v>
      </c>
      <c r="V20" s="11">
        <f>(P20*3)+Q20</f>
        <v>26</v>
      </c>
    </row>
    <row r="21" spans="1:22" x14ac:dyDescent="0.2">
      <c r="A21">
        <v>20</v>
      </c>
      <c r="B21" s="1">
        <v>43827</v>
      </c>
      <c r="C21" t="str">
        <v>Newcastle United FC</v>
      </c>
      <c r="D21">
        <v>1</v>
      </c>
      <c r="E21" t="str">
        <v>Everton FC</v>
      </c>
      <c r="F21">
        <v>2</v>
      </c>
      <c r="H21" s="59" cm="1">
        <f t="array" ref="H21">_xlfn.IFS(AND(C21=$N$18,D21&gt;F21),3,AND(E21=$N$18,F21&gt;D21),3,AND(C21=$N$18,D21=F21),1,AND(E21=$N$18,D21=F21),1,AND(C21=$N$18,D21&lt;F21),0,AND(E21=$N$18,F21&lt;D21),0)</f>
        <v>0</v>
      </c>
      <c r="I21">
        <f t="shared" si="0"/>
        <v>0</v>
      </c>
      <c r="J21" s="59">
        <f t="shared" si="1"/>
        <v>2</v>
      </c>
      <c r="K21" cm="1">
        <f t="array" ref="K21">_xlfn.IFS(H21=3,1+K20,H21=1,1+K20,H21=0,0)</f>
        <v>0</v>
      </c>
      <c r="L21" cm="1">
        <f t="array" ref="L21">_xlfn.IFS(H21=0,1+L20,H21=1,1+L20,H21=3,0)</f>
        <v>2</v>
      </c>
      <c r="N21" s="10" t="s">
        <v>4</v>
      </c>
      <c r="O21" s="11">
        <f>COUNTIF(E2:E39,E3)</f>
        <v>19</v>
      </c>
      <c r="P21" s="5" cm="1">
        <f t="array" ref="P21">SUMPRODUCT(((E2:E39=$N$18)*(F2:F39&gt;D2:D39)))</f>
        <v>5</v>
      </c>
      <c r="Q21" s="12" cm="1">
        <f t="array" ref="Q21">SUMPRODUCT(((E2:E39=$N$18)*(F2:F39=D2:D39)))</f>
        <v>3</v>
      </c>
      <c r="R21" s="13" cm="1">
        <f t="array" ref="R21">SUMPRODUCT(((E2:E39=$N$18)*(F2:F39&lt;D2:D39)))</f>
        <v>11</v>
      </c>
      <c r="S21" s="11">
        <f>SUMIF(E2:E39,N18,F2:F39)</f>
        <v>18</v>
      </c>
      <c r="T21" s="11">
        <f>SUMIF(E2:E39,N18,D2:D39)</f>
        <v>37</v>
      </c>
      <c r="U21" s="11">
        <f>S21-T21</f>
        <v>-19</v>
      </c>
      <c r="V21" s="11">
        <f>(P21*3)+Q21</f>
        <v>18</v>
      </c>
    </row>
    <row r="22" spans="1:22" x14ac:dyDescent="0.2">
      <c r="A22">
        <v>21</v>
      </c>
      <c r="B22" s="1">
        <v>43831</v>
      </c>
      <c r="C22" t="str">
        <v>Newcastle United FC</v>
      </c>
      <c r="D22">
        <v>0</v>
      </c>
      <c r="E22" t="str">
        <v>Leicester City FC</v>
      </c>
      <c r="F22">
        <v>3</v>
      </c>
      <c r="H22" s="59" cm="1">
        <f t="array" ref="H22">_xlfn.IFS(AND(C22=$N$18,D22&gt;F22),3,AND(E22=$N$18,F22&gt;D22),3,AND(C22=$N$18,D22=F22),1,AND(E22=$N$18,D22=F22),1,AND(C22=$N$18,D22&lt;F22),0,AND(E22=$N$18,F22&lt;D22),0)</f>
        <v>0</v>
      </c>
      <c r="I22">
        <f t="shared" si="0"/>
        <v>0</v>
      </c>
      <c r="J22" s="59">
        <f t="shared" si="1"/>
        <v>3</v>
      </c>
      <c r="K22" cm="1">
        <f t="array" ref="K22">_xlfn.IFS(H22=3,1+K21,H22=1,1+K21,H22=0,0)</f>
        <v>0</v>
      </c>
      <c r="L22" cm="1">
        <f t="array" ref="L22">_xlfn.IFS(H22=0,1+L21,H22=1,1+L21,H22=3,0)</f>
        <v>3</v>
      </c>
    </row>
    <row r="23" spans="1:22" x14ac:dyDescent="0.2">
      <c r="A23">
        <v>22</v>
      </c>
      <c r="B23" s="1">
        <v>43841</v>
      </c>
      <c r="C23" t="str">
        <v>Wolverhampton Wanderers FC</v>
      </c>
      <c r="D23">
        <v>1</v>
      </c>
      <c r="E23" t="str">
        <v>Newcastle United FC</v>
      </c>
      <c r="F23">
        <v>1</v>
      </c>
      <c r="H23" s="59" cm="1">
        <f t="array" ref="H23">_xlfn.IFS(AND(C23=$N$18,D23&gt;F23),3,AND(E23=$N$18,F23&gt;D23),3,AND(C23=$N$18,D23=F23),1,AND(E23=$N$18,D23=F23),1,AND(C23=$N$18,D23&lt;F23),0,AND(E23=$N$18,F23&lt;D23),0)</f>
        <v>1</v>
      </c>
      <c r="I23">
        <f t="shared" si="0"/>
        <v>0</v>
      </c>
      <c r="J23" s="59">
        <f t="shared" si="1"/>
        <v>0</v>
      </c>
      <c r="K23" cm="1">
        <f t="array" ref="K23">_xlfn.IFS(H23=3,1+K22,H23=1,1+K22,H23=0,0)</f>
        <v>1</v>
      </c>
      <c r="L23" cm="1">
        <f t="array" ref="L23">_xlfn.IFS(H23=0,1+L22,H23=1,1+L22,H23=3,0)</f>
        <v>4</v>
      </c>
    </row>
    <row r="24" spans="1:22" x14ac:dyDescent="0.2">
      <c r="A24">
        <v>23</v>
      </c>
      <c r="B24" s="1">
        <v>43848</v>
      </c>
      <c r="C24" t="str">
        <v>Newcastle United FC</v>
      </c>
      <c r="D24">
        <v>1</v>
      </c>
      <c r="E24" t="str">
        <v>Chelsea FC</v>
      </c>
      <c r="F24">
        <v>0</v>
      </c>
      <c r="H24" s="59" cm="1">
        <f t="array" ref="H24">_xlfn.IFS(AND(C24=$N$18,D24&gt;F24),3,AND(E24=$N$18,F24&gt;D24),3,AND(C24=$N$18,D24=F24),1,AND(E24=$N$18,D24=F24),1,AND(C24=$N$18,D24&lt;F24),0,AND(E24=$N$18,F24&lt;D24),0)</f>
        <v>3</v>
      </c>
      <c r="I24">
        <f t="shared" si="0"/>
        <v>1</v>
      </c>
      <c r="J24" s="59">
        <f t="shared" si="1"/>
        <v>0</v>
      </c>
      <c r="K24" cm="1">
        <f t="array" ref="K24">_xlfn.IFS(H24=3,1+K23,H24=1,1+K23,H24=0,0)</f>
        <v>2</v>
      </c>
      <c r="L24" cm="1">
        <f t="array" ref="L24">_xlfn.IFS(H24=0,1+L23,H24=1,1+L23,H24=3,0)</f>
        <v>0</v>
      </c>
    </row>
    <row r="25" spans="1:22" x14ac:dyDescent="0.2">
      <c r="A25">
        <v>24</v>
      </c>
      <c r="B25" s="1">
        <v>43851</v>
      </c>
      <c r="C25" t="str">
        <v>Everton FC</v>
      </c>
      <c r="D25">
        <v>2</v>
      </c>
      <c r="E25" t="str">
        <v>Newcastle United FC</v>
      </c>
      <c r="F25">
        <v>2</v>
      </c>
      <c r="H25" s="59" cm="1">
        <f t="array" ref="H25">_xlfn.IFS(AND(C25=$N$18,D25&gt;F25),3,AND(E25=$N$18,F25&gt;D25),3,AND(C25=$N$18,D25=F25),1,AND(E25=$N$18,D25=F25),1,AND(C25=$N$18,D25&lt;F25),0,AND(E25=$N$18,F25&lt;D25),0)</f>
        <v>1</v>
      </c>
      <c r="I25">
        <f t="shared" si="0"/>
        <v>0</v>
      </c>
      <c r="J25" s="59">
        <f t="shared" si="1"/>
        <v>0</v>
      </c>
      <c r="K25" cm="1">
        <f t="array" ref="K25">_xlfn.IFS(H25=3,1+K24,H25=1,1+K24,H25=0,0)</f>
        <v>3</v>
      </c>
      <c r="L25" cm="1">
        <f t="array" ref="L25">_xlfn.IFS(H25=0,1+L24,H25=1,1+L24,H25=3,0)</f>
        <v>1</v>
      </c>
    </row>
    <row r="26" spans="1:22" x14ac:dyDescent="0.2">
      <c r="A26">
        <v>25</v>
      </c>
      <c r="B26" s="1">
        <v>43862</v>
      </c>
      <c r="C26" t="str">
        <v>Newcastle United FC</v>
      </c>
      <c r="D26">
        <v>0</v>
      </c>
      <c r="E26" t="str">
        <v>Norwich City FC</v>
      </c>
      <c r="F26">
        <v>0</v>
      </c>
      <c r="H26" s="59" cm="1">
        <f t="array" ref="H26">_xlfn.IFS(AND(C26=$N$18,D26&gt;F26),3,AND(E26=$N$18,F26&gt;D26),3,AND(C26=$N$18,D26=F26),1,AND(E26=$N$18,D26=F26),1,AND(C26=$N$18,D26&lt;F26),0,AND(E26=$N$18,F26&lt;D26),0)</f>
        <v>1</v>
      </c>
      <c r="I26">
        <f t="shared" si="0"/>
        <v>0</v>
      </c>
      <c r="J26" s="59">
        <f t="shared" si="1"/>
        <v>0</v>
      </c>
      <c r="K26" cm="1">
        <f t="array" ref="K26">_xlfn.IFS(H26=3,1+K25,H26=1,1+K25,H26=0,0)</f>
        <v>4</v>
      </c>
      <c r="L26" cm="1">
        <f t="array" ref="L26">_xlfn.IFS(H26=0,1+L25,H26=1,1+L25,H26=3,0)</f>
        <v>2</v>
      </c>
    </row>
    <row r="27" spans="1:22" x14ac:dyDescent="0.2">
      <c r="A27">
        <v>26</v>
      </c>
      <c r="B27" s="1">
        <v>43877</v>
      </c>
      <c r="C27" t="str">
        <v>Arsenal FC</v>
      </c>
      <c r="D27">
        <v>4</v>
      </c>
      <c r="E27" t="str">
        <v>Newcastle United FC</v>
      </c>
      <c r="F27">
        <v>0</v>
      </c>
      <c r="H27" s="59" cm="1">
        <f t="array" ref="H27">_xlfn.IFS(AND(C27=$N$18,D27&gt;F27),3,AND(E27=$N$18,F27&gt;D27),3,AND(C27=$N$18,D27=F27),1,AND(E27=$N$18,D27=F27),1,AND(C27=$N$18,D27&lt;F27),0,AND(E27=$N$18,F27&lt;D27),0)</f>
        <v>0</v>
      </c>
      <c r="I27">
        <f t="shared" si="0"/>
        <v>0</v>
      </c>
      <c r="J27" s="59">
        <f t="shared" si="1"/>
        <v>1</v>
      </c>
      <c r="K27" cm="1">
        <f t="array" ref="K27">_xlfn.IFS(H27=3,1+K26,H27=1,1+K26,H27=0,0)</f>
        <v>0</v>
      </c>
      <c r="L27" cm="1">
        <f t="array" ref="L27">_xlfn.IFS(H27=0,1+L26,H27=1,1+L26,H27=3,0)</f>
        <v>3</v>
      </c>
    </row>
    <row r="28" spans="1:22" x14ac:dyDescent="0.2">
      <c r="A28">
        <v>27</v>
      </c>
      <c r="B28" s="1">
        <v>43883</v>
      </c>
      <c r="C28" t="str">
        <v>Crystal Palace FC</v>
      </c>
      <c r="D28">
        <v>1</v>
      </c>
      <c r="E28" t="str">
        <v>Newcastle United FC</v>
      </c>
      <c r="F28">
        <v>0</v>
      </c>
      <c r="H28" s="59" cm="1">
        <f t="array" ref="H28">_xlfn.IFS(AND(C28=$N$18,D28&gt;F28),3,AND(E28=$N$18,F28&gt;D28),3,AND(C28=$N$18,D28=F28),1,AND(E28=$N$18,D28=F28),1,AND(C28=$N$18,D28&lt;F28),0,AND(E28=$N$18,F28&lt;D28),0)</f>
        <v>0</v>
      </c>
      <c r="I28">
        <f t="shared" si="0"/>
        <v>0</v>
      </c>
      <c r="J28" s="59">
        <f t="shared" si="1"/>
        <v>2</v>
      </c>
      <c r="K28" cm="1">
        <f t="array" ref="K28">_xlfn.IFS(H28=3,1+K27,H28=1,1+K27,H28=0,0)</f>
        <v>0</v>
      </c>
      <c r="L28" cm="1">
        <f t="array" ref="L28">_xlfn.IFS(H28=0,1+L27,H28=1,1+L27,H28=3,0)</f>
        <v>4</v>
      </c>
    </row>
    <row r="29" spans="1:22" x14ac:dyDescent="0.2">
      <c r="A29">
        <v>28</v>
      </c>
      <c r="B29" s="1">
        <v>43890</v>
      </c>
      <c r="C29" t="str">
        <v>Newcastle United FC</v>
      </c>
      <c r="D29">
        <v>0</v>
      </c>
      <c r="E29" t="str">
        <v>Burnley FC</v>
      </c>
      <c r="F29">
        <v>0</v>
      </c>
      <c r="H29" s="59" cm="1">
        <f t="array" ref="H29">_xlfn.IFS(AND(C29=$N$18,D29&gt;F29),3,AND(E29=$N$18,F29&gt;D29),3,AND(C29=$N$18,D29=F29),1,AND(E29=$N$18,D29=F29),1,AND(C29=$N$18,D29&lt;F29),0,AND(E29=$N$18,F29&lt;D29),0)</f>
        <v>1</v>
      </c>
      <c r="I29">
        <f t="shared" si="0"/>
        <v>0</v>
      </c>
      <c r="J29" s="59">
        <f t="shared" si="1"/>
        <v>0</v>
      </c>
      <c r="K29" cm="1">
        <f t="array" ref="K29">_xlfn.IFS(H29=3,1+K28,H29=1,1+K28,H29=0,0)</f>
        <v>1</v>
      </c>
      <c r="L29" cm="1">
        <f t="array" ref="L29">_xlfn.IFS(H29=0,1+L28,H29=1,1+L28,H29=3,0)</f>
        <v>5</v>
      </c>
    </row>
    <row r="30" spans="1:22" x14ac:dyDescent="0.2">
      <c r="A30">
        <v>29</v>
      </c>
      <c r="B30" s="1">
        <v>43897</v>
      </c>
      <c r="C30" t="str">
        <v>Southampton FC</v>
      </c>
      <c r="D30">
        <v>0</v>
      </c>
      <c r="E30" t="str">
        <v>Newcastle United FC</v>
      </c>
      <c r="F30">
        <v>1</v>
      </c>
      <c r="H30" s="59" cm="1">
        <f t="array" ref="H30">_xlfn.IFS(AND(C30=$N$18,D30&gt;F30),3,AND(E30=$N$18,F30&gt;D30),3,AND(C30=$N$18,D30=F30),1,AND(E30=$N$18,D30=F30),1,AND(C30=$N$18,D30&lt;F30),0,AND(E30=$N$18,F30&lt;D30),0)</f>
        <v>3</v>
      </c>
      <c r="I30">
        <f t="shared" si="0"/>
        <v>1</v>
      </c>
      <c r="J30" s="59">
        <f t="shared" si="1"/>
        <v>0</v>
      </c>
      <c r="K30" cm="1">
        <f t="array" ref="K30">_xlfn.IFS(H30=3,1+K29,H30=1,1+K29,H30=0,0)</f>
        <v>2</v>
      </c>
      <c r="L30" cm="1">
        <f t="array" ref="L30">_xlfn.IFS(H30=0,1+L29,H30=1,1+L29,H30=3,0)</f>
        <v>0</v>
      </c>
    </row>
    <row r="31" spans="1:22" x14ac:dyDescent="0.2">
      <c r="A31">
        <v>30</v>
      </c>
      <c r="B31" s="1">
        <v>44003</v>
      </c>
      <c r="C31" t="str">
        <v>Newcastle United FC</v>
      </c>
      <c r="D31">
        <v>3</v>
      </c>
      <c r="E31" t="str">
        <v>Sheffield United FC</v>
      </c>
      <c r="F31">
        <v>0</v>
      </c>
      <c r="H31" s="59" cm="1">
        <f t="array" ref="H31">_xlfn.IFS(AND(C31=$N$18,D31&gt;F31),3,AND(E31=$N$18,F31&gt;D31),3,AND(C31=$N$18,D31=F31),1,AND(E31=$N$18,D31=F31),1,AND(C31=$N$18,D31&lt;F31),0,AND(E31=$N$18,F31&lt;D31),0)</f>
        <v>3</v>
      </c>
      <c r="I31">
        <f t="shared" si="0"/>
        <v>2</v>
      </c>
      <c r="J31" s="59">
        <f t="shared" si="1"/>
        <v>0</v>
      </c>
      <c r="K31" cm="1">
        <f t="array" ref="K31">_xlfn.IFS(H31=3,1+K30,H31=1,1+K30,H31=0,0)</f>
        <v>3</v>
      </c>
      <c r="L31" cm="1">
        <f t="array" ref="L31">_xlfn.IFS(H31=0,1+L30,H31=1,1+L30,H31=3,0)</f>
        <v>0</v>
      </c>
    </row>
    <row r="32" spans="1:22" x14ac:dyDescent="0.2">
      <c r="A32">
        <v>31</v>
      </c>
      <c r="B32" s="1">
        <v>44006</v>
      </c>
      <c r="C32" t="str">
        <v>Newcastle United FC</v>
      </c>
      <c r="D32">
        <v>1</v>
      </c>
      <c r="E32" t="str">
        <v>Aston Villa FC</v>
      </c>
      <c r="F32">
        <v>1</v>
      </c>
      <c r="H32" s="59" cm="1">
        <f t="array" ref="H32">_xlfn.IFS(AND(C32=$N$18,D32&gt;F32),3,AND(E32=$N$18,F32&gt;D32),3,AND(C32=$N$18,D32=F32),1,AND(E32=$N$18,D32=F32),1,AND(C32=$N$18,D32&lt;F32),0,AND(E32=$N$18,F32&lt;D32),0)</f>
        <v>1</v>
      </c>
      <c r="I32">
        <f t="shared" si="0"/>
        <v>0</v>
      </c>
      <c r="J32" s="59">
        <f t="shared" si="1"/>
        <v>0</v>
      </c>
      <c r="K32" cm="1">
        <f t="array" ref="K32">_xlfn.IFS(H32=3,1+K31,H32=1,1+K31,H32=0,0)</f>
        <v>4</v>
      </c>
      <c r="L32" cm="1">
        <f t="array" ref="L32">_xlfn.IFS(H32=0,1+L31,H32=1,1+L31,H32=3,0)</f>
        <v>1</v>
      </c>
    </row>
    <row r="33" spans="1:12" x14ac:dyDescent="0.2">
      <c r="A33">
        <v>32</v>
      </c>
      <c r="B33" s="1">
        <v>44013</v>
      </c>
      <c r="C33" t="str">
        <v>AFC Bournemouth</v>
      </c>
      <c r="D33">
        <v>1</v>
      </c>
      <c r="E33" t="str">
        <v>Newcastle United FC</v>
      </c>
      <c r="F33">
        <v>4</v>
      </c>
      <c r="H33" s="59" cm="1">
        <f t="array" ref="H33">_xlfn.IFS(AND(C33=$N$18,D33&gt;F33),3,AND(E33=$N$18,F33&gt;D33),3,AND(C33=$N$18,D33=F33),1,AND(E33=$N$18,D33=F33),1,AND(C33=$N$18,D33&lt;F33),0,AND(E33=$N$18,F33&lt;D33),0)</f>
        <v>3</v>
      </c>
      <c r="I33">
        <f t="shared" si="0"/>
        <v>1</v>
      </c>
      <c r="J33" s="59">
        <f t="shared" si="1"/>
        <v>0</v>
      </c>
      <c r="K33" cm="1">
        <f t="array" ref="K33">_xlfn.IFS(H33=3,1+K32,H33=1,1+K32,H33=0,0)</f>
        <v>5</v>
      </c>
      <c r="L33" cm="1">
        <f t="array" ref="L33">_xlfn.IFS(H33=0,1+L32,H33=1,1+L32,H33=3,0)</f>
        <v>0</v>
      </c>
    </row>
    <row r="34" spans="1:12" x14ac:dyDescent="0.2">
      <c r="A34">
        <v>33</v>
      </c>
      <c r="B34" s="1">
        <v>44017</v>
      </c>
      <c r="C34" t="str">
        <v>Newcastle United FC</v>
      </c>
      <c r="D34">
        <v>2</v>
      </c>
      <c r="E34" t="str">
        <v>West Ham United FC</v>
      </c>
      <c r="F34">
        <v>2</v>
      </c>
      <c r="H34" s="59" cm="1">
        <f t="array" ref="H34">_xlfn.IFS(AND(C34=$N$18,D34&gt;F34),3,AND(E34=$N$18,F34&gt;D34),3,AND(C34=$N$18,D34=F34),1,AND(E34=$N$18,D34=F34),1,AND(C34=$N$18,D34&lt;F34),0,AND(E34=$N$18,F34&lt;D34),0)</f>
        <v>1</v>
      </c>
      <c r="I34">
        <f t="shared" si="0"/>
        <v>0</v>
      </c>
      <c r="J34" s="59">
        <f t="shared" si="1"/>
        <v>0</v>
      </c>
      <c r="K34" cm="1">
        <f t="array" ref="K34">_xlfn.IFS(H34=3,1+K33,H34=1,1+K33,H34=0,0)</f>
        <v>6</v>
      </c>
      <c r="L34" cm="1">
        <f t="array" ref="L34">_xlfn.IFS(H34=0,1+L33,H34=1,1+L33,H34=3,0)</f>
        <v>1</v>
      </c>
    </row>
    <row r="35" spans="1:12" x14ac:dyDescent="0.2">
      <c r="A35">
        <v>34</v>
      </c>
      <c r="B35" s="1">
        <v>44020</v>
      </c>
      <c r="C35" t="str">
        <v>Manchester City FC</v>
      </c>
      <c r="D35">
        <v>5</v>
      </c>
      <c r="E35" t="str">
        <v>Newcastle United FC</v>
      </c>
      <c r="F35">
        <v>0</v>
      </c>
      <c r="H35" s="59" cm="1">
        <f t="array" ref="H35">_xlfn.IFS(AND(C35=$N$18,D35&gt;F35),3,AND(E35=$N$18,F35&gt;D35),3,AND(C35=$N$18,D35=F35),1,AND(E35=$N$18,D35=F35),1,AND(C35=$N$18,D35&lt;F35),0,AND(E35=$N$18,F35&lt;D35),0)</f>
        <v>0</v>
      </c>
      <c r="I35">
        <f t="shared" si="0"/>
        <v>0</v>
      </c>
      <c r="J35" s="59">
        <f t="shared" si="1"/>
        <v>1</v>
      </c>
      <c r="K35" cm="1">
        <f t="array" ref="K35">_xlfn.IFS(H35=3,1+K34,H35=1,1+K34,H35=0,0)</f>
        <v>0</v>
      </c>
      <c r="L35" cm="1">
        <f t="array" ref="L35">_xlfn.IFS(H35=0,1+L34,H35=1,1+L34,H35=3,0)</f>
        <v>2</v>
      </c>
    </row>
    <row r="36" spans="1:12" x14ac:dyDescent="0.2">
      <c r="A36">
        <v>35</v>
      </c>
      <c r="B36" s="1">
        <v>44023</v>
      </c>
      <c r="C36" t="str">
        <v>Watford FC</v>
      </c>
      <c r="D36">
        <v>2</v>
      </c>
      <c r="E36" t="str">
        <v>Newcastle United FC</v>
      </c>
      <c r="F36">
        <v>1</v>
      </c>
      <c r="H36" s="59" cm="1">
        <f t="array" ref="H36">_xlfn.IFS(AND(C36=$N$18,D36&gt;F36),3,AND(E36=$N$18,F36&gt;D36),3,AND(C36=$N$18,D36=F36),1,AND(E36=$N$18,D36=F36),1,AND(C36=$N$18,D36&lt;F36),0,AND(E36=$N$18,F36&lt;D36),0)</f>
        <v>0</v>
      </c>
      <c r="I36">
        <f t="shared" si="0"/>
        <v>0</v>
      </c>
      <c r="J36" s="59">
        <f t="shared" si="1"/>
        <v>2</v>
      </c>
      <c r="K36" cm="1">
        <f t="array" ref="K36">_xlfn.IFS(H36=3,1+K35,H36=1,1+K35,H36=0,0)</f>
        <v>0</v>
      </c>
      <c r="L36" cm="1">
        <f t="array" ref="L36">_xlfn.IFS(H36=0,1+L35,H36=1,1+L35,H36=3,0)</f>
        <v>3</v>
      </c>
    </row>
    <row r="37" spans="1:12" x14ac:dyDescent="0.2">
      <c r="A37">
        <v>36</v>
      </c>
      <c r="B37" s="1">
        <v>44027</v>
      </c>
      <c r="C37" t="str">
        <v>Newcastle United FC</v>
      </c>
      <c r="D37">
        <v>1</v>
      </c>
      <c r="E37" t="str">
        <v>Tottenham Hotspur FC</v>
      </c>
      <c r="F37">
        <v>3</v>
      </c>
      <c r="H37" s="59" cm="1">
        <f t="array" ref="H37">_xlfn.IFS(AND(C37=$N$18,D37&gt;F37),3,AND(E37=$N$18,F37&gt;D37),3,AND(C37=$N$18,D37=F37),1,AND(E37=$N$18,D37=F37),1,AND(C37=$N$18,D37&lt;F37),0,AND(E37=$N$18,F37&lt;D37),0)</f>
        <v>0</v>
      </c>
      <c r="I37">
        <f t="shared" si="0"/>
        <v>0</v>
      </c>
      <c r="J37" s="59">
        <f t="shared" si="1"/>
        <v>3</v>
      </c>
      <c r="K37" cm="1">
        <f t="array" ref="K37">_xlfn.IFS(H37=3,1+K36,H37=1,1+K36,H37=0,0)</f>
        <v>0</v>
      </c>
      <c r="L37" cm="1">
        <f t="array" ref="L37">_xlfn.IFS(H37=0,1+L36,H37=1,1+L36,H37=3,0)</f>
        <v>4</v>
      </c>
    </row>
    <row r="38" spans="1:12" x14ac:dyDescent="0.2">
      <c r="A38">
        <v>37</v>
      </c>
      <c r="B38" s="1">
        <v>44032</v>
      </c>
      <c r="C38" t="str">
        <v>Brighton &amp; Hove Albion FC</v>
      </c>
      <c r="D38">
        <v>0</v>
      </c>
      <c r="E38" t="str">
        <v>Newcastle United FC</v>
      </c>
      <c r="F38">
        <v>0</v>
      </c>
      <c r="H38" s="59" cm="1">
        <f t="array" ref="H38">_xlfn.IFS(AND(C38=$N$18,D38&gt;F38),3,AND(E38=$N$18,F38&gt;D38),3,AND(C38=$N$18,D38=F38),1,AND(E38=$N$18,D38=F38),1,AND(C38=$N$18,D38&lt;F38),0,AND(E38=$N$18,F38&lt;D38),0)</f>
        <v>1</v>
      </c>
      <c r="I38">
        <f t="shared" si="0"/>
        <v>0</v>
      </c>
      <c r="J38" s="59">
        <f t="shared" si="1"/>
        <v>0</v>
      </c>
      <c r="K38" cm="1">
        <f t="array" ref="K38">_xlfn.IFS(H38=3,1+K37,H38=1,1+K37,H38=0,0)</f>
        <v>1</v>
      </c>
      <c r="L38" cm="1">
        <f t="array" ref="L38">_xlfn.IFS(H38=0,1+L37,H38=1,1+L37,H38=3,0)</f>
        <v>5</v>
      </c>
    </row>
    <row r="39" spans="1:12" x14ac:dyDescent="0.2">
      <c r="A39">
        <v>38</v>
      </c>
      <c r="B39" s="1">
        <v>44038</v>
      </c>
      <c r="C39" t="str">
        <v>Newcastle United FC</v>
      </c>
      <c r="D39">
        <v>1</v>
      </c>
      <c r="E39" t="str">
        <v>Liverpool FC</v>
      </c>
      <c r="F39">
        <v>3</v>
      </c>
      <c r="H39" s="59" cm="1">
        <f t="array" ref="H39">_xlfn.IFS(AND(C39=$N$18,D39&gt;F39),3,AND(E39=$N$18,F39&gt;D39),3,AND(C39=$N$18,D39=F39),1,AND(E39=$N$18,D39=F39),1,AND(C39=$N$18,D39&lt;F39),0,AND(E39=$N$18,F39&lt;D39),0)</f>
        <v>0</v>
      </c>
      <c r="I39">
        <f t="shared" si="0"/>
        <v>0</v>
      </c>
      <c r="J39" s="59">
        <f t="shared" si="1"/>
        <v>1</v>
      </c>
      <c r="K39" cm="1">
        <f t="array" ref="K39">_xlfn.IFS(H39=3,1+K38,H39=1,1+K38,H39=0,0)</f>
        <v>0</v>
      </c>
      <c r="L39" cm="1">
        <f t="array" ref="L39">_xlfn.IFS(H39=0,1+L38,H39=1,1+L38,H39=3,0)</f>
        <v>6</v>
      </c>
    </row>
  </sheetData>
  <conditionalFormatting sqref="G2:G39">
    <cfRule type="expression" dxfId="71" priority="5">
      <formula>AND($E2=$N$18,$F2&gt;$D2)</formula>
    </cfRule>
  </conditionalFormatting>
  <conditionalFormatting sqref="G2:G39">
    <cfRule type="expression" dxfId="70" priority="4">
      <formula>AND($E2=$N$18,$F2&lt;$D2)</formula>
    </cfRule>
  </conditionalFormatting>
  <conditionalFormatting sqref="G2:G39">
    <cfRule type="expression" dxfId="69" priority="3">
      <formula>$D2=$F2</formula>
    </cfRule>
  </conditionalFormatting>
  <conditionalFormatting sqref="G2:G39">
    <cfRule type="expression" dxfId="68" priority="2">
      <formula>AND($C2=$N$18,$D2&lt;$F2)</formula>
    </cfRule>
  </conditionalFormatting>
  <conditionalFormatting sqref="G2:G39">
    <cfRule type="expression" dxfId="67" priority="1">
      <formula>AND($C2=$N$18,$D2&gt;$F2)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C47FC-D107-44E4-A5F8-38A557358EAC}">
  <sheetPr codeName="Sheet14"/>
  <dimension ref="A1:V39"/>
  <sheetViews>
    <sheetView zoomScale="60" zoomScaleNormal="60" workbookViewId="0"/>
  </sheetViews>
  <sheetFormatPr baseColWidth="10" defaultColWidth="8.83203125" defaultRowHeight="15" x14ac:dyDescent="0.2"/>
  <cols>
    <col min="2" max="2" width="10.83203125" style="1" customWidth="1"/>
    <col min="3" max="3" width="23.6640625" customWidth="1"/>
    <col min="4" max="4" width="12.1640625" customWidth="1"/>
    <col min="5" max="5" width="21.5" customWidth="1"/>
    <col min="6" max="6" width="11.5" customWidth="1"/>
    <col min="14" max="14" width="26.83203125" bestFit="1" customWidth="1"/>
    <col min="15" max="22" width="10.6640625" customWidth="1"/>
  </cols>
  <sheetData>
    <row r="1" spans="1:20" ht="32" x14ac:dyDescent="0.2">
      <c r="A1" s="67" t="s">
        <v>0</v>
      </c>
      <c r="B1" s="71" t="s">
        <v>1</v>
      </c>
      <c r="C1" s="68" t="s">
        <v>2</v>
      </c>
      <c r="D1" s="68" t="s">
        <v>3</v>
      </c>
      <c r="E1" s="68" t="s">
        <v>4</v>
      </c>
      <c r="F1" s="69" t="s">
        <v>5</v>
      </c>
      <c r="G1" s="70" t="s">
        <v>71</v>
      </c>
      <c r="H1" s="70" t="s">
        <v>19</v>
      </c>
      <c r="I1" s="81" t="s">
        <v>72</v>
      </c>
      <c r="J1" s="81" t="s">
        <v>53</v>
      </c>
      <c r="K1" s="81" t="s">
        <v>55</v>
      </c>
      <c r="L1" s="81" t="s">
        <v>73</v>
      </c>
      <c r="Q1" s="58" t="s">
        <v>74</v>
      </c>
      <c r="R1" t="s">
        <v>75</v>
      </c>
      <c r="S1" t="s">
        <v>76</v>
      </c>
      <c r="T1" s="63" t="s">
        <v>77</v>
      </c>
    </row>
    <row r="2" spans="1:20" x14ac:dyDescent="0.2">
      <c r="A2" cm="1">
        <f t="array" ref="A2:F39">_xlfn._xlws.FILTER(eng_1[],(eng_1[Home]='England 1'!C11)+(eng_1[Away]='England 1'!E21))</f>
        <v>1</v>
      </c>
      <c r="B2" s="1">
        <v>43688</v>
      </c>
      <c r="C2" t="str">
        <v>Manchester United FC</v>
      </c>
      <c r="D2">
        <v>4</v>
      </c>
      <c r="E2" t="str">
        <v>Chelsea FC</v>
      </c>
      <c r="F2">
        <v>0</v>
      </c>
      <c r="H2" s="59" cm="1">
        <f t="array" ref="H2">_xlfn.IFS(AND(C2=$N$18,D2&gt;F2),3,AND(E2=$N$18,F2&gt;D2),3,AND(C2=$N$18,D2=F2),1,AND(E2=$N$18,D2=F2),1,AND(C2=$N$18,D2&lt;F2),0,AND(E2=$N$18,F2&lt;D2),0)</f>
        <v>3</v>
      </c>
      <c r="I2" cm="1">
        <f t="array" ref="I2">_xlfn.IFS(H2=3,1,H2=1,0,H2=0,0)</f>
        <v>1</v>
      </c>
      <c r="J2" s="59" cm="1">
        <f t="array" ref="J2">_xlfn.IFS(H2=0,1,H2=1,0,H2=3,0)</f>
        <v>0</v>
      </c>
      <c r="K2" cm="1">
        <f t="array" ref="K2">_xlfn.IFS(H2=3,1,H2=1,1,H2=0,0)</f>
        <v>1</v>
      </c>
      <c r="L2" cm="1">
        <f t="array" ref="L2">_xlfn.IFS(H2=0,1,H2=1,1,H2=3,0)</f>
        <v>0</v>
      </c>
      <c r="Q2" s="56" t="s">
        <v>78</v>
      </c>
      <c r="R2">
        <v>20</v>
      </c>
      <c r="S2">
        <v>31</v>
      </c>
      <c r="T2" s="60">
        <v>1.55</v>
      </c>
    </row>
    <row r="3" spans="1:20" x14ac:dyDescent="0.2">
      <c r="A3">
        <v>2</v>
      </c>
      <c r="B3" s="1">
        <v>43696</v>
      </c>
      <c r="C3" t="str">
        <v>Wolverhampton Wanderers FC</v>
      </c>
      <c r="D3">
        <v>1</v>
      </c>
      <c r="E3" t="str">
        <v>Manchester United FC</v>
      </c>
      <c r="F3">
        <v>1</v>
      </c>
      <c r="H3" s="59" cm="1">
        <f t="array" ref="H3">_xlfn.IFS(AND(C3=$N$18,D3&gt;F3),3,AND(E3=$N$18,F3&gt;D3),3,AND(C3=$N$18,D3=F3),1,AND(E3=$N$18,D3=F3),1,AND(C3=$N$18,D3&lt;F3),0,AND(E3=$N$18,F3&lt;D3),0)</f>
        <v>1</v>
      </c>
      <c r="I3">
        <f t="shared" ref="I3:I39" si="0">IF(H3=3,1+I2,0)</f>
        <v>0</v>
      </c>
      <c r="J3" s="59">
        <f t="shared" ref="J3:J39" si="1">IF(H3=0,1+J2,0)</f>
        <v>0</v>
      </c>
      <c r="K3" cm="1">
        <f t="array" ref="K3">_xlfn.IFS(H3=3,1+K2,H3=1,1+K2,H3=0,0)</f>
        <v>2</v>
      </c>
      <c r="L3" cm="1">
        <f t="array" ref="L3">_xlfn.IFS(H3=0,1+L2,H3=1,1+L2,H3=3,0)</f>
        <v>1</v>
      </c>
      <c r="N3" s="48" t="s">
        <v>79</v>
      </c>
      <c r="O3" s="48" t="s">
        <v>80</v>
      </c>
      <c r="Q3" s="57" t="s">
        <v>81</v>
      </c>
      <c r="R3">
        <v>4</v>
      </c>
      <c r="S3">
        <v>5</v>
      </c>
      <c r="T3" s="60">
        <v>1.25</v>
      </c>
    </row>
    <row r="4" spans="1:20" x14ac:dyDescent="0.2">
      <c r="A4">
        <v>3</v>
      </c>
      <c r="B4" s="1">
        <v>43701</v>
      </c>
      <c r="C4" t="str">
        <v>Manchester United FC</v>
      </c>
      <c r="D4">
        <v>1</v>
      </c>
      <c r="E4" t="str">
        <v>Crystal Palace FC</v>
      </c>
      <c r="F4">
        <v>2</v>
      </c>
      <c r="H4" s="59" cm="1">
        <f t="array" ref="H4">_xlfn.IFS(AND(C4=$N$18,D4&gt;F4),3,AND(E4=$N$18,F4&gt;D4),3,AND(C4=$N$18,D4=F4),1,AND(E4=$N$18,D4=F4),1,AND(C4=$N$18,D4&lt;F4),0,AND(E4=$N$18,F4&lt;D4),0)</f>
        <v>0</v>
      </c>
      <c r="I4">
        <f t="shared" si="0"/>
        <v>0</v>
      </c>
      <c r="J4" s="59">
        <f t="shared" si="1"/>
        <v>1</v>
      </c>
      <c r="K4" cm="1">
        <f t="array" ref="K4">_xlfn.IFS(H4=3,1+K3,H4=1,1+K3,H4=0,0)</f>
        <v>0</v>
      </c>
      <c r="L4" cm="1">
        <f t="array" ref="L4">_xlfn.IFS(H4=0,1+L3,H4=1,1+L3,H4=3,0)</f>
        <v>2</v>
      </c>
      <c r="N4" s="49" t="s">
        <v>82</v>
      </c>
      <c r="O4" s="50"/>
      <c r="Q4" s="57" t="s">
        <v>83</v>
      </c>
      <c r="R4">
        <v>3</v>
      </c>
      <c r="S4">
        <v>4</v>
      </c>
      <c r="T4" s="60">
        <v>1.3333333333333333</v>
      </c>
    </row>
    <row r="5" spans="1:20" x14ac:dyDescent="0.2">
      <c r="A5">
        <v>4</v>
      </c>
      <c r="B5" s="1">
        <v>43708</v>
      </c>
      <c r="C5" t="str">
        <v>Southampton FC</v>
      </c>
      <c r="D5">
        <v>1</v>
      </c>
      <c r="E5" t="str">
        <v>Manchester United FC</v>
      </c>
      <c r="F5">
        <v>1</v>
      </c>
      <c r="H5" s="59" cm="1">
        <f t="array" ref="H5">_xlfn.IFS(AND(C5=$N$18,D5&gt;F5),3,AND(E5=$N$18,F5&gt;D5),3,AND(C5=$N$18,D5=F5),1,AND(E5=$N$18,D5=F5),1,AND(C5=$N$18,D5&lt;F5),0,AND(E5=$N$18,F5&lt;D5),0)</f>
        <v>1</v>
      </c>
      <c r="I5">
        <f t="shared" si="0"/>
        <v>0</v>
      </c>
      <c r="J5" s="59">
        <f t="shared" si="1"/>
        <v>0</v>
      </c>
      <c r="K5" cm="1">
        <f t="array" ref="K5">_xlfn.IFS(H5=3,1+K4,H5=1,1+K4,H5=0,0)</f>
        <v>1</v>
      </c>
      <c r="L5" cm="1">
        <f t="array" ref="L5">_xlfn.IFS(H5=0,1+L4,H5=1,1+L4,H5=3,0)</f>
        <v>3</v>
      </c>
      <c r="N5" s="49" t="s">
        <v>84</v>
      </c>
      <c r="O5" s="51"/>
      <c r="Q5" s="57" t="s">
        <v>85</v>
      </c>
      <c r="R5">
        <v>3</v>
      </c>
      <c r="S5">
        <v>4</v>
      </c>
      <c r="T5" s="60">
        <v>1.3333333333333333</v>
      </c>
    </row>
    <row r="6" spans="1:20" x14ac:dyDescent="0.2">
      <c r="A6">
        <v>5</v>
      </c>
      <c r="B6" s="1">
        <v>43722</v>
      </c>
      <c r="C6" t="str">
        <v>Manchester United FC</v>
      </c>
      <c r="D6">
        <v>1</v>
      </c>
      <c r="E6" t="str">
        <v>Leicester City FC</v>
      </c>
      <c r="F6">
        <v>0</v>
      </c>
      <c r="H6" s="59" cm="1">
        <f t="array" ref="H6">_xlfn.IFS(AND(C6=$N$18,D6&gt;F6),3,AND(E6=$N$18,F6&gt;D6),3,AND(C6=$N$18,D6=F6),1,AND(E6=$N$18,D6=F6),1,AND(C6=$N$18,D6&lt;F6),0,AND(E6=$N$18,F6&lt;D6),0)</f>
        <v>3</v>
      </c>
      <c r="I6">
        <f t="shared" si="0"/>
        <v>1</v>
      </c>
      <c r="J6" s="59">
        <f t="shared" si="1"/>
        <v>0</v>
      </c>
      <c r="K6" cm="1">
        <f t="array" ref="K6">_xlfn.IFS(H6=3,1+K5,H6=1,1+K5,H6=0,0)</f>
        <v>2</v>
      </c>
      <c r="L6" cm="1">
        <f t="array" ref="L6">_xlfn.IFS(H6=0,1+L5,H6=1,1+L5,H6=3,0)</f>
        <v>0</v>
      </c>
      <c r="N6" s="49" t="s">
        <v>86</v>
      </c>
      <c r="O6" s="52"/>
      <c r="Q6" s="57" t="s">
        <v>87</v>
      </c>
      <c r="R6">
        <v>3</v>
      </c>
      <c r="S6">
        <v>4</v>
      </c>
      <c r="T6" s="60">
        <v>1.3333333333333333</v>
      </c>
    </row>
    <row r="7" spans="1:20" x14ac:dyDescent="0.2">
      <c r="A7">
        <v>6</v>
      </c>
      <c r="B7" s="1">
        <v>43730</v>
      </c>
      <c r="C7" t="str">
        <v>West Ham United FC</v>
      </c>
      <c r="D7">
        <v>2</v>
      </c>
      <c r="E7" t="str">
        <v>Manchester United FC</v>
      </c>
      <c r="F7">
        <v>0</v>
      </c>
      <c r="H7" s="59" cm="1">
        <f t="array" ref="H7">_xlfn.IFS(AND(C7=$N$18,D7&gt;F7),3,AND(E7=$N$18,F7&gt;D7),3,AND(C7=$N$18,D7=F7),1,AND(E7=$N$18,D7=F7),1,AND(C7=$N$18,D7&lt;F7),0,AND(E7=$N$18,F7&lt;D7),0)</f>
        <v>0</v>
      </c>
      <c r="I7">
        <f t="shared" si="0"/>
        <v>0</v>
      </c>
      <c r="J7" s="59">
        <f t="shared" si="1"/>
        <v>1</v>
      </c>
      <c r="K7" cm="1">
        <f t="array" ref="K7">_xlfn.IFS(H7=3,1+K6,H7=1,1+K6,H7=0,0)</f>
        <v>0</v>
      </c>
      <c r="L7" cm="1">
        <f t="array" ref="L7">_xlfn.IFS(H7=0,1+L6,H7=1,1+L6,H7=3,0)</f>
        <v>1</v>
      </c>
      <c r="Q7" s="57" t="s">
        <v>88</v>
      </c>
      <c r="R7">
        <v>7</v>
      </c>
      <c r="S7">
        <v>14</v>
      </c>
      <c r="T7" s="60">
        <v>2</v>
      </c>
    </row>
    <row r="8" spans="1:20" x14ac:dyDescent="0.2">
      <c r="A8">
        <v>7</v>
      </c>
      <c r="B8" s="1">
        <v>43738</v>
      </c>
      <c r="C8" t="str">
        <v>Manchester United FC</v>
      </c>
      <c r="D8">
        <v>1</v>
      </c>
      <c r="E8" t="str">
        <v>Arsenal FC</v>
      </c>
      <c r="F8">
        <v>1</v>
      </c>
      <c r="H8" s="59" cm="1">
        <f t="array" ref="H8">_xlfn.IFS(AND(C8=$N$18,D8&gt;F8),3,AND(E8=$N$18,F8&gt;D8),3,AND(C8=$N$18,D8=F8),1,AND(E8=$N$18,D8=F8),1,AND(C8=$N$18,D8&lt;F8),0,AND(E8=$N$18,F8&lt;D8),0)</f>
        <v>1</v>
      </c>
      <c r="I8">
        <f t="shared" si="0"/>
        <v>0</v>
      </c>
      <c r="J8" s="59">
        <f t="shared" si="1"/>
        <v>0</v>
      </c>
      <c r="K8" cm="1">
        <f t="array" ref="K8">_xlfn.IFS(H8=3,1+K7,H8=1,1+K7,H8=0,0)</f>
        <v>1</v>
      </c>
      <c r="L8" cm="1">
        <f t="array" ref="L8">_xlfn.IFS(H8=0,1+L7,H8=1,1+L7,H8=3,0)</f>
        <v>2</v>
      </c>
      <c r="Q8" s="56" t="s">
        <v>89</v>
      </c>
      <c r="R8">
        <v>18</v>
      </c>
      <c r="S8">
        <v>35</v>
      </c>
      <c r="T8" s="60">
        <v>1.9444444444444444</v>
      </c>
    </row>
    <row r="9" spans="1:20" x14ac:dyDescent="0.2">
      <c r="A9">
        <v>8</v>
      </c>
      <c r="B9" s="1">
        <v>43744</v>
      </c>
      <c r="C9" t="str">
        <v>Newcastle United FC</v>
      </c>
      <c r="D9">
        <v>1</v>
      </c>
      <c r="E9" t="str">
        <v>Manchester United FC</v>
      </c>
      <c r="F9">
        <v>0</v>
      </c>
      <c r="H9" s="59" cm="1">
        <f t="array" ref="H9">_xlfn.IFS(AND(C9=$N$18,D9&gt;F9),3,AND(E9=$N$18,F9&gt;D9),3,AND(C9=$N$18,D9=F9),1,AND(E9=$N$18,D9=F9),1,AND(C9=$N$18,D9&lt;F9),0,AND(E9=$N$18,F9&lt;D9),0)</f>
        <v>0</v>
      </c>
      <c r="I9">
        <f t="shared" si="0"/>
        <v>0</v>
      </c>
      <c r="J9" s="59">
        <f t="shared" si="1"/>
        <v>1</v>
      </c>
      <c r="K9" cm="1">
        <f t="array" ref="K9">_xlfn.IFS(H9=3,1+K8,H9=1,1+K8,H9=0,0)</f>
        <v>0</v>
      </c>
      <c r="L9" cm="1">
        <f t="array" ref="L9">_xlfn.IFS(H9=0,1+L8,H9=1,1+L8,H9=3,0)</f>
        <v>3</v>
      </c>
      <c r="Q9" s="57" t="s">
        <v>90</v>
      </c>
      <c r="R9">
        <v>4</v>
      </c>
      <c r="S9">
        <v>3</v>
      </c>
      <c r="T9" s="60">
        <v>0.75</v>
      </c>
    </row>
    <row r="10" spans="1:20" x14ac:dyDescent="0.2">
      <c r="A10">
        <v>9</v>
      </c>
      <c r="B10" s="1">
        <v>43758</v>
      </c>
      <c r="C10" t="str">
        <v>Manchester United FC</v>
      </c>
      <c r="D10">
        <v>1</v>
      </c>
      <c r="E10" t="str">
        <v>Liverpool FC</v>
      </c>
      <c r="F10">
        <v>1</v>
      </c>
      <c r="H10" s="59" cm="1">
        <f t="array" ref="H10">_xlfn.IFS(AND(C10=$N$18,D10&gt;F10),3,AND(E10=$N$18,F10&gt;D10),3,AND(C10=$N$18,D10=F10),1,AND(E10=$N$18,D10=F10),1,AND(C10=$N$18,D10&lt;F10),0,AND(E10=$N$18,F10&lt;D10),0)</f>
        <v>1</v>
      </c>
      <c r="I10">
        <f t="shared" si="0"/>
        <v>0</v>
      </c>
      <c r="J10" s="59">
        <f t="shared" si="1"/>
        <v>0</v>
      </c>
      <c r="K10" cm="1">
        <f t="array" ref="K10">_xlfn.IFS(H10=3,1+K9,H10=1,1+K9,H10=0,0)</f>
        <v>1</v>
      </c>
      <c r="L10" cm="1">
        <f t="array" ref="L10">_xlfn.IFS(H10=0,1+L9,H10=1,1+L9,H10=3,0)</f>
        <v>4</v>
      </c>
      <c r="Q10" s="57" t="s">
        <v>91</v>
      </c>
      <c r="R10">
        <v>3</v>
      </c>
      <c r="S10">
        <v>7</v>
      </c>
      <c r="T10" s="60">
        <v>2.3333333333333335</v>
      </c>
    </row>
    <row r="11" spans="1:20" x14ac:dyDescent="0.2">
      <c r="A11">
        <v>10</v>
      </c>
      <c r="B11" s="1">
        <v>43765</v>
      </c>
      <c r="C11" t="str">
        <v>Norwich City FC</v>
      </c>
      <c r="D11">
        <v>1</v>
      </c>
      <c r="E11" t="str">
        <v>Manchester United FC</v>
      </c>
      <c r="F11">
        <v>3</v>
      </c>
      <c r="H11" s="59" cm="1">
        <f t="array" ref="H11">_xlfn.IFS(AND(C11=$N$18,D11&gt;F11),3,AND(E11=$N$18,F11&gt;D11),3,AND(C11=$N$18,D11=F11),1,AND(E11=$N$18,D11=F11),1,AND(C11=$N$18,D11&lt;F11),0,AND(E11=$N$18,F11&lt;D11),0)</f>
        <v>3</v>
      </c>
      <c r="I11">
        <f t="shared" si="0"/>
        <v>1</v>
      </c>
      <c r="J11" s="59">
        <f t="shared" si="1"/>
        <v>0</v>
      </c>
      <c r="K11" cm="1">
        <f t="array" ref="K11">_xlfn.IFS(H11=3,1+K10,H11=1,1+K10,H11=0,0)</f>
        <v>2</v>
      </c>
      <c r="L11" cm="1">
        <f t="array" ref="L11">_xlfn.IFS(H11=0,1+L10,H11=1,1+L10,H11=3,0)</f>
        <v>0</v>
      </c>
      <c r="Q11" s="57" t="s">
        <v>92</v>
      </c>
      <c r="R11">
        <v>2</v>
      </c>
      <c r="S11">
        <v>4</v>
      </c>
      <c r="T11" s="60">
        <v>2</v>
      </c>
    </row>
    <row r="12" spans="1:20" x14ac:dyDescent="0.2">
      <c r="A12">
        <v>11</v>
      </c>
      <c r="B12" s="1">
        <v>43771</v>
      </c>
      <c r="C12" t="str">
        <v>AFC Bournemouth</v>
      </c>
      <c r="D12">
        <v>1</v>
      </c>
      <c r="E12" t="str">
        <v>Manchester United FC</v>
      </c>
      <c r="F12">
        <v>0</v>
      </c>
      <c r="H12" s="59" cm="1">
        <f t="array" ref="H12">_xlfn.IFS(AND(C12=$N$18,D12&gt;F12),3,AND(E12=$N$18,F12&gt;D12),3,AND(C12=$N$18,D12=F12),1,AND(E12=$N$18,D12=F12),1,AND(C12=$N$18,D12&lt;F12),0,AND(E12=$N$18,F12&lt;D12),0)</f>
        <v>0</v>
      </c>
      <c r="I12">
        <f t="shared" si="0"/>
        <v>0</v>
      </c>
      <c r="J12" s="59">
        <f t="shared" si="1"/>
        <v>1</v>
      </c>
      <c r="K12" cm="1">
        <f t="array" ref="K12">_xlfn.IFS(H12=3,1+K11,H12=1,1+K11,H12=0,0)</f>
        <v>0</v>
      </c>
      <c r="L12" cm="1">
        <f t="array" ref="L12">_xlfn.IFS(H12=0,1+L11,H12=1,1+L11,H12=3,0)</f>
        <v>1</v>
      </c>
      <c r="Q12" s="57" t="s">
        <v>93</v>
      </c>
      <c r="R12">
        <v>3</v>
      </c>
      <c r="S12">
        <v>7</v>
      </c>
      <c r="T12" s="60">
        <v>2.3333333333333335</v>
      </c>
    </row>
    <row r="13" spans="1:20" x14ac:dyDescent="0.2">
      <c r="A13">
        <v>12</v>
      </c>
      <c r="B13" s="1">
        <v>43779</v>
      </c>
      <c r="C13" t="str">
        <v>Manchester United FC</v>
      </c>
      <c r="D13">
        <v>3</v>
      </c>
      <c r="E13" t="str">
        <v>Brighton &amp; Hove Albion FC</v>
      </c>
      <c r="F13">
        <v>1</v>
      </c>
      <c r="H13" s="59" cm="1">
        <f t="array" ref="H13">_xlfn.IFS(AND(C13=$N$18,D13&gt;F13),3,AND(E13=$N$18,F13&gt;D13),3,AND(C13=$N$18,D13=F13),1,AND(E13=$N$18,D13=F13),1,AND(C13=$N$18,D13&lt;F13),0,AND(E13=$N$18,F13&lt;D13),0)</f>
        <v>3</v>
      </c>
      <c r="I13">
        <f t="shared" si="0"/>
        <v>1</v>
      </c>
      <c r="J13" s="59">
        <f t="shared" si="1"/>
        <v>0</v>
      </c>
      <c r="K13" cm="1">
        <f t="array" ref="K13">_xlfn.IFS(H13=3,1+K12,H13=1,1+K12,H13=0,0)</f>
        <v>1</v>
      </c>
      <c r="L13" cm="1">
        <f t="array" ref="L13">_xlfn.IFS(H13=0,1+L12,H13=1,1+L12,H13=3,0)</f>
        <v>0</v>
      </c>
      <c r="Q13" s="57" t="s">
        <v>94</v>
      </c>
      <c r="R13">
        <v>6</v>
      </c>
      <c r="S13">
        <v>14</v>
      </c>
      <c r="T13" s="60">
        <v>2.3333333333333335</v>
      </c>
    </row>
    <row r="14" spans="1:20" x14ac:dyDescent="0.2">
      <c r="A14">
        <v>13</v>
      </c>
      <c r="B14" s="1">
        <v>43793</v>
      </c>
      <c r="C14" t="str">
        <v>Sheffield United FC</v>
      </c>
      <c r="D14">
        <v>3</v>
      </c>
      <c r="E14" t="str">
        <v>Manchester United FC</v>
      </c>
      <c r="F14">
        <v>3</v>
      </c>
      <c r="H14" s="59" cm="1">
        <f t="array" ref="H14">_xlfn.IFS(AND(C14=$N$18,D14&gt;F14),3,AND(E14=$N$18,F14&gt;D14),3,AND(C14=$N$18,D14=F14),1,AND(E14=$N$18,D14=F14),1,AND(C14=$N$18,D14&lt;F14),0,AND(E14=$N$18,F14&lt;D14),0)</f>
        <v>1</v>
      </c>
      <c r="I14">
        <f t="shared" si="0"/>
        <v>0</v>
      </c>
      <c r="J14" s="59">
        <f t="shared" si="1"/>
        <v>0</v>
      </c>
      <c r="K14" cm="1">
        <f t="array" ref="K14">_xlfn.IFS(H14=3,1+K13,H14=1,1+K13,H14=0,0)</f>
        <v>2</v>
      </c>
      <c r="L14" cm="1">
        <f t="array" ref="L14">_xlfn.IFS(H14=0,1+L13,H14=1,1+L13,H14=3,0)</f>
        <v>1</v>
      </c>
      <c r="Q14" s="56" t="s">
        <v>95</v>
      </c>
      <c r="R14">
        <v>38</v>
      </c>
      <c r="S14">
        <v>66</v>
      </c>
      <c r="T14" s="60">
        <v>1.736842105263158</v>
      </c>
    </row>
    <row r="15" spans="1:20" x14ac:dyDescent="0.2">
      <c r="A15">
        <v>14</v>
      </c>
      <c r="B15" s="1">
        <v>43800</v>
      </c>
      <c r="C15" t="str">
        <v>Manchester United FC</v>
      </c>
      <c r="D15">
        <v>2</v>
      </c>
      <c r="E15" t="str">
        <v>Aston Villa FC</v>
      </c>
      <c r="F15">
        <v>2</v>
      </c>
      <c r="H15" s="59" cm="1">
        <f t="array" ref="H15">_xlfn.IFS(AND(C15=$N$18,D15&gt;F15),3,AND(E15=$N$18,F15&gt;D15),3,AND(C15=$N$18,D15=F15),1,AND(E15=$N$18,D15=F15),1,AND(C15=$N$18,D15&lt;F15),0,AND(E15=$N$18,F15&lt;D15),0)</f>
        <v>1</v>
      </c>
      <c r="I15">
        <f t="shared" si="0"/>
        <v>0</v>
      </c>
      <c r="J15" s="59">
        <f t="shared" si="1"/>
        <v>0</v>
      </c>
      <c r="K15" cm="1">
        <f t="array" ref="K15">_xlfn.IFS(H15=3,1+K14,H15=1,1+K14,H15=0,0)</f>
        <v>3</v>
      </c>
      <c r="L15" cm="1">
        <f t="array" ref="L15">_xlfn.IFS(H15=0,1+L14,H15=1,1+L14,H15=3,0)</f>
        <v>2</v>
      </c>
    </row>
    <row r="16" spans="1:20" x14ac:dyDescent="0.2">
      <c r="A16">
        <v>15</v>
      </c>
      <c r="B16" s="1">
        <v>43803</v>
      </c>
      <c r="C16" t="str">
        <v>Manchester United FC</v>
      </c>
      <c r="D16">
        <v>2</v>
      </c>
      <c r="E16" t="str">
        <v>Tottenham Hotspur FC</v>
      </c>
      <c r="F16">
        <v>1</v>
      </c>
      <c r="H16" s="59" cm="1">
        <f t="array" ref="H16">_xlfn.IFS(AND(C16=$N$18,D16&gt;F16),3,AND(E16=$N$18,F16&gt;D16),3,AND(C16=$N$18,D16=F16),1,AND(E16=$N$18,D16=F16),1,AND(C16=$N$18,D16&lt;F16),0,AND(E16=$N$18,F16&lt;D16),0)</f>
        <v>3</v>
      </c>
      <c r="I16">
        <f t="shared" si="0"/>
        <v>1</v>
      </c>
      <c r="J16" s="59">
        <f t="shared" si="1"/>
        <v>0</v>
      </c>
      <c r="K16" cm="1">
        <f t="array" ref="K16">_xlfn.IFS(H16=3,1+K15,H16=1,1+K15,H16=0,0)</f>
        <v>4</v>
      </c>
      <c r="L16" cm="1">
        <f t="array" ref="L16">_xlfn.IFS(H16=0,1+L15,H16=1,1+L15,H16=3,0)</f>
        <v>0</v>
      </c>
    </row>
    <row r="17" spans="1:22" x14ac:dyDescent="0.2">
      <c r="A17">
        <v>16</v>
      </c>
      <c r="B17" s="1">
        <v>43806</v>
      </c>
      <c r="C17" t="str">
        <v>Manchester City FC</v>
      </c>
      <c r="D17">
        <v>1</v>
      </c>
      <c r="E17" t="str">
        <v>Manchester United FC</v>
      </c>
      <c r="F17">
        <v>2</v>
      </c>
      <c r="H17" s="59" cm="1">
        <f t="array" ref="H17">_xlfn.IFS(AND(C17=$N$18,D17&gt;F17),3,AND(E17=$N$18,F17&gt;D17),3,AND(C17=$N$18,D17=F17),1,AND(E17=$N$18,D17=F17),1,AND(C17=$N$18,D17&lt;F17),0,AND(E17=$N$18,F17&lt;D17),0)</f>
        <v>3</v>
      </c>
      <c r="I17">
        <f t="shared" si="0"/>
        <v>2</v>
      </c>
      <c r="J17" s="59">
        <f t="shared" si="1"/>
        <v>0</v>
      </c>
      <c r="K17" cm="1">
        <f t="array" ref="K17">_xlfn.IFS(H17=3,1+K16,H17=1,1+K16,H17=0,0)</f>
        <v>5</v>
      </c>
      <c r="L17" cm="1">
        <f t="array" ref="L17">_xlfn.IFS(H17=0,1+L16,H17=1,1+L16,H17=3,0)</f>
        <v>0</v>
      </c>
    </row>
    <row r="18" spans="1:22" x14ac:dyDescent="0.2">
      <c r="A18">
        <v>17</v>
      </c>
      <c r="B18" s="1">
        <v>43814</v>
      </c>
      <c r="C18" t="str">
        <v>Manchester United FC</v>
      </c>
      <c r="D18">
        <v>1</v>
      </c>
      <c r="E18" t="str">
        <v>Everton FC</v>
      </c>
      <c r="F18">
        <v>1</v>
      </c>
      <c r="H18" s="59" cm="1">
        <f t="array" ref="H18">_xlfn.IFS(AND(C18=$N$18,D18&gt;F18),3,AND(E18=$N$18,F18&gt;D18),3,AND(C18=$N$18,D18=F18),1,AND(E18=$N$18,D18=F18),1,AND(C18=$N$18,D18&lt;F18),0,AND(E18=$N$18,F18&lt;D18),0)</f>
        <v>1</v>
      </c>
      <c r="I18">
        <f t="shared" si="0"/>
        <v>0</v>
      </c>
      <c r="J18" s="59">
        <f t="shared" si="1"/>
        <v>0</v>
      </c>
      <c r="K18" cm="1">
        <f t="array" ref="K18">_xlfn.IFS(H18=3,1+K17,H18=1,1+K17,H18=0,0)</f>
        <v>6</v>
      </c>
      <c r="L18" cm="1">
        <f t="array" ref="L18">_xlfn.IFS(H18=0,1+L17,H18=1,1+L17,H18=3,0)</f>
        <v>1</v>
      </c>
      <c r="N18" s="14" t="str">
        <f>C2</f>
        <v>Manchester United FC</v>
      </c>
      <c r="O18" s="9" t="s">
        <v>12</v>
      </c>
      <c r="P18" s="7" t="s">
        <v>13</v>
      </c>
      <c r="Q18" s="6" t="s">
        <v>14</v>
      </c>
      <c r="R18" s="8" t="s">
        <v>15</v>
      </c>
      <c r="S18" s="9" t="s">
        <v>16</v>
      </c>
      <c r="T18" s="9" t="s">
        <v>17</v>
      </c>
      <c r="U18" s="9" t="s">
        <v>18</v>
      </c>
      <c r="V18" s="9" t="s">
        <v>19</v>
      </c>
    </row>
    <row r="19" spans="1:22" x14ac:dyDescent="0.2">
      <c r="A19">
        <v>18</v>
      </c>
      <c r="B19" s="1">
        <v>43821</v>
      </c>
      <c r="C19" t="str">
        <v>Watford FC</v>
      </c>
      <c r="D19">
        <v>2</v>
      </c>
      <c r="E19" t="str">
        <v>Manchester United FC</v>
      </c>
      <c r="F19">
        <v>0</v>
      </c>
      <c r="H19" s="59" cm="1">
        <f t="array" ref="H19">_xlfn.IFS(AND(C19=$N$18,D19&gt;F19),3,AND(E19=$N$18,F19&gt;D19),3,AND(C19=$N$18,D19=F19),1,AND(E19=$N$18,D19=F19),1,AND(C19=$N$18,D19&lt;F19),0,AND(E19=$N$18,F19&lt;D19),0)</f>
        <v>0</v>
      </c>
      <c r="I19">
        <f t="shared" si="0"/>
        <v>0</v>
      </c>
      <c r="J19" s="59">
        <f t="shared" si="1"/>
        <v>1</v>
      </c>
      <c r="K19" cm="1">
        <f t="array" ref="K19">_xlfn.IFS(H19=3,1+K18,H19=1,1+K18,H19=0,0)</f>
        <v>0</v>
      </c>
      <c r="L19" cm="1">
        <f t="array" ref="L19">_xlfn.IFS(H19=0,1+L18,H19=1,1+L18,H19=3,0)</f>
        <v>2</v>
      </c>
      <c r="N19" s="10" t="s">
        <v>22</v>
      </c>
      <c r="O19" s="11">
        <f>COUNT(A2:A39)</f>
        <v>38</v>
      </c>
      <c r="P19" s="5" cm="1">
        <f t="array" ref="P19">SUMPRODUCT(((C2:C39=$N$18)*(D2:D39&gt;F2:F39))+((E2:E39=$N$18)*(F2:F39&gt;D2:D39)))</f>
        <v>18</v>
      </c>
      <c r="Q19" s="12" cm="1">
        <f t="array" ref="Q19">SUMPRODUCT(((C2:C39=$N$18)*(D2:D39=F2:F39))+((E2:E39=$N$18)*(F2:F39=D2:D39)))</f>
        <v>12</v>
      </c>
      <c r="R19" s="13" cm="1">
        <f t="array" ref="R19">SUMPRODUCT(((C2:C39=$N$18)*(D2:D39&lt;F2:F39))+((E2:E39=$N$18)*(F2:F39&lt;D2:D39)))</f>
        <v>8</v>
      </c>
      <c r="S19" s="11">
        <f>SUMIF(C2:C39,N18,D2:D39)+SUMIF(E2:E39,N18,F2:F39)</f>
        <v>66</v>
      </c>
      <c r="T19" s="11">
        <f>SUMIF(C2:C39,N18,F2:F39)+SUMIF(E2:E39,N18,D2:D39)</f>
        <v>36</v>
      </c>
      <c r="U19" s="11">
        <f>S19-T19</f>
        <v>30</v>
      </c>
      <c r="V19" s="11">
        <f>V20+V21</f>
        <v>66</v>
      </c>
    </row>
    <row r="20" spans="1:22" x14ac:dyDescent="0.2">
      <c r="A20">
        <v>19</v>
      </c>
      <c r="B20" s="1">
        <v>43825</v>
      </c>
      <c r="C20" t="str">
        <v>Manchester United FC</v>
      </c>
      <c r="D20">
        <v>4</v>
      </c>
      <c r="E20" t="str">
        <v>Newcastle United FC</v>
      </c>
      <c r="F20">
        <v>1</v>
      </c>
      <c r="H20" s="59" cm="1">
        <f t="array" ref="H20">_xlfn.IFS(AND(C20=$N$18,D20&gt;F20),3,AND(E20=$N$18,F20&gt;D20),3,AND(C20=$N$18,D20=F20),1,AND(E20=$N$18,D20=F20),1,AND(C20=$N$18,D20&lt;F20),0,AND(E20=$N$18,F20&lt;D20),0)</f>
        <v>3</v>
      </c>
      <c r="I20">
        <f t="shared" si="0"/>
        <v>1</v>
      </c>
      <c r="J20" s="59">
        <f t="shared" si="1"/>
        <v>0</v>
      </c>
      <c r="K20" cm="1">
        <f t="array" ref="K20">_xlfn.IFS(H20=3,1+K19,H20=1,1+K19,H20=0,0)</f>
        <v>1</v>
      </c>
      <c r="L20" cm="1">
        <f t="array" ref="L20">_xlfn.IFS(H20=0,1+L19,H20=1,1+L19,H20=3,0)</f>
        <v>0</v>
      </c>
      <c r="N20" s="10" t="s">
        <v>2</v>
      </c>
      <c r="O20" s="11">
        <f>COUNTIF(C2:C39,C2)</f>
        <v>19</v>
      </c>
      <c r="P20" s="20" cm="1">
        <f t="array" ref="P20">SUMPRODUCT(((C2:C39=$N$18)*(D2:D39&gt;F2:F39)))</f>
        <v>10</v>
      </c>
      <c r="Q20" s="12" cm="1">
        <f t="array" ref="Q20">SUMPRODUCT(((C2:C39=$N$18)*(D2:D39=F2:F39)))</f>
        <v>7</v>
      </c>
      <c r="R20" s="13" cm="1">
        <f t="array" ref="R20">SUMPRODUCT(((C2:C39=$N$18)*(D2:D39&lt;F2:F39)))</f>
        <v>2</v>
      </c>
      <c r="S20" s="11">
        <f>SUMIF(C2:C39,N18,D2:D39)</f>
        <v>40</v>
      </c>
      <c r="T20" s="11">
        <f>SUMIF(C2:C39,N18,F2:F39)</f>
        <v>17</v>
      </c>
      <c r="U20" s="11">
        <f>S20-T20</f>
        <v>23</v>
      </c>
      <c r="V20" s="11">
        <f>(P20*3)+Q20</f>
        <v>37</v>
      </c>
    </row>
    <row r="21" spans="1:22" x14ac:dyDescent="0.2">
      <c r="A21">
        <v>20</v>
      </c>
      <c r="B21" s="1">
        <v>43827</v>
      </c>
      <c r="C21" t="str">
        <v>Burnley FC</v>
      </c>
      <c r="D21">
        <v>0</v>
      </c>
      <c r="E21" t="str">
        <v>Manchester United FC</v>
      </c>
      <c r="F21">
        <v>2</v>
      </c>
      <c r="H21" s="59" cm="1">
        <f t="array" ref="H21">_xlfn.IFS(AND(C21=$N$18,D21&gt;F21),3,AND(E21=$N$18,F21&gt;D21),3,AND(C21=$N$18,D21=F21),1,AND(E21=$N$18,D21=F21),1,AND(C21=$N$18,D21&lt;F21),0,AND(E21=$N$18,F21&lt;D21),0)</f>
        <v>3</v>
      </c>
      <c r="I21">
        <f t="shared" si="0"/>
        <v>2</v>
      </c>
      <c r="J21" s="59">
        <f t="shared" si="1"/>
        <v>0</v>
      </c>
      <c r="K21" cm="1">
        <f t="array" ref="K21">_xlfn.IFS(H21=3,1+K20,H21=1,1+K20,H21=0,0)</f>
        <v>2</v>
      </c>
      <c r="L21" cm="1">
        <f t="array" ref="L21">_xlfn.IFS(H21=0,1+L20,H21=1,1+L20,H21=3,0)</f>
        <v>0</v>
      </c>
      <c r="N21" s="10" t="s">
        <v>4</v>
      </c>
      <c r="O21" s="11">
        <f>COUNTIF(E2:E39,E3)</f>
        <v>19</v>
      </c>
      <c r="P21" s="5" cm="1">
        <f t="array" ref="P21">SUMPRODUCT(((E2:E39=$N$18)*(F2:F39&gt;D2:D39)))</f>
        <v>8</v>
      </c>
      <c r="Q21" s="12" cm="1">
        <f t="array" ref="Q21">SUMPRODUCT(((E2:E39=$N$18)*(F2:F39=D2:D39)))</f>
        <v>5</v>
      </c>
      <c r="R21" s="13" cm="1">
        <f t="array" ref="R21">SUMPRODUCT(((E2:E39=$N$18)*(F2:F39&lt;D2:D39)))</f>
        <v>6</v>
      </c>
      <c r="S21" s="11">
        <f>SUMIF(E2:E39,N18,F2:F39)</f>
        <v>26</v>
      </c>
      <c r="T21" s="11">
        <f>SUMIF(E2:E39,N18,D2:D39)</f>
        <v>19</v>
      </c>
      <c r="U21" s="11">
        <f>S21-T21</f>
        <v>7</v>
      </c>
      <c r="V21" s="11">
        <f>(P21*3)+Q21</f>
        <v>29</v>
      </c>
    </row>
    <row r="22" spans="1:22" x14ac:dyDescent="0.2">
      <c r="A22">
        <v>21</v>
      </c>
      <c r="B22" s="1">
        <v>43831</v>
      </c>
      <c r="C22" t="str">
        <v>Arsenal FC</v>
      </c>
      <c r="D22">
        <v>2</v>
      </c>
      <c r="E22" t="str">
        <v>Manchester United FC</v>
      </c>
      <c r="F22">
        <v>0</v>
      </c>
      <c r="H22" s="59" cm="1">
        <f t="array" ref="H22">_xlfn.IFS(AND(C22=$N$18,D22&gt;F22),3,AND(E22=$N$18,F22&gt;D22),3,AND(C22=$N$18,D22=F22),1,AND(E22=$N$18,D22=F22),1,AND(C22=$N$18,D22&lt;F22),0,AND(E22=$N$18,F22&lt;D22),0)</f>
        <v>0</v>
      </c>
      <c r="I22">
        <f t="shared" si="0"/>
        <v>0</v>
      </c>
      <c r="J22" s="59">
        <f t="shared" si="1"/>
        <v>1</v>
      </c>
      <c r="K22" cm="1">
        <f t="array" ref="K22">_xlfn.IFS(H22=3,1+K21,H22=1,1+K21,H22=0,0)</f>
        <v>0</v>
      </c>
      <c r="L22" cm="1">
        <f t="array" ref="L22">_xlfn.IFS(H22=0,1+L21,H22=1,1+L21,H22=3,0)</f>
        <v>1</v>
      </c>
    </row>
    <row r="23" spans="1:22" x14ac:dyDescent="0.2">
      <c r="A23">
        <v>22</v>
      </c>
      <c r="B23" s="1">
        <v>43841</v>
      </c>
      <c r="C23" t="str">
        <v>Manchester United FC</v>
      </c>
      <c r="D23">
        <v>4</v>
      </c>
      <c r="E23" t="str">
        <v>Norwich City FC</v>
      </c>
      <c r="F23">
        <v>0</v>
      </c>
      <c r="H23" s="59" cm="1">
        <f t="array" ref="H23">_xlfn.IFS(AND(C23=$N$18,D23&gt;F23),3,AND(E23=$N$18,F23&gt;D23),3,AND(C23=$N$18,D23=F23),1,AND(E23=$N$18,D23=F23),1,AND(C23=$N$18,D23&lt;F23),0,AND(E23=$N$18,F23&lt;D23),0)</f>
        <v>3</v>
      </c>
      <c r="I23">
        <f t="shared" si="0"/>
        <v>1</v>
      </c>
      <c r="J23" s="59">
        <f t="shared" si="1"/>
        <v>0</v>
      </c>
      <c r="K23" cm="1">
        <f t="array" ref="K23">_xlfn.IFS(H23=3,1+K22,H23=1,1+K22,H23=0,0)</f>
        <v>1</v>
      </c>
      <c r="L23" cm="1">
        <f t="array" ref="L23">_xlfn.IFS(H23=0,1+L22,H23=1,1+L22,H23=3,0)</f>
        <v>0</v>
      </c>
    </row>
    <row r="24" spans="1:22" x14ac:dyDescent="0.2">
      <c r="A24">
        <v>23</v>
      </c>
      <c r="B24" s="1">
        <v>43849</v>
      </c>
      <c r="C24" t="str">
        <v>Liverpool FC</v>
      </c>
      <c r="D24">
        <v>2</v>
      </c>
      <c r="E24" t="str">
        <v>Manchester United FC</v>
      </c>
      <c r="F24">
        <v>0</v>
      </c>
      <c r="H24" s="59" cm="1">
        <f t="array" ref="H24">_xlfn.IFS(AND(C24=$N$18,D24&gt;F24),3,AND(E24=$N$18,F24&gt;D24),3,AND(C24=$N$18,D24=F24),1,AND(E24=$N$18,D24=F24),1,AND(C24=$N$18,D24&lt;F24),0,AND(E24=$N$18,F24&lt;D24),0)</f>
        <v>0</v>
      </c>
      <c r="I24">
        <f t="shared" si="0"/>
        <v>0</v>
      </c>
      <c r="J24" s="59">
        <f t="shared" si="1"/>
        <v>1</v>
      </c>
      <c r="K24" cm="1">
        <f t="array" ref="K24">_xlfn.IFS(H24=3,1+K23,H24=1,1+K23,H24=0,0)</f>
        <v>0</v>
      </c>
      <c r="L24" cm="1">
        <f t="array" ref="L24">_xlfn.IFS(H24=0,1+L23,H24=1,1+L23,H24=3,0)</f>
        <v>1</v>
      </c>
    </row>
    <row r="25" spans="1:22" x14ac:dyDescent="0.2">
      <c r="A25">
        <v>24</v>
      </c>
      <c r="B25" s="1">
        <v>43852</v>
      </c>
      <c r="C25" t="str">
        <v>Manchester United FC</v>
      </c>
      <c r="D25">
        <v>0</v>
      </c>
      <c r="E25" t="str">
        <v>Burnley FC</v>
      </c>
      <c r="F25">
        <v>2</v>
      </c>
      <c r="H25" s="59" cm="1">
        <f t="array" ref="H25">_xlfn.IFS(AND(C25=$N$18,D25&gt;F25),3,AND(E25=$N$18,F25&gt;D25),3,AND(C25=$N$18,D25=F25),1,AND(E25=$N$18,D25=F25),1,AND(C25=$N$18,D25&lt;F25),0,AND(E25=$N$18,F25&lt;D25),0)</f>
        <v>0</v>
      </c>
      <c r="I25">
        <f t="shared" si="0"/>
        <v>0</v>
      </c>
      <c r="J25" s="59">
        <f t="shared" si="1"/>
        <v>2</v>
      </c>
      <c r="K25" cm="1">
        <f t="array" ref="K25">_xlfn.IFS(H25=3,1+K24,H25=1,1+K24,H25=0,0)</f>
        <v>0</v>
      </c>
      <c r="L25" cm="1">
        <f t="array" ref="L25">_xlfn.IFS(H25=0,1+L24,H25=1,1+L24,H25=3,0)</f>
        <v>2</v>
      </c>
    </row>
    <row r="26" spans="1:22" x14ac:dyDescent="0.2">
      <c r="A26">
        <v>25</v>
      </c>
      <c r="B26" s="1">
        <v>43862</v>
      </c>
      <c r="C26" t="str">
        <v>Manchester United FC</v>
      </c>
      <c r="D26">
        <v>0</v>
      </c>
      <c r="E26" t="str">
        <v>Wolverhampton Wanderers FC</v>
      </c>
      <c r="F26">
        <v>0</v>
      </c>
      <c r="H26" s="59" cm="1">
        <f t="array" ref="H26">_xlfn.IFS(AND(C26=$N$18,D26&gt;F26),3,AND(E26=$N$18,F26&gt;D26),3,AND(C26=$N$18,D26=F26),1,AND(E26=$N$18,D26=F26),1,AND(C26=$N$18,D26&lt;F26),0,AND(E26=$N$18,F26&lt;D26),0)</f>
        <v>1</v>
      </c>
      <c r="I26">
        <f t="shared" si="0"/>
        <v>0</v>
      </c>
      <c r="J26" s="59">
        <f t="shared" si="1"/>
        <v>0</v>
      </c>
      <c r="K26" cm="1">
        <f t="array" ref="K26">_xlfn.IFS(H26=3,1+K25,H26=1,1+K25,H26=0,0)</f>
        <v>1</v>
      </c>
      <c r="L26" cm="1">
        <f t="array" ref="L26">_xlfn.IFS(H26=0,1+L25,H26=1,1+L25,H26=3,0)</f>
        <v>3</v>
      </c>
    </row>
    <row r="27" spans="1:22" x14ac:dyDescent="0.2">
      <c r="A27">
        <v>26</v>
      </c>
      <c r="B27" s="1">
        <v>43878</v>
      </c>
      <c r="C27" t="str">
        <v>Chelsea FC</v>
      </c>
      <c r="D27">
        <v>0</v>
      </c>
      <c r="E27" t="str">
        <v>Manchester United FC</v>
      </c>
      <c r="F27">
        <v>2</v>
      </c>
      <c r="H27" s="59" cm="1">
        <f t="array" ref="H27">_xlfn.IFS(AND(C27=$N$18,D27&gt;F27),3,AND(E27=$N$18,F27&gt;D27),3,AND(C27=$N$18,D27=F27),1,AND(E27=$N$18,D27=F27),1,AND(C27=$N$18,D27&lt;F27),0,AND(E27=$N$18,F27&lt;D27),0)</f>
        <v>3</v>
      </c>
      <c r="I27">
        <f t="shared" si="0"/>
        <v>1</v>
      </c>
      <c r="J27" s="59">
        <f t="shared" si="1"/>
        <v>0</v>
      </c>
      <c r="K27" cm="1">
        <f t="array" ref="K27">_xlfn.IFS(H27=3,1+K26,H27=1,1+K26,H27=0,0)</f>
        <v>2</v>
      </c>
      <c r="L27" cm="1">
        <f t="array" ref="L27">_xlfn.IFS(H27=0,1+L26,H27=1,1+L26,H27=3,0)</f>
        <v>0</v>
      </c>
    </row>
    <row r="28" spans="1:22" x14ac:dyDescent="0.2">
      <c r="A28">
        <v>27</v>
      </c>
      <c r="B28" s="1">
        <v>43884</v>
      </c>
      <c r="C28" t="str">
        <v>Manchester United FC</v>
      </c>
      <c r="D28">
        <v>3</v>
      </c>
      <c r="E28" t="str">
        <v>Watford FC</v>
      </c>
      <c r="F28">
        <v>0</v>
      </c>
      <c r="H28" s="59" cm="1">
        <f t="array" ref="H28">_xlfn.IFS(AND(C28=$N$18,D28&gt;F28),3,AND(E28=$N$18,F28&gt;D28),3,AND(C28=$N$18,D28=F28),1,AND(E28=$N$18,D28=F28),1,AND(C28=$N$18,D28&lt;F28),0,AND(E28=$N$18,F28&lt;D28),0)</f>
        <v>3</v>
      </c>
      <c r="I28">
        <f t="shared" si="0"/>
        <v>2</v>
      </c>
      <c r="J28" s="59">
        <f t="shared" si="1"/>
        <v>0</v>
      </c>
      <c r="K28" cm="1">
        <f t="array" ref="K28">_xlfn.IFS(H28=3,1+K27,H28=1,1+K27,H28=0,0)</f>
        <v>3</v>
      </c>
      <c r="L28" cm="1">
        <f t="array" ref="L28">_xlfn.IFS(H28=0,1+L27,H28=1,1+L27,H28=3,0)</f>
        <v>0</v>
      </c>
    </row>
    <row r="29" spans="1:22" x14ac:dyDescent="0.2">
      <c r="A29">
        <v>28</v>
      </c>
      <c r="B29" s="1">
        <v>43891</v>
      </c>
      <c r="C29" t="str">
        <v>Everton FC</v>
      </c>
      <c r="D29">
        <v>1</v>
      </c>
      <c r="E29" t="str">
        <v>Manchester United FC</v>
      </c>
      <c r="F29">
        <v>1</v>
      </c>
      <c r="H29" s="59" cm="1">
        <f t="array" ref="H29">_xlfn.IFS(AND(C29=$N$18,D29&gt;F29),3,AND(E29=$N$18,F29&gt;D29),3,AND(C29=$N$18,D29=F29),1,AND(E29=$N$18,D29=F29),1,AND(C29=$N$18,D29&lt;F29),0,AND(E29=$N$18,F29&lt;D29),0)</f>
        <v>1</v>
      </c>
      <c r="I29">
        <f t="shared" si="0"/>
        <v>0</v>
      </c>
      <c r="J29" s="59">
        <f t="shared" si="1"/>
        <v>0</v>
      </c>
      <c r="K29" cm="1">
        <f t="array" ref="K29">_xlfn.IFS(H29=3,1+K28,H29=1,1+K28,H29=0,0)</f>
        <v>4</v>
      </c>
      <c r="L29" cm="1">
        <f t="array" ref="L29">_xlfn.IFS(H29=0,1+L28,H29=1,1+L28,H29=3,0)</f>
        <v>1</v>
      </c>
    </row>
    <row r="30" spans="1:22" x14ac:dyDescent="0.2">
      <c r="A30">
        <v>29</v>
      </c>
      <c r="B30" s="1">
        <v>43898</v>
      </c>
      <c r="C30" t="str">
        <v>Manchester United FC</v>
      </c>
      <c r="D30">
        <v>2</v>
      </c>
      <c r="E30" t="str">
        <v>Manchester City FC</v>
      </c>
      <c r="F30">
        <v>0</v>
      </c>
      <c r="H30" s="59" cm="1">
        <f t="array" ref="H30">_xlfn.IFS(AND(C30=$N$18,D30&gt;F30),3,AND(E30=$N$18,F30&gt;D30),3,AND(C30=$N$18,D30=F30),1,AND(E30=$N$18,D30=F30),1,AND(C30=$N$18,D30&lt;F30),0,AND(E30=$N$18,F30&lt;D30),0)</f>
        <v>3</v>
      </c>
      <c r="I30">
        <f t="shared" si="0"/>
        <v>1</v>
      </c>
      <c r="J30" s="59">
        <f t="shared" si="1"/>
        <v>0</v>
      </c>
      <c r="K30" cm="1">
        <f t="array" ref="K30">_xlfn.IFS(H30=3,1+K29,H30=1,1+K29,H30=0,0)</f>
        <v>5</v>
      </c>
      <c r="L30" cm="1">
        <f t="array" ref="L30">_xlfn.IFS(H30=0,1+L29,H30=1,1+L29,H30=3,0)</f>
        <v>0</v>
      </c>
    </row>
    <row r="31" spans="1:22" x14ac:dyDescent="0.2">
      <c r="A31">
        <v>30</v>
      </c>
      <c r="B31" s="1">
        <v>44001</v>
      </c>
      <c r="C31" t="str">
        <v>Tottenham Hotspur FC</v>
      </c>
      <c r="D31">
        <v>1</v>
      </c>
      <c r="E31" t="str">
        <v>Manchester United FC</v>
      </c>
      <c r="F31">
        <v>1</v>
      </c>
      <c r="H31" s="59" cm="1">
        <f t="array" ref="H31">_xlfn.IFS(AND(C31=$N$18,D31&gt;F31),3,AND(E31=$N$18,F31&gt;D31),3,AND(C31=$N$18,D31=F31),1,AND(E31=$N$18,D31=F31),1,AND(C31=$N$18,D31&lt;F31),0,AND(E31=$N$18,F31&lt;D31),0)</f>
        <v>1</v>
      </c>
      <c r="I31">
        <f t="shared" si="0"/>
        <v>0</v>
      </c>
      <c r="J31" s="59">
        <f t="shared" si="1"/>
        <v>0</v>
      </c>
      <c r="K31" cm="1">
        <f t="array" ref="K31">_xlfn.IFS(H31=3,1+K30,H31=1,1+K30,H31=0,0)</f>
        <v>6</v>
      </c>
      <c r="L31" cm="1">
        <f t="array" ref="L31">_xlfn.IFS(H31=0,1+L30,H31=1,1+L30,H31=3,0)</f>
        <v>1</v>
      </c>
    </row>
    <row r="32" spans="1:22" x14ac:dyDescent="0.2">
      <c r="A32">
        <v>31</v>
      </c>
      <c r="B32" s="1">
        <v>44006</v>
      </c>
      <c r="C32" t="str">
        <v>Manchester United FC</v>
      </c>
      <c r="D32">
        <v>3</v>
      </c>
      <c r="E32" t="str">
        <v>Sheffield United FC</v>
      </c>
      <c r="F32">
        <v>0</v>
      </c>
      <c r="H32" s="59" cm="1">
        <f t="array" ref="H32">_xlfn.IFS(AND(C32=$N$18,D32&gt;F32),3,AND(E32=$N$18,F32&gt;D32),3,AND(C32=$N$18,D32=F32),1,AND(E32=$N$18,D32=F32),1,AND(C32=$N$18,D32&lt;F32),0,AND(E32=$N$18,F32&lt;D32),0)</f>
        <v>3</v>
      </c>
      <c r="I32">
        <f t="shared" si="0"/>
        <v>1</v>
      </c>
      <c r="J32" s="59">
        <f t="shared" si="1"/>
        <v>0</v>
      </c>
      <c r="K32" cm="1">
        <f t="array" ref="K32">_xlfn.IFS(H32=3,1+K31,H32=1,1+K31,H32=0,0)</f>
        <v>7</v>
      </c>
      <c r="L32" cm="1">
        <f t="array" ref="L32">_xlfn.IFS(H32=0,1+L31,H32=1,1+L31,H32=3,0)</f>
        <v>0</v>
      </c>
    </row>
    <row r="33" spans="1:12" x14ac:dyDescent="0.2">
      <c r="A33">
        <v>32</v>
      </c>
      <c r="B33" s="1">
        <v>44012</v>
      </c>
      <c r="C33" t="str">
        <v>Brighton &amp; Hove Albion FC</v>
      </c>
      <c r="D33">
        <v>0</v>
      </c>
      <c r="E33" t="str">
        <v>Manchester United FC</v>
      </c>
      <c r="F33">
        <v>3</v>
      </c>
      <c r="H33" s="59" cm="1">
        <f t="array" ref="H33">_xlfn.IFS(AND(C33=$N$18,D33&gt;F33),3,AND(E33=$N$18,F33&gt;D33),3,AND(C33=$N$18,D33=F33),1,AND(E33=$N$18,D33=F33),1,AND(C33=$N$18,D33&lt;F33),0,AND(E33=$N$18,F33&lt;D33),0)</f>
        <v>3</v>
      </c>
      <c r="I33">
        <f t="shared" si="0"/>
        <v>2</v>
      </c>
      <c r="J33" s="59">
        <f t="shared" si="1"/>
        <v>0</v>
      </c>
      <c r="K33" cm="1">
        <f t="array" ref="K33">_xlfn.IFS(H33=3,1+K32,H33=1,1+K32,H33=0,0)</f>
        <v>8</v>
      </c>
      <c r="L33" cm="1">
        <f t="array" ref="L33">_xlfn.IFS(H33=0,1+L32,H33=1,1+L32,H33=3,0)</f>
        <v>0</v>
      </c>
    </row>
    <row r="34" spans="1:12" x14ac:dyDescent="0.2">
      <c r="A34">
        <v>33</v>
      </c>
      <c r="B34" s="1">
        <v>44016</v>
      </c>
      <c r="C34" t="str">
        <v>Manchester United FC</v>
      </c>
      <c r="D34">
        <v>5</v>
      </c>
      <c r="E34" t="str">
        <v>AFC Bournemouth</v>
      </c>
      <c r="F34">
        <v>2</v>
      </c>
      <c r="H34" s="59" cm="1">
        <f t="array" ref="H34">_xlfn.IFS(AND(C34=$N$18,D34&gt;F34),3,AND(E34=$N$18,F34&gt;D34),3,AND(C34=$N$18,D34=F34),1,AND(E34=$N$18,D34=F34),1,AND(C34=$N$18,D34&lt;F34),0,AND(E34=$N$18,F34&lt;D34),0)</f>
        <v>3</v>
      </c>
      <c r="I34">
        <f t="shared" si="0"/>
        <v>3</v>
      </c>
      <c r="J34" s="59">
        <f t="shared" si="1"/>
        <v>0</v>
      </c>
      <c r="K34" cm="1">
        <f t="array" ref="K34">_xlfn.IFS(H34=3,1+K33,H34=1,1+K33,H34=0,0)</f>
        <v>9</v>
      </c>
      <c r="L34" cm="1">
        <f t="array" ref="L34">_xlfn.IFS(H34=0,1+L33,H34=1,1+L33,H34=3,0)</f>
        <v>0</v>
      </c>
    </row>
    <row r="35" spans="1:12" x14ac:dyDescent="0.2">
      <c r="A35">
        <v>34</v>
      </c>
      <c r="B35" s="1">
        <v>44021</v>
      </c>
      <c r="C35" t="str">
        <v>Aston Villa FC</v>
      </c>
      <c r="D35">
        <v>0</v>
      </c>
      <c r="E35" t="str">
        <v>Manchester United FC</v>
      </c>
      <c r="F35">
        <v>3</v>
      </c>
      <c r="H35" s="59" cm="1">
        <f t="array" ref="H35">_xlfn.IFS(AND(C35=$N$18,D35&gt;F35),3,AND(E35=$N$18,F35&gt;D35),3,AND(C35=$N$18,D35=F35),1,AND(E35=$N$18,D35=F35),1,AND(C35=$N$18,D35&lt;F35),0,AND(E35=$N$18,F35&lt;D35),0)</f>
        <v>3</v>
      </c>
      <c r="I35">
        <f t="shared" si="0"/>
        <v>4</v>
      </c>
      <c r="J35" s="59">
        <f t="shared" si="1"/>
        <v>0</v>
      </c>
      <c r="K35" cm="1">
        <f t="array" ref="K35">_xlfn.IFS(H35=3,1+K34,H35=1,1+K34,H35=0,0)</f>
        <v>10</v>
      </c>
      <c r="L35" cm="1">
        <f t="array" ref="L35">_xlfn.IFS(H35=0,1+L34,H35=1,1+L34,H35=3,0)</f>
        <v>0</v>
      </c>
    </row>
    <row r="36" spans="1:12" x14ac:dyDescent="0.2">
      <c r="A36">
        <v>35</v>
      </c>
      <c r="B36" s="1">
        <v>44025</v>
      </c>
      <c r="C36" t="str">
        <v>Manchester United FC</v>
      </c>
      <c r="D36">
        <v>2</v>
      </c>
      <c r="E36" t="str">
        <v>Southampton FC</v>
      </c>
      <c r="F36">
        <v>2</v>
      </c>
      <c r="H36" s="59" cm="1">
        <f t="array" ref="H36">_xlfn.IFS(AND(C36=$N$18,D36&gt;F36),3,AND(E36=$N$18,F36&gt;D36),3,AND(C36=$N$18,D36=F36),1,AND(E36=$N$18,D36=F36),1,AND(C36=$N$18,D36&lt;F36),0,AND(E36=$N$18,F36&lt;D36),0)</f>
        <v>1</v>
      </c>
      <c r="I36">
        <f t="shared" si="0"/>
        <v>0</v>
      </c>
      <c r="J36" s="59">
        <f t="shared" si="1"/>
        <v>0</v>
      </c>
      <c r="K36" cm="1">
        <f t="array" ref="K36">_xlfn.IFS(H36=3,1+K35,H36=1,1+K35,H36=0,0)</f>
        <v>11</v>
      </c>
      <c r="L36" cm="1">
        <f t="array" ref="L36">_xlfn.IFS(H36=0,1+L35,H36=1,1+L35,H36=3,0)</f>
        <v>1</v>
      </c>
    </row>
    <row r="37" spans="1:12" x14ac:dyDescent="0.2">
      <c r="A37">
        <v>36</v>
      </c>
      <c r="B37" s="1">
        <v>44028</v>
      </c>
      <c r="C37" t="str">
        <v>Crystal Palace FC</v>
      </c>
      <c r="D37">
        <v>0</v>
      </c>
      <c r="E37" t="str">
        <v>Manchester United FC</v>
      </c>
      <c r="F37">
        <v>2</v>
      </c>
      <c r="H37" s="59" cm="1">
        <f t="array" ref="H37">_xlfn.IFS(AND(C37=$N$18,D37&gt;F37),3,AND(E37=$N$18,F37&gt;D37),3,AND(C37=$N$18,D37=F37),1,AND(E37=$N$18,D37=F37),1,AND(C37=$N$18,D37&lt;F37),0,AND(E37=$N$18,F37&lt;D37),0)</f>
        <v>3</v>
      </c>
      <c r="I37">
        <f t="shared" si="0"/>
        <v>1</v>
      </c>
      <c r="J37" s="59">
        <f t="shared" si="1"/>
        <v>0</v>
      </c>
      <c r="K37" cm="1">
        <f t="array" ref="K37">_xlfn.IFS(H37=3,1+K36,H37=1,1+K36,H37=0,0)</f>
        <v>12</v>
      </c>
      <c r="L37" cm="1">
        <f t="array" ref="L37">_xlfn.IFS(H37=0,1+L36,H37=1,1+L36,H37=3,0)</f>
        <v>0</v>
      </c>
    </row>
    <row r="38" spans="1:12" x14ac:dyDescent="0.2">
      <c r="A38">
        <v>37</v>
      </c>
      <c r="B38" s="1">
        <v>44034</v>
      </c>
      <c r="C38" t="str">
        <v>Manchester United FC</v>
      </c>
      <c r="D38">
        <v>1</v>
      </c>
      <c r="E38" t="str">
        <v>West Ham United FC</v>
      </c>
      <c r="F38">
        <v>1</v>
      </c>
      <c r="H38" s="59" cm="1">
        <f t="array" ref="H38">_xlfn.IFS(AND(C38=$N$18,D38&gt;F38),3,AND(E38=$N$18,F38&gt;D38),3,AND(C38=$N$18,D38=F38),1,AND(E38=$N$18,D38=F38),1,AND(C38=$N$18,D38&lt;F38),0,AND(E38=$N$18,F38&lt;D38),0)</f>
        <v>1</v>
      </c>
      <c r="I38">
        <f t="shared" si="0"/>
        <v>0</v>
      </c>
      <c r="J38" s="59">
        <f t="shared" si="1"/>
        <v>0</v>
      </c>
      <c r="K38" cm="1">
        <f t="array" ref="K38">_xlfn.IFS(H38=3,1+K37,H38=1,1+K37,H38=0,0)</f>
        <v>13</v>
      </c>
      <c r="L38" cm="1">
        <f t="array" ref="L38">_xlfn.IFS(H38=0,1+L37,H38=1,1+L37,H38=3,0)</f>
        <v>1</v>
      </c>
    </row>
    <row r="39" spans="1:12" x14ac:dyDescent="0.2">
      <c r="A39">
        <v>38</v>
      </c>
      <c r="B39" s="1">
        <v>44038</v>
      </c>
      <c r="C39" t="str">
        <v>Leicester City FC</v>
      </c>
      <c r="D39">
        <v>0</v>
      </c>
      <c r="E39" t="str">
        <v>Manchester United FC</v>
      </c>
      <c r="F39">
        <v>2</v>
      </c>
      <c r="H39" s="59" cm="1">
        <f t="array" ref="H39">_xlfn.IFS(AND(C39=$N$18,D39&gt;F39),3,AND(E39=$N$18,F39&gt;D39),3,AND(C39=$N$18,D39=F39),1,AND(E39=$N$18,D39=F39),1,AND(C39=$N$18,D39&lt;F39),0,AND(E39=$N$18,F39&lt;D39),0)</f>
        <v>3</v>
      </c>
      <c r="I39">
        <f t="shared" si="0"/>
        <v>1</v>
      </c>
      <c r="J39" s="59">
        <f t="shared" si="1"/>
        <v>0</v>
      </c>
      <c r="K39" cm="1">
        <f t="array" ref="K39">_xlfn.IFS(H39=3,1+K38,H39=1,1+K38,H39=0,0)</f>
        <v>14</v>
      </c>
      <c r="L39" cm="1">
        <f t="array" ref="L39">_xlfn.IFS(H39=0,1+L38,H39=1,1+L38,H39=3,0)</f>
        <v>0</v>
      </c>
    </row>
  </sheetData>
  <conditionalFormatting sqref="G2:G39">
    <cfRule type="expression" dxfId="65" priority="5">
      <formula>AND($E2=$N$18,$F2&gt;$D2)</formula>
    </cfRule>
  </conditionalFormatting>
  <conditionalFormatting sqref="G2:G39">
    <cfRule type="expression" dxfId="64" priority="4">
      <formula>AND($E2=$N$18,$F2&lt;$D2)</formula>
    </cfRule>
  </conditionalFormatting>
  <conditionalFormatting sqref="G2:G39">
    <cfRule type="expression" dxfId="63" priority="3">
      <formula>$D2=$F2</formula>
    </cfRule>
  </conditionalFormatting>
  <conditionalFormatting sqref="G2:G39">
    <cfRule type="expression" dxfId="62" priority="2">
      <formula>AND($C2=$N$18,$D2&lt;$F2)</formula>
    </cfRule>
  </conditionalFormatting>
  <conditionalFormatting sqref="G2:G39">
    <cfRule type="expression" dxfId="61" priority="1">
      <formula>AND($C2=$N$18,$D2&gt;$F2)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9FE12-2ADA-4B17-965C-F9F080AF5B52}">
  <sheetPr codeName="Sheet15"/>
  <dimension ref="A1:V39"/>
  <sheetViews>
    <sheetView zoomScale="60" zoomScaleNormal="60" workbookViewId="0"/>
  </sheetViews>
  <sheetFormatPr baseColWidth="10" defaultColWidth="8.83203125" defaultRowHeight="15" x14ac:dyDescent="0.2"/>
  <cols>
    <col min="2" max="2" width="10.5" style="1" bestFit="1" customWidth="1"/>
    <col min="3" max="3" width="20.33203125" customWidth="1"/>
    <col min="4" max="4" width="13.5" customWidth="1"/>
    <col min="5" max="5" width="25.33203125" customWidth="1"/>
    <col min="6" max="6" width="12.5" customWidth="1"/>
    <col min="14" max="14" width="13.83203125" bestFit="1" customWidth="1"/>
    <col min="15" max="22" width="10.6640625" customWidth="1"/>
  </cols>
  <sheetData>
    <row r="1" spans="1:20" ht="32" x14ac:dyDescent="0.2">
      <c r="A1" s="67" t="s">
        <v>0</v>
      </c>
      <c r="B1" s="71" t="s">
        <v>1</v>
      </c>
      <c r="C1" s="68" t="s">
        <v>2</v>
      </c>
      <c r="D1" s="68" t="s">
        <v>3</v>
      </c>
      <c r="E1" s="68" t="s">
        <v>4</v>
      </c>
      <c r="F1" s="69" t="s">
        <v>5</v>
      </c>
      <c r="G1" s="70" t="s">
        <v>71</v>
      </c>
      <c r="H1" s="70" t="s">
        <v>19</v>
      </c>
      <c r="I1" s="81" t="s">
        <v>72</v>
      </c>
      <c r="J1" s="81" t="s">
        <v>53</v>
      </c>
      <c r="K1" s="81" t="s">
        <v>55</v>
      </c>
      <c r="L1" s="81" t="s">
        <v>73</v>
      </c>
      <c r="Q1" s="58" t="s">
        <v>74</v>
      </c>
      <c r="R1" t="s">
        <v>75</v>
      </c>
      <c r="S1" t="s">
        <v>76</v>
      </c>
      <c r="T1" s="63" t="s">
        <v>77</v>
      </c>
    </row>
    <row r="2" spans="1:20" x14ac:dyDescent="0.2">
      <c r="A2" cm="1">
        <f t="array" ref="A2:F39">_xlfn._xlws.FILTER(eng_1[],(eng_1[Home]='England 1'!C12)+(eng_1[Away]='England 1'!E10))</f>
        <v>1</v>
      </c>
      <c r="B2" s="1">
        <v>43688</v>
      </c>
      <c r="C2" t="str">
        <v>Newcastle United FC</v>
      </c>
      <c r="D2">
        <v>0</v>
      </c>
      <c r="E2" t="str">
        <v>Arsenal FC</v>
      </c>
      <c r="F2">
        <v>1</v>
      </c>
      <c r="H2" s="59" cm="1">
        <f t="array" ref="H2">_xlfn.IFS(AND(C2=$N$18,D2&gt;F2),3,AND(E2=$N$18,F2&gt;D2),3,AND(C2=$N$18,D2=F2),1,AND(E2=$N$18,D2=F2),1,AND(C2=$N$18,D2&lt;F2),0,AND(E2=$N$18,F2&lt;D2),0)</f>
        <v>3</v>
      </c>
      <c r="I2" cm="1">
        <f t="array" ref="I2">_xlfn.IFS(H2=3,1,H2=1,0,H2=0,0)</f>
        <v>1</v>
      </c>
      <c r="J2" s="59" cm="1">
        <f t="array" ref="J2">_xlfn.IFS(H2=0,1,H2=1,0,H2=3,0)</f>
        <v>0</v>
      </c>
      <c r="K2" cm="1">
        <f t="array" ref="K2">_xlfn.IFS(H2=3,1,H2=1,1,H2=0,0)</f>
        <v>1</v>
      </c>
      <c r="L2" cm="1">
        <f t="array" ref="L2">_xlfn.IFS(H2=0,1,H2=1,1,H2=3,0)</f>
        <v>0</v>
      </c>
      <c r="Q2" s="56" t="s">
        <v>78</v>
      </c>
      <c r="R2">
        <v>20</v>
      </c>
      <c r="S2">
        <v>24</v>
      </c>
      <c r="T2" s="60">
        <v>1.2</v>
      </c>
    </row>
    <row r="3" spans="1:20" x14ac:dyDescent="0.2">
      <c r="A3">
        <v>2</v>
      </c>
      <c r="B3" s="1">
        <v>43694</v>
      </c>
      <c r="C3" t="str">
        <v>Arsenal FC</v>
      </c>
      <c r="D3">
        <v>2</v>
      </c>
      <c r="E3" t="str">
        <v>Burnley FC</v>
      </c>
      <c r="F3">
        <v>1</v>
      </c>
      <c r="H3" s="59" cm="1">
        <f t="array" ref="H3">_xlfn.IFS(AND(C3=$N$18,D3&gt;F3),3,AND(E3=$N$18,F3&gt;D3),3,AND(C3=$N$18,D3=F3),1,AND(E3=$N$18,D3=F3),1,AND(C3=$N$18,D3&lt;F3),0,AND(E3=$N$18,F3&lt;D3),0)</f>
        <v>3</v>
      </c>
      <c r="I3">
        <f t="shared" ref="I3:I39" si="0">IF(H3=3,1+I2,0)</f>
        <v>2</v>
      </c>
      <c r="J3" s="59">
        <f t="shared" ref="J3:J39" si="1">IF(H3=0,1+J2,0)</f>
        <v>0</v>
      </c>
      <c r="K3" cm="1">
        <f t="array" ref="K3">_xlfn.IFS(H3=3,1+K2,H3=1,1+K2,H3=0,0)</f>
        <v>2</v>
      </c>
      <c r="L3" cm="1">
        <f t="array" ref="L3">_xlfn.IFS(H3=0,1+L2,H3=1,1+L2,H3=3,0)</f>
        <v>0</v>
      </c>
      <c r="N3" s="48" t="s">
        <v>79</v>
      </c>
      <c r="O3" s="48" t="s">
        <v>80</v>
      </c>
      <c r="Q3" s="57" t="s">
        <v>81</v>
      </c>
      <c r="R3">
        <v>3</v>
      </c>
      <c r="S3">
        <v>6</v>
      </c>
      <c r="T3" s="60">
        <v>2</v>
      </c>
    </row>
    <row r="4" spans="1:20" x14ac:dyDescent="0.2">
      <c r="A4">
        <v>3</v>
      </c>
      <c r="B4" s="1">
        <v>43701</v>
      </c>
      <c r="C4" t="str">
        <v>Liverpool FC</v>
      </c>
      <c r="D4">
        <v>3</v>
      </c>
      <c r="E4" t="str">
        <v>Arsenal FC</v>
      </c>
      <c r="F4">
        <v>1</v>
      </c>
      <c r="H4" s="59" cm="1">
        <f t="array" ref="H4">_xlfn.IFS(AND(C4=$N$18,D4&gt;F4),3,AND(E4=$N$18,F4&gt;D4),3,AND(C4=$N$18,D4=F4),1,AND(E4=$N$18,D4=F4),1,AND(C4=$N$18,D4&lt;F4),0,AND(E4=$N$18,F4&lt;D4),0)</f>
        <v>0</v>
      </c>
      <c r="I4">
        <f t="shared" si="0"/>
        <v>0</v>
      </c>
      <c r="J4" s="59">
        <f t="shared" si="1"/>
        <v>1</v>
      </c>
      <c r="K4" cm="1">
        <f t="array" ref="K4">_xlfn.IFS(H4=3,1+K3,H4=1,1+K3,H4=0,0)</f>
        <v>0</v>
      </c>
      <c r="L4" cm="1">
        <f t="array" ref="L4">_xlfn.IFS(H4=0,1+L3,H4=1,1+L3,H4=3,0)</f>
        <v>1</v>
      </c>
      <c r="N4" s="49" t="s">
        <v>82</v>
      </c>
      <c r="O4" s="50"/>
      <c r="Q4" s="57" t="s">
        <v>83</v>
      </c>
      <c r="R4">
        <v>4</v>
      </c>
      <c r="S4">
        <v>6</v>
      </c>
      <c r="T4" s="60">
        <v>1.5</v>
      </c>
    </row>
    <row r="5" spans="1:20" x14ac:dyDescent="0.2">
      <c r="A5">
        <v>4</v>
      </c>
      <c r="B5" s="1">
        <v>43709</v>
      </c>
      <c r="C5" t="str">
        <v>Arsenal FC</v>
      </c>
      <c r="D5">
        <v>2</v>
      </c>
      <c r="E5" t="str">
        <v>Tottenham Hotspur FC</v>
      </c>
      <c r="F5">
        <v>2</v>
      </c>
      <c r="H5" s="59" cm="1">
        <f t="array" ref="H5">_xlfn.IFS(AND(C5=$N$18,D5&gt;F5),3,AND(E5=$N$18,F5&gt;D5),3,AND(C5=$N$18,D5=F5),1,AND(E5=$N$18,D5=F5),1,AND(C5=$N$18,D5&lt;F5),0,AND(E5=$N$18,F5&lt;D5),0)</f>
        <v>1</v>
      </c>
      <c r="I5">
        <f t="shared" si="0"/>
        <v>0</v>
      </c>
      <c r="J5" s="59">
        <f t="shared" si="1"/>
        <v>0</v>
      </c>
      <c r="K5" cm="1">
        <f t="array" ref="K5">_xlfn.IFS(H5=3,1+K4,H5=1,1+K4,H5=0,0)</f>
        <v>1</v>
      </c>
      <c r="L5" cm="1">
        <f t="array" ref="L5">_xlfn.IFS(H5=0,1+L4,H5=1,1+L4,H5=3,0)</f>
        <v>2</v>
      </c>
      <c r="N5" s="49" t="s">
        <v>84</v>
      </c>
      <c r="O5" s="51"/>
      <c r="Q5" s="57" t="s">
        <v>85</v>
      </c>
      <c r="R5">
        <v>3</v>
      </c>
      <c r="S5">
        <v>4</v>
      </c>
      <c r="T5" s="60">
        <v>1.3333333333333333</v>
      </c>
    </row>
    <row r="6" spans="1:20" x14ac:dyDescent="0.2">
      <c r="A6">
        <v>5</v>
      </c>
      <c r="B6" s="1">
        <v>43723</v>
      </c>
      <c r="C6" t="str">
        <v>Watford FC</v>
      </c>
      <c r="D6">
        <v>2</v>
      </c>
      <c r="E6" t="str">
        <v>Arsenal FC</v>
      </c>
      <c r="F6">
        <v>2</v>
      </c>
      <c r="H6" s="59" cm="1">
        <f t="array" ref="H6">_xlfn.IFS(AND(C6=$N$18,D6&gt;F6),3,AND(E6=$N$18,F6&gt;D6),3,AND(C6=$N$18,D6=F6),1,AND(E6=$N$18,D6=F6),1,AND(C6=$N$18,D6&lt;F6),0,AND(E6=$N$18,F6&lt;D6),0)</f>
        <v>1</v>
      </c>
      <c r="I6">
        <f t="shared" si="0"/>
        <v>0</v>
      </c>
      <c r="J6" s="59">
        <f t="shared" si="1"/>
        <v>0</v>
      </c>
      <c r="K6" cm="1">
        <f t="array" ref="K6">_xlfn.IFS(H6=3,1+K5,H6=1,1+K5,H6=0,0)</f>
        <v>2</v>
      </c>
      <c r="L6" cm="1">
        <f t="array" ref="L6">_xlfn.IFS(H6=0,1+L5,H6=1,1+L5,H6=3,0)</f>
        <v>3</v>
      </c>
      <c r="N6" s="49" t="s">
        <v>86</v>
      </c>
      <c r="O6" s="52"/>
      <c r="Q6" s="57" t="s">
        <v>87</v>
      </c>
      <c r="R6">
        <v>3</v>
      </c>
      <c r="S6">
        <v>2</v>
      </c>
      <c r="T6" s="60">
        <v>0.66666666666666663</v>
      </c>
    </row>
    <row r="7" spans="1:20" x14ac:dyDescent="0.2">
      <c r="A7">
        <v>6</v>
      </c>
      <c r="B7" s="1">
        <v>43730</v>
      </c>
      <c r="C7" t="str">
        <v>Arsenal FC</v>
      </c>
      <c r="D7">
        <v>3</v>
      </c>
      <c r="E7" t="str">
        <v>Aston Villa FC</v>
      </c>
      <c r="F7">
        <v>2</v>
      </c>
      <c r="H7" s="59" cm="1">
        <f t="array" ref="H7">_xlfn.IFS(AND(C7=$N$18,D7&gt;F7),3,AND(E7=$N$18,F7&gt;D7),3,AND(C7=$N$18,D7=F7),1,AND(E7=$N$18,D7=F7),1,AND(C7=$N$18,D7&lt;F7),0,AND(E7=$N$18,F7&lt;D7),0)</f>
        <v>3</v>
      </c>
      <c r="I7">
        <f t="shared" si="0"/>
        <v>1</v>
      </c>
      <c r="J7" s="59">
        <f t="shared" si="1"/>
        <v>0</v>
      </c>
      <c r="K7" cm="1">
        <f t="array" ref="K7">_xlfn.IFS(H7=3,1+K6,H7=1,1+K6,H7=0,0)</f>
        <v>3</v>
      </c>
      <c r="L7" cm="1">
        <f t="array" ref="L7">_xlfn.IFS(H7=0,1+L6,H7=1,1+L6,H7=3,0)</f>
        <v>0</v>
      </c>
      <c r="Q7" s="57" t="s">
        <v>88</v>
      </c>
      <c r="R7">
        <v>7</v>
      </c>
      <c r="S7">
        <v>6</v>
      </c>
      <c r="T7" s="60">
        <v>0.8571428571428571</v>
      </c>
    </row>
    <row r="8" spans="1:20" x14ac:dyDescent="0.2">
      <c r="A8">
        <v>7</v>
      </c>
      <c r="B8" s="1">
        <v>43738</v>
      </c>
      <c r="C8" t="str">
        <v>Manchester United FC</v>
      </c>
      <c r="D8">
        <v>1</v>
      </c>
      <c r="E8" t="str">
        <v>Arsenal FC</v>
      </c>
      <c r="F8">
        <v>1</v>
      </c>
      <c r="H8" s="59" cm="1">
        <f t="array" ref="H8">_xlfn.IFS(AND(C8=$N$18,D8&gt;F8),3,AND(E8=$N$18,F8&gt;D8),3,AND(C8=$N$18,D8=F8),1,AND(E8=$N$18,D8=F8),1,AND(C8=$N$18,D8&lt;F8),0,AND(E8=$N$18,F8&lt;D8),0)</f>
        <v>1</v>
      </c>
      <c r="I8">
        <f t="shared" si="0"/>
        <v>0</v>
      </c>
      <c r="J8" s="59">
        <f t="shared" si="1"/>
        <v>0</v>
      </c>
      <c r="K8" cm="1">
        <f t="array" ref="K8">_xlfn.IFS(H8=3,1+K7,H8=1,1+K7,H8=0,0)</f>
        <v>4</v>
      </c>
      <c r="L8" cm="1">
        <f t="array" ref="L8">_xlfn.IFS(H8=0,1+L7,H8=1,1+L7,H8=3,0)</f>
        <v>1</v>
      </c>
      <c r="Q8" s="56" t="s">
        <v>89</v>
      </c>
      <c r="R8">
        <v>18</v>
      </c>
      <c r="S8">
        <v>32</v>
      </c>
      <c r="T8" s="60">
        <v>1.7777777777777777</v>
      </c>
    </row>
    <row r="9" spans="1:20" x14ac:dyDescent="0.2">
      <c r="A9">
        <v>8</v>
      </c>
      <c r="B9" s="1">
        <v>43744</v>
      </c>
      <c r="C9" t="str">
        <v>Arsenal FC</v>
      </c>
      <c r="D9">
        <v>1</v>
      </c>
      <c r="E9" t="str">
        <v>AFC Bournemouth</v>
      </c>
      <c r="F9">
        <v>0</v>
      </c>
      <c r="H9" s="59" cm="1">
        <f t="array" ref="H9">_xlfn.IFS(AND(C9=$N$18,D9&gt;F9),3,AND(E9=$N$18,F9&gt;D9),3,AND(C9=$N$18,D9=F9),1,AND(E9=$N$18,D9=F9),1,AND(C9=$N$18,D9&lt;F9),0,AND(E9=$N$18,F9&lt;D9),0)</f>
        <v>3</v>
      </c>
      <c r="I9">
        <f t="shared" si="0"/>
        <v>1</v>
      </c>
      <c r="J9" s="59">
        <f t="shared" si="1"/>
        <v>0</v>
      </c>
      <c r="K9" cm="1">
        <f t="array" ref="K9">_xlfn.IFS(H9=3,1+K8,H9=1,1+K8,H9=0,0)</f>
        <v>5</v>
      </c>
      <c r="L9" cm="1">
        <f t="array" ref="L9">_xlfn.IFS(H9=0,1+L8,H9=1,1+L8,H9=3,0)</f>
        <v>0</v>
      </c>
      <c r="Q9" s="57" t="s">
        <v>90</v>
      </c>
      <c r="R9">
        <v>4</v>
      </c>
      <c r="S9">
        <v>6</v>
      </c>
      <c r="T9" s="60">
        <v>1.5</v>
      </c>
    </row>
    <row r="10" spans="1:20" x14ac:dyDescent="0.2">
      <c r="A10">
        <v>9</v>
      </c>
      <c r="B10" s="1">
        <v>43759</v>
      </c>
      <c r="C10" t="str">
        <v>Sheffield United FC</v>
      </c>
      <c r="D10">
        <v>1</v>
      </c>
      <c r="E10" t="str">
        <v>Arsenal FC</v>
      </c>
      <c r="F10">
        <v>0</v>
      </c>
      <c r="H10" s="59" cm="1">
        <f t="array" ref="H10">_xlfn.IFS(AND(C10=$N$18,D10&gt;F10),3,AND(E10=$N$18,F10&gt;D10),3,AND(C10=$N$18,D10=F10),1,AND(E10=$N$18,D10=F10),1,AND(C10=$N$18,D10&lt;F10),0,AND(E10=$N$18,F10&lt;D10),0)</f>
        <v>0</v>
      </c>
      <c r="I10">
        <f t="shared" si="0"/>
        <v>0</v>
      </c>
      <c r="J10" s="59">
        <f t="shared" si="1"/>
        <v>1</v>
      </c>
      <c r="K10" cm="1">
        <f t="array" ref="K10">_xlfn.IFS(H10=3,1+K9,H10=1,1+K9,H10=0,0)</f>
        <v>0</v>
      </c>
      <c r="L10" cm="1">
        <f t="array" ref="L10">_xlfn.IFS(H10=0,1+L9,H10=1,1+L9,H10=3,0)</f>
        <v>1</v>
      </c>
      <c r="Q10" s="57" t="s">
        <v>91</v>
      </c>
      <c r="R10">
        <v>3</v>
      </c>
      <c r="S10">
        <v>7</v>
      </c>
      <c r="T10" s="60">
        <v>2.3333333333333335</v>
      </c>
    </row>
    <row r="11" spans="1:20" x14ac:dyDescent="0.2">
      <c r="A11">
        <v>10</v>
      </c>
      <c r="B11" s="1">
        <v>43765</v>
      </c>
      <c r="C11" t="str">
        <v>Arsenal FC</v>
      </c>
      <c r="D11">
        <v>2</v>
      </c>
      <c r="E11" t="str">
        <v>Crystal Palace FC</v>
      </c>
      <c r="F11">
        <v>2</v>
      </c>
      <c r="H11" s="59" cm="1">
        <f t="array" ref="H11">_xlfn.IFS(AND(C11=$N$18,D11&gt;F11),3,AND(E11=$N$18,F11&gt;D11),3,AND(C11=$N$18,D11=F11),1,AND(E11=$N$18,D11=F11),1,AND(C11=$N$18,D11&lt;F11),0,AND(E11=$N$18,F11&lt;D11),0)</f>
        <v>1</v>
      </c>
      <c r="I11">
        <f t="shared" si="0"/>
        <v>0</v>
      </c>
      <c r="J11" s="59">
        <f t="shared" si="1"/>
        <v>0</v>
      </c>
      <c r="K11" cm="1">
        <f t="array" ref="K11">_xlfn.IFS(H11=3,1+K10,H11=1,1+K10,H11=0,0)</f>
        <v>1</v>
      </c>
      <c r="L11" cm="1">
        <f t="array" ref="L11">_xlfn.IFS(H11=0,1+L10,H11=1,1+L10,H11=3,0)</f>
        <v>2</v>
      </c>
      <c r="Q11" s="57" t="s">
        <v>92</v>
      </c>
      <c r="R11">
        <v>1</v>
      </c>
      <c r="S11">
        <v>3</v>
      </c>
      <c r="T11" s="60">
        <v>3</v>
      </c>
    </row>
    <row r="12" spans="1:20" x14ac:dyDescent="0.2">
      <c r="A12">
        <v>11</v>
      </c>
      <c r="B12" s="1">
        <v>43771</v>
      </c>
      <c r="C12" t="str">
        <v>Arsenal FC</v>
      </c>
      <c r="D12">
        <v>1</v>
      </c>
      <c r="E12" t="str">
        <v>Wolverhampton Wanderers FC</v>
      </c>
      <c r="F12">
        <v>1</v>
      </c>
      <c r="H12" s="59" cm="1">
        <f t="array" ref="H12">_xlfn.IFS(AND(C12=$N$18,D12&gt;F12),3,AND(E12=$N$18,F12&gt;D12),3,AND(C12=$N$18,D12=F12),1,AND(E12=$N$18,D12=F12),1,AND(C12=$N$18,D12&lt;F12),0,AND(E12=$N$18,F12&lt;D12),0)</f>
        <v>1</v>
      </c>
      <c r="I12">
        <f t="shared" si="0"/>
        <v>0</v>
      </c>
      <c r="J12" s="59">
        <f t="shared" si="1"/>
        <v>0</v>
      </c>
      <c r="K12" cm="1">
        <f t="array" ref="K12">_xlfn.IFS(H12=3,1+K11,H12=1,1+K11,H12=0,0)</f>
        <v>2</v>
      </c>
      <c r="L12" cm="1">
        <f t="array" ref="L12">_xlfn.IFS(H12=0,1+L11,H12=1,1+L11,H12=3,0)</f>
        <v>3</v>
      </c>
      <c r="Q12" s="57" t="s">
        <v>93</v>
      </c>
      <c r="R12">
        <v>3</v>
      </c>
      <c r="S12">
        <v>3</v>
      </c>
      <c r="T12" s="60">
        <v>1</v>
      </c>
    </row>
    <row r="13" spans="1:20" x14ac:dyDescent="0.2">
      <c r="A13">
        <v>12</v>
      </c>
      <c r="B13" s="1">
        <v>43778</v>
      </c>
      <c r="C13" t="str">
        <v>Leicester City FC</v>
      </c>
      <c r="D13">
        <v>2</v>
      </c>
      <c r="E13" t="str">
        <v>Arsenal FC</v>
      </c>
      <c r="F13">
        <v>0</v>
      </c>
      <c r="H13" s="59" cm="1">
        <f t="array" ref="H13">_xlfn.IFS(AND(C13=$N$18,D13&gt;F13),3,AND(E13=$N$18,F13&gt;D13),3,AND(C13=$N$18,D13=F13),1,AND(E13=$N$18,D13=F13),1,AND(C13=$N$18,D13&lt;F13),0,AND(E13=$N$18,F13&lt;D13),0)</f>
        <v>0</v>
      </c>
      <c r="I13">
        <f t="shared" si="0"/>
        <v>0</v>
      </c>
      <c r="J13" s="59">
        <f t="shared" si="1"/>
        <v>1</v>
      </c>
      <c r="K13" cm="1">
        <f t="array" ref="K13">_xlfn.IFS(H13=3,1+K12,H13=1,1+K12,H13=0,0)</f>
        <v>0</v>
      </c>
      <c r="L13" cm="1">
        <f t="array" ref="L13">_xlfn.IFS(H13=0,1+L12,H13=1,1+L12,H13=3,0)</f>
        <v>4</v>
      </c>
      <c r="Q13" s="57" t="s">
        <v>94</v>
      </c>
      <c r="R13">
        <v>7</v>
      </c>
      <c r="S13">
        <v>13</v>
      </c>
      <c r="T13" s="60">
        <v>1.8571428571428572</v>
      </c>
    </row>
    <row r="14" spans="1:20" x14ac:dyDescent="0.2">
      <c r="A14">
        <v>13</v>
      </c>
      <c r="B14" s="1">
        <v>43792</v>
      </c>
      <c r="C14" t="str">
        <v>Arsenal FC</v>
      </c>
      <c r="D14">
        <v>2</v>
      </c>
      <c r="E14" t="str">
        <v>Southampton FC</v>
      </c>
      <c r="F14">
        <v>2</v>
      </c>
      <c r="H14" s="59" cm="1">
        <f t="array" ref="H14">_xlfn.IFS(AND(C14=$N$18,D14&gt;F14),3,AND(E14=$N$18,F14&gt;D14),3,AND(C14=$N$18,D14=F14),1,AND(E14=$N$18,D14=F14),1,AND(C14=$N$18,D14&lt;F14),0,AND(E14=$N$18,F14&lt;D14),0)</f>
        <v>1</v>
      </c>
      <c r="I14">
        <f t="shared" si="0"/>
        <v>0</v>
      </c>
      <c r="J14" s="59">
        <f t="shared" si="1"/>
        <v>0</v>
      </c>
      <c r="K14" cm="1">
        <f t="array" ref="K14">_xlfn.IFS(H14=3,1+K13,H14=1,1+K13,H14=0,0)</f>
        <v>1</v>
      </c>
      <c r="L14" cm="1">
        <f t="array" ref="L14">_xlfn.IFS(H14=0,1+L13,H14=1,1+L13,H14=3,0)</f>
        <v>5</v>
      </c>
      <c r="Q14" s="56" t="s">
        <v>95</v>
      </c>
      <c r="R14">
        <v>38</v>
      </c>
      <c r="S14">
        <v>56</v>
      </c>
      <c r="T14" s="60">
        <v>1.4736842105263157</v>
      </c>
    </row>
    <row r="15" spans="1:20" x14ac:dyDescent="0.2">
      <c r="A15">
        <v>14</v>
      </c>
      <c r="B15" s="1">
        <v>43800</v>
      </c>
      <c r="C15" t="str">
        <v>Norwich City FC</v>
      </c>
      <c r="D15">
        <v>2</v>
      </c>
      <c r="E15" t="str">
        <v>Arsenal FC</v>
      </c>
      <c r="F15">
        <v>2</v>
      </c>
      <c r="H15" s="59" cm="1">
        <f t="array" ref="H15">_xlfn.IFS(AND(C15=$N$18,D15&gt;F15),3,AND(E15=$N$18,F15&gt;D15),3,AND(C15=$N$18,D15=F15),1,AND(E15=$N$18,D15=F15),1,AND(C15=$N$18,D15&lt;F15),0,AND(E15=$N$18,F15&lt;D15),0)</f>
        <v>1</v>
      </c>
      <c r="I15">
        <f t="shared" si="0"/>
        <v>0</v>
      </c>
      <c r="J15" s="59">
        <f t="shared" si="1"/>
        <v>0</v>
      </c>
      <c r="K15" cm="1">
        <f t="array" ref="K15">_xlfn.IFS(H15=3,1+K14,H15=1,1+K14,H15=0,0)</f>
        <v>2</v>
      </c>
      <c r="L15" cm="1">
        <f t="array" ref="L15">_xlfn.IFS(H15=0,1+L14,H15=1,1+L14,H15=3,0)</f>
        <v>6</v>
      </c>
    </row>
    <row r="16" spans="1:20" x14ac:dyDescent="0.2">
      <c r="A16">
        <v>15</v>
      </c>
      <c r="B16" s="1">
        <v>43804</v>
      </c>
      <c r="C16" t="str">
        <v>Arsenal FC</v>
      </c>
      <c r="D16">
        <v>1</v>
      </c>
      <c r="E16" t="str">
        <v>Brighton &amp; Hove Albion FC</v>
      </c>
      <c r="F16">
        <v>2</v>
      </c>
      <c r="H16" s="59" cm="1">
        <f t="array" ref="H16">_xlfn.IFS(AND(C16=$N$18,D16&gt;F16),3,AND(E16=$N$18,F16&gt;D16),3,AND(C16=$N$18,D16=F16),1,AND(E16=$N$18,D16=F16),1,AND(C16=$N$18,D16&lt;F16),0,AND(E16=$N$18,F16&lt;D16),0)</f>
        <v>0</v>
      </c>
      <c r="I16">
        <f t="shared" si="0"/>
        <v>0</v>
      </c>
      <c r="J16" s="59">
        <f t="shared" si="1"/>
        <v>1</v>
      </c>
      <c r="K16" cm="1">
        <f t="array" ref="K16">_xlfn.IFS(H16=3,1+K15,H16=1,1+K15,H16=0,0)</f>
        <v>0</v>
      </c>
      <c r="L16" cm="1">
        <f t="array" ref="L16">_xlfn.IFS(H16=0,1+L15,H16=1,1+L15,H16=3,0)</f>
        <v>7</v>
      </c>
    </row>
    <row r="17" spans="1:22" x14ac:dyDescent="0.2">
      <c r="A17">
        <v>16</v>
      </c>
      <c r="B17" s="1">
        <v>43808</v>
      </c>
      <c r="C17" t="str">
        <v>West Ham United FC</v>
      </c>
      <c r="D17">
        <v>1</v>
      </c>
      <c r="E17" t="str">
        <v>Arsenal FC</v>
      </c>
      <c r="F17">
        <v>3</v>
      </c>
      <c r="H17" s="59" cm="1">
        <f t="array" ref="H17">_xlfn.IFS(AND(C17=$N$18,D17&gt;F17),3,AND(E17=$N$18,F17&gt;D17),3,AND(C17=$N$18,D17=F17),1,AND(E17=$N$18,D17=F17),1,AND(C17=$N$18,D17&lt;F17),0,AND(E17=$N$18,F17&lt;D17),0)</f>
        <v>3</v>
      </c>
      <c r="I17">
        <f t="shared" si="0"/>
        <v>1</v>
      </c>
      <c r="J17" s="59">
        <f t="shared" si="1"/>
        <v>0</v>
      </c>
      <c r="K17" cm="1">
        <f t="array" ref="K17">_xlfn.IFS(H17=3,1+K16,H17=1,1+K16,H17=0,0)</f>
        <v>1</v>
      </c>
      <c r="L17" cm="1">
        <f t="array" ref="L17">_xlfn.IFS(H17=0,1+L16,H17=1,1+L16,H17=3,0)</f>
        <v>0</v>
      </c>
    </row>
    <row r="18" spans="1:22" x14ac:dyDescent="0.2">
      <c r="A18">
        <v>17</v>
      </c>
      <c r="B18" s="1">
        <v>43814</v>
      </c>
      <c r="C18" t="str">
        <v>Arsenal FC</v>
      </c>
      <c r="D18">
        <v>0</v>
      </c>
      <c r="E18" t="str">
        <v>Manchester City FC</v>
      </c>
      <c r="F18">
        <v>3</v>
      </c>
      <c r="H18" s="59" cm="1">
        <f t="array" ref="H18">_xlfn.IFS(AND(C18=$N$18,D18&gt;F18),3,AND(E18=$N$18,F18&gt;D18),3,AND(C18=$N$18,D18=F18),1,AND(E18=$N$18,D18=F18),1,AND(C18=$N$18,D18&lt;F18),0,AND(E18=$N$18,F18&lt;D18),0)</f>
        <v>0</v>
      </c>
      <c r="I18">
        <f t="shared" si="0"/>
        <v>0</v>
      </c>
      <c r="J18" s="59">
        <f t="shared" si="1"/>
        <v>1</v>
      </c>
      <c r="K18" cm="1">
        <f t="array" ref="K18">_xlfn.IFS(H18=3,1+K17,H18=1,1+K17,H18=0,0)</f>
        <v>0</v>
      </c>
      <c r="L18" cm="1">
        <f t="array" ref="L18">_xlfn.IFS(H18=0,1+L17,H18=1,1+L17,H18=3,0)</f>
        <v>1</v>
      </c>
      <c r="N18" s="14" t="str">
        <f>E2</f>
        <v>Arsenal FC</v>
      </c>
      <c r="O18" s="9" t="s">
        <v>12</v>
      </c>
      <c r="P18" s="7" t="s">
        <v>13</v>
      </c>
      <c r="Q18" s="6" t="s">
        <v>14</v>
      </c>
      <c r="R18" s="8" t="s">
        <v>15</v>
      </c>
      <c r="S18" s="9" t="s">
        <v>16</v>
      </c>
      <c r="T18" s="9" t="s">
        <v>17</v>
      </c>
      <c r="U18" s="9" t="s">
        <v>18</v>
      </c>
      <c r="V18" s="9" t="s">
        <v>19</v>
      </c>
    </row>
    <row r="19" spans="1:22" x14ac:dyDescent="0.2">
      <c r="A19">
        <v>18</v>
      </c>
      <c r="B19" s="1">
        <v>43820</v>
      </c>
      <c r="C19" t="str">
        <v>Everton FC</v>
      </c>
      <c r="D19">
        <v>0</v>
      </c>
      <c r="E19" t="str">
        <v>Arsenal FC</v>
      </c>
      <c r="F19">
        <v>0</v>
      </c>
      <c r="H19" s="59" cm="1">
        <f t="array" ref="H19">_xlfn.IFS(AND(C19=$N$18,D19&gt;F19),3,AND(E19=$N$18,F19&gt;D19),3,AND(C19=$N$18,D19=F19),1,AND(E19=$N$18,D19=F19),1,AND(C19=$N$18,D19&lt;F19),0,AND(E19=$N$18,F19&lt;D19),0)</f>
        <v>1</v>
      </c>
      <c r="I19">
        <f t="shared" si="0"/>
        <v>0</v>
      </c>
      <c r="J19" s="59">
        <f t="shared" si="1"/>
        <v>0</v>
      </c>
      <c r="K19" cm="1">
        <f t="array" ref="K19">_xlfn.IFS(H19=3,1+K18,H19=1,1+K18,H19=0,0)</f>
        <v>1</v>
      </c>
      <c r="L19" cm="1">
        <f t="array" ref="L19">_xlfn.IFS(H19=0,1+L18,H19=1,1+L18,H19=3,0)</f>
        <v>2</v>
      </c>
      <c r="N19" s="10" t="s">
        <v>22</v>
      </c>
      <c r="O19" s="11">
        <f>COUNT(A2:A39)</f>
        <v>38</v>
      </c>
      <c r="P19" s="5" cm="1">
        <f t="array" ref="P19">SUMPRODUCT(((C2:C39=$N$18)*(D2:D39&gt;F2:F39))+((E2:E39=$N$18)*(F2:F39&gt;D2:D39)))</f>
        <v>14</v>
      </c>
      <c r="Q19" s="12" cm="1">
        <f t="array" ref="Q19">SUMPRODUCT(((C2:C39=$N$18)*(D2:D39=F2:F39))+((E2:E39=$N$18)*(F2:F39=D2:D39)))</f>
        <v>14</v>
      </c>
      <c r="R19" s="13" cm="1">
        <f t="array" ref="R19">SUMPRODUCT(((C2:C39=$N$18)*(D2:D39&lt;F2:F39))+((E2:E39=$N$18)*(F2:F39&lt;D2:D39)))</f>
        <v>10</v>
      </c>
      <c r="S19" s="11">
        <f>SUMIF(C2:C39,N18,D2:D39)+SUMIF(E2:E39,N18,F2:F39)</f>
        <v>56</v>
      </c>
      <c r="T19" s="11">
        <f>SUMIF(C2:C39,N18,F2:F39)+SUMIF(E2:E39,N18,D2:D39)</f>
        <v>48</v>
      </c>
      <c r="U19" s="11">
        <f>S19-T19</f>
        <v>8</v>
      </c>
      <c r="V19" s="11">
        <f>V20+V21</f>
        <v>56</v>
      </c>
    </row>
    <row r="20" spans="1:22" x14ac:dyDescent="0.2">
      <c r="A20">
        <v>19</v>
      </c>
      <c r="B20" s="1">
        <v>43825</v>
      </c>
      <c r="C20" t="str">
        <v>AFC Bournemouth</v>
      </c>
      <c r="D20">
        <v>1</v>
      </c>
      <c r="E20" t="str">
        <v>Arsenal FC</v>
      </c>
      <c r="F20">
        <v>1</v>
      </c>
      <c r="H20" s="59" cm="1">
        <f t="array" ref="H20">_xlfn.IFS(AND(C20=$N$18,D20&gt;F20),3,AND(E20=$N$18,F20&gt;D20),3,AND(C20=$N$18,D20=F20),1,AND(E20=$N$18,D20=F20),1,AND(C20=$N$18,D20&lt;F20),0,AND(E20=$N$18,F20&lt;D20),0)</f>
        <v>1</v>
      </c>
      <c r="I20">
        <f t="shared" si="0"/>
        <v>0</v>
      </c>
      <c r="J20" s="59">
        <f t="shared" si="1"/>
        <v>0</v>
      </c>
      <c r="K20" cm="1">
        <f t="array" ref="K20">_xlfn.IFS(H20=3,1+K19,H20=1,1+K19,H20=0,0)</f>
        <v>2</v>
      </c>
      <c r="L20" cm="1">
        <f t="array" ref="L20">_xlfn.IFS(H20=0,1+L19,H20=1,1+L19,H20=3,0)</f>
        <v>3</v>
      </c>
      <c r="N20" s="10" t="s">
        <v>2</v>
      </c>
      <c r="O20" s="11">
        <f>COUNTIF(C2:C39,C3)</f>
        <v>19</v>
      </c>
      <c r="P20" s="20" cm="1">
        <f t="array" ref="P20">SUMPRODUCT(((C2:C39=$N$18)*(D2:D39&gt;F2:F39)))</f>
        <v>10</v>
      </c>
      <c r="Q20" s="12" cm="1">
        <f t="array" ref="Q20">SUMPRODUCT(((C2:C39=$N$18)*(D2:D39=F2:F39)))</f>
        <v>6</v>
      </c>
      <c r="R20" s="13" cm="1">
        <f t="array" ref="R20">SUMPRODUCT(((C2:C39=$N$18)*(D2:D39&lt;F2:F39)))</f>
        <v>3</v>
      </c>
      <c r="S20" s="11">
        <f>SUMIF(C2:C39,N18,D2:D39)</f>
        <v>36</v>
      </c>
      <c r="T20" s="11">
        <f>SUMIF(C2:C39,N18,F2:F39)</f>
        <v>24</v>
      </c>
      <c r="U20" s="11">
        <f>S20-T20</f>
        <v>12</v>
      </c>
      <c r="V20" s="11">
        <f>(P20*3)+Q20</f>
        <v>36</v>
      </c>
    </row>
    <row r="21" spans="1:22" x14ac:dyDescent="0.2">
      <c r="A21">
        <v>20</v>
      </c>
      <c r="B21" s="1">
        <v>43828</v>
      </c>
      <c r="C21" t="str">
        <v>Arsenal FC</v>
      </c>
      <c r="D21">
        <v>1</v>
      </c>
      <c r="E21" t="str">
        <v>Chelsea FC</v>
      </c>
      <c r="F21">
        <v>2</v>
      </c>
      <c r="H21" s="59" cm="1">
        <f t="array" ref="H21">_xlfn.IFS(AND(C21=$N$18,D21&gt;F21),3,AND(E21=$N$18,F21&gt;D21),3,AND(C21=$N$18,D21=F21),1,AND(E21=$N$18,D21=F21),1,AND(C21=$N$18,D21&lt;F21),0,AND(E21=$N$18,F21&lt;D21),0)</f>
        <v>0</v>
      </c>
      <c r="I21">
        <f t="shared" si="0"/>
        <v>0</v>
      </c>
      <c r="J21" s="59">
        <f t="shared" si="1"/>
        <v>1</v>
      </c>
      <c r="K21" cm="1">
        <f t="array" ref="K21">_xlfn.IFS(H21=3,1+K20,H21=1,1+K20,H21=0,0)</f>
        <v>0</v>
      </c>
      <c r="L21" cm="1">
        <f t="array" ref="L21">_xlfn.IFS(H21=0,1+L20,H21=1,1+L20,H21=3,0)</f>
        <v>4</v>
      </c>
      <c r="N21" s="10" t="s">
        <v>4</v>
      </c>
      <c r="O21" s="11">
        <f>COUNTIF(E2:E39,E2)</f>
        <v>19</v>
      </c>
      <c r="P21" s="5" cm="1">
        <f t="array" ref="P21">SUMPRODUCT(((E2:E39=$N$18)*(F2:F39&gt;D2:D39)))</f>
        <v>4</v>
      </c>
      <c r="Q21" s="12" cm="1">
        <f t="array" ref="Q21">SUMPRODUCT(((E2:E39=$N$18)*(F2:F39=D2:D39)))</f>
        <v>8</v>
      </c>
      <c r="R21" s="13" cm="1">
        <f t="array" ref="R21">SUMPRODUCT(((E2:E39=$N$18)*(F2:F39&lt;D2:D39)))</f>
        <v>7</v>
      </c>
      <c r="S21" s="11">
        <f>SUMIF(E2:E39,N18,F2:F39)</f>
        <v>20</v>
      </c>
      <c r="T21" s="11">
        <f>SUMIF(E2:E39,N18,D2:D39)</f>
        <v>24</v>
      </c>
      <c r="U21" s="11">
        <f>S21-T21</f>
        <v>-4</v>
      </c>
      <c r="V21" s="11">
        <f>(P21*3)+Q21</f>
        <v>20</v>
      </c>
    </row>
    <row r="22" spans="1:22" x14ac:dyDescent="0.2">
      <c r="A22">
        <v>21</v>
      </c>
      <c r="B22" s="1">
        <v>43831</v>
      </c>
      <c r="C22" t="str">
        <v>Arsenal FC</v>
      </c>
      <c r="D22">
        <v>2</v>
      </c>
      <c r="E22" t="str">
        <v>Manchester United FC</v>
      </c>
      <c r="F22">
        <v>0</v>
      </c>
      <c r="H22" s="59" cm="1">
        <f t="array" ref="H22">_xlfn.IFS(AND(C22=$N$18,D22&gt;F22),3,AND(E22=$N$18,F22&gt;D22),3,AND(C22=$N$18,D22=F22),1,AND(E22=$N$18,D22=F22),1,AND(C22=$N$18,D22&lt;F22),0,AND(E22=$N$18,F22&lt;D22),0)</f>
        <v>3</v>
      </c>
      <c r="I22">
        <f t="shared" si="0"/>
        <v>1</v>
      </c>
      <c r="J22" s="59">
        <f t="shared" si="1"/>
        <v>0</v>
      </c>
      <c r="K22" cm="1">
        <f t="array" ref="K22">_xlfn.IFS(H22=3,1+K21,H22=1,1+K21,H22=0,0)</f>
        <v>1</v>
      </c>
      <c r="L22" cm="1">
        <f t="array" ref="L22">_xlfn.IFS(H22=0,1+L21,H22=1,1+L21,H22=3,0)</f>
        <v>0</v>
      </c>
    </row>
    <row r="23" spans="1:22" x14ac:dyDescent="0.2">
      <c r="A23">
        <v>22</v>
      </c>
      <c r="B23" s="1">
        <v>43841</v>
      </c>
      <c r="C23" t="str">
        <v>Crystal Palace FC</v>
      </c>
      <c r="D23">
        <v>1</v>
      </c>
      <c r="E23" t="str">
        <v>Arsenal FC</v>
      </c>
      <c r="F23">
        <v>1</v>
      </c>
      <c r="H23" s="59" cm="1">
        <f t="array" ref="H23">_xlfn.IFS(AND(C23=$N$18,D23&gt;F23),3,AND(E23=$N$18,F23&gt;D23),3,AND(C23=$N$18,D23=F23),1,AND(E23=$N$18,D23=F23),1,AND(C23=$N$18,D23&lt;F23),0,AND(E23=$N$18,F23&lt;D23),0)</f>
        <v>1</v>
      </c>
      <c r="I23">
        <f t="shared" si="0"/>
        <v>0</v>
      </c>
      <c r="J23" s="59">
        <f t="shared" si="1"/>
        <v>0</v>
      </c>
      <c r="K23" cm="1">
        <f t="array" ref="K23">_xlfn.IFS(H23=3,1+K22,H23=1,1+K22,H23=0,0)</f>
        <v>2</v>
      </c>
      <c r="L23" cm="1">
        <f t="array" ref="L23">_xlfn.IFS(H23=0,1+L22,H23=1,1+L22,H23=3,0)</f>
        <v>1</v>
      </c>
    </row>
    <row r="24" spans="1:22" x14ac:dyDescent="0.2">
      <c r="A24">
        <v>23</v>
      </c>
      <c r="B24" s="1">
        <v>43848</v>
      </c>
      <c r="C24" t="str">
        <v>Arsenal FC</v>
      </c>
      <c r="D24">
        <v>1</v>
      </c>
      <c r="E24" t="str">
        <v>Sheffield United FC</v>
      </c>
      <c r="F24">
        <v>1</v>
      </c>
      <c r="H24" s="59" cm="1">
        <f t="array" ref="H24">_xlfn.IFS(AND(C24=$N$18,D24&gt;F24),3,AND(E24=$N$18,F24&gt;D24),3,AND(C24=$N$18,D24=F24),1,AND(E24=$N$18,D24=F24),1,AND(C24=$N$18,D24&lt;F24),0,AND(E24=$N$18,F24&lt;D24),0)</f>
        <v>1</v>
      </c>
      <c r="I24">
        <f t="shared" si="0"/>
        <v>0</v>
      </c>
      <c r="J24" s="59">
        <f t="shared" si="1"/>
        <v>0</v>
      </c>
      <c r="K24" cm="1">
        <f t="array" ref="K24">_xlfn.IFS(H24=3,1+K23,H24=1,1+K23,H24=0,0)</f>
        <v>3</v>
      </c>
      <c r="L24" cm="1">
        <f t="array" ref="L24">_xlfn.IFS(H24=0,1+L23,H24=1,1+L23,H24=3,0)</f>
        <v>2</v>
      </c>
    </row>
    <row r="25" spans="1:22" x14ac:dyDescent="0.2">
      <c r="A25">
        <v>24</v>
      </c>
      <c r="B25" s="1">
        <v>43851</v>
      </c>
      <c r="C25" t="str">
        <v>Chelsea FC</v>
      </c>
      <c r="D25">
        <v>2</v>
      </c>
      <c r="E25" t="str">
        <v>Arsenal FC</v>
      </c>
      <c r="F25">
        <v>2</v>
      </c>
      <c r="H25" s="59" cm="1">
        <f t="array" ref="H25">_xlfn.IFS(AND(C25=$N$18,D25&gt;F25),3,AND(E25=$N$18,F25&gt;D25),3,AND(C25=$N$18,D25=F25),1,AND(E25=$N$18,D25=F25),1,AND(C25=$N$18,D25&lt;F25),0,AND(E25=$N$18,F25&lt;D25),0)</f>
        <v>1</v>
      </c>
      <c r="I25">
        <f t="shared" si="0"/>
        <v>0</v>
      </c>
      <c r="J25" s="59">
        <f t="shared" si="1"/>
        <v>0</v>
      </c>
      <c r="K25" cm="1">
        <f t="array" ref="K25">_xlfn.IFS(H25=3,1+K24,H25=1,1+K24,H25=0,0)</f>
        <v>4</v>
      </c>
      <c r="L25" cm="1">
        <f t="array" ref="L25">_xlfn.IFS(H25=0,1+L24,H25=1,1+L24,H25=3,0)</f>
        <v>3</v>
      </c>
    </row>
    <row r="26" spans="1:22" x14ac:dyDescent="0.2">
      <c r="A26">
        <v>25</v>
      </c>
      <c r="B26" s="1">
        <v>43863</v>
      </c>
      <c r="C26" t="str">
        <v>Burnley FC</v>
      </c>
      <c r="D26">
        <v>0</v>
      </c>
      <c r="E26" t="str">
        <v>Arsenal FC</v>
      </c>
      <c r="F26">
        <v>0</v>
      </c>
      <c r="H26" s="59" cm="1">
        <f t="array" ref="H26">_xlfn.IFS(AND(C26=$N$18,D26&gt;F26),3,AND(E26=$N$18,F26&gt;D26),3,AND(C26=$N$18,D26=F26),1,AND(E26=$N$18,D26=F26),1,AND(C26=$N$18,D26&lt;F26),0,AND(E26=$N$18,F26&lt;D26),0)</f>
        <v>1</v>
      </c>
      <c r="I26">
        <f t="shared" si="0"/>
        <v>0</v>
      </c>
      <c r="J26" s="59">
        <f t="shared" si="1"/>
        <v>0</v>
      </c>
      <c r="K26" cm="1">
        <f t="array" ref="K26">_xlfn.IFS(H26=3,1+K25,H26=1,1+K25,H26=0,0)</f>
        <v>5</v>
      </c>
      <c r="L26" cm="1">
        <f t="array" ref="L26">_xlfn.IFS(H26=0,1+L25,H26=1,1+L25,H26=3,0)</f>
        <v>4</v>
      </c>
    </row>
    <row r="27" spans="1:22" x14ac:dyDescent="0.2">
      <c r="A27">
        <v>26</v>
      </c>
      <c r="B27" s="1">
        <v>43877</v>
      </c>
      <c r="C27" t="str">
        <v>Arsenal FC</v>
      </c>
      <c r="D27">
        <v>4</v>
      </c>
      <c r="E27" t="str">
        <v>Newcastle United FC</v>
      </c>
      <c r="F27">
        <v>0</v>
      </c>
      <c r="H27" s="59" cm="1">
        <f t="array" ref="H27">_xlfn.IFS(AND(C27=$N$18,D27&gt;F27),3,AND(E27=$N$18,F27&gt;D27),3,AND(C27=$N$18,D27=F27),1,AND(E27=$N$18,D27=F27),1,AND(C27=$N$18,D27&lt;F27),0,AND(E27=$N$18,F27&lt;D27),0)</f>
        <v>3</v>
      </c>
      <c r="I27">
        <f t="shared" si="0"/>
        <v>1</v>
      </c>
      <c r="J27" s="59">
        <f t="shared" si="1"/>
        <v>0</v>
      </c>
      <c r="K27" cm="1">
        <f t="array" ref="K27">_xlfn.IFS(H27=3,1+K26,H27=1,1+K26,H27=0,0)</f>
        <v>6</v>
      </c>
      <c r="L27" cm="1">
        <f t="array" ref="L27">_xlfn.IFS(H27=0,1+L26,H27=1,1+L26,H27=3,0)</f>
        <v>0</v>
      </c>
    </row>
    <row r="28" spans="1:22" x14ac:dyDescent="0.2">
      <c r="A28">
        <v>27</v>
      </c>
      <c r="B28" s="1">
        <v>43884</v>
      </c>
      <c r="C28" t="str">
        <v>Arsenal FC</v>
      </c>
      <c r="D28">
        <v>3</v>
      </c>
      <c r="E28" t="str">
        <v>Everton FC</v>
      </c>
      <c r="F28">
        <v>2</v>
      </c>
      <c r="H28" s="59" cm="1">
        <f t="array" ref="H28">_xlfn.IFS(AND(C28=$N$18,D28&gt;F28),3,AND(E28=$N$18,F28&gt;D28),3,AND(C28=$N$18,D28=F28),1,AND(E28=$N$18,D28=F28),1,AND(C28=$N$18,D28&lt;F28),0,AND(E28=$N$18,F28&lt;D28),0)</f>
        <v>3</v>
      </c>
      <c r="I28">
        <f t="shared" si="0"/>
        <v>2</v>
      </c>
      <c r="J28" s="59">
        <f t="shared" si="1"/>
        <v>0</v>
      </c>
      <c r="K28" cm="1">
        <f t="array" ref="K28">_xlfn.IFS(H28=3,1+K27,H28=1,1+K27,H28=0,0)</f>
        <v>7</v>
      </c>
      <c r="L28" cm="1">
        <f t="array" ref="L28">_xlfn.IFS(H28=0,1+L27,H28=1,1+L27,H28=3,0)</f>
        <v>0</v>
      </c>
    </row>
    <row r="29" spans="1:22" x14ac:dyDescent="0.2">
      <c r="A29">
        <v>28</v>
      </c>
      <c r="B29" s="1">
        <v>43999</v>
      </c>
      <c r="C29" t="str">
        <v>Manchester City FC</v>
      </c>
      <c r="D29">
        <v>3</v>
      </c>
      <c r="E29" t="str">
        <v>Arsenal FC</v>
      </c>
      <c r="F29">
        <v>0</v>
      </c>
      <c r="H29" s="59" cm="1">
        <f t="array" ref="H29">_xlfn.IFS(AND(C29=$N$18,D29&gt;F29),3,AND(E29=$N$18,F29&gt;D29),3,AND(C29=$N$18,D29=F29),1,AND(E29=$N$18,D29=F29),1,AND(C29=$N$18,D29&lt;F29),0,AND(E29=$N$18,F29&lt;D29),0)</f>
        <v>0</v>
      </c>
      <c r="I29">
        <f t="shared" si="0"/>
        <v>0</v>
      </c>
      <c r="J29" s="59">
        <f t="shared" si="1"/>
        <v>1</v>
      </c>
      <c r="K29" cm="1">
        <f t="array" ref="K29">_xlfn.IFS(H29=3,1+K28,H29=1,1+K28,H29=0,0)</f>
        <v>0</v>
      </c>
      <c r="L29" cm="1">
        <f t="array" ref="L29">_xlfn.IFS(H29=0,1+L28,H29=1,1+L28,H29=3,0)</f>
        <v>1</v>
      </c>
    </row>
    <row r="30" spans="1:22" x14ac:dyDescent="0.2">
      <c r="A30">
        <v>29</v>
      </c>
      <c r="B30" s="1">
        <v>43897</v>
      </c>
      <c r="C30" t="str">
        <v>Arsenal FC</v>
      </c>
      <c r="D30">
        <v>1</v>
      </c>
      <c r="E30" t="str">
        <v>West Ham United FC</v>
      </c>
      <c r="F30">
        <v>0</v>
      </c>
      <c r="H30" s="59" cm="1">
        <f t="array" ref="H30">_xlfn.IFS(AND(C30=$N$18,D30&gt;F30),3,AND(E30=$N$18,F30&gt;D30),3,AND(C30=$N$18,D30=F30),1,AND(E30=$N$18,D30=F30),1,AND(C30=$N$18,D30&lt;F30),0,AND(E30=$N$18,F30&lt;D30),0)</f>
        <v>3</v>
      </c>
      <c r="I30">
        <f t="shared" si="0"/>
        <v>1</v>
      </c>
      <c r="J30" s="59">
        <f t="shared" si="1"/>
        <v>0</v>
      </c>
      <c r="K30" cm="1">
        <f t="array" ref="K30">_xlfn.IFS(H30=3,1+K29,H30=1,1+K29,H30=0,0)</f>
        <v>1</v>
      </c>
      <c r="L30" cm="1">
        <f t="array" ref="L30">_xlfn.IFS(H30=0,1+L29,H30=1,1+L29,H30=3,0)</f>
        <v>0</v>
      </c>
    </row>
    <row r="31" spans="1:22" x14ac:dyDescent="0.2">
      <c r="A31">
        <v>30</v>
      </c>
      <c r="B31" s="1">
        <v>44002</v>
      </c>
      <c r="C31" t="str">
        <v>Brighton &amp; Hove Albion FC</v>
      </c>
      <c r="D31">
        <v>2</v>
      </c>
      <c r="E31" t="str">
        <v>Arsenal FC</v>
      </c>
      <c r="F31">
        <v>1</v>
      </c>
      <c r="H31" s="59" cm="1">
        <f t="array" ref="H31">_xlfn.IFS(AND(C31=$N$18,D31&gt;F31),3,AND(E31=$N$18,F31&gt;D31),3,AND(C31=$N$18,D31=F31),1,AND(E31=$N$18,D31=F31),1,AND(C31=$N$18,D31&lt;F31),0,AND(E31=$N$18,F31&lt;D31),0)</f>
        <v>0</v>
      </c>
      <c r="I31">
        <f t="shared" si="0"/>
        <v>0</v>
      </c>
      <c r="J31" s="59">
        <f t="shared" si="1"/>
        <v>1</v>
      </c>
      <c r="K31" cm="1">
        <f t="array" ref="K31">_xlfn.IFS(H31=3,1+K30,H31=1,1+K30,H31=0,0)</f>
        <v>0</v>
      </c>
      <c r="L31" cm="1">
        <f t="array" ref="L31">_xlfn.IFS(H31=0,1+L30,H31=1,1+L30,H31=3,0)</f>
        <v>1</v>
      </c>
    </row>
    <row r="32" spans="1:22" x14ac:dyDescent="0.2">
      <c r="A32">
        <v>31</v>
      </c>
      <c r="B32" s="1">
        <v>44007</v>
      </c>
      <c r="C32" t="str">
        <v>Southampton FC</v>
      </c>
      <c r="D32">
        <v>0</v>
      </c>
      <c r="E32" t="str">
        <v>Arsenal FC</v>
      </c>
      <c r="F32">
        <v>2</v>
      </c>
      <c r="H32" s="59" cm="1">
        <f t="array" ref="H32">_xlfn.IFS(AND(C32=$N$18,D32&gt;F32),3,AND(E32=$N$18,F32&gt;D32),3,AND(C32=$N$18,D32=F32),1,AND(E32=$N$18,D32=F32),1,AND(C32=$N$18,D32&lt;F32),0,AND(E32=$N$18,F32&lt;D32),0)</f>
        <v>3</v>
      </c>
      <c r="I32">
        <f t="shared" si="0"/>
        <v>1</v>
      </c>
      <c r="J32" s="59">
        <f t="shared" si="1"/>
        <v>0</v>
      </c>
      <c r="K32" cm="1">
        <f t="array" ref="K32">_xlfn.IFS(H32=3,1+K31,H32=1,1+K31,H32=0,0)</f>
        <v>1</v>
      </c>
      <c r="L32" cm="1">
        <f t="array" ref="L32">_xlfn.IFS(H32=0,1+L31,H32=1,1+L31,H32=3,0)</f>
        <v>0</v>
      </c>
    </row>
    <row r="33" spans="1:12" x14ac:dyDescent="0.2">
      <c r="A33">
        <v>32</v>
      </c>
      <c r="B33" s="1">
        <v>44013</v>
      </c>
      <c r="C33" t="str">
        <v>Arsenal FC</v>
      </c>
      <c r="D33">
        <v>4</v>
      </c>
      <c r="E33" t="str">
        <v>Norwich City FC</v>
      </c>
      <c r="F33">
        <v>0</v>
      </c>
      <c r="H33" s="59" cm="1">
        <f t="array" ref="H33">_xlfn.IFS(AND(C33=$N$18,D33&gt;F33),3,AND(E33=$N$18,F33&gt;D33),3,AND(C33=$N$18,D33=F33),1,AND(E33=$N$18,D33=F33),1,AND(C33=$N$18,D33&lt;F33),0,AND(E33=$N$18,F33&lt;D33),0)</f>
        <v>3</v>
      </c>
      <c r="I33">
        <f t="shared" si="0"/>
        <v>2</v>
      </c>
      <c r="J33" s="59">
        <f t="shared" si="1"/>
        <v>0</v>
      </c>
      <c r="K33" cm="1">
        <f t="array" ref="K33">_xlfn.IFS(H33=3,1+K32,H33=1,1+K32,H33=0,0)</f>
        <v>2</v>
      </c>
      <c r="L33" cm="1">
        <f t="array" ref="L33">_xlfn.IFS(H33=0,1+L32,H33=1,1+L32,H33=3,0)</f>
        <v>0</v>
      </c>
    </row>
    <row r="34" spans="1:12" x14ac:dyDescent="0.2">
      <c r="A34">
        <v>33</v>
      </c>
      <c r="B34" s="1">
        <v>44016</v>
      </c>
      <c r="C34" t="str">
        <v>Wolverhampton Wanderers FC</v>
      </c>
      <c r="D34">
        <v>0</v>
      </c>
      <c r="E34" t="str">
        <v>Arsenal FC</v>
      </c>
      <c r="F34">
        <v>2</v>
      </c>
      <c r="H34" s="59" cm="1">
        <f t="array" ref="H34">_xlfn.IFS(AND(C34=$N$18,D34&gt;F34),3,AND(E34=$N$18,F34&gt;D34),3,AND(C34=$N$18,D34=F34),1,AND(E34=$N$18,D34=F34),1,AND(C34=$N$18,D34&lt;F34),0,AND(E34=$N$18,F34&lt;D34),0)</f>
        <v>3</v>
      </c>
      <c r="I34">
        <f t="shared" si="0"/>
        <v>3</v>
      </c>
      <c r="J34" s="59">
        <f t="shared" si="1"/>
        <v>0</v>
      </c>
      <c r="K34" cm="1">
        <f t="array" ref="K34">_xlfn.IFS(H34=3,1+K33,H34=1,1+K33,H34=0,0)</f>
        <v>3</v>
      </c>
      <c r="L34" cm="1">
        <f t="array" ref="L34">_xlfn.IFS(H34=0,1+L33,H34=1,1+L33,H34=3,0)</f>
        <v>0</v>
      </c>
    </row>
    <row r="35" spans="1:12" x14ac:dyDescent="0.2">
      <c r="A35">
        <v>34</v>
      </c>
      <c r="B35" s="1">
        <v>44019</v>
      </c>
      <c r="C35" t="str">
        <v>Arsenal FC</v>
      </c>
      <c r="D35">
        <v>1</v>
      </c>
      <c r="E35" t="str">
        <v>Leicester City FC</v>
      </c>
      <c r="F35">
        <v>1</v>
      </c>
      <c r="H35" s="59" cm="1">
        <f t="array" ref="H35">_xlfn.IFS(AND(C35=$N$18,D35&gt;F35),3,AND(E35=$N$18,F35&gt;D35),3,AND(C35=$N$18,D35=F35),1,AND(E35=$N$18,D35=F35),1,AND(C35=$N$18,D35&lt;F35),0,AND(E35=$N$18,F35&lt;D35),0)</f>
        <v>1</v>
      </c>
      <c r="I35">
        <f t="shared" si="0"/>
        <v>0</v>
      </c>
      <c r="J35" s="59">
        <f t="shared" si="1"/>
        <v>0</v>
      </c>
      <c r="K35" cm="1">
        <f t="array" ref="K35">_xlfn.IFS(H35=3,1+K34,H35=1,1+K34,H35=0,0)</f>
        <v>4</v>
      </c>
      <c r="L35" cm="1">
        <f t="array" ref="L35">_xlfn.IFS(H35=0,1+L34,H35=1,1+L34,H35=3,0)</f>
        <v>1</v>
      </c>
    </row>
    <row r="36" spans="1:12" x14ac:dyDescent="0.2">
      <c r="A36">
        <v>35</v>
      </c>
      <c r="B36" s="1">
        <v>44024</v>
      </c>
      <c r="C36" t="str">
        <v>Tottenham Hotspur FC</v>
      </c>
      <c r="D36">
        <v>2</v>
      </c>
      <c r="E36" t="str">
        <v>Arsenal FC</v>
      </c>
      <c r="F36">
        <v>1</v>
      </c>
      <c r="H36" s="59" cm="1">
        <f t="array" ref="H36">_xlfn.IFS(AND(C36=$N$18,D36&gt;F36),3,AND(E36=$N$18,F36&gt;D36),3,AND(C36=$N$18,D36=F36),1,AND(E36=$N$18,D36=F36),1,AND(C36=$N$18,D36&lt;F36),0,AND(E36=$N$18,F36&lt;D36),0)</f>
        <v>0</v>
      </c>
      <c r="I36">
        <f t="shared" si="0"/>
        <v>0</v>
      </c>
      <c r="J36" s="59">
        <f t="shared" si="1"/>
        <v>1</v>
      </c>
      <c r="K36" cm="1">
        <f t="array" ref="K36">_xlfn.IFS(H36=3,1+K35,H36=1,1+K35,H36=0,0)</f>
        <v>0</v>
      </c>
      <c r="L36" cm="1">
        <f t="array" ref="L36">_xlfn.IFS(H36=0,1+L35,H36=1,1+L35,H36=3,0)</f>
        <v>2</v>
      </c>
    </row>
    <row r="37" spans="1:12" x14ac:dyDescent="0.2">
      <c r="A37">
        <v>36</v>
      </c>
      <c r="B37" s="1">
        <v>44027</v>
      </c>
      <c r="C37" t="str">
        <v>Arsenal FC</v>
      </c>
      <c r="D37">
        <v>2</v>
      </c>
      <c r="E37" t="str">
        <v>Liverpool FC</v>
      </c>
      <c r="F37">
        <v>1</v>
      </c>
      <c r="H37" s="59" cm="1">
        <f t="array" ref="H37">_xlfn.IFS(AND(C37=$N$18,D37&gt;F37),3,AND(E37=$N$18,F37&gt;D37),3,AND(C37=$N$18,D37=F37),1,AND(E37=$N$18,D37=F37),1,AND(C37=$N$18,D37&lt;F37),0,AND(E37=$N$18,F37&lt;D37),0)</f>
        <v>3</v>
      </c>
      <c r="I37">
        <f t="shared" si="0"/>
        <v>1</v>
      </c>
      <c r="J37" s="59">
        <f t="shared" si="1"/>
        <v>0</v>
      </c>
      <c r="K37" cm="1">
        <f t="array" ref="K37">_xlfn.IFS(H37=3,1+K36,H37=1,1+K36,H37=0,0)</f>
        <v>1</v>
      </c>
      <c r="L37" cm="1">
        <f t="array" ref="L37">_xlfn.IFS(H37=0,1+L36,H37=1,1+L36,H37=3,0)</f>
        <v>0</v>
      </c>
    </row>
    <row r="38" spans="1:12" x14ac:dyDescent="0.2">
      <c r="A38">
        <v>37</v>
      </c>
      <c r="B38" s="1">
        <v>44033</v>
      </c>
      <c r="C38" t="str">
        <v>Aston Villa FC</v>
      </c>
      <c r="D38">
        <v>1</v>
      </c>
      <c r="E38" t="str">
        <v>Arsenal FC</v>
      </c>
      <c r="F38">
        <v>0</v>
      </c>
      <c r="H38" s="59" cm="1">
        <f t="array" ref="H38">_xlfn.IFS(AND(C38=$N$18,D38&gt;F38),3,AND(E38=$N$18,F38&gt;D38),3,AND(C38=$N$18,D38=F38),1,AND(E38=$N$18,D38=F38),1,AND(C38=$N$18,D38&lt;F38),0,AND(E38=$N$18,F38&lt;D38),0)</f>
        <v>0</v>
      </c>
      <c r="I38">
        <f t="shared" si="0"/>
        <v>0</v>
      </c>
      <c r="J38" s="59">
        <f t="shared" si="1"/>
        <v>1</v>
      </c>
      <c r="K38" cm="1">
        <f t="array" ref="K38">_xlfn.IFS(H38=3,1+K37,H38=1,1+K37,H38=0,0)</f>
        <v>0</v>
      </c>
      <c r="L38" cm="1">
        <f t="array" ref="L38">_xlfn.IFS(H38=0,1+L37,H38=1,1+L37,H38=3,0)</f>
        <v>1</v>
      </c>
    </row>
    <row r="39" spans="1:12" x14ac:dyDescent="0.2">
      <c r="A39">
        <v>38</v>
      </c>
      <c r="B39" s="1">
        <v>44038</v>
      </c>
      <c r="C39" t="str">
        <v>Arsenal FC</v>
      </c>
      <c r="D39">
        <v>3</v>
      </c>
      <c r="E39" t="str">
        <v>Watford FC</v>
      </c>
      <c r="F39">
        <v>2</v>
      </c>
      <c r="H39" s="59" cm="1">
        <f t="array" ref="H39">_xlfn.IFS(AND(C39=$N$18,D39&gt;F39),3,AND(E39=$N$18,F39&gt;D39),3,AND(C39=$N$18,D39=F39),1,AND(E39=$N$18,D39=F39),1,AND(C39=$N$18,D39&lt;F39),0,AND(E39=$N$18,F39&lt;D39),0)</f>
        <v>3</v>
      </c>
      <c r="I39">
        <f t="shared" si="0"/>
        <v>1</v>
      </c>
      <c r="J39" s="59">
        <f t="shared" si="1"/>
        <v>0</v>
      </c>
      <c r="K39" cm="1">
        <f t="array" ref="K39">_xlfn.IFS(H39=3,1+K38,H39=1,1+K38,H39=0,0)</f>
        <v>1</v>
      </c>
      <c r="L39" cm="1">
        <f t="array" ref="L39">_xlfn.IFS(H39=0,1+L38,H39=1,1+L38,H39=3,0)</f>
        <v>0</v>
      </c>
    </row>
  </sheetData>
  <conditionalFormatting sqref="G2:G39">
    <cfRule type="expression" dxfId="59" priority="5">
      <formula>AND($E2=$N$18,$F2&gt;$D2)</formula>
    </cfRule>
  </conditionalFormatting>
  <conditionalFormatting sqref="G2:G39">
    <cfRule type="expression" dxfId="58" priority="4">
      <formula>AND($E2=$N$18,$F2&lt;$D2)</formula>
    </cfRule>
  </conditionalFormatting>
  <conditionalFormatting sqref="G2:G39">
    <cfRule type="expression" dxfId="57" priority="3">
      <formula>$D2=$F2</formula>
    </cfRule>
  </conditionalFormatting>
  <conditionalFormatting sqref="G2:G39">
    <cfRule type="expression" dxfId="56" priority="2">
      <formula>AND($C2=$N$18,$D2&lt;$F2)</formula>
    </cfRule>
  </conditionalFormatting>
  <conditionalFormatting sqref="G2:G39">
    <cfRule type="expression" dxfId="55" priority="1">
      <formula>AND($C2=$N$18,$D2&gt;$F2)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DDC03-FDDF-418D-9B39-4D9DB4A5EB4B}">
  <sheetPr codeName="Sheet16"/>
  <dimension ref="A1:V39"/>
  <sheetViews>
    <sheetView zoomScale="60" zoomScaleNormal="60" workbookViewId="0"/>
  </sheetViews>
  <sheetFormatPr baseColWidth="10" defaultColWidth="8.83203125" defaultRowHeight="15" x14ac:dyDescent="0.2"/>
  <cols>
    <col min="1" max="1" width="9.5" customWidth="1"/>
    <col min="2" max="2" width="12.83203125" style="1" customWidth="1"/>
    <col min="3" max="3" width="25.5" customWidth="1"/>
    <col min="4" max="4" width="12.1640625" customWidth="1"/>
    <col min="5" max="5" width="27.5" customWidth="1"/>
    <col min="6" max="6" width="11.5" customWidth="1"/>
    <col min="14" max="14" width="13.83203125" bestFit="1" customWidth="1"/>
    <col min="15" max="22" width="10.6640625" customWidth="1"/>
  </cols>
  <sheetData>
    <row r="1" spans="1:20" ht="32" x14ac:dyDescent="0.2">
      <c r="A1" s="67" t="s">
        <v>0</v>
      </c>
      <c r="B1" s="71" t="s">
        <v>1</v>
      </c>
      <c r="C1" s="68" t="s">
        <v>2</v>
      </c>
      <c r="D1" s="68" t="s">
        <v>3</v>
      </c>
      <c r="E1" s="68" t="s">
        <v>4</v>
      </c>
      <c r="F1" s="69" t="s">
        <v>96</v>
      </c>
      <c r="G1" s="69" t="s">
        <v>71</v>
      </c>
      <c r="H1" s="70" t="s">
        <v>19</v>
      </c>
      <c r="I1" s="81" t="s">
        <v>72</v>
      </c>
      <c r="J1" s="81" t="s">
        <v>53</v>
      </c>
      <c r="K1" s="81" t="s">
        <v>55</v>
      </c>
      <c r="L1" s="81" t="s">
        <v>73</v>
      </c>
      <c r="Q1" s="58" t="s">
        <v>74</v>
      </c>
      <c r="R1" s="58" t="s">
        <v>75</v>
      </c>
      <c r="S1" t="s">
        <v>76</v>
      </c>
      <c r="T1" s="63" t="s">
        <v>77</v>
      </c>
    </row>
    <row r="2" spans="1:20" x14ac:dyDescent="0.2">
      <c r="A2" cm="1">
        <f t="array" ref="A2:F39">_xlfn._xlws.FILTER(eng_1[],(eng_1[Home]='England 1'!C13)+(eng_1[Away]='England 1'!E6))</f>
        <v>1</v>
      </c>
      <c r="B2" s="1">
        <v>43687</v>
      </c>
      <c r="C2" t="str">
        <v>Crystal Palace FC</v>
      </c>
      <c r="D2">
        <v>0</v>
      </c>
      <c r="E2" t="str">
        <v>Everton FC</v>
      </c>
      <c r="F2">
        <v>0</v>
      </c>
      <c r="H2" s="59" cm="1">
        <f t="array" ref="H2">_xlfn.IFS(AND(C2=$N$18,D2&gt;F2),3,AND(E2=$N$18,F2&gt;D2),3,AND(C2=$N$18,D2=F2),1,AND(E2=$N$18,D2=F2),1,AND(C2=$N$18,D2&lt;F2),0,AND(E2=$N$18,F2&lt;D2),0)</f>
        <v>1</v>
      </c>
      <c r="I2" cm="1">
        <f t="array" ref="I2">_xlfn.IFS(H2=3,1,H2=1,0,H2=0,0)</f>
        <v>0</v>
      </c>
      <c r="J2" s="59" cm="1">
        <f t="array" ref="J2">_xlfn.IFS(H2=0,1,H2=1,0,H2=3,0)</f>
        <v>0</v>
      </c>
      <c r="K2" cm="1">
        <f t="array" ref="K2">_xlfn.IFS(H2=3,1,H2=1,1,H2=0,0)</f>
        <v>1</v>
      </c>
      <c r="L2" cm="1">
        <f t="array" ref="L2">_xlfn.IFS(H2=0,1,H2=1,1,H2=3,0)</f>
        <v>1</v>
      </c>
      <c r="Q2" s="56" t="s">
        <v>78</v>
      </c>
      <c r="R2">
        <v>20</v>
      </c>
      <c r="S2">
        <v>25</v>
      </c>
      <c r="T2" s="60">
        <v>1.25</v>
      </c>
    </row>
    <row r="3" spans="1:20" x14ac:dyDescent="0.2">
      <c r="A3">
        <v>2</v>
      </c>
      <c r="B3" s="1">
        <v>43694</v>
      </c>
      <c r="C3" t="str">
        <v>Everton FC</v>
      </c>
      <c r="D3">
        <v>1</v>
      </c>
      <c r="E3" t="str">
        <v>Watford FC</v>
      </c>
      <c r="F3">
        <v>0</v>
      </c>
      <c r="H3" s="59" cm="1">
        <f t="array" ref="H3">_xlfn.IFS(AND(C3=$N$18,D3&gt;F3),3,AND(E3=$N$18,F3&gt;D3),3,AND(C3=$N$18,D3=F3),1,AND(E3=$N$18,D3=F3),1,AND(C3=$N$18,D3&lt;F3),0,AND(E3=$N$18,F3&lt;D3),0)</f>
        <v>3</v>
      </c>
      <c r="I3">
        <f t="shared" ref="I3:I39" si="0">IF(H3=3,1+I2,0)</f>
        <v>1</v>
      </c>
      <c r="J3" s="59">
        <f t="shared" ref="J3:J39" si="1">IF(H3=0,1+J2,0)</f>
        <v>0</v>
      </c>
      <c r="K3" cm="1">
        <f t="array" ref="K3">_xlfn.IFS(H3=3,1+K2,H3=1,1+K2,H3=0,0)</f>
        <v>2</v>
      </c>
      <c r="L3" cm="1">
        <f t="array" ref="L3">_xlfn.IFS(H3=0,1+L2,H3=1,1+L2,H3=3,0)</f>
        <v>0</v>
      </c>
      <c r="N3" s="48" t="s">
        <v>79</v>
      </c>
      <c r="O3" s="48" t="s">
        <v>80</v>
      </c>
      <c r="Q3" s="57" t="s">
        <v>81</v>
      </c>
      <c r="R3">
        <v>3</v>
      </c>
      <c r="S3">
        <v>4</v>
      </c>
      <c r="T3" s="60">
        <v>1.3333333333333333</v>
      </c>
    </row>
    <row r="4" spans="1:20" x14ac:dyDescent="0.2">
      <c r="A4">
        <v>3</v>
      </c>
      <c r="B4" s="1">
        <v>43700</v>
      </c>
      <c r="C4" t="str">
        <v>Aston Villa FC</v>
      </c>
      <c r="D4">
        <v>2</v>
      </c>
      <c r="E4" t="str">
        <v>Everton FC</v>
      </c>
      <c r="F4">
        <v>0</v>
      </c>
      <c r="H4" s="59" cm="1">
        <f t="array" ref="H4">_xlfn.IFS(AND(C4=$N$18,D4&gt;F4),3,AND(E4=$N$18,F4&gt;D4),3,AND(C4=$N$18,D4=F4),1,AND(E4=$N$18,D4=F4),1,AND(C4=$N$18,D4&lt;F4),0,AND(E4=$N$18,F4&lt;D4),0)</f>
        <v>0</v>
      </c>
      <c r="I4">
        <f t="shared" si="0"/>
        <v>0</v>
      </c>
      <c r="J4" s="59">
        <f t="shared" si="1"/>
        <v>1</v>
      </c>
      <c r="K4" cm="1">
        <f t="array" ref="K4">_xlfn.IFS(H4=3,1+K3,H4=1,1+K3,H4=0,0)</f>
        <v>0</v>
      </c>
      <c r="L4" cm="1">
        <f t="array" ref="L4">_xlfn.IFS(H4=0,1+L3,H4=1,1+L3,H4=3,0)</f>
        <v>1</v>
      </c>
      <c r="N4" s="49" t="s">
        <v>82</v>
      </c>
      <c r="O4" s="50"/>
      <c r="Q4" s="57" t="s">
        <v>83</v>
      </c>
      <c r="R4">
        <v>4</v>
      </c>
      <c r="S4">
        <v>3</v>
      </c>
      <c r="T4" s="60">
        <v>0.75</v>
      </c>
    </row>
    <row r="5" spans="1:20" x14ac:dyDescent="0.2">
      <c r="A5">
        <v>4</v>
      </c>
      <c r="B5" s="1">
        <v>43709</v>
      </c>
      <c r="C5" t="str">
        <v>Everton FC</v>
      </c>
      <c r="D5">
        <v>3</v>
      </c>
      <c r="E5" t="str">
        <v>Wolverhampton Wanderers FC</v>
      </c>
      <c r="F5">
        <v>2</v>
      </c>
      <c r="H5" s="59" cm="1">
        <f t="array" ref="H5">_xlfn.IFS(AND(C5=$N$18,D5&gt;F5),3,AND(E5=$N$18,F5&gt;D5),3,AND(C5=$N$18,D5=F5),1,AND(E5=$N$18,D5=F5),1,AND(C5=$N$18,D5&lt;F5),0,AND(E5=$N$18,F5&lt;D5),0)</f>
        <v>3</v>
      </c>
      <c r="I5">
        <f t="shared" si="0"/>
        <v>1</v>
      </c>
      <c r="J5" s="59">
        <f t="shared" si="1"/>
        <v>0</v>
      </c>
      <c r="K5" cm="1">
        <f t="array" ref="K5">_xlfn.IFS(H5=3,1+K4,H5=1,1+K4,H5=0,0)</f>
        <v>1</v>
      </c>
      <c r="L5" cm="1">
        <f t="array" ref="L5">_xlfn.IFS(H5=0,1+L4,H5=1,1+L4,H5=3,0)</f>
        <v>0</v>
      </c>
      <c r="N5" s="49" t="s">
        <v>84</v>
      </c>
      <c r="O5" s="51"/>
      <c r="Q5" s="57" t="s">
        <v>85</v>
      </c>
      <c r="R5">
        <v>3</v>
      </c>
      <c r="S5">
        <v>3</v>
      </c>
      <c r="T5" s="60">
        <v>1</v>
      </c>
    </row>
    <row r="6" spans="1:20" x14ac:dyDescent="0.2">
      <c r="A6">
        <v>5</v>
      </c>
      <c r="B6" s="1">
        <v>43723</v>
      </c>
      <c r="C6" t="str">
        <v>AFC Bournemouth</v>
      </c>
      <c r="D6">
        <v>3</v>
      </c>
      <c r="E6" t="str">
        <v>Everton FC</v>
      </c>
      <c r="F6">
        <v>1</v>
      </c>
      <c r="H6" s="59" cm="1">
        <f t="array" ref="H6">_xlfn.IFS(AND(C6=$N$18,D6&gt;F6),3,AND(E6=$N$18,F6&gt;D6),3,AND(C6=$N$18,D6=F6),1,AND(E6=$N$18,D6=F6),1,AND(C6=$N$18,D6&lt;F6),0,AND(E6=$N$18,F6&lt;D6),0)</f>
        <v>0</v>
      </c>
      <c r="I6">
        <f t="shared" si="0"/>
        <v>0</v>
      </c>
      <c r="J6" s="59">
        <f t="shared" si="1"/>
        <v>1</v>
      </c>
      <c r="K6" cm="1">
        <f t="array" ref="K6">_xlfn.IFS(H6=3,1+K5,H6=1,1+K5,H6=0,0)</f>
        <v>0</v>
      </c>
      <c r="L6" cm="1">
        <f t="array" ref="L6">_xlfn.IFS(H6=0,1+L5,H6=1,1+L5,H6=3,0)</f>
        <v>1</v>
      </c>
      <c r="N6" s="49" t="s">
        <v>86</v>
      </c>
      <c r="O6" s="52"/>
      <c r="Q6" s="57" t="s">
        <v>87</v>
      </c>
      <c r="R6">
        <v>3</v>
      </c>
      <c r="S6">
        <v>4</v>
      </c>
      <c r="T6" s="60">
        <v>1.3333333333333333</v>
      </c>
    </row>
    <row r="7" spans="1:20" x14ac:dyDescent="0.2">
      <c r="A7">
        <v>6</v>
      </c>
      <c r="B7" s="1">
        <v>43729</v>
      </c>
      <c r="C7" t="str">
        <v>Everton FC</v>
      </c>
      <c r="D7">
        <v>0</v>
      </c>
      <c r="E7" t="str">
        <v>Sheffield United FC</v>
      </c>
      <c r="F7">
        <v>2</v>
      </c>
      <c r="H7" s="59" cm="1">
        <f t="array" ref="H7">_xlfn.IFS(AND(C7=$N$18,D7&gt;F7),3,AND(E7=$N$18,F7&gt;D7),3,AND(C7=$N$18,D7=F7),1,AND(E7=$N$18,D7=F7),1,AND(C7=$N$18,D7&lt;F7),0,AND(E7=$N$18,F7&lt;D7),0)</f>
        <v>0</v>
      </c>
      <c r="I7">
        <f t="shared" si="0"/>
        <v>0</v>
      </c>
      <c r="J7" s="59">
        <f t="shared" si="1"/>
        <v>2</v>
      </c>
      <c r="K7" cm="1">
        <f t="array" ref="K7">_xlfn.IFS(H7=3,1+K6,H7=1,1+K6,H7=0,0)</f>
        <v>0</v>
      </c>
      <c r="L7" cm="1">
        <f t="array" ref="L7">_xlfn.IFS(H7=0,1+L6,H7=1,1+L6,H7=3,0)</f>
        <v>2</v>
      </c>
      <c r="Q7" s="57" t="s">
        <v>88</v>
      </c>
      <c r="R7">
        <v>7</v>
      </c>
      <c r="S7">
        <v>11</v>
      </c>
      <c r="T7" s="60">
        <v>1.5714285714285714</v>
      </c>
    </row>
    <row r="8" spans="1:20" x14ac:dyDescent="0.2">
      <c r="A8">
        <v>7</v>
      </c>
      <c r="B8" s="1">
        <v>43736</v>
      </c>
      <c r="C8" t="str">
        <v>Everton FC</v>
      </c>
      <c r="D8">
        <v>1</v>
      </c>
      <c r="E8" t="str">
        <v>Manchester City FC</v>
      </c>
      <c r="F8">
        <v>3</v>
      </c>
      <c r="H8" s="59" cm="1">
        <f t="array" ref="H8">_xlfn.IFS(AND(C8=$N$18,D8&gt;F8),3,AND(E8=$N$18,F8&gt;D8),3,AND(C8=$N$18,D8=F8),1,AND(E8=$N$18,D8=F8),1,AND(C8=$N$18,D8&lt;F8),0,AND(E8=$N$18,F8&lt;D8),0)</f>
        <v>0</v>
      </c>
      <c r="I8">
        <f t="shared" si="0"/>
        <v>0</v>
      </c>
      <c r="J8" s="59">
        <f t="shared" si="1"/>
        <v>3</v>
      </c>
      <c r="K8" cm="1">
        <f t="array" ref="K8">_xlfn.IFS(H8=3,1+K7,H8=1,1+K7,H8=0,0)</f>
        <v>0</v>
      </c>
      <c r="L8" cm="1">
        <f t="array" ref="L8">_xlfn.IFS(H8=0,1+L7,H8=1,1+L7,H8=3,0)</f>
        <v>3</v>
      </c>
      <c r="Q8" s="56" t="s">
        <v>89</v>
      </c>
      <c r="R8">
        <v>18</v>
      </c>
      <c r="S8">
        <v>24</v>
      </c>
      <c r="T8" s="60">
        <v>1.3333333333333333</v>
      </c>
    </row>
    <row r="9" spans="1:20" x14ac:dyDescent="0.2">
      <c r="A9">
        <v>8</v>
      </c>
      <c r="B9" s="1">
        <v>43743</v>
      </c>
      <c r="C9" t="str">
        <v>Burnley FC</v>
      </c>
      <c r="D9">
        <v>1</v>
      </c>
      <c r="E9" t="str">
        <v>Everton FC</v>
      </c>
      <c r="F9">
        <v>0</v>
      </c>
      <c r="H9" s="59" cm="1">
        <f t="array" ref="H9">_xlfn.IFS(AND(C9=$N$18,D9&gt;F9),3,AND(E9=$N$18,F9&gt;D9),3,AND(C9=$N$18,D9=F9),1,AND(E9=$N$18,D9=F9),1,AND(C9=$N$18,D9&lt;F9),0,AND(E9=$N$18,F9&lt;D9),0)</f>
        <v>0</v>
      </c>
      <c r="I9">
        <f t="shared" si="0"/>
        <v>0</v>
      </c>
      <c r="J9" s="59">
        <f t="shared" si="1"/>
        <v>4</v>
      </c>
      <c r="K9" cm="1">
        <f t="array" ref="K9">_xlfn.IFS(H9=3,1+K8,H9=1,1+K8,H9=0,0)</f>
        <v>0</v>
      </c>
      <c r="L9" cm="1">
        <f t="array" ref="L9">_xlfn.IFS(H9=0,1+L8,H9=1,1+L8,H9=3,0)</f>
        <v>4</v>
      </c>
      <c r="Q9" s="57" t="s">
        <v>90</v>
      </c>
      <c r="R9">
        <v>4</v>
      </c>
      <c r="S9">
        <v>5</v>
      </c>
      <c r="T9" s="60">
        <v>1.25</v>
      </c>
    </row>
    <row r="10" spans="1:20" x14ac:dyDescent="0.2">
      <c r="A10">
        <v>9</v>
      </c>
      <c r="B10" s="1">
        <v>43757</v>
      </c>
      <c r="C10" t="str">
        <v>Everton FC</v>
      </c>
      <c r="D10">
        <v>2</v>
      </c>
      <c r="E10" t="str">
        <v>West Ham United FC</v>
      </c>
      <c r="F10">
        <v>0</v>
      </c>
      <c r="H10" s="59" cm="1">
        <f t="array" ref="H10">_xlfn.IFS(AND(C10=$N$18,D10&gt;F10),3,AND(E10=$N$18,F10&gt;D10),3,AND(C10=$N$18,D10=F10),1,AND(E10=$N$18,D10=F10),1,AND(C10=$N$18,D10&lt;F10),0,AND(E10=$N$18,F10&lt;D10),0)</f>
        <v>3</v>
      </c>
      <c r="I10">
        <f t="shared" si="0"/>
        <v>1</v>
      </c>
      <c r="J10" s="59">
        <f t="shared" si="1"/>
        <v>0</v>
      </c>
      <c r="K10" cm="1">
        <f t="array" ref="K10">_xlfn.IFS(H10=3,1+K9,H10=1,1+K9,H10=0,0)</f>
        <v>1</v>
      </c>
      <c r="L10" cm="1">
        <f t="array" ref="L10">_xlfn.IFS(H10=0,1+L9,H10=1,1+L9,H10=3,0)</f>
        <v>0</v>
      </c>
      <c r="Q10" s="57" t="s">
        <v>91</v>
      </c>
      <c r="R10">
        <v>3</v>
      </c>
      <c r="S10">
        <v>6</v>
      </c>
      <c r="T10" s="60">
        <v>2</v>
      </c>
    </row>
    <row r="11" spans="1:20" x14ac:dyDescent="0.2">
      <c r="A11">
        <v>10</v>
      </c>
      <c r="B11" s="1">
        <v>43764</v>
      </c>
      <c r="C11" t="str">
        <v>Brighton &amp; Hove Albion FC</v>
      </c>
      <c r="D11">
        <v>3</v>
      </c>
      <c r="E11" t="str">
        <v>Everton FC</v>
      </c>
      <c r="F11">
        <v>2</v>
      </c>
      <c r="H11" s="59" cm="1">
        <f t="array" ref="H11">_xlfn.IFS(AND(C11=$N$18,D11&gt;F11),3,AND(E11=$N$18,F11&gt;D11),3,AND(C11=$N$18,D11=F11),1,AND(E11=$N$18,D11=F11),1,AND(C11=$N$18,D11&lt;F11),0,AND(E11=$N$18,F11&lt;D11),0)</f>
        <v>0</v>
      </c>
      <c r="I11">
        <f t="shared" si="0"/>
        <v>0</v>
      </c>
      <c r="J11" s="59">
        <f t="shared" si="1"/>
        <v>1</v>
      </c>
      <c r="K11" cm="1">
        <f t="array" ref="K11">_xlfn.IFS(H11=3,1+K10,H11=1,1+K10,H11=0,0)</f>
        <v>0</v>
      </c>
      <c r="L11" cm="1">
        <f t="array" ref="L11">_xlfn.IFS(H11=0,1+L10,H11=1,1+L10,H11=3,0)</f>
        <v>1</v>
      </c>
      <c r="Q11" s="57" t="s">
        <v>92</v>
      </c>
      <c r="R11">
        <v>2</v>
      </c>
      <c r="S11">
        <v>1</v>
      </c>
      <c r="T11" s="60">
        <v>0.5</v>
      </c>
    </row>
    <row r="12" spans="1:20" x14ac:dyDescent="0.2">
      <c r="A12">
        <v>11</v>
      </c>
      <c r="B12" s="1">
        <v>43772</v>
      </c>
      <c r="C12" t="str">
        <v>Everton FC</v>
      </c>
      <c r="D12">
        <v>1</v>
      </c>
      <c r="E12" t="str">
        <v>Tottenham Hotspur FC</v>
      </c>
      <c r="F12">
        <v>1</v>
      </c>
      <c r="H12" s="59" cm="1">
        <f t="array" ref="H12">_xlfn.IFS(AND(C12=$N$18,D12&gt;F12),3,AND(E12=$N$18,F12&gt;D12),3,AND(C12=$N$18,D12=F12),1,AND(E12=$N$18,D12=F12),1,AND(C12=$N$18,D12&lt;F12),0,AND(E12=$N$18,F12&lt;D12),0)</f>
        <v>1</v>
      </c>
      <c r="I12">
        <f t="shared" si="0"/>
        <v>0</v>
      </c>
      <c r="J12" s="59">
        <f t="shared" si="1"/>
        <v>0</v>
      </c>
      <c r="K12" cm="1">
        <f t="array" ref="K12">_xlfn.IFS(H12=3,1+K11,H12=1,1+K11,H12=0,0)</f>
        <v>1</v>
      </c>
      <c r="L12" cm="1">
        <f t="array" ref="L12">_xlfn.IFS(H12=0,1+L11,H12=1,1+L11,H12=3,0)</f>
        <v>2</v>
      </c>
      <c r="Q12" s="57" t="s">
        <v>93</v>
      </c>
      <c r="R12">
        <v>2</v>
      </c>
      <c r="S12">
        <v>4</v>
      </c>
      <c r="T12" s="60">
        <v>2</v>
      </c>
    </row>
    <row r="13" spans="1:20" x14ac:dyDescent="0.2">
      <c r="A13">
        <v>12</v>
      </c>
      <c r="B13" s="1">
        <v>43778</v>
      </c>
      <c r="C13" t="str">
        <v>Southampton FC</v>
      </c>
      <c r="D13">
        <v>1</v>
      </c>
      <c r="E13" t="str">
        <v>Everton FC</v>
      </c>
      <c r="F13">
        <v>2</v>
      </c>
      <c r="H13" s="59" cm="1">
        <f t="array" ref="H13">_xlfn.IFS(AND(C13=$N$18,D13&gt;F13),3,AND(E13=$N$18,F13&gt;D13),3,AND(C13=$N$18,D13=F13),1,AND(E13=$N$18,D13=F13),1,AND(C13=$N$18,D13&lt;F13),0,AND(E13=$N$18,F13&lt;D13),0)</f>
        <v>3</v>
      </c>
      <c r="I13">
        <f t="shared" si="0"/>
        <v>1</v>
      </c>
      <c r="J13" s="59">
        <f t="shared" si="1"/>
        <v>0</v>
      </c>
      <c r="K13" cm="1">
        <f t="array" ref="K13">_xlfn.IFS(H13=3,1+K12,H13=1,1+K12,H13=0,0)</f>
        <v>2</v>
      </c>
      <c r="L13" cm="1">
        <f t="array" ref="L13">_xlfn.IFS(H13=0,1+L12,H13=1,1+L12,H13=3,0)</f>
        <v>0</v>
      </c>
      <c r="Q13" s="57" t="s">
        <v>94</v>
      </c>
      <c r="R13">
        <v>7</v>
      </c>
      <c r="S13">
        <v>8</v>
      </c>
      <c r="T13" s="60">
        <v>1.1428571428571428</v>
      </c>
    </row>
    <row r="14" spans="1:20" x14ac:dyDescent="0.2">
      <c r="A14">
        <v>13</v>
      </c>
      <c r="B14" s="1">
        <v>43792</v>
      </c>
      <c r="C14" t="str">
        <v>Everton FC</v>
      </c>
      <c r="D14">
        <v>0</v>
      </c>
      <c r="E14" t="str">
        <v>Norwich City FC</v>
      </c>
      <c r="F14">
        <v>2</v>
      </c>
      <c r="H14" s="59" cm="1">
        <f t="array" ref="H14">_xlfn.IFS(AND(C14=$N$18,D14&gt;F14),3,AND(E14=$N$18,F14&gt;D14),3,AND(C14=$N$18,D14=F14),1,AND(E14=$N$18,D14=F14),1,AND(C14=$N$18,D14&lt;F14),0,AND(E14=$N$18,F14&lt;D14),0)</f>
        <v>0</v>
      </c>
      <c r="I14">
        <f t="shared" si="0"/>
        <v>0</v>
      </c>
      <c r="J14" s="59">
        <f t="shared" si="1"/>
        <v>1</v>
      </c>
      <c r="K14" cm="1">
        <f t="array" ref="K14">_xlfn.IFS(H14=3,1+K13,H14=1,1+K13,H14=0,0)</f>
        <v>0</v>
      </c>
      <c r="L14" cm="1">
        <f t="array" ref="L14">_xlfn.IFS(H14=0,1+L13,H14=1,1+L13,H14=3,0)</f>
        <v>1</v>
      </c>
      <c r="Q14" s="56" t="s">
        <v>95</v>
      </c>
      <c r="R14">
        <v>38</v>
      </c>
      <c r="S14">
        <v>49</v>
      </c>
      <c r="T14" s="60">
        <v>1.2894736842105263</v>
      </c>
    </row>
    <row r="15" spans="1:20" x14ac:dyDescent="0.2">
      <c r="A15">
        <v>14</v>
      </c>
      <c r="B15" s="1">
        <v>43800</v>
      </c>
      <c r="C15" t="str">
        <v>Leicester City FC</v>
      </c>
      <c r="D15">
        <v>2</v>
      </c>
      <c r="E15" t="str">
        <v>Everton FC</v>
      </c>
      <c r="F15">
        <v>1</v>
      </c>
      <c r="H15" s="59" cm="1">
        <f t="array" ref="H15">_xlfn.IFS(AND(C15=$N$18,D15&gt;F15),3,AND(E15=$N$18,F15&gt;D15),3,AND(C15=$N$18,D15=F15),1,AND(E15=$N$18,D15=F15),1,AND(C15=$N$18,D15&lt;F15),0,AND(E15=$N$18,F15&lt;D15),0)</f>
        <v>0</v>
      </c>
      <c r="I15">
        <f t="shared" si="0"/>
        <v>0</v>
      </c>
      <c r="J15" s="59">
        <f t="shared" si="1"/>
        <v>2</v>
      </c>
      <c r="K15" cm="1">
        <f t="array" ref="K15">_xlfn.IFS(H15=3,1+K14,H15=1,1+K14,H15=0,0)</f>
        <v>0</v>
      </c>
      <c r="L15" cm="1">
        <f t="array" ref="L15">_xlfn.IFS(H15=0,1+L14,H15=1,1+L14,H15=3,0)</f>
        <v>2</v>
      </c>
    </row>
    <row r="16" spans="1:20" x14ac:dyDescent="0.2">
      <c r="A16">
        <v>15</v>
      </c>
      <c r="B16" s="1">
        <v>43803</v>
      </c>
      <c r="C16" t="str">
        <v>Liverpool FC</v>
      </c>
      <c r="D16">
        <v>5</v>
      </c>
      <c r="E16" t="str">
        <v>Everton FC</v>
      </c>
      <c r="F16">
        <v>2</v>
      </c>
      <c r="H16" s="59" cm="1">
        <f t="array" ref="H16">_xlfn.IFS(AND(C16=$N$18,D16&gt;F16),3,AND(E16=$N$18,F16&gt;D16),3,AND(C16=$N$18,D16=F16),1,AND(E16=$N$18,D16=F16),1,AND(C16=$N$18,D16&lt;F16),0,AND(E16=$N$18,F16&lt;D16),0)</f>
        <v>0</v>
      </c>
      <c r="I16">
        <f t="shared" si="0"/>
        <v>0</v>
      </c>
      <c r="J16" s="59">
        <f t="shared" si="1"/>
        <v>3</v>
      </c>
      <c r="K16" cm="1">
        <f t="array" ref="K16">_xlfn.IFS(H16=3,1+K15,H16=1,1+K15,H16=0,0)</f>
        <v>0</v>
      </c>
      <c r="L16" cm="1">
        <f t="array" ref="L16">_xlfn.IFS(H16=0,1+L15,H16=1,1+L15,H16=3,0)</f>
        <v>3</v>
      </c>
    </row>
    <row r="17" spans="1:22" x14ac:dyDescent="0.2">
      <c r="A17">
        <v>16</v>
      </c>
      <c r="B17" s="1">
        <v>43806</v>
      </c>
      <c r="C17" t="str">
        <v>Everton FC</v>
      </c>
      <c r="D17">
        <v>3</v>
      </c>
      <c r="E17" t="str">
        <v>Chelsea FC</v>
      </c>
      <c r="F17">
        <v>1</v>
      </c>
      <c r="H17" s="59" cm="1">
        <f t="array" ref="H17">_xlfn.IFS(AND(C17=$N$18,D17&gt;F17),3,AND(E17=$N$18,F17&gt;D17),3,AND(C17=$N$18,D17=F17),1,AND(E17=$N$18,D17=F17),1,AND(C17=$N$18,D17&lt;F17),0,AND(E17=$N$18,F17&lt;D17),0)</f>
        <v>3</v>
      </c>
      <c r="I17">
        <f t="shared" si="0"/>
        <v>1</v>
      </c>
      <c r="J17" s="59">
        <f t="shared" si="1"/>
        <v>0</v>
      </c>
      <c r="K17" cm="1">
        <f t="array" ref="K17">_xlfn.IFS(H17=3,1+K16,H17=1,1+K16,H17=0,0)</f>
        <v>1</v>
      </c>
      <c r="L17" cm="1">
        <f t="array" ref="L17">_xlfn.IFS(H17=0,1+L16,H17=1,1+L16,H17=3,0)</f>
        <v>0</v>
      </c>
    </row>
    <row r="18" spans="1:22" x14ac:dyDescent="0.2">
      <c r="A18">
        <v>17</v>
      </c>
      <c r="B18" s="1">
        <v>43814</v>
      </c>
      <c r="C18" t="str">
        <v>Manchester United FC</v>
      </c>
      <c r="D18">
        <v>1</v>
      </c>
      <c r="E18" t="str">
        <v>Everton FC</v>
      </c>
      <c r="F18">
        <v>1</v>
      </c>
      <c r="H18" s="59" cm="1">
        <f t="array" ref="H18">_xlfn.IFS(AND(C18=$N$18,D18&gt;F18),3,AND(E18=$N$18,F18&gt;D18),3,AND(C18=$N$18,D18=F18),1,AND(E18=$N$18,D18=F18),1,AND(C18=$N$18,D18&lt;F18),0,AND(E18=$N$18,F18&lt;D18),0)</f>
        <v>1</v>
      </c>
      <c r="I18">
        <f t="shared" si="0"/>
        <v>0</v>
      </c>
      <c r="J18" s="59">
        <f t="shared" si="1"/>
        <v>0</v>
      </c>
      <c r="K18" cm="1">
        <f t="array" ref="K18">_xlfn.IFS(H18=3,1+K17,H18=1,1+K17,H18=0,0)</f>
        <v>2</v>
      </c>
      <c r="L18" cm="1">
        <f t="array" ref="L18">_xlfn.IFS(H18=0,1+L17,H18=1,1+L17,H18=3,0)</f>
        <v>1</v>
      </c>
      <c r="N18" s="14" t="str">
        <f>E2</f>
        <v>Everton FC</v>
      </c>
      <c r="O18" s="9" t="s">
        <v>12</v>
      </c>
      <c r="P18" s="7" t="s">
        <v>13</v>
      </c>
      <c r="Q18" s="6" t="s">
        <v>14</v>
      </c>
      <c r="R18" s="8" t="s">
        <v>15</v>
      </c>
      <c r="S18" s="9" t="s">
        <v>16</v>
      </c>
      <c r="T18" s="9" t="s">
        <v>17</v>
      </c>
      <c r="U18" s="9" t="s">
        <v>18</v>
      </c>
      <c r="V18" s="9" t="s">
        <v>19</v>
      </c>
    </row>
    <row r="19" spans="1:22" x14ac:dyDescent="0.2">
      <c r="A19">
        <v>18</v>
      </c>
      <c r="B19" s="1">
        <v>43820</v>
      </c>
      <c r="C19" t="str">
        <v>Everton FC</v>
      </c>
      <c r="D19">
        <v>0</v>
      </c>
      <c r="E19" t="str">
        <v>Arsenal FC</v>
      </c>
      <c r="F19">
        <v>0</v>
      </c>
      <c r="H19" s="59" cm="1">
        <f t="array" ref="H19">_xlfn.IFS(AND(C19=$N$18,D19&gt;F19),3,AND(E19=$N$18,F19&gt;D19),3,AND(C19=$N$18,D19=F19),1,AND(E19=$N$18,D19=F19),1,AND(C19=$N$18,D19&lt;F19),0,AND(E19=$N$18,F19&lt;D19),0)</f>
        <v>1</v>
      </c>
      <c r="I19">
        <f t="shared" si="0"/>
        <v>0</v>
      </c>
      <c r="J19" s="59">
        <f t="shared" si="1"/>
        <v>0</v>
      </c>
      <c r="K19" cm="1">
        <f t="array" ref="K19">_xlfn.IFS(H19=3,1+K18,H19=1,1+K18,H19=0,0)</f>
        <v>3</v>
      </c>
      <c r="L19" cm="1">
        <f t="array" ref="L19">_xlfn.IFS(H19=0,1+L18,H19=1,1+L18,H19=3,0)</f>
        <v>2</v>
      </c>
      <c r="N19" s="10" t="s">
        <v>22</v>
      </c>
      <c r="O19" s="11">
        <f>COUNT(A2:A39)</f>
        <v>38</v>
      </c>
      <c r="P19" s="5" cm="1">
        <f t="array" ref="P19">SUMPRODUCT(((C2:C39=$N$18)*(D2:D39&gt;F2:F39))+((E2:E39=$N$18)*(F2:F39&gt;D2:D39)))</f>
        <v>13</v>
      </c>
      <c r="Q19" s="12" cm="1">
        <f t="array" ref="Q19">SUMPRODUCT(((C2:C39=$N$18)*(D2:D39=F2:F39))+((E2:E39=$N$18)*(F2:F39=D2:D39)))</f>
        <v>10</v>
      </c>
      <c r="R19" s="13" cm="1">
        <f t="array" ref="R19">SUMPRODUCT(((C2:C39=$N$18)*(D2:D39&lt;F2:F39))+((E2:E39=$N$18)*(F2:F39&lt;D2:D39)))</f>
        <v>15</v>
      </c>
      <c r="S19" s="11">
        <f>SUMIF(C2:C39,N18,D2:D39)+SUMIF(E2:E39,N18,F2:F39)</f>
        <v>44</v>
      </c>
      <c r="T19" s="11">
        <f>SUMIF(C2:C39,N18,F2:F39)+SUMIF(E2:E39,N18,D2:D39)</f>
        <v>56</v>
      </c>
      <c r="U19" s="11">
        <f>S19-T19</f>
        <v>-12</v>
      </c>
      <c r="V19" s="11">
        <f>V20+V21</f>
        <v>49</v>
      </c>
    </row>
    <row r="20" spans="1:22" x14ac:dyDescent="0.2">
      <c r="A20">
        <v>19</v>
      </c>
      <c r="B20" s="1">
        <v>43825</v>
      </c>
      <c r="C20" t="str">
        <v>Everton FC</v>
      </c>
      <c r="D20">
        <v>1</v>
      </c>
      <c r="E20" t="str">
        <v>Burnley FC</v>
      </c>
      <c r="F20">
        <v>0</v>
      </c>
      <c r="H20" s="59" cm="1">
        <f t="array" ref="H20">_xlfn.IFS(AND(C20=$N$18,D20&gt;F20),3,AND(E20=$N$18,F20&gt;D20),3,AND(C20=$N$18,D20=F20),1,AND(E20=$N$18,D20=F20),1,AND(C20=$N$18,D20&lt;F20),0,AND(E20=$N$18,F20&lt;D20),0)</f>
        <v>3</v>
      </c>
      <c r="I20">
        <f t="shared" si="0"/>
        <v>1</v>
      </c>
      <c r="J20" s="59">
        <f t="shared" si="1"/>
        <v>0</v>
      </c>
      <c r="K20" cm="1">
        <f t="array" ref="K20">_xlfn.IFS(H20=3,1+K19,H20=1,1+K19,H20=0,0)</f>
        <v>4</v>
      </c>
      <c r="L20" cm="1">
        <f t="array" ref="L20">_xlfn.IFS(H20=0,1+L19,H20=1,1+L19,H20=3,0)</f>
        <v>0</v>
      </c>
      <c r="N20" s="10" t="s">
        <v>2</v>
      </c>
      <c r="O20" s="11">
        <f>COUNTIF(C2:C39,C3)</f>
        <v>19</v>
      </c>
      <c r="P20" s="20" cm="1">
        <f t="array" ref="P20">SUMPRODUCT(((C2:C39=$N$18)*(D2:D39&gt;F2:F39)))</f>
        <v>8</v>
      </c>
      <c r="Q20" s="12" cm="1">
        <f t="array" ref="Q20">SUMPRODUCT(((C2:C39=$N$18)*(D2:D39=F2:F39)))</f>
        <v>7</v>
      </c>
      <c r="R20" s="13" cm="1">
        <f t="array" ref="R20">SUMPRODUCT(((C2:C39=$N$18)*(D2:D39&lt;F2:F39)))</f>
        <v>4</v>
      </c>
      <c r="S20" s="11">
        <f>SUMIF(C2:C39,N18,D2:D39)</f>
        <v>24</v>
      </c>
      <c r="T20" s="11">
        <f>SUMIF(C2:C39,N18,F2:F39)</f>
        <v>21</v>
      </c>
      <c r="U20" s="11">
        <f>S20-T20</f>
        <v>3</v>
      </c>
      <c r="V20" s="11">
        <f>(P20*3)+Q20</f>
        <v>31</v>
      </c>
    </row>
    <row r="21" spans="1:22" x14ac:dyDescent="0.2">
      <c r="A21">
        <v>20</v>
      </c>
      <c r="B21" s="1">
        <v>43827</v>
      </c>
      <c r="C21" t="str">
        <v>Newcastle United FC</v>
      </c>
      <c r="D21">
        <v>1</v>
      </c>
      <c r="E21" t="str">
        <v>Everton FC</v>
      </c>
      <c r="F21">
        <v>2</v>
      </c>
      <c r="H21" s="59" cm="1">
        <f t="array" ref="H21">_xlfn.IFS(AND(C21=$N$18,D21&gt;F21),3,AND(E21=$N$18,F21&gt;D21),3,AND(C21=$N$18,D21=F21),1,AND(E21=$N$18,D21=F21),1,AND(C21=$N$18,D21&lt;F21),0,AND(E21=$N$18,F21&lt;D21),0)</f>
        <v>3</v>
      </c>
      <c r="I21">
        <f t="shared" si="0"/>
        <v>2</v>
      </c>
      <c r="J21" s="59">
        <f t="shared" si="1"/>
        <v>0</v>
      </c>
      <c r="K21" cm="1">
        <f t="array" ref="K21">_xlfn.IFS(H21=3,1+K20,H21=1,1+K20,H21=0,0)</f>
        <v>5</v>
      </c>
      <c r="L21" cm="1">
        <f t="array" ref="L21">_xlfn.IFS(H21=0,1+L20,H21=1,1+L20,H21=3,0)</f>
        <v>0</v>
      </c>
      <c r="N21" s="10" t="s">
        <v>4</v>
      </c>
      <c r="O21" s="11">
        <f>COUNTIF(E2:E39,E2)</f>
        <v>19</v>
      </c>
      <c r="P21" s="5" cm="1">
        <f t="array" ref="P21">SUMPRODUCT(((E2:E39=$N$18)*(F2:F39&gt;D2:D39)))</f>
        <v>5</v>
      </c>
      <c r="Q21" s="12" cm="1">
        <f t="array" ref="Q21">SUMPRODUCT(((E2:E39=$N$18)*(F2:F39=D2:D39)))</f>
        <v>3</v>
      </c>
      <c r="R21" s="13" cm="1">
        <f t="array" ref="R21">SUMPRODUCT(((E2:E39=$N$18)*(F2:F39&lt;D2:D39)))</f>
        <v>11</v>
      </c>
      <c r="S21" s="11">
        <f>SUMIF(E2:E39,N18,F2:F39)</f>
        <v>20</v>
      </c>
      <c r="T21" s="11">
        <f>SUMIF(E2:E39,N18,D2:D39)</f>
        <v>35</v>
      </c>
      <c r="U21" s="11">
        <f>S21-T21</f>
        <v>-15</v>
      </c>
      <c r="V21" s="11">
        <f>(P21*3)+Q21</f>
        <v>18</v>
      </c>
    </row>
    <row r="22" spans="1:22" x14ac:dyDescent="0.2">
      <c r="A22">
        <v>21</v>
      </c>
      <c r="B22" s="1">
        <v>43831</v>
      </c>
      <c r="C22" t="str">
        <v>Manchester City FC</v>
      </c>
      <c r="D22">
        <v>2</v>
      </c>
      <c r="E22" t="str">
        <v>Everton FC</v>
      </c>
      <c r="F22">
        <v>1</v>
      </c>
      <c r="H22" s="59" cm="1">
        <f t="array" ref="H22">_xlfn.IFS(AND(C22=$N$18,D22&gt;F22),3,AND(E22=$N$18,F22&gt;D22),3,AND(C22=$N$18,D22=F22),1,AND(E22=$N$18,D22=F22),1,AND(C22=$N$18,D22&lt;F22),0,AND(E22=$N$18,F22&lt;D22),0)</f>
        <v>0</v>
      </c>
      <c r="I22">
        <f t="shared" si="0"/>
        <v>0</v>
      </c>
      <c r="J22" s="59">
        <f t="shared" si="1"/>
        <v>1</v>
      </c>
      <c r="K22" cm="1">
        <f t="array" ref="K22">_xlfn.IFS(H22=3,1+K21,H22=1,1+K21,H22=0,0)</f>
        <v>0</v>
      </c>
      <c r="L22" cm="1">
        <f t="array" ref="L22">_xlfn.IFS(H22=0,1+L21,H22=1,1+L21,H22=3,0)</f>
        <v>1</v>
      </c>
    </row>
    <row r="23" spans="1:22" x14ac:dyDescent="0.2">
      <c r="A23">
        <v>22</v>
      </c>
      <c r="B23" s="1">
        <v>43841</v>
      </c>
      <c r="C23" t="str">
        <v>Everton FC</v>
      </c>
      <c r="D23">
        <v>1</v>
      </c>
      <c r="E23" t="str">
        <v>Brighton &amp; Hove Albion FC</v>
      </c>
      <c r="F23">
        <v>0</v>
      </c>
      <c r="H23" s="59" cm="1">
        <f t="array" ref="H23">_xlfn.IFS(AND(C23=$N$18,D23&gt;F23),3,AND(E23=$N$18,F23&gt;D23),3,AND(C23=$N$18,D23=F23),1,AND(E23=$N$18,D23=F23),1,AND(C23=$N$18,D23&lt;F23),0,AND(E23=$N$18,F23&lt;D23),0)</f>
        <v>3</v>
      </c>
      <c r="I23">
        <f t="shared" si="0"/>
        <v>1</v>
      </c>
      <c r="J23" s="59">
        <f t="shared" si="1"/>
        <v>0</v>
      </c>
      <c r="K23" cm="1">
        <f t="array" ref="K23">_xlfn.IFS(H23=3,1+K22,H23=1,1+K22,H23=0,0)</f>
        <v>1</v>
      </c>
      <c r="L23" cm="1">
        <f t="array" ref="L23">_xlfn.IFS(H23=0,1+L22,H23=1,1+L22,H23=3,0)</f>
        <v>0</v>
      </c>
    </row>
    <row r="24" spans="1:22" x14ac:dyDescent="0.2">
      <c r="A24">
        <v>23</v>
      </c>
      <c r="B24" s="1">
        <v>43848</v>
      </c>
      <c r="C24" t="str">
        <v>West Ham United FC</v>
      </c>
      <c r="D24">
        <v>1</v>
      </c>
      <c r="E24" t="str">
        <v>Everton FC</v>
      </c>
      <c r="F24">
        <v>1</v>
      </c>
      <c r="H24" s="59" cm="1">
        <f t="array" ref="H24">_xlfn.IFS(AND(C24=$N$18,D24&gt;F24),3,AND(E24=$N$18,F24&gt;D24),3,AND(C24=$N$18,D24=F24),1,AND(E24=$N$18,D24=F24),1,AND(C24=$N$18,D24&lt;F24),0,AND(E24=$N$18,F24&lt;D24),0)</f>
        <v>1</v>
      </c>
      <c r="I24">
        <f t="shared" si="0"/>
        <v>0</v>
      </c>
      <c r="J24" s="59">
        <f t="shared" si="1"/>
        <v>0</v>
      </c>
      <c r="K24" cm="1">
        <f t="array" ref="K24">_xlfn.IFS(H24=3,1+K23,H24=1,1+K23,H24=0,0)</f>
        <v>2</v>
      </c>
      <c r="L24" cm="1">
        <f t="array" ref="L24">_xlfn.IFS(H24=0,1+L23,H24=1,1+L23,H24=3,0)</f>
        <v>1</v>
      </c>
    </row>
    <row r="25" spans="1:22" x14ac:dyDescent="0.2">
      <c r="A25">
        <v>24</v>
      </c>
      <c r="B25" s="1">
        <v>43851</v>
      </c>
      <c r="C25" t="str">
        <v>Everton FC</v>
      </c>
      <c r="D25">
        <v>2</v>
      </c>
      <c r="E25" t="str">
        <v>Newcastle United FC</v>
      </c>
      <c r="F25">
        <v>2</v>
      </c>
      <c r="H25" s="59" cm="1">
        <f t="array" ref="H25">_xlfn.IFS(AND(C25=$N$18,D25&gt;F25),3,AND(E25=$N$18,F25&gt;D25),3,AND(C25=$N$18,D25=F25),1,AND(E25=$N$18,D25=F25),1,AND(C25=$N$18,D25&lt;F25),0,AND(E25=$N$18,F25&lt;D25),0)</f>
        <v>1</v>
      </c>
      <c r="I25">
        <f t="shared" si="0"/>
        <v>0</v>
      </c>
      <c r="J25" s="59">
        <f t="shared" si="1"/>
        <v>0</v>
      </c>
      <c r="K25" cm="1">
        <f t="array" ref="K25">_xlfn.IFS(H25=3,1+K24,H25=1,1+K24,H25=0,0)</f>
        <v>3</v>
      </c>
      <c r="L25" cm="1">
        <f t="array" ref="L25">_xlfn.IFS(H25=0,1+L24,H25=1,1+L24,H25=3,0)</f>
        <v>2</v>
      </c>
    </row>
    <row r="26" spans="1:22" x14ac:dyDescent="0.2">
      <c r="A26">
        <v>25</v>
      </c>
      <c r="B26" s="1">
        <v>43862</v>
      </c>
      <c r="C26" t="str">
        <v>Watford FC</v>
      </c>
      <c r="D26">
        <v>2</v>
      </c>
      <c r="E26" t="str">
        <v>Everton FC</v>
      </c>
      <c r="F26">
        <v>3</v>
      </c>
      <c r="H26" s="59" cm="1">
        <f t="array" ref="H26">_xlfn.IFS(AND(C26=$N$18,D26&gt;F26),3,AND(E26=$N$18,F26&gt;D26),3,AND(C26=$N$18,D26=F26),1,AND(E26=$N$18,D26=F26),1,AND(C26=$N$18,D26&lt;F26),0,AND(E26=$N$18,F26&lt;D26),0)</f>
        <v>3</v>
      </c>
      <c r="I26">
        <f t="shared" si="0"/>
        <v>1</v>
      </c>
      <c r="J26" s="59">
        <f t="shared" si="1"/>
        <v>0</v>
      </c>
      <c r="K26" cm="1">
        <f t="array" ref="K26">_xlfn.IFS(H26=3,1+K25,H26=1,1+K25,H26=0,0)</f>
        <v>4</v>
      </c>
      <c r="L26" cm="1">
        <f t="array" ref="L26">_xlfn.IFS(H26=0,1+L25,H26=1,1+L25,H26=3,0)</f>
        <v>0</v>
      </c>
    </row>
    <row r="27" spans="1:22" x14ac:dyDescent="0.2">
      <c r="A27">
        <v>26</v>
      </c>
      <c r="B27" s="1">
        <v>43869</v>
      </c>
      <c r="C27" t="str">
        <v>Everton FC</v>
      </c>
      <c r="D27">
        <v>3</v>
      </c>
      <c r="E27" t="str">
        <v>Crystal Palace FC</v>
      </c>
      <c r="F27">
        <v>1</v>
      </c>
      <c r="H27" s="59" cm="1">
        <f t="array" ref="H27">_xlfn.IFS(AND(C27=$N$18,D27&gt;F27),3,AND(E27=$N$18,F27&gt;D27),3,AND(C27=$N$18,D27=F27),1,AND(E27=$N$18,D27=F27),1,AND(C27=$N$18,D27&lt;F27),0,AND(E27=$N$18,F27&lt;D27),0)</f>
        <v>3</v>
      </c>
      <c r="I27">
        <f t="shared" si="0"/>
        <v>2</v>
      </c>
      <c r="J27" s="59">
        <f t="shared" si="1"/>
        <v>0</v>
      </c>
      <c r="K27" cm="1">
        <f t="array" ref="K27">_xlfn.IFS(H27=3,1+K26,H27=1,1+K26,H27=0,0)</f>
        <v>5</v>
      </c>
      <c r="L27" cm="1">
        <f t="array" ref="L27">_xlfn.IFS(H27=0,1+L26,H27=1,1+L26,H27=3,0)</f>
        <v>0</v>
      </c>
    </row>
    <row r="28" spans="1:22" x14ac:dyDescent="0.2">
      <c r="A28">
        <v>27</v>
      </c>
      <c r="B28" s="1">
        <v>43884</v>
      </c>
      <c r="C28" t="str">
        <v>Arsenal FC</v>
      </c>
      <c r="D28">
        <v>3</v>
      </c>
      <c r="E28" t="str">
        <v>Everton FC</v>
      </c>
      <c r="F28">
        <v>2</v>
      </c>
      <c r="H28" s="59" cm="1">
        <f t="array" ref="H28">_xlfn.IFS(AND(C28=$N$18,D28&gt;F28),3,AND(E28=$N$18,F28&gt;D28),3,AND(C28=$N$18,D28=F28),1,AND(E28=$N$18,D28=F28),1,AND(C28=$N$18,D28&lt;F28),0,AND(E28=$N$18,F28&lt;D28),0)</f>
        <v>0</v>
      </c>
      <c r="I28">
        <f t="shared" si="0"/>
        <v>0</v>
      </c>
      <c r="J28" s="59">
        <f t="shared" si="1"/>
        <v>1</v>
      </c>
      <c r="K28" cm="1">
        <f t="array" ref="K28">_xlfn.IFS(H28=3,1+K27,H28=1,1+K27,H28=0,0)</f>
        <v>0</v>
      </c>
      <c r="L28" cm="1">
        <f t="array" ref="L28">_xlfn.IFS(H28=0,1+L27,H28=1,1+L27,H28=3,0)</f>
        <v>1</v>
      </c>
    </row>
    <row r="29" spans="1:22" x14ac:dyDescent="0.2">
      <c r="A29">
        <v>28</v>
      </c>
      <c r="B29" s="1">
        <v>43891</v>
      </c>
      <c r="C29" t="str">
        <v>Everton FC</v>
      </c>
      <c r="D29">
        <v>1</v>
      </c>
      <c r="E29" t="str">
        <v>Manchester United FC</v>
      </c>
      <c r="F29">
        <v>1</v>
      </c>
      <c r="H29" s="59" cm="1">
        <f t="array" ref="H29">_xlfn.IFS(AND(C29=$N$18,D29&gt;F29),3,AND(E29=$N$18,F29&gt;D29),3,AND(C29=$N$18,D29=F29),1,AND(E29=$N$18,D29=F29),1,AND(C29=$N$18,D29&lt;F29),0,AND(E29=$N$18,F29&lt;D29),0)</f>
        <v>1</v>
      </c>
      <c r="I29">
        <f t="shared" si="0"/>
        <v>0</v>
      </c>
      <c r="J29" s="59">
        <f t="shared" si="1"/>
        <v>0</v>
      </c>
      <c r="K29" cm="1">
        <f t="array" ref="K29">_xlfn.IFS(H29=3,1+K28,H29=1,1+K28,H29=0,0)</f>
        <v>1</v>
      </c>
      <c r="L29" cm="1">
        <f t="array" ref="L29">_xlfn.IFS(H29=0,1+L28,H29=1,1+L28,H29=3,0)</f>
        <v>2</v>
      </c>
    </row>
    <row r="30" spans="1:22" x14ac:dyDescent="0.2">
      <c r="A30">
        <v>29</v>
      </c>
      <c r="B30" s="1">
        <v>43898</v>
      </c>
      <c r="C30" t="str">
        <v>Chelsea FC</v>
      </c>
      <c r="D30">
        <v>4</v>
      </c>
      <c r="E30" t="str">
        <v>Everton FC</v>
      </c>
      <c r="F30">
        <v>0</v>
      </c>
      <c r="H30" s="59" cm="1">
        <f t="array" ref="H30">_xlfn.IFS(AND(C30=$N$18,D30&gt;F30),3,AND(E30=$N$18,F30&gt;D30),3,AND(C30=$N$18,D30=F30),1,AND(E30=$N$18,D30=F30),1,AND(C30=$N$18,D30&lt;F30),0,AND(E30=$N$18,F30&lt;D30),0)</f>
        <v>0</v>
      </c>
      <c r="I30">
        <f t="shared" si="0"/>
        <v>0</v>
      </c>
      <c r="J30" s="59">
        <f t="shared" si="1"/>
        <v>1</v>
      </c>
      <c r="K30" cm="1">
        <f t="array" ref="K30">_xlfn.IFS(H30=3,1+K29,H30=1,1+K29,H30=0,0)</f>
        <v>0</v>
      </c>
      <c r="L30" cm="1">
        <f t="array" ref="L30">_xlfn.IFS(H30=0,1+L29,H30=1,1+L29,H30=3,0)</f>
        <v>3</v>
      </c>
    </row>
    <row r="31" spans="1:22" x14ac:dyDescent="0.2">
      <c r="A31">
        <v>30</v>
      </c>
      <c r="B31" s="1">
        <v>44003</v>
      </c>
      <c r="C31" t="str">
        <v>Everton FC</v>
      </c>
      <c r="D31">
        <v>0</v>
      </c>
      <c r="E31" t="str">
        <v>Liverpool FC</v>
      </c>
      <c r="F31">
        <v>0</v>
      </c>
      <c r="H31" s="59" cm="1">
        <f t="array" ref="H31">_xlfn.IFS(AND(C31=$N$18,D31&gt;F31),3,AND(E31=$N$18,F31&gt;D31),3,AND(C31=$N$18,D31=F31),1,AND(E31=$N$18,D31=F31),1,AND(C31=$N$18,D31&lt;F31),0,AND(E31=$N$18,F31&lt;D31),0)</f>
        <v>1</v>
      </c>
      <c r="I31">
        <f t="shared" si="0"/>
        <v>0</v>
      </c>
      <c r="J31" s="59">
        <f t="shared" si="1"/>
        <v>0</v>
      </c>
      <c r="K31" cm="1">
        <f t="array" ref="K31">_xlfn.IFS(H31=3,1+K30,H31=1,1+K30,H31=0,0)</f>
        <v>1</v>
      </c>
      <c r="L31" cm="1">
        <f t="array" ref="L31">_xlfn.IFS(H31=0,1+L30,H31=1,1+L30,H31=3,0)</f>
        <v>4</v>
      </c>
    </row>
    <row r="32" spans="1:22" x14ac:dyDescent="0.2">
      <c r="A32">
        <v>31</v>
      </c>
      <c r="B32" s="1">
        <v>44006</v>
      </c>
      <c r="C32" t="str">
        <v>Norwich City FC</v>
      </c>
      <c r="D32">
        <v>0</v>
      </c>
      <c r="E32" t="str">
        <v>Everton FC</v>
      </c>
      <c r="F32">
        <v>1</v>
      </c>
      <c r="H32" s="59" cm="1">
        <f t="array" ref="H32">_xlfn.IFS(AND(C32=$N$18,D32&gt;F32),3,AND(E32=$N$18,F32&gt;D32),3,AND(C32=$N$18,D32=F32),1,AND(E32=$N$18,D32=F32),1,AND(C32=$N$18,D32&lt;F32),0,AND(E32=$N$18,F32&lt;D32),0)</f>
        <v>3</v>
      </c>
      <c r="I32">
        <f t="shared" si="0"/>
        <v>1</v>
      </c>
      <c r="J32" s="59">
        <f t="shared" si="1"/>
        <v>0</v>
      </c>
      <c r="K32" cm="1">
        <f t="array" ref="K32">_xlfn.IFS(H32=3,1+K31,H32=1,1+K31,H32=0,0)</f>
        <v>2</v>
      </c>
      <c r="L32" cm="1">
        <f t="array" ref="L32">_xlfn.IFS(H32=0,1+L31,H32=1,1+L31,H32=3,0)</f>
        <v>0</v>
      </c>
    </row>
    <row r="33" spans="1:12" x14ac:dyDescent="0.2">
      <c r="A33">
        <v>32</v>
      </c>
      <c r="B33" s="1">
        <v>44013</v>
      </c>
      <c r="C33" t="str">
        <v>Everton FC</v>
      </c>
      <c r="D33">
        <v>2</v>
      </c>
      <c r="E33" t="str">
        <v>Leicester City FC</v>
      </c>
      <c r="F33">
        <v>1</v>
      </c>
      <c r="H33" s="59" cm="1">
        <f t="array" ref="H33">_xlfn.IFS(AND(C33=$N$18,D33&gt;F33),3,AND(E33=$N$18,F33&gt;D33),3,AND(C33=$N$18,D33=F33),1,AND(E33=$N$18,D33=F33),1,AND(C33=$N$18,D33&lt;F33),0,AND(E33=$N$18,F33&lt;D33),0)</f>
        <v>3</v>
      </c>
      <c r="I33">
        <f t="shared" si="0"/>
        <v>2</v>
      </c>
      <c r="J33" s="59">
        <f t="shared" si="1"/>
        <v>0</v>
      </c>
      <c r="K33" cm="1">
        <f t="array" ref="K33">_xlfn.IFS(H33=3,1+K32,H33=1,1+K32,H33=0,0)</f>
        <v>3</v>
      </c>
      <c r="L33" cm="1">
        <f t="array" ref="L33">_xlfn.IFS(H33=0,1+L32,H33=1,1+L32,H33=3,0)</f>
        <v>0</v>
      </c>
    </row>
    <row r="34" spans="1:12" x14ac:dyDescent="0.2">
      <c r="A34">
        <v>33</v>
      </c>
      <c r="B34" s="1">
        <v>44018</v>
      </c>
      <c r="C34" t="str">
        <v>Tottenham Hotspur FC</v>
      </c>
      <c r="D34">
        <v>1</v>
      </c>
      <c r="E34" t="str">
        <v>Everton FC</v>
      </c>
      <c r="F34">
        <v>0</v>
      </c>
      <c r="H34" s="59" cm="1">
        <f t="array" ref="H34">_xlfn.IFS(AND(C34=$N$18,D34&gt;F34),3,AND(E34=$N$18,F34&gt;D34),3,AND(C34=$N$18,D34=F34),1,AND(E34=$N$18,D34=F34),1,AND(C34=$N$18,D34&lt;F34),0,AND(E34=$N$18,F34&lt;D34),0)</f>
        <v>0</v>
      </c>
      <c r="I34">
        <f t="shared" si="0"/>
        <v>0</v>
      </c>
      <c r="J34" s="59">
        <f t="shared" si="1"/>
        <v>1</v>
      </c>
      <c r="K34" cm="1">
        <f t="array" ref="K34">_xlfn.IFS(H34=3,1+K33,H34=1,1+K33,H34=0,0)</f>
        <v>0</v>
      </c>
      <c r="L34" cm="1">
        <f t="array" ref="L34">_xlfn.IFS(H34=0,1+L33,H34=1,1+L33,H34=3,0)</f>
        <v>1</v>
      </c>
    </row>
    <row r="35" spans="1:12" x14ac:dyDescent="0.2">
      <c r="A35">
        <v>34</v>
      </c>
      <c r="B35" s="1">
        <v>44021</v>
      </c>
      <c r="C35" t="str">
        <v>Everton FC</v>
      </c>
      <c r="D35">
        <v>1</v>
      </c>
      <c r="E35" t="str">
        <v>Southampton FC</v>
      </c>
      <c r="F35">
        <v>1</v>
      </c>
      <c r="H35" s="59" cm="1">
        <f t="array" ref="H35">_xlfn.IFS(AND(C35=$N$18,D35&gt;F35),3,AND(E35=$N$18,F35&gt;D35),3,AND(C35=$N$18,D35=F35),1,AND(E35=$N$18,D35=F35),1,AND(C35=$N$18,D35&lt;F35),0,AND(E35=$N$18,F35&lt;D35),0)</f>
        <v>1</v>
      </c>
      <c r="I35">
        <f t="shared" si="0"/>
        <v>0</v>
      </c>
      <c r="J35" s="59">
        <f t="shared" si="1"/>
        <v>0</v>
      </c>
      <c r="K35" cm="1">
        <f t="array" ref="K35">_xlfn.IFS(H35=3,1+K34,H35=1,1+K34,H35=0,0)</f>
        <v>1</v>
      </c>
      <c r="L35" cm="1">
        <f t="array" ref="L35">_xlfn.IFS(H35=0,1+L34,H35=1,1+L34,H35=3,0)</f>
        <v>2</v>
      </c>
    </row>
    <row r="36" spans="1:12" x14ac:dyDescent="0.2">
      <c r="A36">
        <v>35</v>
      </c>
      <c r="B36" s="1">
        <v>44024</v>
      </c>
      <c r="C36" t="str">
        <v>Wolverhampton Wanderers FC</v>
      </c>
      <c r="D36">
        <v>3</v>
      </c>
      <c r="E36" t="str">
        <v>Everton FC</v>
      </c>
      <c r="F36">
        <v>0</v>
      </c>
      <c r="H36" s="59" cm="1">
        <f t="array" ref="H36">_xlfn.IFS(AND(C36=$N$18,D36&gt;F36),3,AND(E36=$N$18,F36&gt;D36),3,AND(C36=$N$18,D36=F36),1,AND(E36=$N$18,D36=F36),1,AND(C36=$N$18,D36&lt;F36),0,AND(E36=$N$18,F36&lt;D36),0)</f>
        <v>0</v>
      </c>
      <c r="I36">
        <f t="shared" si="0"/>
        <v>0</v>
      </c>
      <c r="J36" s="59">
        <f t="shared" si="1"/>
        <v>1</v>
      </c>
      <c r="K36" cm="1">
        <f t="array" ref="K36">_xlfn.IFS(H36=3,1+K35,H36=1,1+K35,H36=0,0)</f>
        <v>0</v>
      </c>
      <c r="L36" cm="1">
        <f t="array" ref="L36">_xlfn.IFS(H36=0,1+L35,H36=1,1+L35,H36=3,0)</f>
        <v>3</v>
      </c>
    </row>
    <row r="37" spans="1:12" x14ac:dyDescent="0.2">
      <c r="A37">
        <v>36</v>
      </c>
      <c r="B37" s="1">
        <v>44028</v>
      </c>
      <c r="C37" t="str">
        <v>Everton FC</v>
      </c>
      <c r="D37">
        <v>1</v>
      </c>
      <c r="E37" t="str">
        <v>Aston Villa FC</v>
      </c>
      <c r="F37">
        <v>1</v>
      </c>
      <c r="H37" s="59" cm="1">
        <f t="array" ref="H37">_xlfn.IFS(AND(C37=$N$18,D37&gt;F37),3,AND(E37=$N$18,F37&gt;D37),3,AND(C37=$N$18,D37=F37),1,AND(E37=$N$18,D37=F37),1,AND(C37=$N$18,D37&lt;F37),0,AND(E37=$N$18,F37&lt;D37),0)</f>
        <v>1</v>
      </c>
      <c r="I37">
        <f t="shared" si="0"/>
        <v>0</v>
      </c>
      <c r="J37" s="59">
        <f t="shared" si="1"/>
        <v>0</v>
      </c>
      <c r="K37" cm="1">
        <f t="array" ref="K37">_xlfn.IFS(H37=3,1+K36,H37=1,1+K36,H37=0,0)</f>
        <v>1</v>
      </c>
      <c r="L37" cm="1">
        <f t="array" ref="L37">_xlfn.IFS(H37=0,1+L36,H37=1,1+L36,H37=3,0)</f>
        <v>4</v>
      </c>
    </row>
    <row r="38" spans="1:12" x14ac:dyDescent="0.2">
      <c r="A38">
        <v>37</v>
      </c>
      <c r="B38" s="1">
        <v>44032</v>
      </c>
      <c r="C38" t="str">
        <v>Sheffield United FC</v>
      </c>
      <c r="D38">
        <v>0</v>
      </c>
      <c r="E38" t="str">
        <v>Everton FC</v>
      </c>
      <c r="F38">
        <v>1</v>
      </c>
      <c r="H38" s="59" cm="1">
        <f t="array" ref="H38">_xlfn.IFS(AND(C38=$N$18,D38&gt;F38),3,AND(E38=$N$18,F38&gt;D38),3,AND(C38=$N$18,D38=F38),1,AND(E38=$N$18,D38=F38),1,AND(C38=$N$18,D38&lt;F38),0,AND(E38=$N$18,F38&lt;D38),0)</f>
        <v>3</v>
      </c>
      <c r="I38">
        <f t="shared" si="0"/>
        <v>1</v>
      </c>
      <c r="J38" s="59">
        <f t="shared" si="1"/>
        <v>0</v>
      </c>
      <c r="K38" cm="1">
        <f t="array" ref="K38">_xlfn.IFS(H38=3,1+K37,H38=1,1+K37,H38=0,0)</f>
        <v>2</v>
      </c>
      <c r="L38" cm="1">
        <f t="array" ref="L38">_xlfn.IFS(H38=0,1+L37,H38=1,1+L37,H38=3,0)</f>
        <v>0</v>
      </c>
    </row>
    <row r="39" spans="1:12" x14ac:dyDescent="0.2">
      <c r="A39">
        <v>38</v>
      </c>
      <c r="B39" s="1">
        <v>44038</v>
      </c>
      <c r="C39" t="str">
        <v>Everton FC</v>
      </c>
      <c r="D39">
        <v>1</v>
      </c>
      <c r="E39" t="str">
        <v>AFC Bournemouth</v>
      </c>
      <c r="F39">
        <v>3</v>
      </c>
      <c r="H39" s="59" cm="1">
        <f t="array" ref="H39">_xlfn.IFS(AND(C39=$N$18,D39&gt;F39),3,AND(E39=$N$18,F39&gt;D39),3,AND(C39=$N$18,D39=F39),1,AND(E39=$N$18,D39=F39),1,AND(C39=$N$18,D39&lt;F39),0,AND(E39=$N$18,F39&lt;D39),0)</f>
        <v>0</v>
      </c>
      <c r="I39">
        <f t="shared" si="0"/>
        <v>0</v>
      </c>
      <c r="J39" s="59">
        <f t="shared" si="1"/>
        <v>1</v>
      </c>
      <c r="K39" cm="1">
        <f t="array" ref="K39">_xlfn.IFS(H39=3,1+K38,H39=1,1+K38,H39=0,0)</f>
        <v>0</v>
      </c>
      <c r="L39" cm="1">
        <f t="array" ref="L39">_xlfn.IFS(H39=0,1+L38,H39=1,1+L38,H39=3,0)</f>
        <v>1</v>
      </c>
    </row>
  </sheetData>
  <conditionalFormatting sqref="G2:G39">
    <cfRule type="expression" dxfId="53" priority="5">
      <formula>AND($E2=$N$18,$F2&gt;$D2)</formula>
    </cfRule>
  </conditionalFormatting>
  <conditionalFormatting sqref="G2:G39">
    <cfRule type="expression" dxfId="52" priority="4">
      <formula>AND($E2=$N$18,$F2&lt;$D2)</formula>
    </cfRule>
  </conditionalFormatting>
  <conditionalFormatting sqref="G2:G39">
    <cfRule type="expression" dxfId="51" priority="3">
      <formula>$D2=$F2</formula>
    </cfRule>
  </conditionalFormatting>
  <conditionalFormatting sqref="G2:G39">
    <cfRule type="expression" dxfId="50" priority="2">
      <formula>AND($C2=$N$18,$D2&lt;$F2)</formula>
    </cfRule>
  </conditionalFormatting>
  <conditionalFormatting sqref="G2:G39">
    <cfRule type="expression" dxfId="49" priority="1">
      <formula>AND($C2=$N$18,$D2&gt;$F2)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627B2-3A6E-480E-81B5-29D1719FBBD8}">
  <sheetPr codeName="Sheet17"/>
  <dimension ref="A1:V39"/>
  <sheetViews>
    <sheetView zoomScale="60" zoomScaleNormal="60" workbookViewId="0"/>
  </sheetViews>
  <sheetFormatPr baseColWidth="10" defaultColWidth="8.83203125" defaultRowHeight="15" x14ac:dyDescent="0.2"/>
  <cols>
    <col min="2" max="2" width="11.5" style="1" bestFit="1" customWidth="1"/>
    <col min="3" max="3" width="28.6640625" bestFit="1" customWidth="1"/>
    <col min="4" max="4" width="11.83203125" bestFit="1" customWidth="1"/>
    <col min="5" max="5" width="28.6640625" bestFit="1" customWidth="1"/>
    <col min="6" max="6" width="11.5" bestFit="1" customWidth="1"/>
    <col min="14" max="14" width="32.33203125" bestFit="1" customWidth="1"/>
    <col min="15" max="22" width="10.6640625" customWidth="1"/>
  </cols>
  <sheetData>
    <row r="1" spans="1:20" ht="32" x14ac:dyDescent="0.2">
      <c r="A1" s="67" t="s">
        <v>0</v>
      </c>
      <c r="B1" s="71" t="s">
        <v>1</v>
      </c>
      <c r="C1" s="68" t="s">
        <v>2</v>
      </c>
      <c r="D1" s="68" t="s">
        <v>3</v>
      </c>
      <c r="E1" s="68" t="s">
        <v>4</v>
      </c>
      <c r="F1" s="69" t="s">
        <v>5</v>
      </c>
      <c r="G1" s="70" t="s">
        <v>71</v>
      </c>
      <c r="H1" s="70" t="s">
        <v>19</v>
      </c>
      <c r="I1" s="81" t="s">
        <v>72</v>
      </c>
      <c r="J1" s="81" t="s">
        <v>53</v>
      </c>
      <c r="K1" s="81" t="s">
        <v>55</v>
      </c>
      <c r="L1" s="81" t="s">
        <v>73</v>
      </c>
      <c r="Q1" s="58" t="s">
        <v>74</v>
      </c>
      <c r="R1" t="s">
        <v>75</v>
      </c>
      <c r="S1" t="s">
        <v>76</v>
      </c>
      <c r="T1" s="63" t="s">
        <v>77</v>
      </c>
    </row>
    <row r="2" spans="1:20" x14ac:dyDescent="0.2">
      <c r="A2" cm="1">
        <f t="array" ref="A2:F39">_xlfn._xlws.FILTER(eng_1[],(eng_1[Home]='England 1'!C14)+(eng_1[Away]='England 1'!E7))</f>
        <v>1</v>
      </c>
      <c r="B2" s="1">
        <v>43687</v>
      </c>
      <c r="C2" t="str">
        <v>Watford FC</v>
      </c>
      <c r="D2">
        <v>0</v>
      </c>
      <c r="E2" t="str">
        <v>Brighton &amp; Hove Albion FC</v>
      </c>
      <c r="F2">
        <v>3</v>
      </c>
      <c r="H2" s="59" cm="1">
        <f t="array" ref="H2">_xlfn.IFS(AND(C2=$N$18,D2&gt;F2),3,AND(E2=$N$18,F2&gt;D2),3,AND(C2=$N$18,D2=F2),1,AND(E2=$N$18,D2=F2),1,AND(C2=$N$18,D2&lt;F2),0,AND(E2=$N$18,F2&lt;D2),0)</f>
        <v>3</v>
      </c>
      <c r="I2" cm="1">
        <f t="array" ref="I2">_xlfn.IFS(H2=3,1,H2=1,0,H2=0,0)</f>
        <v>1</v>
      </c>
      <c r="J2" s="59" cm="1">
        <f t="array" ref="J2">_xlfn.IFS(H2=0,1,H2=1,0,H2=3,0)</f>
        <v>0</v>
      </c>
      <c r="K2" cm="1">
        <f t="array" ref="K2">_xlfn.IFS(H2=3,1,H2=1,1,H2=0,0)</f>
        <v>1</v>
      </c>
      <c r="L2" cm="1">
        <f t="array" ref="L2">_xlfn.IFS(H2=0,1,H2=1,1,H2=3,0)</f>
        <v>0</v>
      </c>
      <c r="Q2" s="56" t="s">
        <v>78</v>
      </c>
      <c r="R2">
        <v>20</v>
      </c>
      <c r="S2">
        <v>23</v>
      </c>
      <c r="T2" s="60">
        <v>1.1499999999999999</v>
      </c>
    </row>
    <row r="3" spans="1:20" x14ac:dyDescent="0.2">
      <c r="A3">
        <v>2</v>
      </c>
      <c r="B3" s="1">
        <v>43694</v>
      </c>
      <c r="C3" t="str">
        <v>Brighton &amp; Hove Albion FC</v>
      </c>
      <c r="D3">
        <v>1</v>
      </c>
      <c r="E3" t="str">
        <v>West Ham United FC</v>
      </c>
      <c r="F3">
        <v>1</v>
      </c>
      <c r="H3" s="59" cm="1">
        <f t="array" ref="H3">_xlfn.IFS(AND(C3=$N$18,D3&gt;F3),3,AND(E3=$N$18,F3&gt;D3),3,AND(C3=$N$18,D3=F3),1,AND(E3=$N$18,D3=F3),1,AND(C3=$N$18,D3&lt;F3),0,AND(E3=$N$18,F3&lt;D3),0)</f>
        <v>1</v>
      </c>
      <c r="I3">
        <f t="shared" ref="I3:I39" si="0">IF(H3=3,1+I2,0)</f>
        <v>0</v>
      </c>
      <c r="J3" s="59">
        <f t="shared" ref="J3:J39" si="1">IF(H3=0,1+J2,0)</f>
        <v>0</v>
      </c>
      <c r="K3" cm="1">
        <f t="array" ref="K3">_xlfn.IFS(H3=3,1+K2,H3=1,1+K2,H3=0,0)</f>
        <v>2</v>
      </c>
      <c r="L3" cm="1">
        <f t="array" ref="L3">_xlfn.IFS(H3=0,1+L2,H3=1,1+L2,H3=3,0)</f>
        <v>1</v>
      </c>
      <c r="N3" s="48" t="s">
        <v>79</v>
      </c>
      <c r="O3" s="48" t="s">
        <v>80</v>
      </c>
      <c r="Q3" s="57" t="s">
        <v>81</v>
      </c>
      <c r="R3">
        <v>4</v>
      </c>
      <c r="S3">
        <v>4</v>
      </c>
      <c r="T3" s="60">
        <v>1</v>
      </c>
    </row>
    <row r="4" spans="1:20" x14ac:dyDescent="0.2">
      <c r="A4">
        <v>3</v>
      </c>
      <c r="B4" s="1">
        <v>43701</v>
      </c>
      <c r="C4" t="str">
        <v>Brighton &amp; Hove Albion FC</v>
      </c>
      <c r="D4">
        <v>0</v>
      </c>
      <c r="E4" t="str">
        <v>Southampton FC</v>
      </c>
      <c r="F4">
        <v>2</v>
      </c>
      <c r="H4" s="59" cm="1">
        <f t="array" ref="H4">_xlfn.IFS(AND(C4=$N$18,D4&gt;F4),3,AND(E4=$N$18,F4&gt;D4),3,AND(C4=$N$18,D4=F4),1,AND(E4=$N$18,D4=F4),1,AND(C4=$N$18,D4&lt;F4),0,AND(E4=$N$18,F4&lt;D4),0)</f>
        <v>0</v>
      </c>
      <c r="I4">
        <f t="shared" si="0"/>
        <v>0</v>
      </c>
      <c r="J4" s="59">
        <f t="shared" si="1"/>
        <v>1</v>
      </c>
      <c r="K4" cm="1">
        <f t="array" ref="K4">_xlfn.IFS(H4=3,1+K3,H4=1,1+K3,H4=0,0)</f>
        <v>0</v>
      </c>
      <c r="L4" cm="1">
        <f t="array" ref="L4">_xlfn.IFS(H4=0,1+L3,H4=1,1+L3,H4=3,0)</f>
        <v>2</v>
      </c>
      <c r="N4" s="49" t="s">
        <v>82</v>
      </c>
      <c r="O4" s="50"/>
      <c r="Q4" s="57" t="s">
        <v>83</v>
      </c>
      <c r="R4">
        <v>3</v>
      </c>
      <c r="S4">
        <v>2</v>
      </c>
      <c r="T4" s="60">
        <v>0.66666666666666663</v>
      </c>
    </row>
    <row r="5" spans="1:20" x14ac:dyDescent="0.2">
      <c r="A5">
        <v>4</v>
      </c>
      <c r="B5" s="1">
        <v>43708</v>
      </c>
      <c r="C5" t="str">
        <v>Manchester City FC</v>
      </c>
      <c r="D5">
        <v>4</v>
      </c>
      <c r="E5" t="str">
        <v>Brighton &amp; Hove Albion FC</v>
      </c>
      <c r="F5">
        <v>0</v>
      </c>
      <c r="H5" s="59" cm="1">
        <f t="array" ref="H5">_xlfn.IFS(AND(C5=$N$18,D5&gt;F5),3,AND(E5=$N$18,F5&gt;D5),3,AND(C5=$N$18,D5=F5),1,AND(E5=$N$18,D5=F5),1,AND(C5=$N$18,D5&lt;F5),0,AND(E5=$N$18,F5&lt;D5),0)</f>
        <v>0</v>
      </c>
      <c r="I5">
        <f t="shared" si="0"/>
        <v>0</v>
      </c>
      <c r="J5" s="59">
        <f t="shared" si="1"/>
        <v>2</v>
      </c>
      <c r="K5" cm="1">
        <f t="array" ref="K5">_xlfn.IFS(H5=3,1+K4,H5=1,1+K4,H5=0,0)</f>
        <v>0</v>
      </c>
      <c r="L5" cm="1">
        <f t="array" ref="L5">_xlfn.IFS(H5=0,1+L4,H5=1,1+L4,H5=3,0)</f>
        <v>3</v>
      </c>
      <c r="N5" s="49" t="s">
        <v>84</v>
      </c>
      <c r="O5" s="51"/>
      <c r="Q5" s="57" t="s">
        <v>85</v>
      </c>
      <c r="R5">
        <v>3</v>
      </c>
      <c r="S5">
        <v>6</v>
      </c>
      <c r="T5" s="60">
        <v>2</v>
      </c>
    </row>
    <row r="6" spans="1:20" x14ac:dyDescent="0.2">
      <c r="A6">
        <v>5</v>
      </c>
      <c r="B6" s="1">
        <v>43722</v>
      </c>
      <c r="C6" t="str">
        <v>Brighton &amp; Hove Albion FC</v>
      </c>
      <c r="D6">
        <v>1</v>
      </c>
      <c r="E6" t="str">
        <v>Burnley FC</v>
      </c>
      <c r="F6">
        <v>1</v>
      </c>
      <c r="H6" s="59" cm="1">
        <f t="array" ref="H6">_xlfn.IFS(AND(C6=$N$18,D6&gt;F6),3,AND(E6=$N$18,F6&gt;D6),3,AND(C6=$N$18,D6=F6),1,AND(E6=$N$18,D6=F6),1,AND(C6=$N$18,D6&lt;F6),0,AND(E6=$N$18,F6&lt;D6),0)</f>
        <v>1</v>
      </c>
      <c r="I6">
        <f t="shared" si="0"/>
        <v>0</v>
      </c>
      <c r="J6" s="59">
        <f t="shared" si="1"/>
        <v>0</v>
      </c>
      <c r="K6" cm="1">
        <f t="array" ref="K6">_xlfn.IFS(H6=3,1+K5,H6=1,1+K5,H6=0,0)</f>
        <v>1</v>
      </c>
      <c r="L6" cm="1">
        <f t="array" ref="L6">_xlfn.IFS(H6=0,1+L5,H6=1,1+L5,H6=3,0)</f>
        <v>4</v>
      </c>
      <c r="N6" s="49" t="s">
        <v>86</v>
      </c>
      <c r="O6" s="52"/>
      <c r="Q6" s="57" t="s">
        <v>87</v>
      </c>
      <c r="R6">
        <v>4</v>
      </c>
      <c r="S6">
        <v>3</v>
      </c>
      <c r="T6" s="60">
        <v>0.75</v>
      </c>
    </row>
    <row r="7" spans="1:20" x14ac:dyDescent="0.2">
      <c r="A7">
        <v>6</v>
      </c>
      <c r="B7" s="1">
        <v>43729</v>
      </c>
      <c r="C7" t="str">
        <v>Newcastle United FC</v>
      </c>
      <c r="D7">
        <v>0</v>
      </c>
      <c r="E7" t="str">
        <v>Brighton &amp; Hove Albion FC</v>
      </c>
      <c r="F7">
        <v>0</v>
      </c>
      <c r="H7" s="59" cm="1">
        <f t="array" ref="H7">_xlfn.IFS(AND(C7=$N$18,D7&gt;F7),3,AND(E7=$N$18,F7&gt;D7),3,AND(C7=$N$18,D7=F7),1,AND(E7=$N$18,D7=F7),1,AND(C7=$N$18,D7&lt;F7),0,AND(E7=$N$18,F7&lt;D7),0)</f>
        <v>1</v>
      </c>
      <c r="I7">
        <f t="shared" si="0"/>
        <v>0</v>
      </c>
      <c r="J7" s="59">
        <f t="shared" si="1"/>
        <v>0</v>
      </c>
      <c r="K7" cm="1">
        <f t="array" ref="K7">_xlfn.IFS(H7=3,1+K6,H7=1,1+K6,H7=0,0)</f>
        <v>2</v>
      </c>
      <c r="L7" cm="1">
        <f t="array" ref="L7">_xlfn.IFS(H7=0,1+L6,H7=1,1+L6,H7=3,0)</f>
        <v>5</v>
      </c>
      <c r="Q7" s="57" t="s">
        <v>88</v>
      </c>
      <c r="R7">
        <v>6</v>
      </c>
      <c r="S7">
        <v>8</v>
      </c>
      <c r="T7" s="60">
        <v>1.3333333333333333</v>
      </c>
    </row>
    <row r="8" spans="1:20" x14ac:dyDescent="0.2">
      <c r="A8">
        <v>7</v>
      </c>
      <c r="B8" s="1">
        <v>43736</v>
      </c>
      <c r="C8" t="str">
        <v>Chelsea FC</v>
      </c>
      <c r="D8">
        <v>2</v>
      </c>
      <c r="E8" t="str">
        <v>Brighton &amp; Hove Albion FC</v>
      </c>
      <c r="F8">
        <v>0</v>
      </c>
      <c r="H8" s="59" cm="1">
        <f t="array" ref="H8">_xlfn.IFS(AND(C8=$N$18,D8&gt;F8),3,AND(E8=$N$18,F8&gt;D8),3,AND(C8=$N$18,D8=F8),1,AND(E8=$N$18,D8=F8),1,AND(C8=$N$18,D8&lt;F8),0,AND(E8=$N$18,F8&lt;D8),0)</f>
        <v>0</v>
      </c>
      <c r="I8">
        <f t="shared" si="0"/>
        <v>0</v>
      </c>
      <c r="J8" s="59">
        <f t="shared" si="1"/>
        <v>1</v>
      </c>
      <c r="K8" cm="1">
        <f t="array" ref="K8">_xlfn.IFS(H8=3,1+K7,H8=1,1+K7,H8=0,0)</f>
        <v>0</v>
      </c>
      <c r="L8" cm="1">
        <f t="array" ref="L8">_xlfn.IFS(H8=0,1+L7,H8=1,1+L7,H8=3,0)</f>
        <v>6</v>
      </c>
      <c r="Q8" s="56" t="s">
        <v>89</v>
      </c>
      <c r="R8">
        <v>18</v>
      </c>
      <c r="S8">
        <v>18</v>
      </c>
      <c r="T8" s="60">
        <v>1</v>
      </c>
    </row>
    <row r="9" spans="1:20" x14ac:dyDescent="0.2">
      <c r="A9">
        <v>8</v>
      </c>
      <c r="B9" s="1">
        <v>43743</v>
      </c>
      <c r="C9" t="str">
        <v>Brighton &amp; Hove Albion FC</v>
      </c>
      <c r="D9">
        <v>3</v>
      </c>
      <c r="E9" t="str">
        <v>Tottenham Hotspur FC</v>
      </c>
      <c r="F9">
        <v>0</v>
      </c>
      <c r="H9" s="59" cm="1">
        <f t="array" ref="H9">_xlfn.IFS(AND(C9=$N$18,D9&gt;F9),3,AND(E9=$N$18,F9&gt;D9),3,AND(C9=$N$18,D9=F9),1,AND(E9=$N$18,D9=F9),1,AND(C9=$N$18,D9&lt;F9),0,AND(E9=$N$18,F9&lt;D9),0)</f>
        <v>3</v>
      </c>
      <c r="I9">
        <f t="shared" si="0"/>
        <v>1</v>
      </c>
      <c r="J9" s="59">
        <f t="shared" si="1"/>
        <v>0</v>
      </c>
      <c r="K9" cm="1">
        <f t="array" ref="K9">_xlfn.IFS(H9=3,1+K8,H9=1,1+K8,H9=0,0)</f>
        <v>1</v>
      </c>
      <c r="L9" cm="1">
        <f t="array" ref="L9">_xlfn.IFS(H9=0,1+L8,H9=1,1+L8,H9=3,0)</f>
        <v>0</v>
      </c>
      <c r="Q9" s="57" t="s">
        <v>90</v>
      </c>
      <c r="R9">
        <v>4</v>
      </c>
      <c r="S9">
        <v>2</v>
      </c>
      <c r="T9" s="60">
        <v>0.5</v>
      </c>
    </row>
    <row r="10" spans="1:20" x14ac:dyDescent="0.2">
      <c r="A10">
        <v>9</v>
      </c>
      <c r="B10" s="1">
        <v>43757</v>
      </c>
      <c r="C10" t="str">
        <v>Aston Villa FC</v>
      </c>
      <c r="D10">
        <v>2</v>
      </c>
      <c r="E10" t="str">
        <v>Brighton &amp; Hove Albion FC</v>
      </c>
      <c r="F10">
        <v>1</v>
      </c>
      <c r="H10" s="59" cm="1">
        <f t="array" ref="H10">_xlfn.IFS(AND(C10=$N$18,D10&gt;F10),3,AND(E10=$N$18,F10&gt;D10),3,AND(C10=$N$18,D10=F10),1,AND(E10=$N$18,D10=F10),1,AND(C10=$N$18,D10&lt;F10),0,AND(E10=$N$18,F10&lt;D10),0)</f>
        <v>0</v>
      </c>
      <c r="I10">
        <f t="shared" si="0"/>
        <v>0</v>
      </c>
      <c r="J10" s="59">
        <f t="shared" si="1"/>
        <v>1</v>
      </c>
      <c r="K10" cm="1">
        <f t="array" ref="K10">_xlfn.IFS(H10=3,1+K9,H10=1,1+K9,H10=0,0)</f>
        <v>0</v>
      </c>
      <c r="L10" cm="1">
        <f t="array" ref="L10">_xlfn.IFS(H10=0,1+L9,H10=1,1+L9,H10=3,0)</f>
        <v>1</v>
      </c>
      <c r="Q10" s="57" t="s">
        <v>91</v>
      </c>
      <c r="R10">
        <v>4</v>
      </c>
      <c r="S10">
        <v>3</v>
      </c>
      <c r="T10" s="60">
        <v>0.75</v>
      </c>
    </row>
    <row r="11" spans="1:20" x14ac:dyDescent="0.2">
      <c r="A11">
        <v>10</v>
      </c>
      <c r="B11" s="1">
        <v>43764</v>
      </c>
      <c r="C11" t="str">
        <v>Brighton &amp; Hove Albion FC</v>
      </c>
      <c r="D11">
        <v>3</v>
      </c>
      <c r="E11" t="str">
        <v>Everton FC</v>
      </c>
      <c r="F11">
        <v>2</v>
      </c>
      <c r="H11" s="59" cm="1">
        <f t="array" ref="H11">_xlfn.IFS(AND(C11=$N$18,D11&gt;F11),3,AND(E11=$N$18,F11&gt;D11),3,AND(C11=$N$18,D11=F11),1,AND(E11=$N$18,D11=F11),1,AND(C11=$N$18,D11&lt;F11),0,AND(E11=$N$18,F11&lt;D11),0)</f>
        <v>3</v>
      </c>
      <c r="I11">
        <f t="shared" si="0"/>
        <v>1</v>
      </c>
      <c r="J11" s="59">
        <f t="shared" si="1"/>
        <v>0</v>
      </c>
      <c r="K11" cm="1">
        <f t="array" ref="K11">_xlfn.IFS(H11=3,1+K10,H11=1,1+K10,H11=0,0)</f>
        <v>1</v>
      </c>
      <c r="L11" cm="1">
        <f t="array" ref="L11">_xlfn.IFS(H11=0,1+L10,H11=1,1+L10,H11=3,0)</f>
        <v>0</v>
      </c>
      <c r="Q11" s="57" t="s">
        <v>92</v>
      </c>
      <c r="R11">
        <v>1</v>
      </c>
      <c r="S11">
        <v>1</v>
      </c>
      <c r="T11" s="60">
        <v>1</v>
      </c>
    </row>
    <row r="12" spans="1:20" x14ac:dyDescent="0.2">
      <c r="A12">
        <v>11</v>
      </c>
      <c r="B12" s="1">
        <v>43771</v>
      </c>
      <c r="C12" t="str">
        <v>Brighton &amp; Hove Albion FC</v>
      </c>
      <c r="D12">
        <v>2</v>
      </c>
      <c r="E12" t="str">
        <v>Norwich City FC</v>
      </c>
      <c r="F12">
        <v>0</v>
      </c>
      <c r="H12" s="59" cm="1">
        <f t="array" ref="H12">_xlfn.IFS(AND(C12=$N$18,D12&gt;F12),3,AND(E12=$N$18,F12&gt;D12),3,AND(C12=$N$18,D12=F12),1,AND(E12=$N$18,D12=F12),1,AND(C12=$N$18,D12&lt;F12),0,AND(E12=$N$18,F12&lt;D12),0)</f>
        <v>3</v>
      </c>
      <c r="I12">
        <f t="shared" si="0"/>
        <v>2</v>
      </c>
      <c r="J12" s="59">
        <f t="shared" si="1"/>
        <v>0</v>
      </c>
      <c r="K12" cm="1">
        <f t="array" ref="K12">_xlfn.IFS(H12=3,1+K11,H12=1,1+K11,H12=0,0)</f>
        <v>2</v>
      </c>
      <c r="L12" cm="1">
        <f t="array" ref="L12">_xlfn.IFS(H12=0,1+L11,H12=1,1+L11,H12=3,0)</f>
        <v>0</v>
      </c>
      <c r="Q12" s="57" t="s">
        <v>93</v>
      </c>
      <c r="R12">
        <v>3</v>
      </c>
      <c r="S12">
        <v>4</v>
      </c>
      <c r="T12" s="60">
        <v>1.3333333333333333</v>
      </c>
    </row>
    <row r="13" spans="1:20" x14ac:dyDescent="0.2">
      <c r="A13">
        <v>12</v>
      </c>
      <c r="B13" s="1">
        <v>43779</v>
      </c>
      <c r="C13" t="str">
        <v>Manchester United FC</v>
      </c>
      <c r="D13">
        <v>3</v>
      </c>
      <c r="E13" t="str">
        <v>Brighton &amp; Hove Albion FC</v>
      </c>
      <c r="F13">
        <v>1</v>
      </c>
      <c r="H13" s="59" cm="1">
        <f t="array" ref="H13">_xlfn.IFS(AND(C13=$N$18,D13&gt;F13),3,AND(E13=$N$18,F13&gt;D13),3,AND(C13=$N$18,D13=F13),1,AND(E13=$N$18,D13=F13),1,AND(C13=$N$18,D13&lt;F13),0,AND(E13=$N$18,F13&lt;D13),0)</f>
        <v>0</v>
      </c>
      <c r="I13">
        <f t="shared" si="0"/>
        <v>0</v>
      </c>
      <c r="J13" s="59">
        <f t="shared" si="1"/>
        <v>1</v>
      </c>
      <c r="K13" cm="1">
        <f t="array" ref="K13">_xlfn.IFS(H13=3,1+K12,H13=1,1+K12,H13=0,0)</f>
        <v>0</v>
      </c>
      <c r="L13" cm="1">
        <f t="array" ref="L13">_xlfn.IFS(H13=0,1+L12,H13=1,1+L12,H13=3,0)</f>
        <v>1</v>
      </c>
      <c r="Q13" s="57" t="s">
        <v>94</v>
      </c>
      <c r="R13">
        <v>6</v>
      </c>
      <c r="S13">
        <v>8</v>
      </c>
      <c r="T13" s="60">
        <v>1.3333333333333333</v>
      </c>
    </row>
    <row r="14" spans="1:20" x14ac:dyDescent="0.2">
      <c r="A14">
        <v>13</v>
      </c>
      <c r="B14" s="1">
        <v>43792</v>
      </c>
      <c r="C14" t="str">
        <v>Brighton &amp; Hove Albion FC</v>
      </c>
      <c r="D14">
        <v>0</v>
      </c>
      <c r="E14" t="str">
        <v>Leicester City FC</v>
      </c>
      <c r="F14">
        <v>2</v>
      </c>
      <c r="H14" s="59" cm="1">
        <f t="array" ref="H14">_xlfn.IFS(AND(C14=$N$18,D14&gt;F14),3,AND(E14=$N$18,F14&gt;D14),3,AND(C14=$N$18,D14=F14),1,AND(E14=$N$18,D14=F14),1,AND(C14=$N$18,D14&lt;F14),0,AND(E14=$N$18,F14&lt;D14),0)</f>
        <v>0</v>
      </c>
      <c r="I14">
        <f t="shared" si="0"/>
        <v>0</v>
      </c>
      <c r="J14" s="59">
        <f t="shared" si="1"/>
        <v>2</v>
      </c>
      <c r="K14" cm="1">
        <f t="array" ref="K14">_xlfn.IFS(H14=3,1+K13,H14=1,1+K13,H14=0,0)</f>
        <v>0</v>
      </c>
      <c r="L14" cm="1">
        <f t="array" ref="L14">_xlfn.IFS(H14=0,1+L13,H14=1,1+L13,H14=3,0)</f>
        <v>2</v>
      </c>
      <c r="Q14" s="56" t="s">
        <v>95</v>
      </c>
      <c r="R14">
        <v>38</v>
      </c>
      <c r="S14">
        <v>41</v>
      </c>
      <c r="T14" s="60">
        <v>1.0789473684210527</v>
      </c>
    </row>
    <row r="15" spans="1:20" x14ac:dyDescent="0.2">
      <c r="A15">
        <v>14</v>
      </c>
      <c r="B15" s="1">
        <v>43799</v>
      </c>
      <c r="C15" t="str">
        <v>Liverpool FC</v>
      </c>
      <c r="D15">
        <v>2</v>
      </c>
      <c r="E15" t="str">
        <v>Brighton &amp; Hove Albion FC</v>
      </c>
      <c r="F15">
        <v>1</v>
      </c>
      <c r="H15" s="59" cm="1">
        <f t="array" ref="H15">_xlfn.IFS(AND(C15=$N$18,D15&gt;F15),3,AND(E15=$N$18,F15&gt;D15),3,AND(C15=$N$18,D15=F15),1,AND(E15=$N$18,D15=F15),1,AND(C15=$N$18,D15&lt;F15),0,AND(E15=$N$18,F15&lt;D15),0)</f>
        <v>0</v>
      </c>
      <c r="I15">
        <f t="shared" si="0"/>
        <v>0</v>
      </c>
      <c r="J15" s="59">
        <f t="shared" si="1"/>
        <v>3</v>
      </c>
      <c r="K15" cm="1">
        <f t="array" ref="K15">_xlfn.IFS(H15=3,1+K14,H15=1,1+K14,H15=0,0)</f>
        <v>0</v>
      </c>
      <c r="L15" cm="1">
        <f t="array" ref="L15">_xlfn.IFS(H15=0,1+L14,H15=1,1+L14,H15=3,0)</f>
        <v>3</v>
      </c>
    </row>
    <row r="16" spans="1:20" x14ac:dyDescent="0.2">
      <c r="A16">
        <v>15</v>
      </c>
      <c r="B16" s="1">
        <v>43804</v>
      </c>
      <c r="C16" t="str">
        <v>Arsenal FC</v>
      </c>
      <c r="D16">
        <v>1</v>
      </c>
      <c r="E16" t="str">
        <v>Brighton &amp; Hove Albion FC</v>
      </c>
      <c r="F16">
        <v>2</v>
      </c>
      <c r="H16" s="59" cm="1">
        <f t="array" ref="H16">_xlfn.IFS(AND(C16=$N$18,D16&gt;F16),3,AND(E16=$N$18,F16&gt;D16),3,AND(C16=$N$18,D16=F16),1,AND(E16=$N$18,D16=F16),1,AND(C16=$N$18,D16&lt;F16),0,AND(E16=$N$18,F16&lt;D16),0)</f>
        <v>3</v>
      </c>
      <c r="I16">
        <f t="shared" si="0"/>
        <v>1</v>
      </c>
      <c r="J16" s="59">
        <f t="shared" si="1"/>
        <v>0</v>
      </c>
      <c r="K16" cm="1">
        <f t="array" ref="K16">_xlfn.IFS(H16=3,1+K15,H16=1,1+K15,H16=0,0)</f>
        <v>1</v>
      </c>
      <c r="L16" cm="1">
        <f t="array" ref="L16">_xlfn.IFS(H16=0,1+L15,H16=1,1+L15,H16=3,0)</f>
        <v>0</v>
      </c>
    </row>
    <row r="17" spans="1:22" x14ac:dyDescent="0.2">
      <c r="A17">
        <v>16</v>
      </c>
      <c r="B17" s="1">
        <v>43807</v>
      </c>
      <c r="C17" t="str">
        <v>Brighton &amp; Hove Albion FC</v>
      </c>
      <c r="D17">
        <v>2</v>
      </c>
      <c r="E17" t="str">
        <v>Wolverhampton Wanderers FC</v>
      </c>
      <c r="F17">
        <v>2</v>
      </c>
      <c r="H17" s="59" cm="1">
        <f t="array" ref="H17">_xlfn.IFS(AND(C17=$N$18,D17&gt;F17),3,AND(E17=$N$18,F17&gt;D17),3,AND(C17=$N$18,D17=F17),1,AND(E17=$N$18,D17=F17),1,AND(C17=$N$18,D17&lt;F17),0,AND(E17=$N$18,F17&lt;D17),0)</f>
        <v>1</v>
      </c>
      <c r="I17">
        <f t="shared" si="0"/>
        <v>0</v>
      </c>
      <c r="J17" s="59">
        <f t="shared" si="1"/>
        <v>0</v>
      </c>
      <c r="K17" cm="1">
        <f t="array" ref="K17">_xlfn.IFS(H17=3,1+K16,H17=1,1+K16,H17=0,0)</f>
        <v>2</v>
      </c>
      <c r="L17" cm="1">
        <f t="array" ref="L17">_xlfn.IFS(H17=0,1+L16,H17=1,1+L16,H17=3,0)</f>
        <v>1</v>
      </c>
    </row>
    <row r="18" spans="1:22" x14ac:dyDescent="0.2">
      <c r="A18">
        <v>17</v>
      </c>
      <c r="B18" s="1">
        <v>43815</v>
      </c>
      <c r="C18" t="str">
        <v>Crystal Palace FC</v>
      </c>
      <c r="D18">
        <v>1</v>
      </c>
      <c r="E18" t="str">
        <v>Brighton &amp; Hove Albion FC</v>
      </c>
      <c r="F18">
        <v>1</v>
      </c>
      <c r="H18" s="59" cm="1">
        <f t="array" ref="H18">_xlfn.IFS(AND(C18=$N$18,D18&gt;F18),3,AND(E18=$N$18,F18&gt;D18),3,AND(C18=$N$18,D18=F18),1,AND(E18=$N$18,D18=F18),1,AND(C18=$N$18,D18&lt;F18),0,AND(E18=$N$18,F18&lt;D18),0)</f>
        <v>1</v>
      </c>
      <c r="I18">
        <f t="shared" si="0"/>
        <v>0</v>
      </c>
      <c r="J18" s="59">
        <f t="shared" si="1"/>
        <v>0</v>
      </c>
      <c r="K18" cm="1">
        <f t="array" ref="K18">_xlfn.IFS(H18=3,1+K17,H18=1,1+K17,H18=0,0)</f>
        <v>3</v>
      </c>
      <c r="L18" cm="1">
        <f t="array" ref="L18">_xlfn.IFS(H18=0,1+L17,H18=1,1+L17,H18=3,0)</f>
        <v>2</v>
      </c>
      <c r="N18" s="14" t="str">
        <f>E2</f>
        <v>Brighton &amp; Hove Albion FC</v>
      </c>
      <c r="O18" s="9" t="s">
        <v>12</v>
      </c>
      <c r="P18" s="7" t="s">
        <v>13</v>
      </c>
      <c r="Q18" s="6" t="s">
        <v>14</v>
      </c>
      <c r="R18" s="8" t="s">
        <v>15</v>
      </c>
      <c r="S18" s="9" t="s">
        <v>16</v>
      </c>
      <c r="T18" s="9" t="s">
        <v>17</v>
      </c>
      <c r="U18" s="9" t="s">
        <v>18</v>
      </c>
      <c r="V18" s="9" t="s">
        <v>19</v>
      </c>
    </row>
    <row r="19" spans="1:22" x14ac:dyDescent="0.2">
      <c r="A19">
        <v>18</v>
      </c>
      <c r="B19" s="1">
        <v>43820</v>
      </c>
      <c r="C19" t="str">
        <v>Brighton &amp; Hove Albion FC</v>
      </c>
      <c r="D19">
        <v>0</v>
      </c>
      <c r="E19" t="str">
        <v>Sheffield United FC</v>
      </c>
      <c r="F19">
        <v>1</v>
      </c>
      <c r="H19" s="59" cm="1">
        <f t="array" ref="H19">_xlfn.IFS(AND(C19=$N$18,D19&gt;F19),3,AND(E19=$N$18,F19&gt;D19),3,AND(C19=$N$18,D19=F19),1,AND(E19=$N$18,D19=F19),1,AND(C19=$N$18,D19&lt;F19),0,AND(E19=$N$18,F19&lt;D19),0)</f>
        <v>0</v>
      </c>
      <c r="I19">
        <f t="shared" si="0"/>
        <v>0</v>
      </c>
      <c r="J19" s="59">
        <f t="shared" si="1"/>
        <v>1</v>
      </c>
      <c r="K19" cm="1">
        <f t="array" ref="K19">_xlfn.IFS(H19=3,1+K18,H19=1,1+K18,H19=0,0)</f>
        <v>0</v>
      </c>
      <c r="L19" cm="1">
        <f t="array" ref="L19">_xlfn.IFS(H19=0,1+L18,H19=1,1+L18,H19=3,0)</f>
        <v>3</v>
      </c>
      <c r="N19" s="10" t="s">
        <v>22</v>
      </c>
      <c r="O19" s="11">
        <f>COUNT(A2:A39)</f>
        <v>38</v>
      </c>
      <c r="P19" s="5" cm="1">
        <f t="array" ref="P19">SUMPRODUCT(((C2:C39=$N$18)*(D2:D39&gt;F2:F39))+((E2:E39=$N$18)*(F2:F39&gt;D2:D39)))</f>
        <v>9</v>
      </c>
      <c r="Q19" s="12" cm="1">
        <f t="array" ref="Q19">SUMPRODUCT(((C2:C39=$N$18)*(D2:D39=F2:F39))+((E2:E39=$N$18)*(F2:F39=D2:D39)))</f>
        <v>14</v>
      </c>
      <c r="R19" s="13" cm="1">
        <f t="array" ref="R19">SUMPRODUCT(((C2:C39=$N$18)*(D2:D39&lt;F2:F39))+((E2:E39=$N$18)*(F2:F39&lt;D2:D39)))</f>
        <v>15</v>
      </c>
      <c r="S19" s="11">
        <f>SUMIF(C2:C39,N18,D2:D39)+SUMIF(E2:E39,N18,F2:F39)</f>
        <v>39</v>
      </c>
      <c r="T19" s="11">
        <f>SUMIF(C2:C39,N18,F2:F39)+SUMIF(E2:E39,N18,D2:D39)</f>
        <v>54</v>
      </c>
      <c r="U19" s="11">
        <f>S19-T19</f>
        <v>-15</v>
      </c>
      <c r="V19" s="11">
        <f>V20+V21</f>
        <v>41</v>
      </c>
    </row>
    <row r="20" spans="1:22" x14ac:dyDescent="0.2">
      <c r="A20">
        <v>19</v>
      </c>
      <c r="B20" s="1">
        <v>43825</v>
      </c>
      <c r="C20" t="str">
        <v>Tottenham Hotspur FC</v>
      </c>
      <c r="D20">
        <v>2</v>
      </c>
      <c r="E20" t="str">
        <v>Brighton &amp; Hove Albion FC</v>
      </c>
      <c r="F20">
        <v>1</v>
      </c>
      <c r="H20" s="59" cm="1">
        <f t="array" ref="H20">_xlfn.IFS(AND(C20=$N$18,D20&gt;F20),3,AND(E20=$N$18,F20&gt;D20),3,AND(C20=$N$18,D20=F20),1,AND(E20=$N$18,D20=F20),1,AND(C20=$N$18,D20&lt;F20),0,AND(E20=$N$18,F20&lt;D20),0)</f>
        <v>0</v>
      </c>
      <c r="I20">
        <f t="shared" si="0"/>
        <v>0</v>
      </c>
      <c r="J20" s="59">
        <f t="shared" si="1"/>
        <v>2</v>
      </c>
      <c r="K20" cm="1">
        <f t="array" ref="K20">_xlfn.IFS(H20=3,1+K19,H20=1,1+K19,H20=0,0)</f>
        <v>0</v>
      </c>
      <c r="L20" cm="1">
        <f t="array" ref="L20">_xlfn.IFS(H20=0,1+L19,H20=1,1+L19,H20=3,0)</f>
        <v>4</v>
      </c>
      <c r="N20" s="10" t="s">
        <v>2</v>
      </c>
      <c r="O20" s="11">
        <f>COUNTIF(C2:C39,C3)</f>
        <v>19</v>
      </c>
      <c r="P20" s="20" cm="1">
        <f t="array" ref="P20">SUMPRODUCT(((C2:C39=$N$18)*(D2:D39&gt;F2:F39)))</f>
        <v>5</v>
      </c>
      <c r="Q20" s="12" cm="1">
        <f t="array" ref="Q20">SUMPRODUCT(((C2:C39=$N$18)*(D2:D39=F2:F39)))</f>
        <v>7</v>
      </c>
      <c r="R20" s="13" cm="1">
        <f t="array" ref="R20">SUMPRODUCT(((C2:C39=$N$18)*(D2:D39&lt;F2:F39)))</f>
        <v>7</v>
      </c>
      <c r="S20" s="11">
        <f>SUMIF(C2:C39,N18,D2:D39)</f>
        <v>20</v>
      </c>
      <c r="T20" s="11">
        <f>SUMIF(C2:C39,N18,F2:F39)</f>
        <v>27</v>
      </c>
      <c r="U20" s="11">
        <f>S20-T20</f>
        <v>-7</v>
      </c>
      <c r="V20" s="11">
        <f>(P20*3)+Q20</f>
        <v>22</v>
      </c>
    </row>
    <row r="21" spans="1:22" x14ac:dyDescent="0.2">
      <c r="A21">
        <v>20</v>
      </c>
      <c r="B21" s="1">
        <v>43827</v>
      </c>
      <c r="C21" t="str">
        <v>Brighton &amp; Hove Albion FC</v>
      </c>
      <c r="D21">
        <v>2</v>
      </c>
      <c r="E21" t="str">
        <v>AFC Bournemouth</v>
      </c>
      <c r="F21">
        <v>0</v>
      </c>
      <c r="H21" s="59" cm="1">
        <f t="array" ref="H21">_xlfn.IFS(AND(C21=$N$18,D21&gt;F21),3,AND(E21=$N$18,F21&gt;D21),3,AND(C21=$N$18,D21=F21),1,AND(E21=$N$18,D21=F21),1,AND(C21=$N$18,D21&lt;F21),0,AND(E21=$N$18,F21&lt;D21),0)</f>
        <v>3</v>
      </c>
      <c r="I21">
        <f t="shared" si="0"/>
        <v>1</v>
      </c>
      <c r="J21" s="59">
        <f t="shared" si="1"/>
        <v>0</v>
      </c>
      <c r="K21" cm="1">
        <f t="array" ref="K21">_xlfn.IFS(H21=3,1+K20,H21=1,1+K20,H21=0,0)</f>
        <v>1</v>
      </c>
      <c r="L21" cm="1">
        <f t="array" ref="L21">_xlfn.IFS(H21=0,1+L20,H21=1,1+L20,H21=3,0)</f>
        <v>0</v>
      </c>
      <c r="N21" s="10" t="s">
        <v>4</v>
      </c>
      <c r="O21" s="11">
        <f>COUNTIF(E2:E39,E2)</f>
        <v>19</v>
      </c>
      <c r="P21" s="5" cm="1">
        <f t="array" ref="P21">SUMPRODUCT(((E2:E39=$N$18)*(F2:F39&gt;D2:D39)))</f>
        <v>4</v>
      </c>
      <c r="Q21" s="12" cm="1">
        <f t="array" ref="Q21">SUMPRODUCT(((E2:E39=$N$18)*(F2:F39=D2:D39)))</f>
        <v>7</v>
      </c>
      <c r="R21" s="13" cm="1">
        <f t="array" ref="R21">SUMPRODUCT(((E2:E39=$N$18)*(F2:F39&lt;D2:D39)))</f>
        <v>8</v>
      </c>
      <c r="S21" s="11">
        <f>SUMIF(E2:E39,N18,F2:F39)</f>
        <v>19</v>
      </c>
      <c r="T21" s="11">
        <f>SUMIF(E2:E39,N18,D2:D39)</f>
        <v>27</v>
      </c>
      <c r="U21" s="11">
        <f>S21-T21</f>
        <v>-8</v>
      </c>
      <c r="V21" s="11">
        <f>(P21*3)+Q21</f>
        <v>19</v>
      </c>
    </row>
    <row r="22" spans="1:22" x14ac:dyDescent="0.2">
      <c r="A22">
        <v>21</v>
      </c>
      <c r="B22" s="1">
        <v>43831</v>
      </c>
      <c r="C22" t="str">
        <v>Brighton &amp; Hove Albion FC</v>
      </c>
      <c r="D22">
        <v>1</v>
      </c>
      <c r="E22" t="str">
        <v>Chelsea FC</v>
      </c>
      <c r="F22">
        <v>1</v>
      </c>
      <c r="H22" s="59" cm="1">
        <f t="array" ref="H22">_xlfn.IFS(AND(C22=$N$18,D22&gt;F22),3,AND(E22=$N$18,F22&gt;D22),3,AND(C22=$N$18,D22=F22),1,AND(E22=$N$18,D22=F22),1,AND(C22=$N$18,D22&lt;F22),0,AND(E22=$N$18,F22&lt;D22),0)</f>
        <v>1</v>
      </c>
      <c r="I22">
        <f t="shared" si="0"/>
        <v>0</v>
      </c>
      <c r="J22" s="59">
        <f t="shared" si="1"/>
        <v>0</v>
      </c>
      <c r="K22" cm="1">
        <f t="array" ref="K22">_xlfn.IFS(H22=3,1+K21,H22=1,1+K21,H22=0,0)</f>
        <v>2</v>
      </c>
      <c r="L22" cm="1">
        <f t="array" ref="L22">_xlfn.IFS(H22=0,1+L21,H22=1,1+L21,H22=3,0)</f>
        <v>1</v>
      </c>
    </row>
    <row r="23" spans="1:22" x14ac:dyDescent="0.2">
      <c r="A23">
        <v>22</v>
      </c>
      <c r="B23" s="1">
        <v>43841</v>
      </c>
      <c r="C23" t="str">
        <v>Everton FC</v>
      </c>
      <c r="D23">
        <v>1</v>
      </c>
      <c r="E23" t="str">
        <v>Brighton &amp; Hove Albion FC</v>
      </c>
      <c r="F23">
        <v>0</v>
      </c>
      <c r="H23" s="59" cm="1">
        <f t="array" ref="H23">_xlfn.IFS(AND(C23=$N$18,D23&gt;F23),3,AND(E23=$N$18,F23&gt;D23),3,AND(C23=$N$18,D23=F23),1,AND(E23=$N$18,D23=F23),1,AND(C23=$N$18,D23&lt;F23),0,AND(E23=$N$18,F23&lt;D23),0)</f>
        <v>0</v>
      </c>
      <c r="I23">
        <f t="shared" si="0"/>
        <v>0</v>
      </c>
      <c r="J23" s="59">
        <f t="shared" si="1"/>
        <v>1</v>
      </c>
      <c r="K23" cm="1">
        <f t="array" ref="K23">_xlfn.IFS(H23=3,1+K22,H23=1,1+K22,H23=0,0)</f>
        <v>0</v>
      </c>
      <c r="L23" cm="1">
        <f t="array" ref="L23">_xlfn.IFS(H23=0,1+L22,H23=1,1+L22,H23=3,0)</f>
        <v>2</v>
      </c>
    </row>
    <row r="24" spans="1:22" x14ac:dyDescent="0.2">
      <c r="A24">
        <v>23</v>
      </c>
      <c r="B24" s="1">
        <v>43848</v>
      </c>
      <c r="C24" t="str">
        <v>Brighton &amp; Hove Albion FC</v>
      </c>
      <c r="D24">
        <v>1</v>
      </c>
      <c r="E24" t="str">
        <v>Aston Villa FC</v>
      </c>
      <c r="F24">
        <v>1</v>
      </c>
      <c r="H24" s="59" cm="1">
        <f t="array" ref="H24">_xlfn.IFS(AND(C24=$N$18,D24&gt;F24),3,AND(E24=$N$18,F24&gt;D24),3,AND(C24=$N$18,D24=F24),1,AND(E24=$N$18,D24=F24),1,AND(C24=$N$18,D24&lt;F24),0,AND(E24=$N$18,F24&lt;D24),0)</f>
        <v>1</v>
      </c>
      <c r="I24">
        <f t="shared" si="0"/>
        <v>0</v>
      </c>
      <c r="J24" s="59">
        <f t="shared" si="1"/>
        <v>0</v>
      </c>
      <c r="K24" cm="1">
        <f t="array" ref="K24">_xlfn.IFS(H24=3,1+K23,H24=1,1+K23,H24=0,0)</f>
        <v>1</v>
      </c>
      <c r="L24" cm="1">
        <f t="array" ref="L24">_xlfn.IFS(H24=0,1+L23,H24=1,1+L23,H24=3,0)</f>
        <v>3</v>
      </c>
    </row>
    <row r="25" spans="1:22" x14ac:dyDescent="0.2">
      <c r="A25">
        <v>24</v>
      </c>
      <c r="B25" s="1">
        <v>43851</v>
      </c>
      <c r="C25" t="str">
        <v>AFC Bournemouth</v>
      </c>
      <c r="D25">
        <v>3</v>
      </c>
      <c r="E25" t="str">
        <v>Brighton &amp; Hove Albion FC</v>
      </c>
      <c r="F25">
        <v>1</v>
      </c>
      <c r="H25" s="59" cm="1">
        <f t="array" ref="H25">_xlfn.IFS(AND(C25=$N$18,D25&gt;F25),3,AND(E25=$N$18,F25&gt;D25),3,AND(C25=$N$18,D25=F25),1,AND(E25=$N$18,D25=F25),1,AND(C25=$N$18,D25&lt;F25),0,AND(E25=$N$18,F25&lt;D25),0)</f>
        <v>0</v>
      </c>
      <c r="I25">
        <f t="shared" si="0"/>
        <v>0</v>
      </c>
      <c r="J25" s="59">
        <f t="shared" si="1"/>
        <v>1</v>
      </c>
      <c r="K25" cm="1">
        <f t="array" ref="K25">_xlfn.IFS(H25=3,1+K24,H25=1,1+K24,H25=0,0)</f>
        <v>0</v>
      </c>
      <c r="L25" cm="1">
        <f t="array" ref="L25">_xlfn.IFS(H25=0,1+L24,H25=1,1+L24,H25=3,0)</f>
        <v>4</v>
      </c>
    </row>
    <row r="26" spans="1:22" x14ac:dyDescent="0.2">
      <c r="A26">
        <v>25</v>
      </c>
      <c r="B26" s="1">
        <v>43862</v>
      </c>
      <c r="C26" t="str">
        <v>West Ham United FC</v>
      </c>
      <c r="D26">
        <v>3</v>
      </c>
      <c r="E26" t="str">
        <v>Brighton &amp; Hove Albion FC</v>
      </c>
      <c r="F26">
        <v>3</v>
      </c>
      <c r="H26" s="59" cm="1">
        <f t="array" ref="H26">_xlfn.IFS(AND(C26=$N$18,D26&gt;F26),3,AND(E26=$N$18,F26&gt;D26),3,AND(C26=$N$18,D26=F26),1,AND(E26=$N$18,D26=F26),1,AND(C26=$N$18,D26&lt;F26),0,AND(E26=$N$18,F26&lt;D26),0)</f>
        <v>1</v>
      </c>
      <c r="I26">
        <f t="shared" si="0"/>
        <v>0</v>
      </c>
      <c r="J26" s="59">
        <f t="shared" si="1"/>
        <v>0</v>
      </c>
      <c r="K26" cm="1">
        <f t="array" ref="K26">_xlfn.IFS(H26=3,1+K25,H26=1,1+K25,H26=0,0)</f>
        <v>1</v>
      </c>
      <c r="L26" cm="1">
        <f t="array" ref="L26">_xlfn.IFS(H26=0,1+L25,H26=1,1+L25,H26=3,0)</f>
        <v>5</v>
      </c>
    </row>
    <row r="27" spans="1:22" x14ac:dyDescent="0.2">
      <c r="A27">
        <v>26</v>
      </c>
      <c r="B27" s="1">
        <v>43869</v>
      </c>
      <c r="C27" t="str">
        <v>Brighton &amp; Hove Albion FC</v>
      </c>
      <c r="D27">
        <v>1</v>
      </c>
      <c r="E27" t="str">
        <v>Watford FC</v>
      </c>
      <c r="F27">
        <v>1</v>
      </c>
      <c r="H27" s="59" cm="1">
        <f t="array" ref="H27">_xlfn.IFS(AND(C27=$N$18,D27&gt;F27),3,AND(E27=$N$18,F27&gt;D27),3,AND(C27=$N$18,D27=F27),1,AND(E27=$N$18,D27=F27),1,AND(C27=$N$18,D27&lt;F27),0,AND(E27=$N$18,F27&lt;D27),0)</f>
        <v>1</v>
      </c>
      <c r="I27">
        <f t="shared" si="0"/>
        <v>0</v>
      </c>
      <c r="J27" s="59">
        <f t="shared" si="1"/>
        <v>0</v>
      </c>
      <c r="K27" cm="1">
        <f t="array" ref="K27">_xlfn.IFS(H27=3,1+K26,H27=1,1+K26,H27=0,0)</f>
        <v>2</v>
      </c>
      <c r="L27" cm="1">
        <f t="array" ref="L27">_xlfn.IFS(H27=0,1+L26,H27=1,1+L26,H27=3,0)</f>
        <v>6</v>
      </c>
    </row>
    <row r="28" spans="1:22" x14ac:dyDescent="0.2">
      <c r="A28">
        <v>27</v>
      </c>
      <c r="B28" s="1">
        <v>43883</v>
      </c>
      <c r="C28" t="str">
        <v>Sheffield United FC</v>
      </c>
      <c r="D28">
        <v>1</v>
      </c>
      <c r="E28" t="str">
        <v>Brighton &amp; Hove Albion FC</v>
      </c>
      <c r="F28">
        <v>1</v>
      </c>
      <c r="H28" s="59" cm="1">
        <f t="array" ref="H28">_xlfn.IFS(AND(C28=$N$18,D28&gt;F28),3,AND(E28=$N$18,F28&gt;D28),3,AND(C28=$N$18,D28=F28),1,AND(E28=$N$18,D28=F28),1,AND(C28=$N$18,D28&lt;F28),0,AND(E28=$N$18,F28&lt;D28),0)</f>
        <v>1</v>
      </c>
      <c r="I28">
        <f t="shared" si="0"/>
        <v>0</v>
      </c>
      <c r="J28" s="59">
        <f t="shared" si="1"/>
        <v>0</v>
      </c>
      <c r="K28" cm="1">
        <f t="array" ref="K28">_xlfn.IFS(H28=3,1+K27,H28=1,1+K27,H28=0,0)</f>
        <v>3</v>
      </c>
      <c r="L28" cm="1">
        <f t="array" ref="L28">_xlfn.IFS(H28=0,1+L27,H28=1,1+L27,H28=3,0)</f>
        <v>7</v>
      </c>
    </row>
    <row r="29" spans="1:22" x14ac:dyDescent="0.2">
      <c r="A29">
        <v>28</v>
      </c>
      <c r="B29" s="1">
        <v>43890</v>
      </c>
      <c r="C29" t="str">
        <v>Brighton &amp; Hove Albion FC</v>
      </c>
      <c r="D29">
        <v>0</v>
      </c>
      <c r="E29" t="str">
        <v>Crystal Palace FC</v>
      </c>
      <c r="F29">
        <v>1</v>
      </c>
      <c r="H29" s="59" cm="1">
        <f t="array" ref="H29">_xlfn.IFS(AND(C29=$N$18,D29&gt;F29),3,AND(E29=$N$18,F29&gt;D29),3,AND(C29=$N$18,D29=F29),1,AND(E29=$N$18,D29=F29),1,AND(C29=$N$18,D29&lt;F29),0,AND(E29=$N$18,F29&lt;D29),0)</f>
        <v>0</v>
      </c>
      <c r="I29">
        <f t="shared" si="0"/>
        <v>0</v>
      </c>
      <c r="J29" s="59">
        <f t="shared" si="1"/>
        <v>1</v>
      </c>
      <c r="K29" cm="1">
        <f t="array" ref="K29">_xlfn.IFS(H29=3,1+K28,H29=1,1+K28,H29=0,0)</f>
        <v>0</v>
      </c>
      <c r="L29" cm="1">
        <f t="array" ref="L29">_xlfn.IFS(H29=0,1+L28,H29=1,1+L28,H29=3,0)</f>
        <v>8</v>
      </c>
    </row>
    <row r="30" spans="1:22" x14ac:dyDescent="0.2">
      <c r="A30">
        <v>29</v>
      </c>
      <c r="B30" s="1">
        <v>43897</v>
      </c>
      <c r="C30" t="str">
        <v>Wolverhampton Wanderers FC</v>
      </c>
      <c r="D30">
        <v>0</v>
      </c>
      <c r="E30" t="str">
        <v>Brighton &amp; Hove Albion FC</v>
      </c>
      <c r="F30">
        <v>0</v>
      </c>
      <c r="H30" s="59" cm="1">
        <f t="array" ref="H30">_xlfn.IFS(AND(C30=$N$18,D30&gt;F30),3,AND(E30=$N$18,F30&gt;D30),3,AND(C30=$N$18,D30=F30),1,AND(E30=$N$18,D30=F30),1,AND(C30=$N$18,D30&lt;F30),0,AND(E30=$N$18,F30&lt;D30),0)</f>
        <v>1</v>
      </c>
      <c r="I30">
        <f t="shared" si="0"/>
        <v>0</v>
      </c>
      <c r="J30" s="59">
        <f t="shared" si="1"/>
        <v>0</v>
      </c>
      <c r="K30" cm="1">
        <f t="array" ref="K30">_xlfn.IFS(H30=3,1+K29,H30=1,1+K29,H30=0,0)</f>
        <v>1</v>
      </c>
      <c r="L30" cm="1">
        <f t="array" ref="L30">_xlfn.IFS(H30=0,1+L29,H30=1,1+L29,H30=3,0)</f>
        <v>9</v>
      </c>
    </row>
    <row r="31" spans="1:22" x14ac:dyDescent="0.2">
      <c r="A31">
        <v>30</v>
      </c>
      <c r="B31" s="1">
        <v>44002</v>
      </c>
      <c r="C31" t="str">
        <v>Brighton &amp; Hove Albion FC</v>
      </c>
      <c r="D31">
        <v>2</v>
      </c>
      <c r="E31" t="str">
        <v>Arsenal FC</v>
      </c>
      <c r="F31">
        <v>1</v>
      </c>
      <c r="H31" s="59" cm="1">
        <f t="array" ref="H31">_xlfn.IFS(AND(C31=$N$18,D31&gt;F31),3,AND(E31=$N$18,F31&gt;D31),3,AND(C31=$N$18,D31=F31),1,AND(E31=$N$18,D31=F31),1,AND(C31=$N$18,D31&lt;F31),0,AND(E31=$N$18,F31&lt;D31),0)</f>
        <v>3</v>
      </c>
      <c r="I31">
        <f t="shared" si="0"/>
        <v>1</v>
      </c>
      <c r="J31" s="59">
        <f t="shared" si="1"/>
        <v>0</v>
      </c>
      <c r="K31" cm="1">
        <f t="array" ref="K31">_xlfn.IFS(H31=3,1+K30,H31=1,1+K30,H31=0,0)</f>
        <v>2</v>
      </c>
      <c r="L31" cm="1">
        <f t="array" ref="L31">_xlfn.IFS(H31=0,1+L30,H31=1,1+L30,H31=3,0)</f>
        <v>0</v>
      </c>
    </row>
    <row r="32" spans="1:22" x14ac:dyDescent="0.2">
      <c r="A32">
        <v>31</v>
      </c>
      <c r="B32" s="1">
        <v>44005</v>
      </c>
      <c r="C32" t="str">
        <v>Leicester City FC</v>
      </c>
      <c r="D32">
        <v>0</v>
      </c>
      <c r="E32" t="str">
        <v>Brighton &amp; Hove Albion FC</v>
      </c>
      <c r="F32">
        <v>0</v>
      </c>
      <c r="H32" s="59" cm="1">
        <f t="array" ref="H32">_xlfn.IFS(AND(C32=$N$18,D32&gt;F32),3,AND(E32=$N$18,F32&gt;D32),3,AND(C32=$N$18,D32=F32),1,AND(E32=$N$18,D32=F32),1,AND(C32=$N$18,D32&lt;F32),0,AND(E32=$N$18,F32&lt;D32),0)</f>
        <v>1</v>
      </c>
      <c r="I32">
        <f t="shared" si="0"/>
        <v>0</v>
      </c>
      <c r="J32" s="59">
        <f t="shared" si="1"/>
        <v>0</v>
      </c>
      <c r="K32" cm="1">
        <f t="array" ref="K32">_xlfn.IFS(H32=3,1+K31,H32=1,1+K31,H32=0,0)</f>
        <v>3</v>
      </c>
      <c r="L32" cm="1">
        <f t="array" ref="L32">_xlfn.IFS(H32=0,1+L31,H32=1,1+L31,H32=3,0)</f>
        <v>1</v>
      </c>
    </row>
    <row r="33" spans="1:12" x14ac:dyDescent="0.2">
      <c r="A33">
        <v>32</v>
      </c>
      <c r="B33" s="1">
        <v>44012</v>
      </c>
      <c r="C33" t="str">
        <v>Brighton &amp; Hove Albion FC</v>
      </c>
      <c r="D33">
        <v>0</v>
      </c>
      <c r="E33" t="str">
        <v>Manchester United FC</v>
      </c>
      <c r="F33">
        <v>3</v>
      </c>
      <c r="H33" s="59" cm="1">
        <f t="array" ref="H33">_xlfn.IFS(AND(C33=$N$18,D33&gt;F33),3,AND(E33=$N$18,F33&gt;D33),3,AND(C33=$N$18,D33=F33),1,AND(E33=$N$18,D33=F33),1,AND(C33=$N$18,D33&lt;F33),0,AND(E33=$N$18,F33&lt;D33),0)</f>
        <v>0</v>
      </c>
      <c r="I33">
        <f t="shared" si="0"/>
        <v>0</v>
      </c>
      <c r="J33" s="59">
        <f t="shared" si="1"/>
        <v>1</v>
      </c>
      <c r="K33" cm="1">
        <f t="array" ref="K33">_xlfn.IFS(H33=3,1+K32,H33=1,1+K32,H33=0,0)</f>
        <v>0</v>
      </c>
      <c r="L33" cm="1">
        <f t="array" ref="L33">_xlfn.IFS(H33=0,1+L32,H33=1,1+L32,H33=3,0)</f>
        <v>2</v>
      </c>
    </row>
    <row r="34" spans="1:12" x14ac:dyDescent="0.2">
      <c r="A34">
        <v>33</v>
      </c>
      <c r="B34" s="1">
        <v>44016</v>
      </c>
      <c r="C34" t="str">
        <v>Norwich City FC</v>
      </c>
      <c r="D34">
        <v>0</v>
      </c>
      <c r="E34" t="str">
        <v>Brighton &amp; Hove Albion FC</v>
      </c>
      <c r="F34">
        <v>1</v>
      </c>
      <c r="H34" s="59" cm="1">
        <f t="array" ref="H34">_xlfn.IFS(AND(C34=$N$18,D34&gt;F34),3,AND(E34=$N$18,F34&gt;D34),3,AND(C34=$N$18,D34=F34),1,AND(E34=$N$18,D34=F34),1,AND(C34=$N$18,D34&lt;F34),0,AND(E34=$N$18,F34&lt;D34),0)</f>
        <v>3</v>
      </c>
      <c r="I34">
        <f t="shared" si="0"/>
        <v>1</v>
      </c>
      <c r="J34" s="59">
        <f t="shared" si="1"/>
        <v>0</v>
      </c>
      <c r="K34" cm="1">
        <f t="array" ref="K34">_xlfn.IFS(H34=3,1+K33,H34=1,1+K33,H34=0,0)</f>
        <v>1</v>
      </c>
      <c r="L34" cm="1">
        <f t="array" ref="L34">_xlfn.IFS(H34=0,1+L33,H34=1,1+L33,H34=3,0)</f>
        <v>0</v>
      </c>
    </row>
    <row r="35" spans="1:12" x14ac:dyDescent="0.2">
      <c r="A35">
        <v>34</v>
      </c>
      <c r="B35" s="1">
        <v>44020</v>
      </c>
      <c r="C35" t="str">
        <v>Brighton &amp; Hove Albion FC</v>
      </c>
      <c r="D35">
        <v>1</v>
      </c>
      <c r="E35" t="str">
        <v>Liverpool FC</v>
      </c>
      <c r="F35">
        <v>3</v>
      </c>
      <c r="H35" s="59" cm="1">
        <f t="array" ref="H35">_xlfn.IFS(AND(C35=$N$18,D35&gt;F35),3,AND(E35=$N$18,F35&gt;D35),3,AND(C35=$N$18,D35=F35),1,AND(E35=$N$18,D35=F35),1,AND(C35=$N$18,D35&lt;F35),0,AND(E35=$N$18,F35&lt;D35),0)</f>
        <v>0</v>
      </c>
      <c r="I35">
        <f t="shared" si="0"/>
        <v>0</v>
      </c>
      <c r="J35" s="59">
        <f t="shared" si="1"/>
        <v>1</v>
      </c>
      <c r="K35" cm="1">
        <f t="array" ref="K35">_xlfn.IFS(H35=3,1+K34,H35=1,1+K34,H35=0,0)</f>
        <v>0</v>
      </c>
      <c r="L35" cm="1">
        <f t="array" ref="L35">_xlfn.IFS(H35=0,1+L34,H35=1,1+L34,H35=3,0)</f>
        <v>1</v>
      </c>
    </row>
    <row r="36" spans="1:12" x14ac:dyDescent="0.2">
      <c r="A36">
        <v>35</v>
      </c>
      <c r="B36" s="1">
        <v>44023</v>
      </c>
      <c r="C36" t="str">
        <v>Brighton &amp; Hove Albion FC</v>
      </c>
      <c r="D36">
        <v>0</v>
      </c>
      <c r="E36" t="str">
        <v>Manchester City FC</v>
      </c>
      <c r="F36">
        <v>5</v>
      </c>
      <c r="H36" s="59" cm="1">
        <f t="array" ref="H36">_xlfn.IFS(AND(C36=$N$18,D36&gt;F36),3,AND(E36=$N$18,F36&gt;D36),3,AND(C36=$N$18,D36=F36),1,AND(E36=$N$18,D36=F36),1,AND(C36=$N$18,D36&lt;F36),0,AND(E36=$N$18,F36&lt;D36),0)</f>
        <v>0</v>
      </c>
      <c r="I36">
        <f t="shared" si="0"/>
        <v>0</v>
      </c>
      <c r="J36" s="59">
        <f t="shared" si="1"/>
        <v>2</v>
      </c>
      <c r="K36" cm="1">
        <f t="array" ref="K36">_xlfn.IFS(H36=3,1+K35,H36=1,1+K35,H36=0,0)</f>
        <v>0</v>
      </c>
      <c r="L36" cm="1">
        <f t="array" ref="L36">_xlfn.IFS(H36=0,1+L35,H36=1,1+L35,H36=3,0)</f>
        <v>2</v>
      </c>
    </row>
    <row r="37" spans="1:12" x14ac:dyDescent="0.2">
      <c r="A37">
        <v>36</v>
      </c>
      <c r="B37" s="1">
        <v>44028</v>
      </c>
      <c r="C37" t="str">
        <v>Southampton FC</v>
      </c>
      <c r="D37">
        <v>1</v>
      </c>
      <c r="E37" t="str">
        <v>Brighton &amp; Hove Albion FC</v>
      </c>
      <c r="F37">
        <v>1</v>
      </c>
      <c r="H37" s="59" cm="1">
        <f t="array" ref="H37">_xlfn.IFS(AND(C37=$N$18,D37&gt;F37),3,AND(E37=$N$18,F37&gt;D37),3,AND(C37=$N$18,D37=F37),1,AND(E37=$N$18,D37=F37),1,AND(C37=$N$18,D37&lt;F37),0,AND(E37=$N$18,F37&lt;D37),0)</f>
        <v>1</v>
      </c>
      <c r="I37">
        <f t="shared" si="0"/>
        <v>0</v>
      </c>
      <c r="J37" s="59">
        <f t="shared" si="1"/>
        <v>0</v>
      </c>
      <c r="K37" cm="1">
        <f t="array" ref="K37">_xlfn.IFS(H37=3,1+K36,H37=1,1+K36,H37=0,0)</f>
        <v>1</v>
      </c>
      <c r="L37" cm="1">
        <f t="array" ref="L37">_xlfn.IFS(H37=0,1+L36,H37=1,1+L36,H37=3,0)</f>
        <v>3</v>
      </c>
    </row>
    <row r="38" spans="1:12" x14ac:dyDescent="0.2">
      <c r="A38">
        <v>37</v>
      </c>
      <c r="B38" s="1">
        <v>44032</v>
      </c>
      <c r="C38" t="str">
        <v>Brighton &amp; Hove Albion FC</v>
      </c>
      <c r="D38">
        <v>0</v>
      </c>
      <c r="E38" t="str">
        <v>Newcastle United FC</v>
      </c>
      <c r="F38">
        <v>0</v>
      </c>
      <c r="H38" s="59" cm="1">
        <f t="array" ref="H38">_xlfn.IFS(AND(C38=$N$18,D38&gt;F38),3,AND(E38=$N$18,F38&gt;D38),3,AND(C38=$N$18,D38=F38),1,AND(E38=$N$18,D38=F38),1,AND(C38=$N$18,D38&lt;F38),0,AND(E38=$N$18,F38&lt;D38),0)</f>
        <v>1</v>
      </c>
      <c r="I38">
        <f t="shared" si="0"/>
        <v>0</v>
      </c>
      <c r="J38" s="59">
        <f t="shared" si="1"/>
        <v>0</v>
      </c>
      <c r="K38" cm="1">
        <f t="array" ref="K38">_xlfn.IFS(H38=3,1+K37,H38=1,1+K37,H38=0,0)</f>
        <v>2</v>
      </c>
      <c r="L38" cm="1">
        <f t="array" ref="L38">_xlfn.IFS(H38=0,1+L37,H38=1,1+L37,H38=3,0)</f>
        <v>4</v>
      </c>
    </row>
    <row r="39" spans="1:12" x14ac:dyDescent="0.2">
      <c r="A39">
        <v>38</v>
      </c>
      <c r="B39" s="1">
        <v>44038</v>
      </c>
      <c r="C39" t="str">
        <v>Burnley FC</v>
      </c>
      <c r="D39">
        <v>1</v>
      </c>
      <c r="E39" t="str">
        <v>Brighton &amp; Hove Albion FC</v>
      </c>
      <c r="F39">
        <v>2</v>
      </c>
      <c r="H39" s="59" cm="1">
        <f t="array" ref="H39">_xlfn.IFS(AND(C39=$N$18,D39&gt;F39),3,AND(E39=$N$18,F39&gt;D39),3,AND(C39=$N$18,D39=F39),1,AND(E39=$N$18,D39=F39),1,AND(C39=$N$18,D39&lt;F39),0,AND(E39=$N$18,F39&lt;D39),0)</f>
        <v>3</v>
      </c>
      <c r="I39">
        <f t="shared" si="0"/>
        <v>1</v>
      </c>
      <c r="J39" s="59">
        <f t="shared" si="1"/>
        <v>0</v>
      </c>
      <c r="K39" cm="1">
        <f t="array" ref="K39">_xlfn.IFS(H39=3,1+K38,H39=1,1+K38,H39=0,0)</f>
        <v>3</v>
      </c>
      <c r="L39" cm="1">
        <f t="array" ref="L39">_xlfn.IFS(H39=0,1+L38,H39=1,1+L38,H39=3,0)</f>
        <v>0</v>
      </c>
    </row>
  </sheetData>
  <conditionalFormatting sqref="G2:G39">
    <cfRule type="expression" dxfId="47" priority="5">
      <formula>AND($E2=$N$18,$F2&gt;$D2)</formula>
    </cfRule>
  </conditionalFormatting>
  <conditionalFormatting sqref="G2:G39">
    <cfRule type="expression" dxfId="46" priority="4">
      <formula>AND($E2=$N$18,$F2&lt;$D2)</formula>
    </cfRule>
  </conditionalFormatting>
  <conditionalFormatting sqref="G2:G39">
    <cfRule type="expression" dxfId="45" priority="3">
      <formula>$D2=$F2</formula>
    </cfRule>
  </conditionalFormatting>
  <conditionalFormatting sqref="G2:G39">
    <cfRule type="expression" dxfId="44" priority="2">
      <formula>AND($C2=$N$18,$D2&lt;$F2)</formula>
    </cfRule>
  </conditionalFormatting>
  <conditionalFormatting sqref="G2:G39">
    <cfRule type="expression" dxfId="43" priority="1">
      <formula>AND($C2=$N$18,$D2&gt;$F2)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D770F-97BF-4C2F-B098-0E02E83DDD62}">
  <sheetPr codeName="Sheet18"/>
  <dimension ref="A1:V39"/>
  <sheetViews>
    <sheetView zoomScale="60" zoomScaleNormal="60" workbookViewId="0"/>
  </sheetViews>
  <sheetFormatPr baseColWidth="10" defaultColWidth="8.83203125" defaultRowHeight="15" x14ac:dyDescent="0.2"/>
  <cols>
    <col min="2" max="2" width="11.5" style="1" bestFit="1" customWidth="1"/>
    <col min="3" max="3" width="28.6640625" bestFit="1" customWidth="1"/>
    <col min="4" max="4" width="11.83203125" bestFit="1" customWidth="1"/>
    <col min="5" max="5" width="28.6640625" bestFit="1" customWidth="1"/>
    <col min="6" max="6" width="11.5" bestFit="1" customWidth="1"/>
    <col min="14" max="14" width="17.6640625" bestFit="1" customWidth="1"/>
    <col min="15" max="22" width="10.6640625" customWidth="1"/>
  </cols>
  <sheetData>
    <row r="1" spans="1:20" ht="32" x14ac:dyDescent="0.2">
      <c r="A1" s="67" t="s">
        <v>0</v>
      </c>
      <c r="B1" s="71" t="s">
        <v>1</v>
      </c>
      <c r="C1" s="68" t="s">
        <v>2</v>
      </c>
      <c r="D1" s="68" t="s">
        <v>3</v>
      </c>
      <c r="E1" s="68" t="s">
        <v>4</v>
      </c>
      <c r="F1" s="69" t="s">
        <v>5</v>
      </c>
      <c r="G1" s="70" t="s">
        <v>71</v>
      </c>
      <c r="H1" s="70" t="s">
        <v>19</v>
      </c>
      <c r="I1" s="81" t="s">
        <v>72</v>
      </c>
      <c r="J1" s="81" t="s">
        <v>53</v>
      </c>
      <c r="K1" s="81" t="s">
        <v>55</v>
      </c>
      <c r="L1" s="81" t="s">
        <v>73</v>
      </c>
      <c r="Q1" s="58" t="s">
        <v>74</v>
      </c>
      <c r="R1" t="s">
        <v>75</v>
      </c>
      <c r="S1" t="s">
        <v>76</v>
      </c>
      <c r="T1" s="63" t="s">
        <v>77</v>
      </c>
    </row>
    <row r="2" spans="1:20" x14ac:dyDescent="0.2">
      <c r="A2" cm="1">
        <f t="array" ref="A2:F39">_xlfn._xlws.FILTER(eng_1[],(eng_1[Home]='England 1'!C15)+(eng_1[Away]='England 1'!E8))</f>
        <v>1</v>
      </c>
      <c r="B2" s="1">
        <v>43687</v>
      </c>
      <c r="C2" t="str">
        <v>Tottenham Hotspur FC</v>
      </c>
      <c r="D2">
        <v>3</v>
      </c>
      <c r="E2" t="str">
        <v>Aston Villa FC</v>
      </c>
      <c r="F2">
        <v>1</v>
      </c>
      <c r="H2" s="59" cm="1">
        <f t="array" ref="H2">_xlfn.IFS(AND(C2=$N$18,D2&gt;F2),3,AND(E2=$N$18,F2&gt;D2),3,AND(C2=$N$18,D2=F2),1,AND(E2=$N$18,D2=F2),1,AND(C2=$N$18,D2&lt;F2),0,AND(E2=$N$18,F2&lt;D2),0)</f>
        <v>0</v>
      </c>
      <c r="I2" cm="1">
        <f t="array" ref="I2">_xlfn.IFS(H2=3,1,H2=1,0,H2=0,0)</f>
        <v>0</v>
      </c>
      <c r="J2" s="59" cm="1">
        <f t="array" ref="J2">_xlfn.IFS(H2=0,1,H2=1,0,H2=3,0)</f>
        <v>1</v>
      </c>
      <c r="K2" cm="1">
        <f t="array" ref="K2">_xlfn.IFS(H2=3,1,H2=1,1,H2=0,0)</f>
        <v>0</v>
      </c>
      <c r="L2" cm="1">
        <f t="array" ref="L2">_xlfn.IFS(H2=0,1,H2=1,1,H2=3,0)</f>
        <v>1</v>
      </c>
      <c r="Q2" s="56" t="s">
        <v>78</v>
      </c>
      <c r="R2">
        <v>20</v>
      </c>
      <c r="S2">
        <v>18</v>
      </c>
      <c r="T2" s="60">
        <v>0.9</v>
      </c>
    </row>
    <row r="3" spans="1:20" x14ac:dyDescent="0.2">
      <c r="A3">
        <v>2</v>
      </c>
      <c r="B3" s="1">
        <v>43694</v>
      </c>
      <c r="C3" t="str">
        <v>Aston Villa FC</v>
      </c>
      <c r="D3">
        <v>1</v>
      </c>
      <c r="E3" t="str">
        <v>AFC Bournemouth</v>
      </c>
      <c r="F3">
        <v>2</v>
      </c>
      <c r="H3" s="59" cm="1">
        <f t="array" ref="H3">_xlfn.IFS(AND(C3=$N$18,D3&gt;F3),3,AND(E3=$N$18,F3&gt;D3),3,AND(C3=$N$18,D3=F3),1,AND(E3=$N$18,D3=F3),1,AND(C3=$N$18,D3&lt;F3),0,AND(E3=$N$18,F3&lt;D3),0)</f>
        <v>0</v>
      </c>
      <c r="I3">
        <f t="shared" ref="I3:I39" si="0">IF(H3=3,1+I2,0)</f>
        <v>0</v>
      </c>
      <c r="J3" s="59">
        <f t="shared" ref="J3:J39" si="1">IF(H3=0,1+J2,0)</f>
        <v>2</v>
      </c>
      <c r="K3" cm="1">
        <f t="array" ref="K3">_xlfn.IFS(H3=3,1+K2,H3=1,1+K2,H3=0,0)</f>
        <v>0</v>
      </c>
      <c r="L3" cm="1">
        <f t="array" ref="L3">_xlfn.IFS(H3=0,1+L2,H3=1,1+L2,H3=3,0)</f>
        <v>2</v>
      </c>
      <c r="N3" s="48" t="s">
        <v>79</v>
      </c>
      <c r="O3" s="48" t="s">
        <v>80</v>
      </c>
      <c r="Q3" s="57" t="s">
        <v>81</v>
      </c>
      <c r="R3">
        <v>4</v>
      </c>
      <c r="S3">
        <v>3</v>
      </c>
      <c r="T3" s="60">
        <v>0.75</v>
      </c>
    </row>
    <row r="4" spans="1:20" x14ac:dyDescent="0.2">
      <c r="A4">
        <v>3</v>
      </c>
      <c r="B4" s="1">
        <v>43700</v>
      </c>
      <c r="C4" t="str">
        <v>Aston Villa FC</v>
      </c>
      <c r="D4">
        <v>2</v>
      </c>
      <c r="E4" t="str">
        <v>Everton FC</v>
      </c>
      <c r="F4">
        <v>0</v>
      </c>
      <c r="H4" s="59" cm="1">
        <f t="array" ref="H4">_xlfn.IFS(AND(C4=$N$18,D4&gt;F4),3,AND(E4=$N$18,F4&gt;D4),3,AND(C4=$N$18,D4=F4),1,AND(E4=$N$18,D4=F4),1,AND(C4=$N$18,D4&lt;F4),0,AND(E4=$N$18,F4&lt;D4),0)</f>
        <v>3</v>
      </c>
      <c r="I4">
        <f t="shared" si="0"/>
        <v>1</v>
      </c>
      <c r="J4" s="59">
        <f t="shared" si="1"/>
        <v>0</v>
      </c>
      <c r="K4" cm="1">
        <f t="array" ref="K4">_xlfn.IFS(H4=3,1+K3,H4=1,1+K3,H4=0,0)</f>
        <v>1</v>
      </c>
      <c r="L4" cm="1">
        <f t="array" ref="L4">_xlfn.IFS(H4=0,1+L3,H4=1,1+L3,H4=3,0)</f>
        <v>0</v>
      </c>
      <c r="N4" s="49" t="s">
        <v>82</v>
      </c>
      <c r="O4" s="50"/>
      <c r="Q4" s="57" t="s">
        <v>83</v>
      </c>
      <c r="R4">
        <v>3</v>
      </c>
      <c r="S4">
        <v>2</v>
      </c>
      <c r="T4" s="60">
        <v>0.66666666666666663</v>
      </c>
    </row>
    <row r="5" spans="1:20" x14ac:dyDescent="0.2">
      <c r="A5">
        <v>4</v>
      </c>
      <c r="B5" s="1">
        <v>43708</v>
      </c>
      <c r="C5" t="str">
        <v>Crystal Palace FC</v>
      </c>
      <c r="D5">
        <v>1</v>
      </c>
      <c r="E5" t="str">
        <v>Aston Villa FC</v>
      </c>
      <c r="F5">
        <v>0</v>
      </c>
      <c r="H5" s="59" cm="1">
        <f t="array" ref="H5">_xlfn.IFS(AND(C5=$N$18,D5&gt;F5),3,AND(E5=$N$18,F5&gt;D5),3,AND(C5=$N$18,D5=F5),1,AND(E5=$N$18,D5=F5),1,AND(C5=$N$18,D5&lt;F5),0,AND(E5=$N$18,F5&lt;D5),0)</f>
        <v>0</v>
      </c>
      <c r="I5">
        <f t="shared" si="0"/>
        <v>0</v>
      </c>
      <c r="J5" s="59">
        <f t="shared" si="1"/>
        <v>1</v>
      </c>
      <c r="K5" cm="1">
        <f t="array" ref="K5">_xlfn.IFS(H5=3,1+K4,H5=1,1+K4,H5=0,0)</f>
        <v>0</v>
      </c>
      <c r="L5" cm="1">
        <f t="array" ref="L5">_xlfn.IFS(H5=0,1+L4,H5=1,1+L4,H5=3,0)</f>
        <v>1</v>
      </c>
      <c r="N5" s="49" t="s">
        <v>84</v>
      </c>
      <c r="O5" s="51"/>
      <c r="Q5" s="57" t="s">
        <v>85</v>
      </c>
      <c r="R5">
        <v>3</v>
      </c>
      <c r="S5">
        <v>6</v>
      </c>
      <c r="T5" s="60">
        <v>2</v>
      </c>
    </row>
    <row r="6" spans="1:20" x14ac:dyDescent="0.2">
      <c r="A6">
        <v>5</v>
      </c>
      <c r="B6" s="1">
        <v>43724</v>
      </c>
      <c r="C6" t="str">
        <v>Aston Villa FC</v>
      </c>
      <c r="D6">
        <v>0</v>
      </c>
      <c r="E6" t="str">
        <v>West Ham United FC</v>
      </c>
      <c r="F6">
        <v>0</v>
      </c>
      <c r="H6" s="59" cm="1">
        <f t="array" ref="H6">_xlfn.IFS(AND(C6=$N$18,D6&gt;F6),3,AND(E6=$N$18,F6&gt;D6),3,AND(C6=$N$18,D6=F6),1,AND(E6=$N$18,D6=F6),1,AND(C6=$N$18,D6&lt;F6),0,AND(E6=$N$18,F6&lt;D6),0)</f>
        <v>1</v>
      </c>
      <c r="I6">
        <f t="shared" si="0"/>
        <v>0</v>
      </c>
      <c r="J6" s="59">
        <f t="shared" si="1"/>
        <v>0</v>
      </c>
      <c r="K6" cm="1">
        <f t="array" ref="K6">_xlfn.IFS(H6=3,1+K5,H6=1,1+K5,H6=0,0)</f>
        <v>1</v>
      </c>
      <c r="L6" cm="1">
        <f t="array" ref="L6">_xlfn.IFS(H6=0,1+L5,H6=1,1+L5,H6=3,0)</f>
        <v>2</v>
      </c>
      <c r="N6" s="49" t="s">
        <v>86</v>
      </c>
      <c r="O6" s="52"/>
      <c r="Q6" s="57" t="s">
        <v>87</v>
      </c>
      <c r="R6">
        <v>3</v>
      </c>
      <c r="S6">
        <v>3</v>
      </c>
      <c r="T6" s="60">
        <v>1</v>
      </c>
    </row>
    <row r="7" spans="1:20" x14ac:dyDescent="0.2">
      <c r="A7">
        <v>6</v>
      </c>
      <c r="B7" s="1">
        <v>43730</v>
      </c>
      <c r="C7" t="str">
        <v>Arsenal FC</v>
      </c>
      <c r="D7">
        <v>3</v>
      </c>
      <c r="E7" t="str">
        <v>Aston Villa FC</v>
      </c>
      <c r="F7">
        <v>2</v>
      </c>
      <c r="H7" s="59" cm="1">
        <f t="array" ref="H7">_xlfn.IFS(AND(C7=$N$18,D7&gt;F7),3,AND(E7=$N$18,F7&gt;D7),3,AND(C7=$N$18,D7=F7),1,AND(E7=$N$18,D7=F7),1,AND(C7=$N$18,D7&lt;F7),0,AND(E7=$N$18,F7&lt;D7),0)</f>
        <v>0</v>
      </c>
      <c r="I7">
        <f t="shared" si="0"/>
        <v>0</v>
      </c>
      <c r="J7" s="59">
        <f t="shared" si="1"/>
        <v>1</v>
      </c>
      <c r="K7" cm="1">
        <f t="array" ref="K7">_xlfn.IFS(H7=3,1+K6,H7=1,1+K6,H7=0,0)</f>
        <v>0</v>
      </c>
      <c r="L7" cm="1">
        <f t="array" ref="L7">_xlfn.IFS(H7=0,1+L6,H7=1,1+L6,H7=3,0)</f>
        <v>3</v>
      </c>
      <c r="Q7" s="57" t="s">
        <v>88</v>
      </c>
      <c r="R7">
        <v>7</v>
      </c>
      <c r="S7">
        <v>4</v>
      </c>
      <c r="T7" s="60">
        <v>0.5714285714285714</v>
      </c>
    </row>
    <row r="8" spans="1:20" x14ac:dyDescent="0.2">
      <c r="A8">
        <v>7</v>
      </c>
      <c r="B8" s="1">
        <v>43736</v>
      </c>
      <c r="C8" t="str">
        <v>Aston Villa FC</v>
      </c>
      <c r="D8">
        <v>2</v>
      </c>
      <c r="E8" t="str">
        <v>Burnley FC</v>
      </c>
      <c r="F8">
        <v>2</v>
      </c>
      <c r="H8" s="59" cm="1">
        <f t="array" ref="H8">_xlfn.IFS(AND(C8=$N$18,D8&gt;F8),3,AND(E8=$N$18,F8&gt;D8),3,AND(C8=$N$18,D8=F8),1,AND(E8=$N$18,D8=F8),1,AND(C8=$N$18,D8&lt;F8),0,AND(E8=$N$18,F8&lt;D8),0)</f>
        <v>1</v>
      </c>
      <c r="I8">
        <f t="shared" si="0"/>
        <v>0</v>
      </c>
      <c r="J8" s="59">
        <f t="shared" si="1"/>
        <v>0</v>
      </c>
      <c r="K8" cm="1">
        <f t="array" ref="K8">_xlfn.IFS(H8=3,1+K7,H8=1,1+K7,H8=0,0)</f>
        <v>1</v>
      </c>
      <c r="L8" cm="1">
        <f t="array" ref="L8">_xlfn.IFS(H8=0,1+L7,H8=1,1+L7,H8=3,0)</f>
        <v>4</v>
      </c>
      <c r="Q8" s="56" t="s">
        <v>89</v>
      </c>
      <c r="R8">
        <v>18</v>
      </c>
      <c r="S8">
        <v>17</v>
      </c>
      <c r="T8" s="60">
        <v>0.94444444444444442</v>
      </c>
    </row>
    <row r="9" spans="1:20" x14ac:dyDescent="0.2">
      <c r="A9">
        <v>8</v>
      </c>
      <c r="B9" s="1">
        <v>43743</v>
      </c>
      <c r="C9" t="str">
        <v>Norwich City FC</v>
      </c>
      <c r="D9">
        <v>1</v>
      </c>
      <c r="E9" t="str">
        <v>Aston Villa FC</v>
      </c>
      <c r="F9">
        <v>5</v>
      </c>
      <c r="H9" s="59" cm="1">
        <f t="array" ref="H9">_xlfn.IFS(AND(C9=$N$18,D9&gt;F9),3,AND(E9=$N$18,F9&gt;D9),3,AND(C9=$N$18,D9=F9),1,AND(E9=$N$18,D9=F9),1,AND(C9=$N$18,D9&lt;F9),0,AND(E9=$N$18,F9&lt;D9),0)</f>
        <v>3</v>
      </c>
      <c r="I9">
        <f t="shared" si="0"/>
        <v>1</v>
      </c>
      <c r="J9" s="59">
        <f t="shared" si="1"/>
        <v>0</v>
      </c>
      <c r="K9" cm="1">
        <f t="array" ref="K9">_xlfn.IFS(H9=3,1+K8,H9=1,1+K8,H9=0,0)</f>
        <v>2</v>
      </c>
      <c r="L9" cm="1">
        <f t="array" ref="L9">_xlfn.IFS(H9=0,1+L8,H9=1,1+L8,H9=3,0)</f>
        <v>0</v>
      </c>
      <c r="Q9" s="57" t="s">
        <v>90</v>
      </c>
      <c r="R9">
        <v>4</v>
      </c>
      <c r="S9">
        <v>7</v>
      </c>
      <c r="T9" s="60">
        <v>1.75</v>
      </c>
    </row>
    <row r="10" spans="1:20" x14ac:dyDescent="0.2">
      <c r="A10">
        <v>9</v>
      </c>
      <c r="B10" s="1">
        <v>43757</v>
      </c>
      <c r="C10" t="str">
        <v>Aston Villa FC</v>
      </c>
      <c r="D10">
        <v>2</v>
      </c>
      <c r="E10" t="str">
        <v>Brighton &amp; Hove Albion FC</v>
      </c>
      <c r="F10">
        <v>1</v>
      </c>
      <c r="H10" s="59" cm="1">
        <f t="array" ref="H10">_xlfn.IFS(AND(C10=$N$18,D10&gt;F10),3,AND(E10=$N$18,F10&gt;D10),3,AND(C10=$N$18,D10=F10),1,AND(E10=$N$18,D10=F10),1,AND(C10=$N$18,D10&lt;F10),0,AND(E10=$N$18,F10&lt;D10),0)</f>
        <v>3</v>
      </c>
      <c r="I10">
        <f t="shared" si="0"/>
        <v>2</v>
      </c>
      <c r="J10" s="59">
        <f t="shared" si="1"/>
        <v>0</v>
      </c>
      <c r="K10" cm="1">
        <f t="array" ref="K10">_xlfn.IFS(H10=3,1+K9,H10=1,1+K9,H10=0,0)</f>
        <v>3</v>
      </c>
      <c r="L10" cm="1">
        <f t="array" ref="L10">_xlfn.IFS(H10=0,1+L9,H10=1,1+L9,H10=3,0)</f>
        <v>0</v>
      </c>
      <c r="Q10" s="57" t="s">
        <v>91</v>
      </c>
      <c r="R10">
        <v>3</v>
      </c>
      <c r="S10">
        <v>0</v>
      </c>
      <c r="T10" s="60">
        <v>0</v>
      </c>
    </row>
    <row r="11" spans="1:20" x14ac:dyDescent="0.2">
      <c r="A11">
        <v>10</v>
      </c>
      <c r="B11" s="1">
        <v>43764</v>
      </c>
      <c r="C11" t="str">
        <v>Manchester City FC</v>
      </c>
      <c r="D11">
        <v>3</v>
      </c>
      <c r="E11" t="str">
        <v>Aston Villa FC</v>
      </c>
      <c r="F11">
        <v>0</v>
      </c>
      <c r="H11" s="59" cm="1">
        <f t="array" ref="H11">_xlfn.IFS(AND(C11=$N$18,D11&gt;F11),3,AND(E11=$N$18,F11&gt;D11),3,AND(C11=$N$18,D11=F11),1,AND(E11=$N$18,D11=F11),1,AND(C11=$N$18,D11&lt;F11),0,AND(E11=$N$18,F11&lt;D11),0)</f>
        <v>0</v>
      </c>
      <c r="I11">
        <f t="shared" si="0"/>
        <v>0</v>
      </c>
      <c r="J11" s="59">
        <f t="shared" si="1"/>
        <v>1</v>
      </c>
      <c r="K11" cm="1">
        <f t="array" ref="K11">_xlfn.IFS(H11=3,1+K10,H11=1,1+K10,H11=0,0)</f>
        <v>0</v>
      </c>
      <c r="L11" cm="1">
        <f t="array" ref="L11">_xlfn.IFS(H11=0,1+L10,H11=1,1+L10,H11=3,0)</f>
        <v>1</v>
      </c>
      <c r="Q11" s="57" t="s">
        <v>92</v>
      </c>
      <c r="R11">
        <v>1</v>
      </c>
      <c r="S11">
        <v>0</v>
      </c>
      <c r="T11" s="60">
        <v>0</v>
      </c>
    </row>
    <row r="12" spans="1:20" x14ac:dyDescent="0.2">
      <c r="A12">
        <v>11</v>
      </c>
      <c r="B12" s="1">
        <v>43771</v>
      </c>
      <c r="C12" t="str">
        <v>Aston Villa FC</v>
      </c>
      <c r="D12">
        <v>1</v>
      </c>
      <c r="E12" t="str">
        <v>Liverpool FC</v>
      </c>
      <c r="F12">
        <v>2</v>
      </c>
      <c r="H12" s="59" cm="1">
        <f t="array" ref="H12">_xlfn.IFS(AND(C12=$N$18,D12&gt;F12),3,AND(E12=$N$18,F12&gt;D12),3,AND(C12=$N$18,D12=F12),1,AND(E12=$N$18,D12=F12),1,AND(C12=$N$18,D12&lt;F12),0,AND(E12=$N$18,F12&lt;D12),0)</f>
        <v>0</v>
      </c>
      <c r="I12">
        <f t="shared" si="0"/>
        <v>0</v>
      </c>
      <c r="J12" s="59">
        <f t="shared" si="1"/>
        <v>2</v>
      </c>
      <c r="K12" cm="1">
        <f t="array" ref="K12">_xlfn.IFS(H12=3,1+K11,H12=1,1+K11,H12=0,0)</f>
        <v>0</v>
      </c>
      <c r="L12" cm="1">
        <f t="array" ref="L12">_xlfn.IFS(H12=0,1+L11,H12=1,1+L11,H12=3,0)</f>
        <v>2</v>
      </c>
      <c r="Q12" s="57" t="s">
        <v>93</v>
      </c>
      <c r="R12">
        <v>4</v>
      </c>
      <c r="S12">
        <v>2</v>
      </c>
      <c r="T12" s="60">
        <v>0.5</v>
      </c>
    </row>
    <row r="13" spans="1:20" x14ac:dyDescent="0.2">
      <c r="A13">
        <v>12</v>
      </c>
      <c r="B13" s="1">
        <v>43779</v>
      </c>
      <c r="C13" t="str">
        <v>Wolverhampton Wanderers FC</v>
      </c>
      <c r="D13">
        <v>2</v>
      </c>
      <c r="E13" t="str">
        <v>Aston Villa FC</v>
      </c>
      <c r="F13">
        <v>1</v>
      </c>
      <c r="H13" s="59" cm="1">
        <f t="array" ref="H13">_xlfn.IFS(AND(C13=$N$18,D13&gt;F13),3,AND(E13=$N$18,F13&gt;D13),3,AND(C13=$N$18,D13=F13),1,AND(E13=$N$18,D13=F13),1,AND(C13=$N$18,D13&lt;F13),0,AND(E13=$N$18,F13&lt;D13),0)</f>
        <v>0</v>
      </c>
      <c r="I13">
        <f t="shared" si="0"/>
        <v>0</v>
      </c>
      <c r="J13" s="59">
        <f t="shared" si="1"/>
        <v>3</v>
      </c>
      <c r="K13" cm="1">
        <f t="array" ref="K13">_xlfn.IFS(H13=3,1+K12,H13=1,1+K12,H13=0,0)</f>
        <v>0</v>
      </c>
      <c r="L13" cm="1">
        <f t="array" ref="L13">_xlfn.IFS(H13=0,1+L12,H13=1,1+L12,H13=3,0)</f>
        <v>3</v>
      </c>
      <c r="Q13" s="57" t="s">
        <v>94</v>
      </c>
      <c r="R13">
        <v>6</v>
      </c>
      <c r="S13">
        <v>8</v>
      </c>
      <c r="T13" s="60">
        <v>1.3333333333333333</v>
      </c>
    </row>
    <row r="14" spans="1:20" x14ac:dyDescent="0.2">
      <c r="A14">
        <v>13</v>
      </c>
      <c r="B14" s="1">
        <v>43794</v>
      </c>
      <c r="C14" t="str">
        <v>Aston Villa FC</v>
      </c>
      <c r="D14">
        <v>2</v>
      </c>
      <c r="E14" t="str">
        <v>Newcastle United FC</v>
      </c>
      <c r="F14">
        <v>0</v>
      </c>
      <c r="H14" s="59" cm="1">
        <f t="array" ref="H14">_xlfn.IFS(AND(C14=$N$18,D14&gt;F14),3,AND(E14=$N$18,F14&gt;D14),3,AND(C14=$N$18,D14=F14),1,AND(E14=$N$18,D14=F14),1,AND(C14=$N$18,D14&lt;F14),0,AND(E14=$N$18,F14&lt;D14),0)</f>
        <v>3</v>
      </c>
      <c r="I14">
        <f t="shared" si="0"/>
        <v>1</v>
      </c>
      <c r="J14" s="59">
        <f t="shared" si="1"/>
        <v>0</v>
      </c>
      <c r="K14" cm="1">
        <f t="array" ref="K14">_xlfn.IFS(H14=3,1+K13,H14=1,1+K13,H14=0,0)</f>
        <v>1</v>
      </c>
      <c r="L14" cm="1">
        <f t="array" ref="L14">_xlfn.IFS(H14=0,1+L13,H14=1,1+L13,H14=3,0)</f>
        <v>0</v>
      </c>
      <c r="Q14" s="56" t="s">
        <v>95</v>
      </c>
      <c r="R14">
        <v>38</v>
      </c>
      <c r="S14">
        <v>35</v>
      </c>
      <c r="T14" s="60">
        <v>0.92105263157894735</v>
      </c>
    </row>
    <row r="15" spans="1:20" x14ac:dyDescent="0.2">
      <c r="A15">
        <v>14</v>
      </c>
      <c r="B15" s="1">
        <v>43800</v>
      </c>
      <c r="C15" t="str">
        <v>Manchester United FC</v>
      </c>
      <c r="D15">
        <v>2</v>
      </c>
      <c r="E15" t="str">
        <v>Aston Villa FC</v>
      </c>
      <c r="F15">
        <v>2</v>
      </c>
      <c r="H15" s="59" cm="1">
        <f t="array" ref="H15">_xlfn.IFS(AND(C15=$N$18,D15&gt;F15),3,AND(E15=$N$18,F15&gt;D15),3,AND(C15=$N$18,D15=F15),1,AND(E15=$N$18,D15=F15),1,AND(C15=$N$18,D15&lt;F15),0,AND(E15=$N$18,F15&lt;D15),0)</f>
        <v>1</v>
      </c>
      <c r="I15">
        <f t="shared" si="0"/>
        <v>0</v>
      </c>
      <c r="J15" s="59">
        <f t="shared" si="1"/>
        <v>0</v>
      </c>
      <c r="K15" cm="1">
        <f t="array" ref="K15">_xlfn.IFS(H15=3,1+K14,H15=1,1+K14,H15=0,0)</f>
        <v>2</v>
      </c>
      <c r="L15" cm="1">
        <f t="array" ref="L15">_xlfn.IFS(H15=0,1+L14,H15=1,1+L14,H15=3,0)</f>
        <v>1</v>
      </c>
    </row>
    <row r="16" spans="1:20" x14ac:dyDescent="0.2">
      <c r="A16">
        <v>15</v>
      </c>
      <c r="B16" s="1">
        <v>43803</v>
      </c>
      <c r="C16" t="str">
        <v>Chelsea FC</v>
      </c>
      <c r="D16">
        <v>2</v>
      </c>
      <c r="E16" t="str">
        <v>Aston Villa FC</v>
      </c>
      <c r="F16">
        <v>1</v>
      </c>
      <c r="H16" s="59" cm="1">
        <f t="array" ref="H16">_xlfn.IFS(AND(C16=$N$18,D16&gt;F16),3,AND(E16=$N$18,F16&gt;D16),3,AND(C16=$N$18,D16=F16),1,AND(E16=$N$18,D16=F16),1,AND(C16=$N$18,D16&lt;F16),0,AND(E16=$N$18,F16&lt;D16),0)</f>
        <v>0</v>
      </c>
      <c r="I16">
        <f t="shared" si="0"/>
        <v>0</v>
      </c>
      <c r="J16" s="59">
        <f t="shared" si="1"/>
        <v>1</v>
      </c>
      <c r="K16" cm="1">
        <f t="array" ref="K16">_xlfn.IFS(H16=3,1+K15,H16=1,1+K15,H16=0,0)</f>
        <v>0</v>
      </c>
      <c r="L16" cm="1">
        <f t="array" ref="L16">_xlfn.IFS(H16=0,1+L15,H16=1,1+L15,H16=3,0)</f>
        <v>2</v>
      </c>
    </row>
    <row r="17" spans="1:22" x14ac:dyDescent="0.2">
      <c r="A17">
        <v>16</v>
      </c>
      <c r="B17" s="1">
        <v>43807</v>
      </c>
      <c r="C17" t="str">
        <v>Aston Villa FC</v>
      </c>
      <c r="D17">
        <v>1</v>
      </c>
      <c r="E17" t="str">
        <v>Leicester City FC</v>
      </c>
      <c r="F17">
        <v>4</v>
      </c>
      <c r="H17" s="59" cm="1">
        <f t="array" ref="H17">_xlfn.IFS(AND(C17=$N$18,D17&gt;F17),3,AND(E17=$N$18,F17&gt;D17),3,AND(C17=$N$18,D17=F17),1,AND(E17=$N$18,D17=F17),1,AND(C17=$N$18,D17&lt;F17),0,AND(E17=$N$18,F17&lt;D17),0)</f>
        <v>0</v>
      </c>
      <c r="I17">
        <f t="shared" si="0"/>
        <v>0</v>
      </c>
      <c r="J17" s="59">
        <f t="shared" si="1"/>
        <v>2</v>
      </c>
      <c r="K17" cm="1">
        <f t="array" ref="K17">_xlfn.IFS(H17=3,1+K16,H17=1,1+K16,H17=0,0)</f>
        <v>0</v>
      </c>
      <c r="L17" cm="1">
        <f t="array" ref="L17">_xlfn.IFS(H17=0,1+L16,H17=1,1+L16,H17=3,0)</f>
        <v>3</v>
      </c>
    </row>
    <row r="18" spans="1:22" x14ac:dyDescent="0.2">
      <c r="A18">
        <v>17</v>
      </c>
      <c r="B18" s="1">
        <v>43813</v>
      </c>
      <c r="C18" t="str">
        <v>Sheffield United FC</v>
      </c>
      <c r="D18">
        <v>2</v>
      </c>
      <c r="E18" t="str">
        <v>Aston Villa FC</v>
      </c>
      <c r="F18">
        <v>0</v>
      </c>
      <c r="H18" s="59" cm="1">
        <f t="array" ref="H18">_xlfn.IFS(AND(C18=$N$18,D18&gt;F18),3,AND(E18=$N$18,F18&gt;D18),3,AND(C18=$N$18,D18=F18),1,AND(E18=$N$18,D18=F18),1,AND(C18=$N$18,D18&lt;F18),0,AND(E18=$N$18,F18&lt;D18),0)</f>
        <v>0</v>
      </c>
      <c r="I18">
        <f t="shared" si="0"/>
        <v>0</v>
      </c>
      <c r="J18" s="59">
        <f t="shared" si="1"/>
        <v>3</v>
      </c>
      <c r="K18" cm="1">
        <f t="array" ref="K18">_xlfn.IFS(H18=3,1+K17,H18=1,1+K17,H18=0,0)</f>
        <v>0</v>
      </c>
      <c r="L18" cm="1">
        <f t="array" ref="L18">_xlfn.IFS(H18=0,1+L17,H18=1,1+L17,H18=3,0)</f>
        <v>4</v>
      </c>
      <c r="N18" s="14" t="str">
        <f>E2</f>
        <v>Aston Villa FC</v>
      </c>
      <c r="O18" s="9" t="s">
        <v>12</v>
      </c>
      <c r="P18" s="7" t="s">
        <v>13</v>
      </c>
      <c r="Q18" s="6" t="s">
        <v>14</v>
      </c>
      <c r="R18" s="8" t="s">
        <v>15</v>
      </c>
      <c r="S18" s="9" t="s">
        <v>16</v>
      </c>
      <c r="T18" s="9" t="s">
        <v>17</v>
      </c>
      <c r="U18" s="9" t="s">
        <v>18</v>
      </c>
      <c r="V18" s="9" t="s">
        <v>19</v>
      </c>
    </row>
    <row r="19" spans="1:22" x14ac:dyDescent="0.2">
      <c r="A19">
        <v>18</v>
      </c>
      <c r="B19" s="1">
        <v>43820</v>
      </c>
      <c r="C19" t="str">
        <v>Aston Villa FC</v>
      </c>
      <c r="D19">
        <v>1</v>
      </c>
      <c r="E19" t="str">
        <v>Southampton FC</v>
      </c>
      <c r="F19">
        <v>3</v>
      </c>
      <c r="H19" s="59" cm="1">
        <f t="array" ref="H19">_xlfn.IFS(AND(C19=$N$18,D19&gt;F19),3,AND(E19=$N$18,F19&gt;D19),3,AND(C19=$N$18,D19=F19),1,AND(E19=$N$18,D19=F19),1,AND(C19=$N$18,D19&lt;F19),0,AND(E19=$N$18,F19&lt;D19),0)</f>
        <v>0</v>
      </c>
      <c r="I19">
        <f t="shared" si="0"/>
        <v>0</v>
      </c>
      <c r="J19" s="59">
        <f t="shared" si="1"/>
        <v>4</v>
      </c>
      <c r="K19" cm="1">
        <f t="array" ref="K19">_xlfn.IFS(H19=3,1+K18,H19=1,1+K18,H19=0,0)</f>
        <v>0</v>
      </c>
      <c r="L19" cm="1">
        <f t="array" ref="L19">_xlfn.IFS(H19=0,1+L18,H19=1,1+L18,H19=3,0)</f>
        <v>5</v>
      </c>
      <c r="N19" s="10" t="s">
        <v>22</v>
      </c>
      <c r="O19" s="11">
        <f>COUNT(A2:A39)</f>
        <v>38</v>
      </c>
      <c r="P19" s="5" cm="1">
        <f t="array" ref="P19">SUMPRODUCT(((C2:C39=$N$18)*(D2:D39&gt;F2:F39))+((E2:E39=$N$18)*(F2:F39&gt;D2:D39)))</f>
        <v>9</v>
      </c>
      <c r="Q19" s="12" cm="1">
        <f t="array" ref="Q19">SUMPRODUCT(((C2:C39=$N$18)*(D2:D39=F2:F39))+((E2:E39=$N$18)*(F2:F39=D2:D39)))</f>
        <v>8</v>
      </c>
      <c r="R19" s="13" cm="1">
        <f t="array" ref="R19">SUMPRODUCT(((C2:C39=$N$18)*(D2:D39&lt;F2:F39))+((E2:E39=$N$18)*(F2:F39&lt;D2:D39)))</f>
        <v>21</v>
      </c>
      <c r="S19" s="11">
        <f>SUMIF(C2:C39,N18,D2:D39)+SUMIF(E2:E39,N18,F2:F39)</f>
        <v>41</v>
      </c>
      <c r="T19" s="11">
        <f>SUMIF(C2:C39,N18,F2:F39)+SUMIF(E2:E39,N18,D2:D39)</f>
        <v>67</v>
      </c>
      <c r="U19" s="11">
        <f>S19-T19</f>
        <v>-26</v>
      </c>
      <c r="V19" s="11">
        <f>V20+V21</f>
        <v>35</v>
      </c>
    </row>
    <row r="20" spans="1:22" x14ac:dyDescent="0.2">
      <c r="A20">
        <v>19</v>
      </c>
      <c r="B20" s="1">
        <v>43825</v>
      </c>
      <c r="C20" t="str">
        <v>Aston Villa FC</v>
      </c>
      <c r="D20">
        <v>1</v>
      </c>
      <c r="E20" t="str">
        <v>Norwich City FC</v>
      </c>
      <c r="F20">
        <v>0</v>
      </c>
      <c r="H20" s="59" cm="1">
        <f t="array" ref="H20">_xlfn.IFS(AND(C20=$N$18,D20&gt;F20),3,AND(E20=$N$18,F20&gt;D20),3,AND(C20=$N$18,D20=F20),1,AND(E20=$N$18,D20=F20),1,AND(C20=$N$18,D20&lt;F20),0,AND(E20=$N$18,F20&lt;D20),0)</f>
        <v>3</v>
      </c>
      <c r="I20">
        <f t="shared" si="0"/>
        <v>1</v>
      </c>
      <c r="J20" s="59">
        <f t="shared" si="1"/>
        <v>0</v>
      </c>
      <c r="K20" cm="1">
        <f t="array" ref="K20">_xlfn.IFS(H20=3,1+K19,H20=1,1+K19,H20=0,0)</f>
        <v>1</v>
      </c>
      <c r="L20" cm="1">
        <f t="array" ref="L20">_xlfn.IFS(H20=0,1+L19,H20=1,1+L19,H20=3,0)</f>
        <v>0</v>
      </c>
      <c r="N20" s="10" t="s">
        <v>2</v>
      </c>
      <c r="O20" s="11">
        <f>COUNTIF(C2:C39,C3)</f>
        <v>19</v>
      </c>
      <c r="P20" s="20" cm="1">
        <f t="array" ref="P20">SUMPRODUCT(((C2:C39=$N$18)*(D2:D39&gt;F2:F39)))</f>
        <v>7</v>
      </c>
      <c r="Q20" s="12" cm="1">
        <f t="array" ref="Q20">SUMPRODUCT(((C2:C39=$N$18)*(D2:D39=F2:F39)))</f>
        <v>3</v>
      </c>
      <c r="R20" s="13" cm="1">
        <f t="array" ref="R20">SUMPRODUCT(((C2:C39=$N$18)*(D2:D39&lt;F2:F39)))</f>
        <v>9</v>
      </c>
      <c r="S20" s="11">
        <f>SUMIF(C2:C39,N18,D2:D39)</f>
        <v>22</v>
      </c>
      <c r="T20" s="11">
        <f>SUMIF(C2:C39,N18,F2:F39)</f>
        <v>30</v>
      </c>
      <c r="U20" s="11">
        <f>S20-T20</f>
        <v>-8</v>
      </c>
      <c r="V20" s="11">
        <f>(P20*3)+Q20</f>
        <v>24</v>
      </c>
    </row>
    <row r="21" spans="1:22" x14ac:dyDescent="0.2">
      <c r="A21">
        <v>20</v>
      </c>
      <c r="B21" s="1">
        <v>43827</v>
      </c>
      <c r="C21" t="str">
        <v>Watford FC</v>
      </c>
      <c r="D21">
        <v>3</v>
      </c>
      <c r="E21" t="str">
        <v>Aston Villa FC</v>
      </c>
      <c r="F21">
        <v>0</v>
      </c>
      <c r="H21" s="59" cm="1">
        <f t="array" ref="H21">_xlfn.IFS(AND(C21=$N$18,D21&gt;F21),3,AND(E21=$N$18,F21&gt;D21),3,AND(C21=$N$18,D21=F21),1,AND(E21=$N$18,D21=F21),1,AND(C21=$N$18,D21&lt;F21),0,AND(E21=$N$18,F21&lt;D21),0)</f>
        <v>0</v>
      </c>
      <c r="I21">
        <f t="shared" si="0"/>
        <v>0</v>
      </c>
      <c r="J21" s="59">
        <f t="shared" si="1"/>
        <v>1</v>
      </c>
      <c r="K21" cm="1">
        <f t="array" ref="K21">_xlfn.IFS(H21=3,1+K20,H21=1,1+K20,H21=0,0)</f>
        <v>0</v>
      </c>
      <c r="L21" cm="1">
        <f t="array" ref="L21">_xlfn.IFS(H21=0,1+L20,H21=1,1+L20,H21=3,0)</f>
        <v>1</v>
      </c>
      <c r="N21" s="10" t="s">
        <v>4</v>
      </c>
      <c r="O21" s="11">
        <f>COUNTIF(E2:E39,E2)</f>
        <v>19</v>
      </c>
      <c r="P21" s="5" cm="1">
        <f t="array" ref="P21">SUMPRODUCT(((E2:E39=$N$18)*(F2:F39&gt;D2:D39)))</f>
        <v>2</v>
      </c>
      <c r="Q21" s="12" cm="1">
        <f t="array" ref="Q21">SUMPRODUCT(((E2:E39=$N$18)*(F2:F39=D2:D39)))</f>
        <v>5</v>
      </c>
      <c r="R21" s="13" cm="1">
        <f t="array" ref="R21">SUMPRODUCT(((E2:E39=$N$18)*(F2:F39&lt;D2:D39)))</f>
        <v>12</v>
      </c>
      <c r="S21" s="11">
        <f>SUMIF(E2:E39,N18,F2:F39)</f>
        <v>19</v>
      </c>
      <c r="T21" s="11">
        <f>SUMIF(E2:E39,N18,D2:D39)</f>
        <v>37</v>
      </c>
      <c r="U21" s="11">
        <f>S21-T21</f>
        <v>-18</v>
      </c>
      <c r="V21" s="11">
        <f>(P21*3)+Q21</f>
        <v>11</v>
      </c>
    </row>
    <row r="22" spans="1:22" x14ac:dyDescent="0.2">
      <c r="A22">
        <v>21</v>
      </c>
      <c r="B22" s="1">
        <v>43831</v>
      </c>
      <c r="C22" t="str">
        <v>Burnley FC</v>
      </c>
      <c r="D22">
        <v>1</v>
      </c>
      <c r="E22" t="str">
        <v>Aston Villa FC</v>
      </c>
      <c r="F22">
        <v>2</v>
      </c>
      <c r="H22" s="59" cm="1">
        <f t="array" ref="H22">_xlfn.IFS(AND(C22=$N$18,D22&gt;F22),3,AND(E22=$N$18,F22&gt;D22),3,AND(C22=$N$18,D22=F22),1,AND(E22=$N$18,D22=F22),1,AND(C22=$N$18,D22&lt;F22),0,AND(E22=$N$18,F22&lt;D22),0)</f>
        <v>3</v>
      </c>
      <c r="I22">
        <f t="shared" si="0"/>
        <v>1</v>
      </c>
      <c r="J22" s="59">
        <f t="shared" si="1"/>
        <v>0</v>
      </c>
      <c r="K22" cm="1">
        <f t="array" ref="K22">_xlfn.IFS(H22=3,1+K21,H22=1,1+K21,H22=0,0)</f>
        <v>1</v>
      </c>
      <c r="L22" cm="1">
        <f t="array" ref="L22">_xlfn.IFS(H22=0,1+L21,H22=1,1+L21,H22=3,0)</f>
        <v>0</v>
      </c>
    </row>
    <row r="23" spans="1:22" x14ac:dyDescent="0.2">
      <c r="A23">
        <v>22</v>
      </c>
      <c r="B23" s="1">
        <v>43842</v>
      </c>
      <c r="C23" t="str">
        <v>Aston Villa FC</v>
      </c>
      <c r="D23">
        <v>1</v>
      </c>
      <c r="E23" t="str">
        <v>Manchester City FC</v>
      </c>
      <c r="F23">
        <v>6</v>
      </c>
      <c r="H23" s="59" cm="1">
        <f t="array" ref="H23">_xlfn.IFS(AND(C23=$N$18,D23&gt;F23),3,AND(E23=$N$18,F23&gt;D23),3,AND(C23=$N$18,D23=F23),1,AND(E23=$N$18,D23=F23),1,AND(C23=$N$18,D23&lt;F23),0,AND(E23=$N$18,F23&lt;D23),0)</f>
        <v>0</v>
      </c>
      <c r="I23">
        <f t="shared" si="0"/>
        <v>0</v>
      </c>
      <c r="J23" s="59">
        <f t="shared" si="1"/>
        <v>1</v>
      </c>
      <c r="K23" cm="1">
        <f t="array" ref="K23">_xlfn.IFS(H23=3,1+K22,H23=1,1+K22,H23=0,0)</f>
        <v>0</v>
      </c>
      <c r="L23" cm="1">
        <f t="array" ref="L23">_xlfn.IFS(H23=0,1+L22,H23=1,1+L22,H23=3,0)</f>
        <v>1</v>
      </c>
    </row>
    <row r="24" spans="1:22" x14ac:dyDescent="0.2">
      <c r="A24">
        <v>23</v>
      </c>
      <c r="B24" s="1">
        <v>43848</v>
      </c>
      <c r="C24" t="str">
        <v>Brighton &amp; Hove Albion FC</v>
      </c>
      <c r="D24">
        <v>1</v>
      </c>
      <c r="E24" t="str">
        <v>Aston Villa FC</v>
      </c>
      <c r="F24">
        <v>1</v>
      </c>
      <c r="H24" s="59" cm="1">
        <f t="array" ref="H24">_xlfn.IFS(AND(C24=$N$18,D24&gt;F24),3,AND(E24=$N$18,F24&gt;D24),3,AND(C24=$N$18,D24=F24),1,AND(E24=$N$18,D24=F24),1,AND(C24=$N$18,D24&lt;F24),0,AND(E24=$N$18,F24&lt;D24),0)</f>
        <v>1</v>
      </c>
      <c r="I24">
        <f t="shared" si="0"/>
        <v>0</v>
      </c>
      <c r="J24" s="59">
        <f t="shared" si="1"/>
        <v>0</v>
      </c>
      <c r="K24" cm="1">
        <f t="array" ref="K24">_xlfn.IFS(H24=3,1+K23,H24=1,1+K23,H24=0,0)</f>
        <v>1</v>
      </c>
      <c r="L24" cm="1">
        <f t="array" ref="L24">_xlfn.IFS(H24=0,1+L23,H24=1,1+L23,H24=3,0)</f>
        <v>2</v>
      </c>
    </row>
    <row r="25" spans="1:22" x14ac:dyDescent="0.2">
      <c r="A25">
        <v>24</v>
      </c>
      <c r="B25" s="1">
        <v>43851</v>
      </c>
      <c r="C25" t="str">
        <v>Aston Villa FC</v>
      </c>
      <c r="D25">
        <v>2</v>
      </c>
      <c r="E25" t="str">
        <v>Watford FC</v>
      </c>
      <c r="F25">
        <v>1</v>
      </c>
      <c r="H25" s="59" cm="1">
        <f t="array" ref="H25">_xlfn.IFS(AND(C25=$N$18,D25&gt;F25),3,AND(E25=$N$18,F25&gt;D25),3,AND(C25=$N$18,D25=F25),1,AND(E25=$N$18,D25=F25),1,AND(C25=$N$18,D25&lt;F25),0,AND(E25=$N$18,F25&lt;D25),0)</f>
        <v>3</v>
      </c>
      <c r="I25">
        <f t="shared" si="0"/>
        <v>1</v>
      </c>
      <c r="J25" s="59">
        <f t="shared" si="1"/>
        <v>0</v>
      </c>
      <c r="K25" cm="1">
        <f t="array" ref="K25">_xlfn.IFS(H25=3,1+K24,H25=1,1+K24,H25=0,0)</f>
        <v>2</v>
      </c>
      <c r="L25" cm="1">
        <f t="array" ref="L25">_xlfn.IFS(H25=0,1+L24,H25=1,1+L24,H25=3,0)</f>
        <v>0</v>
      </c>
    </row>
    <row r="26" spans="1:22" x14ac:dyDescent="0.2">
      <c r="A26">
        <v>25</v>
      </c>
      <c r="B26" s="1">
        <v>43862</v>
      </c>
      <c r="C26" t="str">
        <v>AFC Bournemouth</v>
      </c>
      <c r="D26">
        <v>2</v>
      </c>
      <c r="E26" t="str">
        <v>Aston Villa FC</v>
      </c>
      <c r="F26">
        <v>1</v>
      </c>
      <c r="H26" s="59" cm="1">
        <f t="array" ref="H26">_xlfn.IFS(AND(C26=$N$18,D26&gt;F26),3,AND(E26=$N$18,F26&gt;D26),3,AND(C26=$N$18,D26=F26),1,AND(E26=$N$18,D26=F26),1,AND(C26=$N$18,D26&lt;F26),0,AND(E26=$N$18,F26&lt;D26),0)</f>
        <v>0</v>
      </c>
      <c r="I26">
        <f t="shared" si="0"/>
        <v>0</v>
      </c>
      <c r="J26" s="59">
        <f t="shared" si="1"/>
        <v>1</v>
      </c>
      <c r="K26" cm="1">
        <f t="array" ref="K26">_xlfn.IFS(H26=3,1+K25,H26=1,1+K25,H26=0,0)</f>
        <v>0</v>
      </c>
      <c r="L26" cm="1">
        <f t="array" ref="L26">_xlfn.IFS(H26=0,1+L25,H26=1,1+L25,H26=3,0)</f>
        <v>1</v>
      </c>
    </row>
    <row r="27" spans="1:22" x14ac:dyDescent="0.2">
      <c r="A27">
        <v>26</v>
      </c>
      <c r="B27" s="1">
        <v>43877</v>
      </c>
      <c r="C27" t="str">
        <v>Aston Villa FC</v>
      </c>
      <c r="D27">
        <v>2</v>
      </c>
      <c r="E27" t="str">
        <v>Tottenham Hotspur FC</v>
      </c>
      <c r="F27">
        <v>3</v>
      </c>
      <c r="H27" s="59" cm="1">
        <f t="array" ref="H27">_xlfn.IFS(AND(C27=$N$18,D27&gt;F27),3,AND(E27=$N$18,F27&gt;D27),3,AND(C27=$N$18,D27=F27),1,AND(E27=$N$18,D27=F27),1,AND(C27=$N$18,D27&lt;F27),0,AND(E27=$N$18,F27&lt;D27),0)</f>
        <v>0</v>
      </c>
      <c r="I27">
        <f t="shared" si="0"/>
        <v>0</v>
      </c>
      <c r="J27" s="59">
        <f t="shared" si="1"/>
        <v>2</v>
      </c>
      <c r="K27" cm="1">
        <f t="array" ref="K27">_xlfn.IFS(H27=3,1+K26,H27=1,1+K26,H27=0,0)</f>
        <v>0</v>
      </c>
      <c r="L27" cm="1">
        <f t="array" ref="L27">_xlfn.IFS(H27=0,1+L26,H27=1,1+L26,H27=3,0)</f>
        <v>2</v>
      </c>
    </row>
    <row r="28" spans="1:22" x14ac:dyDescent="0.2">
      <c r="A28">
        <v>27</v>
      </c>
      <c r="B28" s="1">
        <v>43883</v>
      </c>
      <c r="C28" t="str">
        <v>Southampton FC</v>
      </c>
      <c r="D28">
        <v>2</v>
      </c>
      <c r="E28" t="str">
        <v>Aston Villa FC</v>
      </c>
      <c r="F28">
        <v>0</v>
      </c>
      <c r="H28" s="59" cm="1">
        <f t="array" ref="H28">_xlfn.IFS(AND(C28=$N$18,D28&gt;F28),3,AND(E28=$N$18,F28&gt;D28),3,AND(C28=$N$18,D28=F28),1,AND(E28=$N$18,D28=F28),1,AND(C28=$N$18,D28&lt;F28),0,AND(E28=$N$18,F28&lt;D28),0)</f>
        <v>0</v>
      </c>
      <c r="I28">
        <f t="shared" si="0"/>
        <v>0</v>
      </c>
      <c r="J28" s="59">
        <f t="shared" si="1"/>
        <v>3</v>
      </c>
      <c r="K28" cm="1">
        <f t="array" ref="K28">_xlfn.IFS(H28=3,1+K27,H28=1,1+K27,H28=0,0)</f>
        <v>0</v>
      </c>
      <c r="L28" cm="1">
        <f t="array" ref="L28">_xlfn.IFS(H28=0,1+L27,H28=1,1+L27,H28=3,0)</f>
        <v>3</v>
      </c>
    </row>
    <row r="29" spans="1:22" x14ac:dyDescent="0.2">
      <c r="A29">
        <v>28</v>
      </c>
      <c r="B29" s="1">
        <v>43999</v>
      </c>
      <c r="C29" t="str">
        <v>Aston Villa FC</v>
      </c>
      <c r="D29">
        <v>0</v>
      </c>
      <c r="E29" t="str">
        <v>Sheffield United FC</v>
      </c>
      <c r="F29">
        <v>0</v>
      </c>
      <c r="H29" s="59" cm="1">
        <f t="array" ref="H29">_xlfn.IFS(AND(C29=$N$18,D29&gt;F29),3,AND(E29=$N$18,F29&gt;D29),3,AND(C29=$N$18,D29=F29),1,AND(E29=$N$18,D29=F29),1,AND(C29=$N$18,D29&lt;F29),0,AND(E29=$N$18,F29&lt;D29),0)</f>
        <v>1</v>
      </c>
      <c r="I29">
        <f t="shared" si="0"/>
        <v>0</v>
      </c>
      <c r="J29" s="59">
        <f t="shared" si="1"/>
        <v>0</v>
      </c>
      <c r="K29" cm="1">
        <f t="array" ref="K29">_xlfn.IFS(H29=3,1+K28,H29=1,1+K28,H29=0,0)</f>
        <v>1</v>
      </c>
      <c r="L29" cm="1">
        <f t="array" ref="L29">_xlfn.IFS(H29=0,1+L28,H29=1,1+L28,H29=3,0)</f>
        <v>4</v>
      </c>
    </row>
    <row r="30" spans="1:22" x14ac:dyDescent="0.2">
      <c r="A30">
        <v>29</v>
      </c>
      <c r="B30" s="1">
        <v>43899</v>
      </c>
      <c r="C30" t="str">
        <v>Leicester City FC</v>
      </c>
      <c r="D30">
        <v>4</v>
      </c>
      <c r="E30" t="str">
        <v>Aston Villa FC</v>
      </c>
      <c r="F30">
        <v>0</v>
      </c>
      <c r="H30" s="59" cm="1">
        <f t="array" ref="H30">_xlfn.IFS(AND(C30=$N$18,D30&gt;F30),3,AND(E30=$N$18,F30&gt;D30),3,AND(C30=$N$18,D30=F30),1,AND(E30=$N$18,D30=F30),1,AND(C30=$N$18,D30&lt;F30),0,AND(E30=$N$18,F30&lt;D30),0)</f>
        <v>0</v>
      </c>
      <c r="I30">
        <f t="shared" si="0"/>
        <v>0</v>
      </c>
      <c r="J30" s="59">
        <f t="shared" si="1"/>
        <v>1</v>
      </c>
      <c r="K30" cm="1">
        <f t="array" ref="K30">_xlfn.IFS(H30=3,1+K29,H30=1,1+K29,H30=0,0)</f>
        <v>0</v>
      </c>
      <c r="L30" cm="1">
        <f t="array" ref="L30">_xlfn.IFS(H30=0,1+L29,H30=1,1+L29,H30=3,0)</f>
        <v>5</v>
      </c>
    </row>
    <row r="31" spans="1:22" x14ac:dyDescent="0.2">
      <c r="A31">
        <v>30</v>
      </c>
      <c r="B31" s="1">
        <v>44003</v>
      </c>
      <c r="C31" t="str">
        <v>Aston Villa FC</v>
      </c>
      <c r="D31">
        <v>1</v>
      </c>
      <c r="E31" t="str">
        <v>Chelsea FC</v>
      </c>
      <c r="F31">
        <v>2</v>
      </c>
      <c r="H31" s="59" cm="1">
        <f t="array" ref="H31">_xlfn.IFS(AND(C31=$N$18,D31&gt;F31),3,AND(E31=$N$18,F31&gt;D31),3,AND(C31=$N$18,D31=F31),1,AND(E31=$N$18,D31=F31),1,AND(C31=$N$18,D31&lt;F31),0,AND(E31=$N$18,F31&lt;D31),0)</f>
        <v>0</v>
      </c>
      <c r="I31">
        <f t="shared" si="0"/>
        <v>0</v>
      </c>
      <c r="J31" s="59">
        <f t="shared" si="1"/>
        <v>2</v>
      </c>
      <c r="K31" cm="1">
        <f t="array" ref="K31">_xlfn.IFS(H31=3,1+K30,H31=1,1+K30,H31=0,0)</f>
        <v>0</v>
      </c>
      <c r="L31" cm="1">
        <f t="array" ref="L31">_xlfn.IFS(H31=0,1+L30,H31=1,1+L30,H31=3,0)</f>
        <v>6</v>
      </c>
    </row>
    <row r="32" spans="1:22" x14ac:dyDescent="0.2">
      <c r="A32">
        <v>31</v>
      </c>
      <c r="B32" s="1">
        <v>44006</v>
      </c>
      <c r="C32" t="str">
        <v>Newcastle United FC</v>
      </c>
      <c r="D32">
        <v>1</v>
      </c>
      <c r="E32" t="str">
        <v>Aston Villa FC</v>
      </c>
      <c r="F32">
        <v>1</v>
      </c>
      <c r="H32" s="59" cm="1">
        <f t="array" ref="H32">_xlfn.IFS(AND(C32=$N$18,D32&gt;F32),3,AND(E32=$N$18,F32&gt;D32),3,AND(C32=$N$18,D32=F32),1,AND(E32=$N$18,D32=F32),1,AND(C32=$N$18,D32&lt;F32),0,AND(E32=$N$18,F32&lt;D32),0)</f>
        <v>1</v>
      </c>
      <c r="I32">
        <f t="shared" si="0"/>
        <v>0</v>
      </c>
      <c r="J32" s="59">
        <f t="shared" si="1"/>
        <v>0</v>
      </c>
      <c r="K32" cm="1">
        <f t="array" ref="K32">_xlfn.IFS(H32=3,1+K31,H32=1,1+K31,H32=0,0)</f>
        <v>1</v>
      </c>
      <c r="L32" cm="1">
        <f t="array" ref="L32">_xlfn.IFS(H32=0,1+L31,H32=1,1+L31,H32=3,0)</f>
        <v>7</v>
      </c>
    </row>
    <row r="33" spans="1:12" x14ac:dyDescent="0.2">
      <c r="A33">
        <v>32</v>
      </c>
      <c r="B33" s="1">
        <v>44009</v>
      </c>
      <c r="C33" t="str">
        <v>Aston Villa FC</v>
      </c>
      <c r="D33">
        <v>0</v>
      </c>
      <c r="E33" t="str">
        <v>Wolverhampton Wanderers FC</v>
      </c>
      <c r="F33">
        <v>1</v>
      </c>
      <c r="H33" s="59" cm="1">
        <f t="array" ref="H33">_xlfn.IFS(AND(C33=$N$18,D33&gt;F33),3,AND(E33=$N$18,F33&gt;D33),3,AND(C33=$N$18,D33=F33),1,AND(E33=$N$18,D33=F33),1,AND(C33=$N$18,D33&lt;F33),0,AND(E33=$N$18,F33&lt;D33),0)</f>
        <v>0</v>
      </c>
      <c r="I33">
        <f t="shared" si="0"/>
        <v>0</v>
      </c>
      <c r="J33" s="59">
        <f t="shared" si="1"/>
        <v>1</v>
      </c>
      <c r="K33" cm="1">
        <f t="array" ref="K33">_xlfn.IFS(H33=3,1+K32,H33=1,1+K32,H33=0,0)</f>
        <v>0</v>
      </c>
      <c r="L33" cm="1">
        <f t="array" ref="L33">_xlfn.IFS(H33=0,1+L32,H33=1,1+L32,H33=3,0)</f>
        <v>8</v>
      </c>
    </row>
    <row r="34" spans="1:12" x14ac:dyDescent="0.2">
      <c r="A34">
        <v>33</v>
      </c>
      <c r="B34" s="1">
        <v>44017</v>
      </c>
      <c r="C34" t="str">
        <v>Liverpool FC</v>
      </c>
      <c r="D34">
        <v>2</v>
      </c>
      <c r="E34" t="str">
        <v>Aston Villa FC</v>
      </c>
      <c r="F34">
        <v>0</v>
      </c>
      <c r="H34" s="59" cm="1">
        <f t="array" ref="H34">_xlfn.IFS(AND(C34=$N$18,D34&gt;F34),3,AND(E34=$N$18,F34&gt;D34),3,AND(C34=$N$18,D34=F34),1,AND(E34=$N$18,D34=F34),1,AND(C34=$N$18,D34&lt;F34),0,AND(E34=$N$18,F34&lt;D34),0)</f>
        <v>0</v>
      </c>
      <c r="I34">
        <f t="shared" si="0"/>
        <v>0</v>
      </c>
      <c r="J34" s="59">
        <f t="shared" si="1"/>
        <v>2</v>
      </c>
      <c r="K34" cm="1">
        <f t="array" ref="K34">_xlfn.IFS(H34=3,1+K33,H34=1,1+K33,H34=0,0)</f>
        <v>0</v>
      </c>
      <c r="L34" cm="1">
        <f t="array" ref="L34">_xlfn.IFS(H34=0,1+L33,H34=1,1+L33,H34=3,0)</f>
        <v>9</v>
      </c>
    </row>
    <row r="35" spans="1:12" x14ac:dyDescent="0.2">
      <c r="A35">
        <v>34</v>
      </c>
      <c r="B35" s="1">
        <v>44021</v>
      </c>
      <c r="C35" t="str">
        <v>Aston Villa FC</v>
      </c>
      <c r="D35">
        <v>0</v>
      </c>
      <c r="E35" t="str">
        <v>Manchester United FC</v>
      </c>
      <c r="F35">
        <v>3</v>
      </c>
      <c r="H35" s="59" cm="1">
        <f t="array" ref="H35">_xlfn.IFS(AND(C35=$N$18,D35&gt;F35),3,AND(E35=$N$18,F35&gt;D35),3,AND(C35=$N$18,D35=F35),1,AND(E35=$N$18,D35=F35),1,AND(C35=$N$18,D35&lt;F35),0,AND(E35=$N$18,F35&lt;D35),0)</f>
        <v>0</v>
      </c>
      <c r="I35">
        <f t="shared" si="0"/>
        <v>0</v>
      </c>
      <c r="J35" s="59">
        <f t="shared" si="1"/>
        <v>3</v>
      </c>
      <c r="K35" cm="1">
        <f t="array" ref="K35">_xlfn.IFS(H35=3,1+K34,H35=1,1+K34,H35=0,0)</f>
        <v>0</v>
      </c>
      <c r="L35" cm="1">
        <f t="array" ref="L35">_xlfn.IFS(H35=0,1+L34,H35=1,1+L34,H35=3,0)</f>
        <v>10</v>
      </c>
    </row>
    <row r="36" spans="1:12" x14ac:dyDescent="0.2">
      <c r="A36">
        <v>35</v>
      </c>
      <c r="B36" s="1">
        <v>44024</v>
      </c>
      <c r="C36" t="str">
        <v>Aston Villa FC</v>
      </c>
      <c r="D36">
        <v>2</v>
      </c>
      <c r="E36" t="str">
        <v>Crystal Palace FC</v>
      </c>
      <c r="F36">
        <v>0</v>
      </c>
      <c r="H36" s="59" cm="1">
        <f t="array" ref="H36">_xlfn.IFS(AND(C36=$N$18,D36&gt;F36),3,AND(E36=$N$18,F36&gt;D36),3,AND(C36=$N$18,D36=F36),1,AND(E36=$N$18,D36=F36),1,AND(C36=$N$18,D36&lt;F36),0,AND(E36=$N$18,F36&lt;D36),0)</f>
        <v>3</v>
      </c>
      <c r="I36">
        <f t="shared" si="0"/>
        <v>1</v>
      </c>
      <c r="J36" s="59">
        <f t="shared" si="1"/>
        <v>0</v>
      </c>
      <c r="K36" cm="1">
        <f t="array" ref="K36">_xlfn.IFS(H36=3,1+K35,H36=1,1+K35,H36=0,0)</f>
        <v>1</v>
      </c>
      <c r="L36" cm="1">
        <f t="array" ref="L36">_xlfn.IFS(H36=0,1+L35,H36=1,1+L35,H36=3,0)</f>
        <v>0</v>
      </c>
    </row>
    <row r="37" spans="1:12" x14ac:dyDescent="0.2">
      <c r="A37">
        <v>36</v>
      </c>
      <c r="B37" s="1">
        <v>44028</v>
      </c>
      <c r="C37" t="str">
        <v>Everton FC</v>
      </c>
      <c r="D37">
        <v>1</v>
      </c>
      <c r="E37" t="str">
        <v>Aston Villa FC</v>
      </c>
      <c r="F37">
        <v>1</v>
      </c>
      <c r="H37" s="59" cm="1">
        <f t="array" ref="H37">_xlfn.IFS(AND(C37=$N$18,D37&gt;F37),3,AND(E37=$N$18,F37&gt;D37),3,AND(C37=$N$18,D37=F37),1,AND(E37=$N$18,D37=F37),1,AND(C37=$N$18,D37&lt;F37),0,AND(E37=$N$18,F37&lt;D37),0)</f>
        <v>1</v>
      </c>
      <c r="I37">
        <f t="shared" si="0"/>
        <v>0</v>
      </c>
      <c r="J37" s="59">
        <f t="shared" si="1"/>
        <v>0</v>
      </c>
      <c r="K37" cm="1">
        <f t="array" ref="K37">_xlfn.IFS(H37=3,1+K36,H37=1,1+K36,H37=0,0)</f>
        <v>2</v>
      </c>
      <c r="L37" cm="1">
        <f t="array" ref="L37">_xlfn.IFS(H37=0,1+L36,H37=1,1+L36,H37=3,0)</f>
        <v>1</v>
      </c>
    </row>
    <row r="38" spans="1:12" x14ac:dyDescent="0.2">
      <c r="A38">
        <v>37</v>
      </c>
      <c r="B38" s="1">
        <v>44033</v>
      </c>
      <c r="C38" t="str">
        <v>Aston Villa FC</v>
      </c>
      <c r="D38">
        <v>1</v>
      </c>
      <c r="E38" t="str">
        <v>Arsenal FC</v>
      </c>
      <c r="F38">
        <v>0</v>
      </c>
      <c r="H38" s="59" cm="1">
        <f t="array" ref="H38">_xlfn.IFS(AND(C38=$N$18,D38&gt;F38),3,AND(E38=$N$18,F38&gt;D38),3,AND(C38=$N$18,D38=F38),1,AND(E38=$N$18,D38=F38),1,AND(C38=$N$18,D38&lt;F38),0,AND(E38=$N$18,F38&lt;D38),0)</f>
        <v>3</v>
      </c>
      <c r="I38">
        <f t="shared" si="0"/>
        <v>1</v>
      </c>
      <c r="J38" s="59">
        <f t="shared" si="1"/>
        <v>0</v>
      </c>
      <c r="K38" cm="1">
        <f t="array" ref="K38">_xlfn.IFS(H38=3,1+K37,H38=1,1+K37,H38=0,0)</f>
        <v>3</v>
      </c>
      <c r="L38" cm="1">
        <f t="array" ref="L38">_xlfn.IFS(H38=0,1+L37,H38=1,1+L37,H38=3,0)</f>
        <v>0</v>
      </c>
    </row>
    <row r="39" spans="1:12" x14ac:dyDescent="0.2">
      <c r="A39">
        <v>38</v>
      </c>
      <c r="B39" s="1">
        <v>44038</v>
      </c>
      <c r="C39" t="str">
        <v>West Ham United FC</v>
      </c>
      <c r="D39">
        <v>1</v>
      </c>
      <c r="E39" t="str">
        <v>Aston Villa FC</v>
      </c>
      <c r="F39">
        <v>1</v>
      </c>
      <c r="H39" s="59" cm="1">
        <f t="array" ref="H39">_xlfn.IFS(AND(C39=$N$18,D39&gt;F39),3,AND(E39=$N$18,F39&gt;D39),3,AND(C39=$N$18,D39=F39),1,AND(E39=$N$18,D39=F39),1,AND(C39=$N$18,D39&lt;F39),0,AND(E39=$N$18,F39&lt;D39),0)</f>
        <v>1</v>
      </c>
      <c r="I39">
        <f t="shared" si="0"/>
        <v>0</v>
      </c>
      <c r="J39" s="59">
        <f t="shared" si="1"/>
        <v>0</v>
      </c>
      <c r="K39" cm="1">
        <f t="array" ref="K39">_xlfn.IFS(H39=3,1+K38,H39=1,1+K38,H39=0,0)</f>
        <v>4</v>
      </c>
      <c r="L39" cm="1">
        <f t="array" ref="L39">_xlfn.IFS(H39=0,1+L38,H39=1,1+L38,H39=3,0)</f>
        <v>1</v>
      </c>
    </row>
  </sheetData>
  <conditionalFormatting sqref="G2:G39">
    <cfRule type="expression" dxfId="41" priority="5">
      <formula>AND($E2=$N$18,$F2&gt;$D2)</formula>
    </cfRule>
  </conditionalFormatting>
  <conditionalFormatting sqref="G2:G39">
    <cfRule type="expression" dxfId="40" priority="4">
      <formula>AND($E2=$N$18,$F2&lt;$D2)</formula>
    </cfRule>
  </conditionalFormatting>
  <conditionalFormatting sqref="G2:G39">
    <cfRule type="expression" dxfId="39" priority="3">
      <formula>$D2=$F2</formula>
    </cfRule>
  </conditionalFormatting>
  <conditionalFormatting sqref="G2:G39">
    <cfRule type="expression" dxfId="38" priority="2">
      <formula>AND($C2=$N$18,$D2&lt;$F2)</formula>
    </cfRule>
  </conditionalFormatting>
  <conditionalFormatting sqref="G2:G39">
    <cfRule type="expression" dxfId="37" priority="1">
      <formula>AND($C2=$N$18,$D2&gt;$F2)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A45FB-CF51-47BD-873A-7402A59C5CB8}">
  <sheetPr codeName="Sheet19"/>
  <dimension ref="A1:V39"/>
  <sheetViews>
    <sheetView zoomScale="60" zoomScaleNormal="60" workbookViewId="0"/>
  </sheetViews>
  <sheetFormatPr baseColWidth="10" defaultColWidth="8.83203125" defaultRowHeight="15" x14ac:dyDescent="0.2"/>
  <cols>
    <col min="2" max="2" width="11.5" style="1" bestFit="1" customWidth="1"/>
    <col min="3" max="3" width="28.6640625" bestFit="1" customWidth="1"/>
    <col min="5" max="5" width="28.6640625" bestFit="1" customWidth="1"/>
    <col min="6" max="6" width="11.5" bestFit="1" customWidth="1"/>
    <col min="14" max="14" width="19.6640625" bestFit="1" customWidth="1"/>
    <col min="15" max="22" width="10.6640625" customWidth="1"/>
  </cols>
  <sheetData>
    <row r="1" spans="1:20" ht="32" x14ac:dyDescent="0.2">
      <c r="A1" s="67" t="s">
        <v>0</v>
      </c>
      <c r="B1" s="71" t="s">
        <v>1</v>
      </c>
      <c r="C1" s="68" t="s">
        <v>2</v>
      </c>
      <c r="D1" s="68" t="s">
        <v>3</v>
      </c>
      <c r="E1" s="68" t="s">
        <v>4</v>
      </c>
      <c r="F1" s="69" t="s">
        <v>5</v>
      </c>
      <c r="G1" s="70" t="s">
        <v>71</v>
      </c>
      <c r="H1" s="70" t="s">
        <v>19</v>
      </c>
      <c r="I1" s="81" t="s">
        <v>72</v>
      </c>
      <c r="J1" s="81" t="s">
        <v>53</v>
      </c>
      <c r="K1" s="81" t="s">
        <v>55</v>
      </c>
      <c r="L1" s="81" t="s">
        <v>73</v>
      </c>
      <c r="Q1" s="58" t="s">
        <v>74</v>
      </c>
      <c r="R1" t="s">
        <v>75</v>
      </c>
      <c r="S1" t="s">
        <v>76</v>
      </c>
      <c r="T1" s="63" t="s">
        <v>77</v>
      </c>
    </row>
    <row r="2" spans="1:20" x14ac:dyDescent="0.2">
      <c r="A2" cm="1">
        <f t="array" ref="A2:F39">_xlfn._xlws.FILTER(eng_1[],(eng_1[Home]='England 1'!C23)+(eng_1[Away]=eng_1[[#This Row],[Away]]))</f>
        <v>1</v>
      </c>
      <c r="B2" s="1">
        <v>43686</v>
      </c>
      <c r="C2" t="str">
        <v>Liverpool FC</v>
      </c>
      <c r="D2">
        <v>4</v>
      </c>
      <c r="E2" t="str">
        <v>Norwich City FC</v>
      </c>
      <c r="F2">
        <v>1</v>
      </c>
      <c r="H2" s="59" cm="1">
        <f t="array" ref="H2">_xlfn.IFS(AND(C2=$N$18,D2&gt;F2),3,AND(E2=$N$18,F2&gt;D2),3,AND(C2=$N$18,D2=F2),1,AND(E2=$N$18,D2=F2),1,AND(C2=$N$18,D2&lt;F2),0,AND(E2=$N$18,F2&lt;D2),0)</f>
        <v>0</v>
      </c>
      <c r="I2" cm="1">
        <f t="array" ref="I2">_xlfn.IFS(H2=3,1,H2=1,0,H2=0,0)</f>
        <v>0</v>
      </c>
      <c r="J2" s="59" cm="1">
        <f t="array" ref="J2">_xlfn.IFS(H2=0,1,H2=1,0,H2=3,0)</f>
        <v>1</v>
      </c>
      <c r="K2" cm="1">
        <f t="array" ref="K2">_xlfn.IFS(H2=3,1,H2=1,1,H2=0,0)</f>
        <v>0</v>
      </c>
      <c r="L2" cm="1">
        <f t="array" ref="L2">_xlfn.IFS(H2=0,1,H2=1,1,H2=3,0)</f>
        <v>1</v>
      </c>
      <c r="Q2" s="56" t="s">
        <v>78</v>
      </c>
      <c r="R2">
        <v>20</v>
      </c>
      <c r="S2">
        <v>13</v>
      </c>
      <c r="T2" s="60">
        <v>0.65</v>
      </c>
    </row>
    <row r="3" spans="1:20" x14ac:dyDescent="0.2">
      <c r="A3">
        <v>2</v>
      </c>
      <c r="B3" s="1">
        <v>43694</v>
      </c>
      <c r="C3" t="str">
        <v>Norwich City FC</v>
      </c>
      <c r="D3">
        <v>3</v>
      </c>
      <c r="E3" t="str">
        <v>Newcastle United FC</v>
      </c>
      <c r="F3">
        <v>1</v>
      </c>
      <c r="H3" s="59" cm="1">
        <f t="array" ref="H3">_xlfn.IFS(AND(C3=$N$18,D3&gt;F3),3,AND(E3=$N$18,F3&gt;D3),3,AND(C3=$N$18,D3=F3),1,AND(E3=$N$18,D3=F3),1,AND(C3=$N$18,D3&lt;F3),0,AND(E3=$N$18,F3&lt;D3),0)</f>
        <v>3</v>
      </c>
      <c r="I3">
        <f t="shared" ref="I3:I39" si="0">IF(H3=3,1+I2,0)</f>
        <v>1</v>
      </c>
      <c r="J3" s="59">
        <f t="shared" ref="J3:J39" si="1">IF(H3=0,1+J2,0)</f>
        <v>0</v>
      </c>
      <c r="K3" cm="1">
        <f t="array" ref="K3">_xlfn.IFS(H3=3,1+K2,H3=1,1+K2,H3=0,0)</f>
        <v>1</v>
      </c>
      <c r="L3" cm="1">
        <f t="array" ref="L3">_xlfn.IFS(H3=0,1+L2,H3=1,1+L2,H3=3,0)</f>
        <v>0</v>
      </c>
      <c r="N3" s="48" t="s">
        <v>79</v>
      </c>
      <c r="O3" s="48" t="s">
        <v>80</v>
      </c>
      <c r="Q3" s="57" t="s">
        <v>81</v>
      </c>
      <c r="R3">
        <v>4</v>
      </c>
      <c r="S3">
        <v>3</v>
      </c>
      <c r="T3" s="60">
        <v>0.75</v>
      </c>
    </row>
    <row r="4" spans="1:20" x14ac:dyDescent="0.2">
      <c r="A4">
        <v>3</v>
      </c>
      <c r="B4" s="1">
        <v>43701</v>
      </c>
      <c r="C4" t="str">
        <v>Norwich City FC</v>
      </c>
      <c r="D4">
        <v>2</v>
      </c>
      <c r="E4" t="str">
        <v>Chelsea FC</v>
      </c>
      <c r="F4">
        <v>3</v>
      </c>
      <c r="H4" s="59" cm="1">
        <f t="array" ref="H4">_xlfn.IFS(AND(C4=$N$18,D4&gt;F4),3,AND(E4=$N$18,F4&gt;D4),3,AND(C4=$N$18,D4=F4),1,AND(E4=$N$18,D4=F4),1,AND(C4=$N$18,D4&lt;F4),0,AND(E4=$N$18,F4&lt;D4),0)</f>
        <v>0</v>
      </c>
      <c r="I4">
        <f t="shared" si="0"/>
        <v>0</v>
      </c>
      <c r="J4" s="59">
        <f t="shared" si="1"/>
        <v>1</v>
      </c>
      <c r="K4" cm="1">
        <f t="array" ref="K4">_xlfn.IFS(H4=3,1+K3,H4=1,1+K3,H4=0,0)</f>
        <v>0</v>
      </c>
      <c r="L4" cm="1">
        <f t="array" ref="L4">_xlfn.IFS(H4=0,1+L3,H4=1,1+L3,H4=3,0)</f>
        <v>1</v>
      </c>
      <c r="N4" s="49" t="s">
        <v>82</v>
      </c>
      <c r="O4" s="50"/>
      <c r="Q4" s="57" t="s">
        <v>83</v>
      </c>
      <c r="R4">
        <v>3</v>
      </c>
      <c r="S4">
        <v>3</v>
      </c>
      <c r="T4" s="60">
        <v>1</v>
      </c>
    </row>
    <row r="5" spans="1:20" x14ac:dyDescent="0.2">
      <c r="A5">
        <v>4</v>
      </c>
      <c r="B5" s="1">
        <v>43708</v>
      </c>
      <c r="C5" t="str">
        <v>West Ham United FC</v>
      </c>
      <c r="D5">
        <v>2</v>
      </c>
      <c r="E5" t="str">
        <v>Norwich City FC</v>
      </c>
      <c r="F5">
        <v>0</v>
      </c>
      <c r="H5" s="59" cm="1">
        <f t="array" ref="H5">_xlfn.IFS(AND(C5=$N$18,D5&gt;F5),3,AND(E5=$N$18,F5&gt;D5),3,AND(C5=$N$18,D5=F5),1,AND(E5=$N$18,D5=F5),1,AND(C5=$N$18,D5&lt;F5),0,AND(E5=$N$18,F5&lt;D5),0)</f>
        <v>0</v>
      </c>
      <c r="I5">
        <f t="shared" si="0"/>
        <v>0</v>
      </c>
      <c r="J5" s="59">
        <f t="shared" si="1"/>
        <v>2</v>
      </c>
      <c r="K5" cm="1">
        <f t="array" ref="K5">_xlfn.IFS(H5=3,1+K4,H5=1,1+K4,H5=0,0)</f>
        <v>0</v>
      </c>
      <c r="L5" cm="1">
        <f t="array" ref="L5">_xlfn.IFS(H5=0,1+L4,H5=1,1+L4,H5=3,0)</f>
        <v>2</v>
      </c>
      <c r="N5" s="49" t="s">
        <v>84</v>
      </c>
      <c r="O5" s="51"/>
      <c r="Q5" s="57" t="s">
        <v>85</v>
      </c>
      <c r="R5">
        <v>3</v>
      </c>
      <c r="S5">
        <v>1</v>
      </c>
      <c r="T5" s="60">
        <v>0.33333333333333331</v>
      </c>
    </row>
    <row r="6" spans="1:20" x14ac:dyDescent="0.2">
      <c r="A6">
        <v>5</v>
      </c>
      <c r="B6" s="1">
        <v>43722</v>
      </c>
      <c r="C6" t="str">
        <v>Norwich City FC</v>
      </c>
      <c r="D6">
        <v>3</v>
      </c>
      <c r="E6" t="str">
        <v>Manchester City FC</v>
      </c>
      <c r="F6">
        <v>2</v>
      </c>
      <c r="H6" s="59" cm="1">
        <f t="array" ref="H6">_xlfn.IFS(AND(C6=$N$18,D6&gt;F6),3,AND(E6=$N$18,F6&gt;D6),3,AND(C6=$N$18,D6=F6),1,AND(E6=$N$18,D6=F6),1,AND(C6=$N$18,D6&lt;F6),0,AND(E6=$N$18,F6&lt;D6),0)</f>
        <v>3</v>
      </c>
      <c r="I6">
        <f t="shared" si="0"/>
        <v>1</v>
      </c>
      <c r="J6" s="59">
        <f t="shared" si="1"/>
        <v>0</v>
      </c>
      <c r="K6" cm="1">
        <f t="array" ref="K6">_xlfn.IFS(H6=3,1+K5,H6=1,1+K5,H6=0,0)</f>
        <v>1</v>
      </c>
      <c r="L6" cm="1">
        <f t="array" ref="L6">_xlfn.IFS(H6=0,1+L5,H6=1,1+L5,H6=3,0)</f>
        <v>0</v>
      </c>
      <c r="N6" s="49" t="s">
        <v>86</v>
      </c>
      <c r="O6" s="52"/>
      <c r="Q6" s="57" t="s">
        <v>87</v>
      </c>
      <c r="R6">
        <v>3</v>
      </c>
      <c r="S6">
        <v>3</v>
      </c>
      <c r="T6" s="60">
        <v>1</v>
      </c>
    </row>
    <row r="7" spans="1:20" x14ac:dyDescent="0.2">
      <c r="A7">
        <v>6</v>
      </c>
      <c r="B7" s="1">
        <v>43729</v>
      </c>
      <c r="C7" t="str">
        <v>Burnley FC</v>
      </c>
      <c r="D7">
        <v>2</v>
      </c>
      <c r="E7" t="str">
        <v>Norwich City FC</v>
      </c>
      <c r="F7">
        <v>0</v>
      </c>
      <c r="H7" s="59" cm="1">
        <f t="array" ref="H7">_xlfn.IFS(AND(C7=$N$18,D7&gt;F7),3,AND(E7=$N$18,F7&gt;D7),3,AND(C7=$N$18,D7=F7),1,AND(E7=$N$18,D7=F7),1,AND(C7=$N$18,D7&lt;F7),0,AND(E7=$N$18,F7&lt;D7),0)</f>
        <v>0</v>
      </c>
      <c r="I7">
        <f t="shared" si="0"/>
        <v>0</v>
      </c>
      <c r="J7" s="59">
        <f t="shared" si="1"/>
        <v>1</v>
      </c>
      <c r="K7" cm="1">
        <f t="array" ref="K7">_xlfn.IFS(H7=3,1+K6,H7=1,1+K6,H7=0,0)</f>
        <v>0</v>
      </c>
      <c r="L7" cm="1">
        <f t="array" ref="L7">_xlfn.IFS(H7=0,1+L6,H7=1,1+L6,H7=3,0)</f>
        <v>1</v>
      </c>
      <c r="Q7" s="57" t="s">
        <v>88</v>
      </c>
      <c r="R7">
        <v>7</v>
      </c>
      <c r="S7">
        <v>3</v>
      </c>
      <c r="T7" s="60">
        <v>0.42857142857142855</v>
      </c>
    </row>
    <row r="8" spans="1:20" x14ac:dyDescent="0.2">
      <c r="A8">
        <v>7</v>
      </c>
      <c r="B8" s="1">
        <v>43736</v>
      </c>
      <c r="C8" t="str">
        <v>Crystal Palace FC</v>
      </c>
      <c r="D8">
        <v>2</v>
      </c>
      <c r="E8" t="str">
        <v>Norwich City FC</v>
      </c>
      <c r="F8">
        <v>0</v>
      </c>
      <c r="H8" s="59" cm="1">
        <f t="array" ref="H8">_xlfn.IFS(AND(C8=$N$18,D8&gt;F8),3,AND(E8=$N$18,F8&gt;D8),3,AND(C8=$N$18,D8=F8),1,AND(E8=$N$18,D8=F8),1,AND(C8=$N$18,D8&lt;F8),0,AND(E8=$N$18,F8&lt;D8),0)</f>
        <v>0</v>
      </c>
      <c r="I8">
        <f t="shared" si="0"/>
        <v>0</v>
      </c>
      <c r="J8" s="59">
        <f t="shared" si="1"/>
        <v>2</v>
      </c>
      <c r="K8" cm="1">
        <f t="array" ref="K8">_xlfn.IFS(H8=3,1+K7,H8=1,1+K7,H8=0,0)</f>
        <v>0</v>
      </c>
      <c r="L8" cm="1">
        <f t="array" ref="L8">_xlfn.IFS(H8=0,1+L7,H8=1,1+L7,H8=3,0)</f>
        <v>2</v>
      </c>
      <c r="Q8" s="56" t="s">
        <v>89</v>
      </c>
      <c r="R8">
        <v>18</v>
      </c>
      <c r="S8">
        <v>8</v>
      </c>
      <c r="T8" s="60">
        <v>0.44444444444444442</v>
      </c>
    </row>
    <row r="9" spans="1:20" x14ac:dyDescent="0.2">
      <c r="A9">
        <v>8</v>
      </c>
      <c r="B9" s="1">
        <v>43743</v>
      </c>
      <c r="C9" t="str">
        <v>Norwich City FC</v>
      </c>
      <c r="D9">
        <v>1</v>
      </c>
      <c r="E9" t="str">
        <v>Aston Villa FC</v>
      </c>
      <c r="F9">
        <v>5</v>
      </c>
      <c r="H9" s="59" cm="1">
        <f t="array" ref="H9">_xlfn.IFS(AND(C9=$N$18,D9&gt;F9),3,AND(E9=$N$18,F9&gt;D9),3,AND(C9=$N$18,D9=F9),1,AND(E9=$N$18,D9=F9),1,AND(C9=$N$18,D9&lt;F9),0,AND(E9=$N$18,F9&lt;D9),0)</f>
        <v>0</v>
      </c>
      <c r="I9">
        <f t="shared" si="0"/>
        <v>0</v>
      </c>
      <c r="J9" s="59">
        <f t="shared" si="1"/>
        <v>3</v>
      </c>
      <c r="K9" cm="1">
        <f t="array" ref="K9">_xlfn.IFS(H9=3,1+K8,H9=1,1+K8,H9=0,0)</f>
        <v>0</v>
      </c>
      <c r="L9" cm="1">
        <f t="array" ref="L9">_xlfn.IFS(H9=0,1+L8,H9=1,1+L8,H9=3,0)</f>
        <v>3</v>
      </c>
      <c r="Q9" s="57" t="s">
        <v>90</v>
      </c>
      <c r="R9">
        <v>4</v>
      </c>
      <c r="S9">
        <v>4</v>
      </c>
      <c r="T9" s="60">
        <v>1</v>
      </c>
    </row>
    <row r="10" spans="1:20" x14ac:dyDescent="0.2">
      <c r="A10">
        <v>9</v>
      </c>
      <c r="B10" s="1">
        <v>43757</v>
      </c>
      <c r="C10" t="str">
        <v>AFC Bournemouth</v>
      </c>
      <c r="D10">
        <v>0</v>
      </c>
      <c r="E10" t="str">
        <v>Norwich City FC</v>
      </c>
      <c r="F10">
        <v>0</v>
      </c>
      <c r="H10" s="59" cm="1">
        <f t="array" ref="H10">_xlfn.IFS(AND(C10=$N$18,D10&gt;F10),3,AND(E10=$N$18,F10&gt;D10),3,AND(C10=$N$18,D10=F10),1,AND(E10=$N$18,D10=F10),1,AND(C10=$N$18,D10&lt;F10),0,AND(E10=$N$18,F10&lt;D10),0)</f>
        <v>1</v>
      </c>
      <c r="I10">
        <f t="shared" si="0"/>
        <v>0</v>
      </c>
      <c r="J10" s="59">
        <f t="shared" si="1"/>
        <v>0</v>
      </c>
      <c r="K10" cm="1">
        <f t="array" ref="K10">_xlfn.IFS(H10=3,1+K9,H10=1,1+K9,H10=0,0)</f>
        <v>1</v>
      </c>
      <c r="L10" cm="1">
        <f t="array" ref="L10">_xlfn.IFS(H10=0,1+L9,H10=1,1+L9,H10=3,0)</f>
        <v>4</v>
      </c>
      <c r="Q10" s="57" t="s">
        <v>91</v>
      </c>
      <c r="R10">
        <v>4</v>
      </c>
      <c r="S10">
        <v>4</v>
      </c>
      <c r="T10" s="60">
        <v>1</v>
      </c>
    </row>
    <row r="11" spans="1:20" x14ac:dyDescent="0.2">
      <c r="A11">
        <v>10</v>
      </c>
      <c r="B11" s="1">
        <v>43765</v>
      </c>
      <c r="C11" t="str">
        <v>Norwich City FC</v>
      </c>
      <c r="D11">
        <v>1</v>
      </c>
      <c r="E11" t="str">
        <v>Manchester United FC</v>
      </c>
      <c r="F11">
        <v>3</v>
      </c>
      <c r="H11" s="59" cm="1">
        <f t="array" ref="H11">_xlfn.IFS(AND(C11=$N$18,D11&gt;F11),3,AND(E11=$N$18,F11&gt;D11),3,AND(C11=$N$18,D11=F11),1,AND(E11=$N$18,D11=F11),1,AND(C11=$N$18,D11&lt;F11),0,AND(E11=$N$18,F11&lt;D11),0)</f>
        <v>0</v>
      </c>
      <c r="I11">
        <f t="shared" si="0"/>
        <v>0</v>
      </c>
      <c r="J11" s="59">
        <f t="shared" si="1"/>
        <v>1</v>
      </c>
      <c r="K11" cm="1">
        <f t="array" ref="K11">_xlfn.IFS(H11=3,1+K10,H11=1,1+K10,H11=0,0)</f>
        <v>0</v>
      </c>
      <c r="L11" cm="1">
        <f t="array" ref="L11">_xlfn.IFS(H11=0,1+L10,H11=1,1+L10,H11=3,0)</f>
        <v>5</v>
      </c>
      <c r="Q11" s="57" t="s">
        <v>92</v>
      </c>
      <c r="R11">
        <v>1</v>
      </c>
      <c r="S11">
        <v>0</v>
      </c>
      <c r="T11" s="60">
        <v>0</v>
      </c>
    </row>
    <row r="12" spans="1:20" x14ac:dyDescent="0.2">
      <c r="A12">
        <v>11</v>
      </c>
      <c r="B12" s="1">
        <v>43771</v>
      </c>
      <c r="C12" t="str">
        <v>Brighton &amp; Hove Albion FC</v>
      </c>
      <c r="D12">
        <v>2</v>
      </c>
      <c r="E12" t="str">
        <v>Norwich City FC</v>
      </c>
      <c r="F12">
        <v>0</v>
      </c>
      <c r="H12" s="59" cm="1">
        <f t="array" ref="H12">_xlfn.IFS(AND(C12=$N$18,D12&gt;F12),3,AND(E12=$N$18,F12&gt;D12),3,AND(C12=$N$18,D12=F12),1,AND(E12=$N$18,D12=F12),1,AND(C12=$N$18,D12&lt;F12),0,AND(E12=$N$18,F12&lt;D12),0)</f>
        <v>0</v>
      </c>
      <c r="I12">
        <f t="shared" si="0"/>
        <v>0</v>
      </c>
      <c r="J12" s="59">
        <f t="shared" si="1"/>
        <v>2</v>
      </c>
      <c r="K12" cm="1">
        <f t="array" ref="K12">_xlfn.IFS(H12=3,1+K11,H12=1,1+K11,H12=0,0)</f>
        <v>0</v>
      </c>
      <c r="L12" cm="1">
        <f t="array" ref="L12">_xlfn.IFS(H12=0,1+L11,H12=1,1+L11,H12=3,0)</f>
        <v>6</v>
      </c>
      <c r="Q12" s="57" t="s">
        <v>93</v>
      </c>
      <c r="R12">
        <v>2</v>
      </c>
      <c r="S12">
        <v>0</v>
      </c>
      <c r="T12" s="60">
        <v>0</v>
      </c>
    </row>
    <row r="13" spans="1:20" x14ac:dyDescent="0.2">
      <c r="A13">
        <v>12</v>
      </c>
      <c r="B13" s="1">
        <v>43777</v>
      </c>
      <c r="C13" t="str">
        <v>Norwich City FC</v>
      </c>
      <c r="D13">
        <v>0</v>
      </c>
      <c r="E13" t="str">
        <v>Watford FC</v>
      </c>
      <c r="F13">
        <v>2</v>
      </c>
      <c r="H13" s="59" cm="1">
        <f t="array" ref="H13">_xlfn.IFS(AND(C13=$N$18,D13&gt;F13),3,AND(E13=$N$18,F13&gt;D13),3,AND(C13=$N$18,D13=F13),1,AND(E13=$N$18,D13=F13),1,AND(C13=$N$18,D13&lt;F13),0,AND(E13=$N$18,F13&lt;D13),0)</f>
        <v>0</v>
      </c>
      <c r="I13">
        <f t="shared" si="0"/>
        <v>0</v>
      </c>
      <c r="J13" s="59">
        <f t="shared" si="1"/>
        <v>3</v>
      </c>
      <c r="K13" cm="1">
        <f t="array" ref="K13">_xlfn.IFS(H13=3,1+K12,H13=1,1+K12,H13=0,0)</f>
        <v>0</v>
      </c>
      <c r="L13" cm="1">
        <f t="array" ref="L13">_xlfn.IFS(H13=0,1+L12,H13=1,1+L12,H13=3,0)</f>
        <v>7</v>
      </c>
      <c r="Q13" s="57" t="s">
        <v>94</v>
      </c>
      <c r="R13">
        <v>7</v>
      </c>
      <c r="S13">
        <v>0</v>
      </c>
      <c r="T13" s="60">
        <v>0</v>
      </c>
    </row>
    <row r="14" spans="1:20" x14ac:dyDescent="0.2">
      <c r="A14">
        <v>13</v>
      </c>
      <c r="B14" s="1">
        <v>43792</v>
      </c>
      <c r="C14" t="str">
        <v>Everton FC</v>
      </c>
      <c r="D14">
        <v>0</v>
      </c>
      <c r="E14" t="str">
        <v>Norwich City FC</v>
      </c>
      <c r="F14">
        <v>2</v>
      </c>
      <c r="H14" s="59" cm="1">
        <f t="array" ref="H14">_xlfn.IFS(AND(C14=$N$18,D14&gt;F14),3,AND(E14=$N$18,F14&gt;D14),3,AND(C14=$N$18,D14=F14),1,AND(E14=$N$18,D14=F14),1,AND(C14=$N$18,D14&lt;F14),0,AND(E14=$N$18,F14&lt;D14),0)</f>
        <v>3</v>
      </c>
      <c r="I14">
        <f t="shared" si="0"/>
        <v>1</v>
      </c>
      <c r="J14" s="59">
        <f t="shared" si="1"/>
        <v>0</v>
      </c>
      <c r="K14" cm="1">
        <f t="array" ref="K14">_xlfn.IFS(H14=3,1+K13,H14=1,1+K13,H14=0,0)</f>
        <v>1</v>
      </c>
      <c r="L14" cm="1">
        <f t="array" ref="L14">_xlfn.IFS(H14=0,1+L13,H14=1,1+L13,H14=3,0)</f>
        <v>0</v>
      </c>
      <c r="Q14" s="56" t="s">
        <v>95</v>
      </c>
      <c r="R14">
        <v>38</v>
      </c>
      <c r="S14">
        <v>21</v>
      </c>
      <c r="T14" s="60">
        <v>0.55263157894736847</v>
      </c>
    </row>
    <row r="15" spans="1:20" x14ac:dyDescent="0.2">
      <c r="A15">
        <v>14</v>
      </c>
      <c r="B15" s="1">
        <v>43800</v>
      </c>
      <c r="C15" t="str">
        <v>Norwich City FC</v>
      </c>
      <c r="D15">
        <v>2</v>
      </c>
      <c r="E15" t="str">
        <v>Arsenal FC</v>
      </c>
      <c r="F15">
        <v>2</v>
      </c>
      <c r="H15" s="59" cm="1">
        <f t="array" ref="H15">_xlfn.IFS(AND(C15=$N$18,D15&gt;F15),3,AND(E15=$N$18,F15&gt;D15),3,AND(C15=$N$18,D15=F15),1,AND(E15=$N$18,D15=F15),1,AND(C15=$N$18,D15&lt;F15),0,AND(E15=$N$18,F15&lt;D15),0)</f>
        <v>1</v>
      </c>
      <c r="I15">
        <f t="shared" si="0"/>
        <v>0</v>
      </c>
      <c r="J15" s="59">
        <f t="shared" si="1"/>
        <v>0</v>
      </c>
      <c r="K15" cm="1">
        <f t="array" ref="K15">_xlfn.IFS(H15=3,1+K14,H15=1,1+K14,H15=0,0)</f>
        <v>2</v>
      </c>
      <c r="L15" cm="1">
        <f t="array" ref="L15">_xlfn.IFS(H15=0,1+L14,H15=1,1+L14,H15=3,0)</f>
        <v>1</v>
      </c>
    </row>
    <row r="16" spans="1:20" x14ac:dyDescent="0.2">
      <c r="A16">
        <v>15</v>
      </c>
      <c r="B16" s="1">
        <v>43803</v>
      </c>
      <c r="C16" t="str">
        <v>Southampton FC</v>
      </c>
      <c r="D16">
        <v>2</v>
      </c>
      <c r="E16" t="str">
        <v>Norwich City FC</v>
      </c>
      <c r="F16">
        <v>1</v>
      </c>
      <c r="H16" s="59" cm="1">
        <f t="array" ref="H16">_xlfn.IFS(AND(C16=$N$18,D16&gt;F16),3,AND(E16=$N$18,F16&gt;D16),3,AND(C16=$N$18,D16=F16),1,AND(E16=$N$18,D16=F16),1,AND(C16=$N$18,D16&lt;F16),0,AND(E16=$N$18,F16&lt;D16),0)</f>
        <v>0</v>
      </c>
      <c r="I16">
        <f t="shared" si="0"/>
        <v>0</v>
      </c>
      <c r="J16" s="59">
        <f t="shared" si="1"/>
        <v>1</v>
      </c>
      <c r="K16" cm="1">
        <f t="array" ref="K16">_xlfn.IFS(H16=3,1+K15,H16=1,1+K15,H16=0,0)</f>
        <v>0</v>
      </c>
      <c r="L16" cm="1">
        <f t="array" ref="L16">_xlfn.IFS(H16=0,1+L15,H16=1,1+L15,H16=3,0)</f>
        <v>2</v>
      </c>
    </row>
    <row r="17" spans="1:22" x14ac:dyDescent="0.2">
      <c r="A17">
        <v>16</v>
      </c>
      <c r="B17" s="1">
        <v>43807</v>
      </c>
      <c r="C17" t="str">
        <v>Norwich City FC</v>
      </c>
      <c r="D17">
        <v>1</v>
      </c>
      <c r="E17" t="str">
        <v>Sheffield United FC</v>
      </c>
      <c r="F17">
        <v>2</v>
      </c>
      <c r="H17" s="59" cm="1">
        <f t="array" ref="H17">_xlfn.IFS(AND(C17=$N$18,D17&gt;F17),3,AND(E17=$N$18,F17&gt;D17),3,AND(C17=$N$18,D17=F17),1,AND(E17=$N$18,D17=F17),1,AND(C17=$N$18,D17&lt;F17),0,AND(E17=$N$18,F17&lt;D17),0)</f>
        <v>0</v>
      </c>
      <c r="I17">
        <f t="shared" si="0"/>
        <v>0</v>
      </c>
      <c r="J17" s="59">
        <f t="shared" si="1"/>
        <v>2</v>
      </c>
      <c r="K17" cm="1">
        <f t="array" ref="K17">_xlfn.IFS(H17=3,1+K16,H17=1,1+K16,H17=0,0)</f>
        <v>0</v>
      </c>
      <c r="L17" cm="1">
        <f t="array" ref="L17">_xlfn.IFS(H17=0,1+L16,H17=1,1+L16,H17=3,0)</f>
        <v>3</v>
      </c>
    </row>
    <row r="18" spans="1:22" x14ac:dyDescent="0.2">
      <c r="A18">
        <v>17</v>
      </c>
      <c r="B18" s="1">
        <v>43813</v>
      </c>
      <c r="C18" t="str">
        <v>Leicester City FC</v>
      </c>
      <c r="D18">
        <v>1</v>
      </c>
      <c r="E18" t="str">
        <v>Norwich City FC</v>
      </c>
      <c r="F18">
        <v>1</v>
      </c>
      <c r="H18" s="59" cm="1">
        <f t="array" ref="H18">_xlfn.IFS(AND(C18=$N$18,D18&gt;F18),3,AND(E18=$N$18,F18&gt;D18),3,AND(C18=$N$18,D18=F18),1,AND(E18=$N$18,D18=F18),1,AND(C18=$N$18,D18&lt;F18),0,AND(E18=$N$18,F18&lt;D18),0)</f>
        <v>1</v>
      </c>
      <c r="I18">
        <f t="shared" si="0"/>
        <v>0</v>
      </c>
      <c r="J18" s="59">
        <f t="shared" si="1"/>
        <v>0</v>
      </c>
      <c r="K18" cm="1">
        <f t="array" ref="K18">_xlfn.IFS(H18=3,1+K17,H18=1,1+K17,H18=0,0)</f>
        <v>1</v>
      </c>
      <c r="L18" cm="1">
        <f t="array" ref="L18">_xlfn.IFS(H18=0,1+L17,H18=1,1+L17,H18=3,0)</f>
        <v>4</v>
      </c>
      <c r="N18" s="14" t="str">
        <f>E2</f>
        <v>Norwich City FC</v>
      </c>
      <c r="O18" s="9" t="s">
        <v>12</v>
      </c>
      <c r="P18" s="7" t="s">
        <v>13</v>
      </c>
      <c r="Q18" s="6" t="s">
        <v>14</v>
      </c>
      <c r="R18" s="8" t="s">
        <v>15</v>
      </c>
      <c r="S18" s="9" t="s">
        <v>16</v>
      </c>
      <c r="T18" s="9" t="s">
        <v>17</v>
      </c>
      <c r="U18" s="9" t="s">
        <v>18</v>
      </c>
      <c r="V18" s="9" t="s">
        <v>19</v>
      </c>
    </row>
    <row r="19" spans="1:22" x14ac:dyDescent="0.2">
      <c r="A19">
        <v>18</v>
      </c>
      <c r="B19" s="1">
        <v>43820</v>
      </c>
      <c r="C19" t="str">
        <v>Norwich City FC</v>
      </c>
      <c r="D19">
        <v>1</v>
      </c>
      <c r="E19" t="str">
        <v>Wolverhampton Wanderers FC</v>
      </c>
      <c r="F19">
        <v>2</v>
      </c>
      <c r="H19" s="59" cm="1">
        <f t="array" ref="H19">_xlfn.IFS(AND(C19=$N$18,D19&gt;F19),3,AND(E19=$N$18,F19&gt;D19),3,AND(C19=$N$18,D19=F19),1,AND(E19=$N$18,D19=F19),1,AND(C19=$N$18,D19&lt;F19),0,AND(E19=$N$18,F19&lt;D19),0)</f>
        <v>0</v>
      </c>
      <c r="I19">
        <f t="shared" si="0"/>
        <v>0</v>
      </c>
      <c r="J19" s="59">
        <f t="shared" si="1"/>
        <v>1</v>
      </c>
      <c r="K19" cm="1">
        <f t="array" ref="K19">_xlfn.IFS(H19=3,1+K18,H19=1,1+K18,H19=0,0)</f>
        <v>0</v>
      </c>
      <c r="L19" cm="1">
        <f t="array" ref="L19">_xlfn.IFS(H19=0,1+L18,H19=1,1+L18,H19=3,0)</f>
        <v>5</v>
      </c>
      <c r="N19" s="10" t="s">
        <v>22</v>
      </c>
      <c r="O19" s="11">
        <f>COUNT(A2:A39)</f>
        <v>38</v>
      </c>
      <c r="P19" s="5" cm="1">
        <f t="array" ref="P19">SUMPRODUCT(((C2:C39=$N$18)*(D2:D39&gt;F2:F39))+((E2:E39=$N$18)*(F2:F39&gt;D2:D39)))</f>
        <v>5</v>
      </c>
      <c r="Q19" s="12" cm="1">
        <f t="array" ref="Q19">SUMPRODUCT(((C2:C39=$N$18)*(D2:D39=F2:F39))+((E2:E39=$N$18)*(F2:F39=D2:D39)))</f>
        <v>6</v>
      </c>
      <c r="R19" s="13" cm="1">
        <f t="array" ref="R19">SUMPRODUCT(((C2:C39=$N$18)*(D2:D39&lt;F2:F39))+((E2:E39=$N$18)*(F2:F39&lt;D2:D39)))</f>
        <v>27</v>
      </c>
      <c r="S19" s="11">
        <f>SUMIF(C2:C39,N18,D2:D39)+SUMIF(E2:E39,N18,F2:F39)</f>
        <v>26</v>
      </c>
      <c r="T19" s="11">
        <f>SUMIF(C2:C39,N18,F2:F39)+SUMIF(E2:E39,N18,D2:D39)</f>
        <v>75</v>
      </c>
      <c r="U19" s="11">
        <f>S19-T19</f>
        <v>-49</v>
      </c>
      <c r="V19" s="11">
        <f>V20+V21</f>
        <v>21</v>
      </c>
    </row>
    <row r="20" spans="1:22" x14ac:dyDescent="0.2">
      <c r="A20">
        <v>19</v>
      </c>
      <c r="B20" s="1">
        <v>43825</v>
      </c>
      <c r="C20" t="str">
        <v>Aston Villa FC</v>
      </c>
      <c r="D20">
        <v>1</v>
      </c>
      <c r="E20" t="str">
        <v>Norwich City FC</v>
      </c>
      <c r="F20">
        <v>0</v>
      </c>
      <c r="H20" s="59" cm="1">
        <f t="array" ref="H20">_xlfn.IFS(AND(C20=$N$18,D20&gt;F20),3,AND(E20=$N$18,F20&gt;D20),3,AND(C20=$N$18,D20=F20),1,AND(E20=$N$18,D20=F20),1,AND(C20=$N$18,D20&lt;F20),0,AND(E20=$N$18,F20&lt;D20),0)</f>
        <v>0</v>
      </c>
      <c r="I20">
        <f t="shared" si="0"/>
        <v>0</v>
      </c>
      <c r="J20" s="59">
        <f t="shared" si="1"/>
        <v>2</v>
      </c>
      <c r="K20" cm="1">
        <f t="array" ref="K20">_xlfn.IFS(H20=3,1+K19,H20=1,1+K19,H20=0,0)</f>
        <v>0</v>
      </c>
      <c r="L20" cm="1">
        <f t="array" ref="L20">_xlfn.IFS(H20=0,1+L19,H20=1,1+L19,H20=3,0)</f>
        <v>6</v>
      </c>
      <c r="N20" s="10" t="s">
        <v>2</v>
      </c>
      <c r="O20" s="11">
        <f>COUNTIF(C2:C39,C3)</f>
        <v>19</v>
      </c>
      <c r="P20" s="20" cm="1">
        <f t="array" ref="P20">SUMPRODUCT(((C2:C39=$N$18)*(D2:D39&gt;F2:F39)))</f>
        <v>4</v>
      </c>
      <c r="Q20" s="12" cm="1">
        <f t="array" ref="Q20">SUMPRODUCT(((C2:C39=$N$18)*(D2:D39=F2:F39)))</f>
        <v>3</v>
      </c>
      <c r="R20" s="13" cm="1">
        <f t="array" ref="R20">SUMPRODUCT(((C2:C39=$N$18)*(D2:D39&lt;F2:F39)))</f>
        <v>12</v>
      </c>
      <c r="S20" s="11">
        <f>SUMIF(C2:C39,N18,D2:D39)</f>
        <v>19</v>
      </c>
      <c r="T20" s="11">
        <f>SUMIF(C2:C39,N18,F2:F39)</f>
        <v>37</v>
      </c>
      <c r="U20" s="11">
        <f>S20-T20</f>
        <v>-18</v>
      </c>
      <c r="V20" s="11">
        <f>(P20*3)+Q20</f>
        <v>15</v>
      </c>
    </row>
    <row r="21" spans="1:22" x14ac:dyDescent="0.2">
      <c r="A21">
        <v>20</v>
      </c>
      <c r="B21" s="1">
        <v>43827</v>
      </c>
      <c r="C21" t="str">
        <v>Norwich City FC</v>
      </c>
      <c r="D21">
        <v>2</v>
      </c>
      <c r="E21" t="str">
        <v>Tottenham Hotspur FC</v>
      </c>
      <c r="F21">
        <v>2</v>
      </c>
      <c r="H21" s="59" cm="1">
        <f t="array" ref="H21">_xlfn.IFS(AND(C21=$N$18,D21&gt;F21),3,AND(E21=$N$18,F21&gt;D21),3,AND(C21=$N$18,D21=F21),1,AND(E21=$N$18,D21=F21),1,AND(C21=$N$18,D21&lt;F21),0,AND(E21=$N$18,F21&lt;D21),0)</f>
        <v>1</v>
      </c>
      <c r="I21">
        <f t="shared" si="0"/>
        <v>0</v>
      </c>
      <c r="J21" s="59">
        <f t="shared" si="1"/>
        <v>0</v>
      </c>
      <c r="K21" cm="1">
        <f t="array" ref="K21">_xlfn.IFS(H21=3,1+K20,H21=1,1+K20,H21=0,0)</f>
        <v>1</v>
      </c>
      <c r="L21" cm="1">
        <f t="array" ref="L21">_xlfn.IFS(H21=0,1+L20,H21=1,1+L20,H21=3,0)</f>
        <v>7</v>
      </c>
      <c r="N21" s="10" t="s">
        <v>4</v>
      </c>
      <c r="O21" s="11">
        <f>COUNTIF(E2:E39,E2)</f>
        <v>19</v>
      </c>
      <c r="P21" s="5" cm="1">
        <f t="array" ref="P21">SUMPRODUCT(((E2:E39=$N$18)*(F2:F39&gt;D2:D39)))</f>
        <v>1</v>
      </c>
      <c r="Q21" s="12" cm="1">
        <f t="array" ref="Q21">SUMPRODUCT(((E2:E39=$N$18)*(F2:F39=D2:D39)))</f>
        <v>3</v>
      </c>
      <c r="R21" s="13" cm="1">
        <f t="array" ref="R21">SUMPRODUCT(((E2:E39=$N$18)*(F2:F39&lt;D2:D39)))</f>
        <v>15</v>
      </c>
      <c r="S21" s="11">
        <f>SUMIF(E2:E39,N18,F2:F39)</f>
        <v>7</v>
      </c>
      <c r="T21" s="11">
        <f>SUMIF(E2:E39,N18,D2:D39)</f>
        <v>38</v>
      </c>
      <c r="U21" s="11">
        <f>S21-T21</f>
        <v>-31</v>
      </c>
      <c r="V21" s="11">
        <f>(P21*3)+Q21</f>
        <v>6</v>
      </c>
    </row>
    <row r="22" spans="1:22" x14ac:dyDescent="0.2">
      <c r="A22">
        <v>21</v>
      </c>
      <c r="B22" s="1">
        <v>43831</v>
      </c>
      <c r="C22" t="str">
        <v>Norwich City FC</v>
      </c>
      <c r="D22">
        <v>1</v>
      </c>
      <c r="E22" t="str">
        <v>Crystal Palace FC</v>
      </c>
      <c r="F22">
        <v>1</v>
      </c>
      <c r="H22" s="59" cm="1">
        <f t="array" ref="H22">_xlfn.IFS(AND(C22=$N$18,D22&gt;F22),3,AND(E22=$N$18,F22&gt;D22),3,AND(C22=$N$18,D22=F22),1,AND(E22=$N$18,D22=F22),1,AND(C22=$N$18,D22&lt;F22),0,AND(E22=$N$18,F22&lt;D22),0)</f>
        <v>1</v>
      </c>
      <c r="I22">
        <f t="shared" si="0"/>
        <v>0</v>
      </c>
      <c r="J22" s="59">
        <f t="shared" si="1"/>
        <v>0</v>
      </c>
      <c r="K22" cm="1">
        <f t="array" ref="K22">_xlfn.IFS(H22=3,1+K21,H22=1,1+K21,H22=0,0)</f>
        <v>2</v>
      </c>
      <c r="L22" cm="1">
        <f t="array" ref="L22">_xlfn.IFS(H22=0,1+L21,H22=1,1+L21,H22=3,0)</f>
        <v>8</v>
      </c>
    </row>
    <row r="23" spans="1:22" x14ac:dyDescent="0.2">
      <c r="A23">
        <v>22</v>
      </c>
      <c r="B23" s="1">
        <v>43841</v>
      </c>
      <c r="C23" t="str">
        <v>Manchester United FC</v>
      </c>
      <c r="D23">
        <v>4</v>
      </c>
      <c r="E23" t="str">
        <v>Norwich City FC</v>
      </c>
      <c r="F23">
        <v>0</v>
      </c>
      <c r="H23" s="59" cm="1">
        <f t="array" ref="H23">_xlfn.IFS(AND(C23=$N$18,D23&gt;F23),3,AND(E23=$N$18,F23&gt;D23),3,AND(C23=$N$18,D23=F23),1,AND(E23=$N$18,D23=F23),1,AND(C23=$N$18,D23&lt;F23),0,AND(E23=$N$18,F23&lt;D23),0)</f>
        <v>0</v>
      </c>
      <c r="I23">
        <f t="shared" si="0"/>
        <v>0</v>
      </c>
      <c r="J23" s="59">
        <f t="shared" si="1"/>
        <v>1</v>
      </c>
      <c r="K23" cm="1">
        <f t="array" ref="K23">_xlfn.IFS(H23=3,1+K22,H23=1,1+K22,H23=0,0)</f>
        <v>0</v>
      </c>
      <c r="L23" cm="1">
        <f t="array" ref="L23">_xlfn.IFS(H23=0,1+L22,H23=1,1+L22,H23=3,0)</f>
        <v>9</v>
      </c>
    </row>
    <row r="24" spans="1:22" x14ac:dyDescent="0.2">
      <c r="A24">
        <v>23</v>
      </c>
      <c r="B24" s="1">
        <v>43848</v>
      </c>
      <c r="C24" t="str">
        <v>Norwich City FC</v>
      </c>
      <c r="D24">
        <v>1</v>
      </c>
      <c r="E24" t="str">
        <v>AFC Bournemouth</v>
      </c>
      <c r="F24">
        <v>0</v>
      </c>
      <c r="H24" s="59" cm="1">
        <f t="array" ref="H24">_xlfn.IFS(AND(C24=$N$18,D24&gt;F24),3,AND(E24=$N$18,F24&gt;D24),3,AND(C24=$N$18,D24=F24),1,AND(E24=$N$18,D24=F24),1,AND(C24=$N$18,D24&lt;F24),0,AND(E24=$N$18,F24&lt;D24),0)</f>
        <v>3</v>
      </c>
      <c r="I24">
        <f t="shared" si="0"/>
        <v>1</v>
      </c>
      <c r="J24" s="59">
        <f t="shared" si="1"/>
        <v>0</v>
      </c>
      <c r="K24" cm="1">
        <f t="array" ref="K24">_xlfn.IFS(H24=3,1+K23,H24=1,1+K23,H24=0,0)</f>
        <v>1</v>
      </c>
      <c r="L24" cm="1">
        <f t="array" ref="L24">_xlfn.IFS(H24=0,1+L23,H24=1,1+L23,H24=3,0)</f>
        <v>0</v>
      </c>
    </row>
    <row r="25" spans="1:22" x14ac:dyDescent="0.2">
      <c r="A25">
        <v>24</v>
      </c>
      <c r="B25" s="1">
        <v>43852</v>
      </c>
      <c r="C25" t="str">
        <v>Tottenham Hotspur FC</v>
      </c>
      <c r="D25">
        <v>2</v>
      </c>
      <c r="E25" t="str">
        <v>Norwich City FC</v>
      </c>
      <c r="F25">
        <v>1</v>
      </c>
      <c r="H25" s="59" cm="1">
        <f t="array" ref="H25">_xlfn.IFS(AND(C25=$N$18,D25&gt;F25),3,AND(E25=$N$18,F25&gt;D25),3,AND(C25=$N$18,D25=F25),1,AND(E25=$N$18,D25=F25),1,AND(C25=$N$18,D25&lt;F25),0,AND(E25=$N$18,F25&lt;D25),0)</f>
        <v>0</v>
      </c>
      <c r="I25">
        <f t="shared" si="0"/>
        <v>0</v>
      </c>
      <c r="J25" s="59">
        <f t="shared" si="1"/>
        <v>1</v>
      </c>
      <c r="K25" cm="1">
        <f t="array" ref="K25">_xlfn.IFS(H25=3,1+K24,H25=1,1+K24,H25=0,0)</f>
        <v>0</v>
      </c>
      <c r="L25" cm="1">
        <f t="array" ref="L25">_xlfn.IFS(H25=0,1+L24,H25=1,1+L24,H25=3,0)</f>
        <v>1</v>
      </c>
    </row>
    <row r="26" spans="1:22" x14ac:dyDescent="0.2">
      <c r="A26">
        <v>25</v>
      </c>
      <c r="B26" s="1">
        <v>43862</v>
      </c>
      <c r="C26" t="str">
        <v>Newcastle United FC</v>
      </c>
      <c r="D26">
        <v>0</v>
      </c>
      <c r="E26" t="str">
        <v>Norwich City FC</v>
      </c>
      <c r="F26">
        <v>0</v>
      </c>
      <c r="H26" s="59" cm="1">
        <f t="array" ref="H26">_xlfn.IFS(AND(C26=$N$18,D26&gt;F26),3,AND(E26=$N$18,F26&gt;D26),3,AND(C26=$N$18,D26=F26),1,AND(E26=$N$18,D26=F26),1,AND(C26=$N$18,D26&lt;F26),0,AND(E26=$N$18,F26&lt;D26),0)</f>
        <v>1</v>
      </c>
      <c r="I26">
        <f t="shared" si="0"/>
        <v>0</v>
      </c>
      <c r="J26" s="59">
        <f t="shared" si="1"/>
        <v>0</v>
      </c>
      <c r="K26" cm="1">
        <f t="array" ref="K26">_xlfn.IFS(H26=3,1+K25,H26=1,1+K25,H26=0,0)</f>
        <v>1</v>
      </c>
      <c r="L26" cm="1">
        <f t="array" ref="L26">_xlfn.IFS(H26=0,1+L25,H26=1,1+L25,H26=3,0)</f>
        <v>2</v>
      </c>
    </row>
    <row r="27" spans="1:22" x14ac:dyDescent="0.2">
      <c r="A27">
        <v>26</v>
      </c>
      <c r="B27" s="1">
        <v>43876</v>
      </c>
      <c r="C27" t="str">
        <v>Norwich City FC</v>
      </c>
      <c r="D27">
        <v>0</v>
      </c>
      <c r="E27" t="str">
        <v>Liverpool FC</v>
      </c>
      <c r="F27">
        <v>1</v>
      </c>
      <c r="H27" s="59" cm="1">
        <f t="array" ref="H27">_xlfn.IFS(AND(C27=$N$18,D27&gt;F27),3,AND(E27=$N$18,F27&gt;D27),3,AND(C27=$N$18,D27=F27),1,AND(E27=$N$18,D27=F27),1,AND(C27=$N$18,D27&lt;F27),0,AND(E27=$N$18,F27&lt;D27),0)</f>
        <v>0</v>
      </c>
      <c r="I27">
        <f t="shared" si="0"/>
        <v>0</v>
      </c>
      <c r="J27" s="59">
        <f t="shared" si="1"/>
        <v>1</v>
      </c>
      <c r="K27" cm="1">
        <f t="array" ref="K27">_xlfn.IFS(H27=3,1+K26,H27=1,1+K26,H27=0,0)</f>
        <v>0</v>
      </c>
      <c r="L27" cm="1">
        <f t="array" ref="L27">_xlfn.IFS(H27=0,1+L26,H27=1,1+L26,H27=3,0)</f>
        <v>3</v>
      </c>
    </row>
    <row r="28" spans="1:22" x14ac:dyDescent="0.2">
      <c r="A28">
        <v>27</v>
      </c>
      <c r="B28" s="1">
        <v>43884</v>
      </c>
      <c r="C28" t="str">
        <v>Wolverhampton Wanderers FC</v>
      </c>
      <c r="D28">
        <v>3</v>
      </c>
      <c r="E28" t="str">
        <v>Norwich City FC</v>
      </c>
      <c r="F28">
        <v>0</v>
      </c>
      <c r="H28" s="59" cm="1">
        <f t="array" ref="H28">_xlfn.IFS(AND(C28=$N$18,D28&gt;F28),3,AND(E28=$N$18,F28&gt;D28),3,AND(C28=$N$18,D28=F28),1,AND(E28=$N$18,D28=F28),1,AND(C28=$N$18,D28&lt;F28),0,AND(E28=$N$18,F28&lt;D28),0)</f>
        <v>0</v>
      </c>
      <c r="I28">
        <f t="shared" si="0"/>
        <v>0</v>
      </c>
      <c r="J28" s="59">
        <f t="shared" si="1"/>
        <v>2</v>
      </c>
      <c r="K28" cm="1">
        <f t="array" ref="K28">_xlfn.IFS(H28=3,1+K27,H28=1,1+K27,H28=0,0)</f>
        <v>0</v>
      </c>
      <c r="L28" cm="1">
        <f t="array" ref="L28">_xlfn.IFS(H28=0,1+L27,H28=1,1+L27,H28=3,0)</f>
        <v>4</v>
      </c>
    </row>
    <row r="29" spans="1:22" x14ac:dyDescent="0.2">
      <c r="A29">
        <v>28</v>
      </c>
      <c r="B29" s="1">
        <v>43889</v>
      </c>
      <c r="C29" t="str">
        <v>Norwich City FC</v>
      </c>
      <c r="D29">
        <v>1</v>
      </c>
      <c r="E29" t="str">
        <v>Leicester City FC</v>
      </c>
      <c r="F29">
        <v>0</v>
      </c>
      <c r="H29" s="59" cm="1">
        <f t="array" ref="H29">_xlfn.IFS(AND(C29=$N$18,D29&gt;F29),3,AND(E29=$N$18,F29&gt;D29),3,AND(C29=$N$18,D29=F29),1,AND(E29=$N$18,D29=F29),1,AND(C29=$N$18,D29&lt;F29),0,AND(E29=$N$18,F29&lt;D29),0)</f>
        <v>3</v>
      </c>
      <c r="I29">
        <f t="shared" si="0"/>
        <v>1</v>
      </c>
      <c r="J29" s="59">
        <f t="shared" si="1"/>
        <v>0</v>
      </c>
      <c r="K29" cm="1">
        <f t="array" ref="K29">_xlfn.IFS(H29=3,1+K28,H29=1,1+K28,H29=0,0)</f>
        <v>1</v>
      </c>
      <c r="L29" cm="1">
        <f t="array" ref="L29">_xlfn.IFS(H29=0,1+L28,H29=1,1+L28,H29=3,0)</f>
        <v>0</v>
      </c>
    </row>
    <row r="30" spans="1:22" x14ac:dyDescent="0.2">
      <c r="A30">
        <v>29</v>
      </c>
      <c r="B30" s="1">
        <v>43897</v>
      </c>
      <c r="C30" t="str">
        <v>Sheffield United FC</v>
      </c>
      <c r="D30">
        <v>1</v>
      </c>
      <c r="E30" t="str">
        <v>Norwich City FC</v>
      </c>
      <c r="F30">
        <v>0</v>
      </c>
      <c r="H30" s="59" cm="1">
        <f t="array" ref="H30">_xlfn.IFS(AND(C30=$N$18,D30&gt;F30),3,AND(E30=$N$18,F30&gt;D30),3,AND(C30=$N$18,D30=F30),1,AND(E30=$N$18,D30=F30),1,AND(C30=$N$18,D30&lt;F30),0,AND(E30=$N$18,F30&lt;D30),0)</f>
        <v>0</v>
      </c>
      <c r="I30">
        <f t="shared" si="0"/>
        <v>0</v>
      </c>
      <c r="J30" s="59">
        <f t="shared" si="1"/>
        <v>1</v>
      </c>
      <c r="K30" cm="1">
        <f t="array" ref="K30">_xlfn.IFS(H30=3,1+K29,H30=1,1+K29,H30=0,0)</f>
        <v>0</v>
      </c>
      <c r="L30" cm="1">
        <f t="array" ref="L30">_xlfn.IFS(H30=0,1+L29,H30=1,1+L29,H30=3,0)</f>
        <v>1</v>
      </c>
    </row>
    <row r="31" spans="1:22" x14ac:dyDescent="0.2">
      <c r="A31">
        <v>30</v>
      </c>
      <c r="B31" s="1">
        <v>44001</v>
      </c>
      <c r="C31" t="str">
        <v>Norwich City FC</v>
      </c>
      <c r="D31">
        <v>0</v>
      </c>
      <c r="E31" t="str">
        <v>Southampton FC</v>
      </c>
      <c r="F31">
        <v>3</v>
      </c>
      <c r="H31" s="59" cm="1">
        <f t="array" ref="H31">_xlfn.IFS(AND(C31=$N$18,D31&gt;F31),3,AND(E31=$N$18,F31&gt;D31),3,AND(C31=$N$18,D31=F31),1,AND(E31=$N$18,D31=F31),1,AND(C31=$N$18,D31&lt;F31),0,AND(E31=$N$18,F31&lt;D31),0)</f>
        <v>0</v>
      </c>
      <c r="I31">
        <f t="shared" si="0"/>
        <v>0</v>
      </c>
      <c r="J31" s="59">
        <f t="shared" si="1"/>
        <v>2</v>
      </c>
      <c r="K31" cm="1">
        <f t="array" ref="K31">_xlfn.IFS(H31=3,1+K30,H31=1,1+K30,H31=0,0)</f>
        <v>0</v>
      </c>
      <c r="L31" cm="1">
        <f t="array" ref="L31">_xlfn.IFS(H31=0,1+L30,H31=1,1+L30,H31=3,0)</f>
        <v>2</v>
      </c>
    </row>
    <row r="32" spans="1:22" x14ac:dyDescent="0.2">
      <c r="A32">
        <v>31</v>
      </c>
      <c r="B32" s="1">
        <v>44006</v>
      </c>
      <c r="C32" t="str">
        <v>Norwich City FC</v>
      </c>
      <c r="D32">
        <v>0</v>
      </c>
      <c r="E32" t="str">
        <v>Everton FC</v>
      </c>
      <c r="F32">
        <v>1</v>
      </c>
      <c r="H32" s="59" cm="1">
        <f t="array" ref="H32">_xlfn.IFS(AND(C32=$N$18,D32&gt;F32),3,AND(E32=$N$18,F32&gt;D32),3,AND(C32=$N$18,D32=F32),1,AND(E32=$N$18,D32=F32),1,AND(C32=$N$18,D32&lt;F32),0,AND(E32=$N$18,F32&lt;D32),0)</f>
        <v>0</v>
      </c>
      <c r="I32">
        <f t="shared" si="0"/>
        <v>0</v>
      </c>
      <c r="J32" s="59">
        <f t="shared" si="1"/>
        <v>3</v>
      </c>
      <c r="K32" cm="1">
        <f t="array" ref="K32">_xlfn.IFS(H32=3,1+K31,H32=1,1+K31,H32=0,0)</f>
        <v>0</v>
      </c>
      <c r="L32" cm="1">
        <f t="array" ref="L32">_xlfn.IFS(H32=0,1+L31,H32=1,1+L31,H32=3,0)</f>
        <v>3</v>
      </c>
    </row>
    <row r="33" spans="1:12" x14ac:dyDescent="0.2">
      <c r="A33">
        <v>32</v>
      </c>
      <c r="B33" s="1">
        <v>44013</v>
      </c>
      <c r="C33" t="str">
        <v>Arsenal FC</v>
      </c>
      <c r="D33">
        <v>4</v>
      </c>
      <c r="E33" t="str">
        <v>Norwich City FC</v>
      </c>
      <c r="F33">
        <v>0</v>
      </c>
      <c r="H33" s="59" cm="1">
        <f t="array" ref="H33">_xlfn.IFS(AND(C33=$N$18,D33&gt;F33),3,AND(E33=$N$18,F33&gt;D33),3,AND(C33=$N$18,D33=F33),1,AND(E33=$N$18,D33=F33),1,AND(C33=$N$18,D33&lt;F33),0,AND(E33=$N$18,F33&lt;D33),0)</f>
        <v>0</v>
      </c>
      <c r="I33">
        <f t="shared" si="0"/>
        <v>0</v>
      </c>
      <c r="J33" s="59">
        <f t="shared" si="1"/>
        <v>4</v>
      </c>
      <c r="K33" cm="1">
        <f t="array" ref="K33">_xlfn.IFS(H33=3,1+K32,H33=1,1+K32,H33=0,0)</f>
        <v>0</v>
      </c>
      <c r="L33" cm="1">
        <f t="array" ref="L33">_xlfn.IFS(H33=0,1+L32,H33=1,1+L32,H33=3,0)</f>
        <v>4</v>
      </c>
    </row>
    <row r="34" spans="1:12" x14ac:dyDescent="0.2">
      <c r="A34">
        <v>33</v>
      </c>
      <c r="B34" s="1">
        <v>44016</v>
      </c>
      <c r="C34" t="str">
        <v>Norwich City FC</v>
      </c>
      <c r="D34">
        <v>0</v>
      </c>
      <c r="E34" t="str">
        <v>Brighton &amp; Hove Albion FC</v>
      </c>
      <c r="F34">
        <v>1</v>
      </c>
      <c r="H34" s="59" cm="1">
        <f t="array" ref="H34">_xlfn.IFS(AND(C34=$N$18,D34&gt;F34),3,AND(E34=$N$18,F34&gt;D34),3,AND(C34=$N$18,D34=F34),1,AND(E34=$N$18,D34=F34),1,AND(C34=$N$18,D34&lt;F34),0,AND(E34=$N$18,F34&lt;D34),0)</f>
        <v>0</v>
      </c>
      <c r="I34">
        <f t="shared" si="0"/>
        <v>0</v>
      </c>
      <c r="J34" s="59">
        <f t="shared" si="1"/>
        <v>5</v>
      </c>
      <c r="K34" cm="1">
        <f t="array" ref="K34">_xlfn.IFS(H34=3,1+K33,H34=1,1+K33,H34=0,0)</f>
        <v>0</v>
      </c>
      <c r="L34" cm="1">
        <f t="array" ref="L34">_xlfn.IFS(H34=0,1+L33,H34=1,1+L33,H34=3,0)</f>
        <v>5</v>
      </c>
    </row>
    <row r="35" spans="1:12" x14ac:dyDescent="0.2">
      <c r="A35">
        <v>34</v>
      </c>
      <c r="B35" s="1">
        <v>44019</v>
      </c>
      <c r="C35" t="str">
        <v>Watford FC</v>
      </c>
      <c r="D35">
        <v>2</v>
      </c>
      <c r="E35" t="str">
        <v>Norwich City FC</v>
      </c>
      <c r="F35">
        <v>1</v>
      </c>
      <c r="H35" s="59" cm="1">
        <f t="array" ref="H35">_xlfn.IFS(AND(C35=$N$18,D35&gt;F35),3,AND(E35=$N$18,F35&gt;D35),3,AND(C35=$N$18,D35=F35),1,AND(E35=$N$18,D35=F35),1,AND(C35=$N$18,D35&lt;F35),0,AND(E35=$N$18,F35&lt;D35),0)</f>
        <v>0</v>
      </c>
      <c r="I35">
        <f t="shared" si="0"/>
        <v>0</v>
      </c>
      <c r="J35" s="59">
        <f t="shared" si="1"/>
        <v>6</v>
      </c>
      <c r="K35" cm="1">
        <f t="array" ref="K35">_xlfn.IFS(H35=3,1+K34,H35=1,1+K34,H35=0,0)</f>
        <v>0</v>
      </c>
      <c r="L35" cm="1">
        <f t="array" ref="L35">_xlfn.IFS(H35=0,1+L34,H35=1,1+L34,H35=3,0)</f>
        <v>6</v>
      </c>
    </row>
    <row r="36" spans="1:12" x14ac:dyDescent="0.2">
      <c r="A36">
        <v>35</v>
      </c>
      <c r="B36" s="1">
        <v>44023</v>
      </c>
      <c r="C36" t="str">
        <v>Norwich City FC</v>
      </c>
      <c r="D36">
        <v>0</v>
      </c>
      <c r="E36" t="str">
        <v>West Ham United FC</v>
      </c>
      <c r="F36">
        <v>4</v>
      </c>
      <c r="H36" s="59" cm="1">
        <f t="array" ref="H36">_xlfn.IFS(AND(C36=$N$18,D36&gt;F36),3,AND(E36=$N$18,F36&gt;D36),3,AND(C36=$N$18,D36=F36),1,AND(E36=$N$18,D36=F36),1,AND(C36=$N$18,D36&lt;F36),0,AND(E36=$N$18,F36&lt;D36),0)</f>
        <v>0</v>
      </c>
      <c r="I36">
        <f t="shared" si="0"/>
        <v>0</v>
      </c>
      <c r="J36" s="59">
        <f t="shared" si="1"/>
        <v>7</v>
      </c>
      <c r="K36" cm="1">
        <f t="array" ref="K36">_xlfn.IFS(H36=3,1+K35,H36=1,1+K35,H36=0,0)</f>
        <v>0</v>
      </c>
      <c r="L36" cm="1">
        <f t="array" ref="L36">_xlfn.IFS(H36=0,1+L35,H36=1,1+L35,H36=3,0)</f>
        <v>7</v>
      </c>
    </row>
    <row r="37" spans="1:12" x14ac:dyDescent="0.2">
      <c r="A37">
        <v>36</v>
      </c>
      <c r="B37" s="1">
        <v>44026</v>
      </c>
      <c r="C37" t="str">
        <v>Chelsea FC</v>
      </c>
      <c r="D37">
        <v>1</v>
      </c>
      <c r="E37" t="str">
        <v>Norwich City FC</v>
      </c>
      <c r="F37">
        <v>0</v>
      </c>
      <c r="H37" s="59" cm="1">
        <f t="array" ref="H37">_xlfn.IFS(AND(C37=$N$18,D37&gt;F37),3,AND(E37=$N$18,F37&gt;D37),3,AND(C37=$N$18,D37=F37),1,AND(E37=$N$18,D37=F37),1,AND(C37=$N$18,D37&lt;F37),0,AND(E37=$N$18,F37&lt;D37),0)</f>
        <v>0</v>
      </c>
      <c r="I37">
        <f t="shared" si="0"/>
        <v>0</v>
      </c>
      <c r="J37" s="59">
        <f t="shared" si="1"/>
        <v>8</v>
      </c>
      <c r="K37" cm="1">
        <f t="array" ref="K37">_xlfn.IFS(H37=3,1+K36,H37=1,1+K36,H37=0,0)</f>
        <v>0</v>
      </c>
      <c r="L37" cm="1">
        <f t="array" ref="L37">_xlfn.IFS(H37=0,1+L36,H37=1,1+L36,H37=3,0)</f>
        <v>8</v>
      </c>
    </row>
    <row r="38" spans="1:12" x14ac:dyDescent="0.2">
      <c r="A38">
        <v>37</v>
      </c>
      <c r="B38" s="1">
        <v>44030</v>
      </c>
      <c r="C38" t="str">
        <v>Norwich City FC</v>
      </c>
      <c r="D38">
        <v>0</v>
      </c>
      <c r="E38" t="str">
        <v>Burnley FC</v>
      </c>
      <c r="F38">
        <v>2</v>
      </c>
      <c r="H38" s="59" cm="1">
        <f t="array" ref="H38">_xlfn.IFS(AND(C38=$N$18,D38&gt;F38),3,AND(E38=$N$18,F38&gt;D38),3,AND(C38=$N$18,D38=F38),1,AND(E38=$N$18,D38=F38),1,AND(C38=$N$18,D38&lt;F38),0,AND(E38=$N$18,F38&lt;D38),0)</f>
        <v>0</v>
      </c>
      <c r="I38">
        <f t="shared" si="0"/>
        <v>0</v>
      </c>
      <c r="J38" s="59">
        <f t="shared" si="1"/>
        <v>9</v>
      </c>
      <c r="K38" cm="1">
        <f t="array" ref="K38">_xlfn.IFS(H38=3,1+K37,H38=1,1+K37,H38=0,0)</f>
        <v>0</v>
      </c>
      <c r="L38" cm="1">
        <f t="array" ref="L38">_xlfn.IFS(H38=0,1+L37,H38=1,1+L37,H38=3,0)</f>
        <v>9</v>
      </c>
    </row>
    <row r="39" spans="1:12" x14ac:dyDescent="0.2">
      <c r="A39">
        <v>38</v>
      </c>
      <c r="B39" s="1">
        <v>44038</v>
      </c>
      <c r="C39" t="str">
        <v>Manchester City FC</v>
      </c>
      <c r="D39">
        <v>5</v>
      </c>
      <c r="E39" t="str">
        <v>Norwich City FC</v>
      </c>
      <c r="F39">
        <v>0</v>
      </c>
      <c r="H39" s="59" cm="1">
        <f t="array" ref="H39">_xlfn.IFS(AND(C39=$N$18,D39&gt;F39),3,AND(E39=$N$18,F39&gt;D39),3,AND(C39=$N$18,D39=F39),1,AND(E39=$N$18,D39=F39),1,AND(C39=$N$18,D39&lt;F39),0,AND(E39=$N$18,F39&lt;D39),0)</f>
        <v>0</v>
      </c>
      <c r="I39">
        <f t="shared" si="0"/>
        <v>0</v>
      </c>
      <c r="J39" s="59">
        <f t="shared" si="1"/>
        <v>10</v>
      </c>
      <c r="K39" cm="1">
        <f t="array" ref="K39">_xlfn.IFS(H39=3,1+K38,H39=1,1+K38,H39=0,0)</f>
        <v>0</v>
      </c>
      <c r="L39" cm="1">
        <f t="array" ref="L39">_xlfn.IFS(H39=0,1+L38,H39=1,1+L38,H39=3,0)</f>
        <v>10</v>
      </c>
    </row>
  </sheetData>
  <conditionalFormatting sqref="G2:G39">
    <cfRule type="expression" dxfId="35" priority="5">
      <formula>AND($E2=$N$18,$F2&gt;$D2)</formula>
    </cfRule>
  </conditionalFormatting>
  <conditionalFormatting sqref="G2:G39">
    <cfRule type="expression" dxfId="34" priority="4">
      <formula>AND($E2=$N$18,$F2&lt;$D2)</formula>
    </cfRule>
  </conditionalFormatting>
  <conditionalFormatting sqref="G2:G39">
    <cfRule type="expression" dxfId="33" priority="3">
      <formula>$D2=$F2</formula>
    </cfRule>
  </conditionalFormatting>
  <conditionalFormatting sqref="G2:G39">
    <cfRule type="expression" dxfId="32" priority="2">
      <formula>AND($C2=$N$18,$D2&lt;$F2)</formula>
    </cfRule>
  </conditionalFormatting>
  <conditionalFormatting sqref="G2:G39">
    <cfRule type="expression" dxfId="31" priority="1">
      <formula>AND($C2=$N$18,$D2&gt;$F2)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BCF5E-B841-4B23-B9CB-2E1261CCAB22}">
  <sheetPr codeName="Sheet20"/>
  <dimension ref="A1:V39"/>
  <sheetViews>
    <sheetView zoomScale="60" zoomScaleNormal="60" workbookViewId="0"/>
  </sheetViews>
  <sheetFormatPr baseColWidth="10" defaultColWidth="8.83203125" defaultRowHeight="15" x14ac:dyDescent="0.2"/>
  <cols>
    <col min="2" max="2" width="11.5" style="1" bestFit="1" customWidth="1"/>
    <col min="3" max="3" width="28.6640625" bestFit="1" customWidth="1"/>
    <col min="4" max="4" width="11.83203125" bestFit="1" customWidth="1"/>
    <col min="5" max="5" width="28.6640625" bestFit="1" customWidth="1"/>
    <col min="6" max="6" width="11.5" bestFit="1" customWidth="1"/>
    <col min="14" max="14" width="20.5" bestFit="1" customWidth="1"/>
    <col min="15" max="22" width="10.6640625" customWidth="1"/>
  </cols>
  <sheetData>
    <row r="1" spans="1:20" ht="32" x14ac:dyDescent="0.2">
      <c r="A1" s="67" t="s">
        <v>0</v>
      </c>
      <c r="B1" s="71" t="s">
        <v>1</v>
      </c>
      <c r="C1" s="68" t="s">
        <v>2</v>
      </c>
      <c r="D1" s="68" t="s">
        <v>3</v>
      </c>
      <c r="E1" s="68" t="s">
        <v>4</v>
      </c>
      <c r="F1" s="69" t="s">
        <v>5</v>
      </c>
      <c r="G1" s="70" t="s">
        <v>71</v>
      </c>
      <c r="H1" s="70" t="s">
        <v>19</v>
      </c>
      <c r="I1" s="81" t="s">
        <v>72</v>
      </c>
      <c r="J1" s="81" t="s">
        <v>53</v>
      </c>
      <c r="K1" s="81" t="s">
        <v>55</v>
      </c>
      <c r="L1" s="81" t="s">
        <v>73</v>
      </c>
      <c r="Q1" s="58" t="s">
        <v>74</v>
      </c>
      <c r="R1" t="s">
        <v>75</v>
      </c>
      <c r="S1" t="s">
        <v>76</v>
      </c>
      <c r="T1" s="63" t="s">
        <v>77</v>
      </c>
    </row>
    <row r="2" spans="1:20" x14ac:dyDescent="0.2">
      <c r="A2" cm="1">
        <f t="array" ref="A2:F39">_xlfn._xlws.FILTER(eng_1[],(eng_1[Home]='England 1'!C17)+(eng_1[Away]='England 1'!E4))</f>
        <v>1</v>
      </c>
      <c r="B2" s="1">
        <v>43687</v>
      </c>
      <c r="C2" t="str">
        <v>Burnley FC</v>
      </c>
      <c r="D2">
        <v>3</v>
      </c>
      <c r="E2" t="str">
        <v>Southampton FC</v>
      </c>
      <c r="F2">
        <v>0</v>
      </c>
      <c r="H2" s="59" cm="1">
        <f t="array" ref="H2">_xlfn.IFS(AND(C2=$N$18,D2&gt;F2),3,AND(E2=$N$18,F2&gt;D2),3,AND(C2=$N$18,D2=F2),1,AND(E2=$N$18,D2=F2),1,AND(C2=$N$18,D2&lt;F2),0,AND(E2=$N$18,F2&lt;D2),0)</f>
        <v>0</v>
      </c>
      <c r="I2" cm="1">
        <f t="array" ref="I2">_xlfn.IFS(H2=3,1,H2=1,0,H2=0,0)</f>
        <v>0</v>
      </c>
      <c r="J2" s="59" cm="1">
        <f t="array" ref="J2">_xlfn.IFS(H2=0,1,H2=1,0,H2=3,0)</f>
        <v>1</v>
      </c>
      <c r="K2" cm="1">
        <f t="array" ref="K2">_xlfn.IFS(H2=3,1,H2=1,1,H2=0,0)</f>
        <v>0</v>
      </c>
      <c r="L2" cm="1">
        <f t="array" ref="L2">_xlfn.IFS(H2=0,1,H2=1,1,H2=3,0)</f>
        <v>1</v>
      </c>
      <c r="Q2" s="56" t="s">
        <v>78</v>
      </c>
      <c r="R2">
        <v>20</v>
      </c>
      <c r="S2">
        <v>22</v>
      </c>
      <c r="T2" s="60">
        <v>1.1000000000000001</v>
      </c>
    </row>
    <row r="3" spans="1:20" x14ac:dyDescent="0.2">
      <c r="A3">
        <v>2</v>
      </c>
      <c r="B3" s="1">
        <v>43694</v>
      </c>
      <c r="C3" t="str">
        <v>Southampton FC</v>
      </c>
      <c r="D3">
        <v>1</v>
      </c>
      <c r="E3" t="str">
        <v>Liverpool FC</v>
      </c>
      <c r="F3">
        <v>2</v>
      </c>
      <c r="H3" s="59" cm="1">
        <f t="array" ref="H3">_xlfn.IFS(AND(C3=$N$18,D3&gt;F3),3,AND(E3=$N$18,F3&gt;D3),3,AND(C3=$N$18,D3=F3),1,AND(E3=$N$18,D3=F3),1,AND(C3=$N$18,D3&lt;F3),0,AND(E3=$N$18,F3&lt;D3),0)</f>
        <v>0</v>
      </c>
      <c r="I3">
        <f t="shared" ref="I3:I39" si="0">IF(H3=3,1+I2,0)</f>
        <v>0</v>
      </c>
      <c r="J3" s="59">
        <f t="shared" ref="J3:J39" si="1">IF(H3=0,1+J2,0)</f>
        <v>2</v>
      </c>
      <c r="K3" cm="1">
        <f t="array" ref="K3">_xlfn.IFS(H3=3,1+K2,H3=1,1+K2,H3=0,0)</f>
        <v>0</v>
      </c>
      <c r="L3" cm="1">
        <f t="array" ref="L3">_xlfn.IFS(H3=0,1+L2,H3=1,1+L2,H3=3,0)</f>
        <v>2</v>
      </c>
      <c r="N3" s="48" t="s">
        <v>79</v>
      </c>
      <c r="O3" s="48" t="s">
        <v>80</v>
      </c>
      <c r="Q3" s="57" t="s">
        <v>81</v>
      </c>
      <c r="R3">
        <v>4</v>
      </c>
      <c r="S3">
        <v>4</v>
      </c>
      <c r="T3" s="60">
        <v>1</v>
      </c>
    </row>
    <row r="4" spans="1:20" x14ac:dyDescent="0.2">
      <c r="A4">
        <v>3</v>
      </c>
      <c r="B4" s="1">
        <v>43701</v>
      </c>
      <c r="C4" t="str">
        <v>Brighton &amp; Hove Albion FC</v>
      </c>
      <c r="D4">
        <v>0</v>
      </c>
      <c r="E4" t="str">
        <v>Southampton FC</v>
      </c>
      <c r="F4">
        <v>2</v>
      </c>
      <c r="H4" s="59" cm="1">
        <f t="array" ref="H4">_xlfn.IFS(AND(C4=$N$18,D4&gt;F4),3,AND(E4=$N$18,F4&gt;D4),3,AND(C4=$N$18,D4=F4),1,AND(E4=$N$18,D4=F4),1,AND(C4=$N$18,D4&lt;F4),0,AND(E4=$N$18,F4&lt;D4),0)</f>
        <v>3</v>
      </c>
      <c r="I4">
        <f t="shared" si="0"/>
        <v>1</v>
      </c>
      <c r="J4" s="59">
        <f t="shared" si="1"/>
        <v>0</v>
      </c>
      <c r="K4" cm="1">
        <f t="array" ref="K4">_xlfn.IFS(H4=3,1+K3,H4=1,1+K3,H4=0,0)</f>
        <v>1</v>
      </c>
      <c r="L4" cm="1">
        <f t="array" ref="L4">_xlfn.IFS(H4=0,1+L3,H4=1,1+L3,H4=3,0)</f>
        <v>0</v>
      </c>
      <c r="N4" s="49" t="s">
        <v>82</v>
      </c>
      <c r="O4" s="50"/>
      <c r="Q4" s="57" t="s">
        <v>83</v>
      </c>
      <c r="R4">
        <v>3</v>
      </c>
      <c r="S4">
        <v>3</v>
      </c>
      <c r="T4" s="60">
        <v>1</v>
      </c>
    </row>
    <row r="5" spans="1:20" x14ac:dyDescent="0.2">
      <c r="A5">
        <v>4</v>
      </c>
      <c r="B5" s="1">
        <v>43708</v>
      </c>
      <c r="C5" t="str">
        <v>Southampton FC</v>
      </c>
      <c r="D5">
        <v>1</v>
      </c>
      <c r="E5" t="str">
        <v>Manchester United FC</v>
      </c>
      <c r="F5">
        <v>1</v>
      </c>
      <c r="H5" s="59" cm="1">
        <f t="array" ref="H5">_xlfn.IFS(AND(C5=$N$18,D5&gt;F5),3,AND(E5=$N$18,F5&gt;D5),3,AND(C5=$N$18,D5=F5),1,AND(E5=$N$18,D5=F5),1,AND(C5=$N$18,D5&lt;F5),0,AND(E5=$N$18,F5&lt;D5),0)</f>
        <v>1</v>
      </c>
      <c r="I5">
        <f t="shared" si="0"/>
        <v>0</v>
      </c>
      <c r="J5" s="59">
        <f t="shared" si="1"/>
        <v>0</v>
      </c>
      <c r="K5" cm="1">
        <f t="array" ref="K5">_xlfn.IFS(H5=3,1+K4,H5=1,1+K4,H5=0,0)</f>
        <v>2</v>
      </c>
      <c r="L5" cm="1">
        <f t="array" ref="L5">_xlfn.IFS(H5=0,1+L4,H5=1,1+L4,H5=3,0)</f>
        <v>1</v>
      </c>
      <c r="N5" s="49" t="s">
        <v>84</v>
      </c>
      <c r="O5" s="51"/>
      <c r="Q5" s="57" t="s">
        <v>85</v>
      </c>
      <c r="R5">
        <v>3</v>
      </c>
      <c r="S5">
        <v>1</v>
      </c>
      <c r="T5" s="60">
        <v>0.33333333333333331</v>
      </c>
    </row>
    <row r="6" spans="1:20" x14ac:dyDescent="0.2">
      <c r="A6">
        <v>5</v>
      </c>
      <c r="B6" s="1">
        <v>43722</v>
      </c>
      <c r="C6" t="str">
        <v>Sheffield United FC</v>
      </c>
      <c r="D6">
        <v>0</v>
      </c>
      <c r="E6" t="str">
        <v>Southampton FC</v>
      </c>
      <c r="F6">
        <v>1</v>
      </c>
      <c r="H6" s="59" cm="1">
        <f t="array" ref="H6">_xlfn.IFS(AND(C6=$N$18,D6&gt;F6),3,AND(E6=$N$18,F6&gt;D6),3,AND(C6=$N$18,D6=F6),1,AND(E6=$N$18,D6=F6),1,AND(C6=$N$18,D6&lt;F6),0,AND(E6=$N$18,F6&lt;D6),0)</f>
        <v>3</v>
      </c>
      <c r="I6">
        <f t="shared" si="0"/>
        <v>1</v>
      </c>
      <c r="J6" s="59">
        <f t="shared" si="1"/>
        <v>0</v>
      </c>
      <c r="K6" cm="1">
        <f t="array" ref="K6">_xlfn.IFS(H6=3,1+K5,H6=1,1+K5,H6=0,0)</f>
        <v>3</v>
      </c>
      <c r="L6" cm="1">
        <f t="array" ref="L6">_xlfn.IFS(H6=0,1+L5,H6=1,1+L5,H6=3,0)</f>
        <v>0</v>
      </c>
      <c r="N6" s="49" t="s">
        <v>86</v>
      </c>
      <c r="O6" s="52"/>
      <c r="Q6" s="57" t="s">
        <v>87</v>
      </c>
      <c r="R6">
        <v>4</v>
      </c>
      <c r="S6">
        <v>4</v>
      </c>
      <c r="T6" s="60">
        <v>1</v>
      </c>
    </row>
    <row r="7" spans="1:20" x14ac:dyDescent="0.2">
      <c r="A7">
        <v>6</v>
      </c>
      <c r="B7" s="1">
        <v>43728</v>
      </c>
      <c r="C7" t="str">
        <v>Southampton FC</v>
      </c>
      <c r="D7">
        <v>1</v>
      </c>
      <c r="E7" t="str">
        <v>AFC Bournemouth</v>
      </c>
      <c r="F7">
        <v>3</v>
      </c>
      <c r="H7" s="59" cm="1">
        <f t="array" ref="H7">_xlfn.IFS(AND(C7=$N$18,D7&gt;F7),3,AND(E7=$N$18,F7&gt;D7),3,AND(C7=$N$18,D7=F7),1,AND(E7=$N$18,D7=F7),1,AND(C7=$N$18,D7&lt;F7),0,AND(E7=$N$18,F7&lt;D7),0)</f>
        <v>0</v>
      </c>
      <c r="I7">
        <f t="shared" si="0"/>
        <v>0</v>
      </c>
      <c r="J7" s="59">
        <f t="shared" si="1"/>
        <v>1</v>
      </c>
      <c r="K7" cm="1">
        <f t="array" ref="K7">_xlfn.IFS(H7=3,1+K6,H7=1,1+K6,H7=0,0)</f>
        <v>0</v>
      </c>
      <c r="L7" cm="1">
        <f t="array" ref="L7">_xlfn.IFS(H7=0,1+L6,H7=1,1+L6,H7=3,0)</f>
        <v>1</v>
      </c>
      <c r="Q7" s="57" t="s">
        <v>88</v>
      </c>
      <c r="R7">
        <v>6</v>
      </c>
      <c r="S7">
        <v>10</v>
      </c>
      <c r="T7" s="60">
        <v>1.6666666666666667</v>
      </c>
    </row>
    <row r="8" spans="1:20" x14ac:dyDescent="0.2">
      <c r="A8">
        <v>7</v>
      </c>
      <c r="B8" s="1">
        <v>43736</v>
      </c>
      <c r="C8" t="str">
        <v>Tottenham Hotspur FC</v>
      </c>
      <c r="D8">
        <v>2</v>
      </c>
      <c r="E8" t="str">
        <v>Southampton FC</v>
      </c>
      <c r="F8">
        <v>1</v>
      </c>
      <c r="H8" s="59" cm="1">
        <f t="array" ref="H8">_xlfn.IFS(AND(C8=$N$18,D8&gt;F8),3,AND(E8=$N$18,F8&gt;D8),3,AND(C8=$N$18,D8=F8),1,AND(E8=$N$18,D8=F8),1,AND(C8=$N$18,D8&lt;F8),0,AND(E8=$N$18,F8&lt;D8),0)</f>
        <v>0</v>
      </c>
      <c r="I8">
        <f t="shared" si="0"/>
        <v>0</v>
      </c>
      <c r="J8" s="59">
        <f t="shared" si="1"/>
        <v>2</v>
      </c>
      <c r="K8" cm="1">
        <f t="array" ref="K8">_xlfn.IFS(H8=3,1+K7,H8=1,1+K7,H8=0,0)</f>
        <v>0</v>
      </c>
      <c r="L8" cm="1">
        <f t="array" ref="L8">_xlfn.IFS(H8=0,1+L7,H8=1,1+L7,H8=3,0)</f>
        <v>2</v>
      </c>
      <c r="Q8" s="56" t="s">
        <v>89</v>
      </c>
      <c r="R8">
        <v>18</v>
      </c>
      <c r="S8">
        <v>30</v>
      </c>
      <c r="T8" s="60">
        <v>1.6666666666666667</v>
      </c>
    </row>
    <row r="9" spans="1:20" x14ac:dyDescent="0.2">
      <c r="A9">
        <v>8</v>
      </c>
      <c r="B9" s="1">
        <v>43744</v>
      </c>
      <c r="C9" t="str">
        <v>Southampton FC</v>
      </c>
      <c r="D9">
        <v>1</v>
      </c>
      <c r="E9" t="str">
        <v>Chelsea FC</v>
      </c>
      <c r="F9">
        <v>4</v>
      </c>
      <c r="H9" s="59" cm="1">
        <f t="array" ref="H9">_xlfn.IFS(AND(C9=$N$18,D9&gt;F9),3,AND(E9=$N$18,F9&gt;D9),3,AND(C9=$N$18,D9=F9),1,AND(E9=$N$18,D9=F9),1,AND(C9=$N$18,D9&lt;F9),0,AND(E9=$N$18,F9&lt;D9),0)</f>
        <v>0</v>
      </c>
      <c r="I9">
        <f t="shared" si="0"/>
        <v>0</v>
      </c>
      <c r="J9" s="59">
        <f t="shared" si="1"/>
        <v>3</v>
      </c>
      <c r="K9" cm="1">
        <f t="array" ref="K9">_xlfn.IFS(H9=3,1+K8,H9=1,1+K8,H9=0,0)</f>
        <v>0</v>
      </c>
      <c r="L9" cm="1">
        <f t="array" ref="L9">_xlfn.IFS(H9=0,1+L8,H9=1,1+L8,H9=3,0)</f>
        <v>3</v>
      </c>
      <c r="Q9" s="57" t="s">
        <v>90</v>
      </c>
      <c r="R9">
        <v>4</v>
      </c>
      <c r="S9">
        <v>9</v>
      </c>
      <c r="T9" s="60">
        <v>2.25</v>
      </c>
    </row>
    <row r="10" spans="1:20" x14ac:dyDescent="0.2">
      <c r="A10">
        <v>9</v>
      </c>
      <c r="B10" s="1">
        <v>43757</v>
      </c>
      <c r="C10" t="str">
        <v>Wolverhampton Wanderers FC</v>
      </c>
      <c r="D10">
        <v>1</v>
      </c>
      <c r="E10" t="str">
        <v>Southampton FC</v>
      </c>
      <c r="F10">
        <v>1</v>
      </c>
      <c r="H10" s="59" cm="1">
        <f t="array" ref="H10">_xlfn.IFS(AND(C10=$N$18,D10&gt;F10),3,AND(E10=$N$18,F10&gt;D10),3,AND(C10=$N$18,D10=F10),1,AND(E10=$N$18,D10=F10),1,AND(C10=$N$18,D10&lt;F10),0,AND(E10=$N$18,F10&lt;D10),0)</f>
        <v>1</v>
      </c>
      <c r="I10">
        <f t="shared" si="0"/>
        <v>0</v>
      </c>
      <c r="J10" s="59">
        <f t="shared" si="1"/>
        <v>0</v>
      </c>
      <c r="K10" cm="1">
        <f t="array" ref="K10">_xlfn.IFS(H10=3,1+K9,H10=1,1+K9,H10=0,0)</f>
        <v>1</v>
      </c>
      <c r="L10" cm="1">
        <f t="array" ref="L10">_xlfn.IFS(H10=0,1+L9,H10=1,1+L9,H10=3,0)</f>
        <v>4</v>
      </c>
      <c r="Q10" s="57" t="s">
        <v>91</v>
      </c>
      <c r="R10">
        <v>4</v>
      </c>
      <c r="S10">
        <v>3</v>
      </c>
      <c r="T10" s="60">
        <v>0.75</v>
      </c>
    </row>
    <row r="11" spans="1:20" x14ac:dyDescent="0.2">
      <c r="A11">
        <v>10</v>
      </c>
      <c r="B11" s="1">
        <v>43763</v>
      </c>
      <c r="C11" t="str">
        <v>Southampton FC</v>
      </c>
      <c r="D11">
        <v>0</v>
      </c>
      <c r="E11" t="str">
        <v>Leicester City FC</v>
      </c>
      <c r="F11">
        <v>9</v>
      </c>
      <c r="H11" s="59" cm="1">
        <f t="array" ref="H11">_xlfn.IFS(AND(C11=$N$18,D11&gt;F11),3,AND(E11=$N$18,F11&gt;D11),3,AND(C11=$N$18,D11=F11),1,AND(E11=$N$18,D11=F11),1,AND(C11=$N$18,D11&lt;F11),0,AND(E11=$N$18,F11&lt;D11),0)</f>
        <v>0</v>
      </c>
      <c r="I11">
        <f t="shared" si="0"/>
        <v>0</v>
      </c>
      <c r="J11" s="59">
        <f t="shared" si="1"/>
        <v>1</v>
      </c>
      <c r="K11" cm="1">
        <f t="array" ref="K11">_xlfn.IFS(H11=3,1+K10,H11=1,1+K10,H11=0,0)</f>
        <v>0</v>
      </c>
      <c r="L11" cm="1">
        <f t="array" ref="L11">_xlfn.IFS(H11=0,1+L10,H11=1,1+L10,H11=3,0)</f>
        <v>5</v>
      </c>
      <c r="Q11" s="57" t="s">
        <v>92</v>
      </c>
      <c r="R11">
        <v>1</v>
      </c>
      <c r="S11">
        <v>0</v>
      </c>
      <c r="T11" s="60">
        <v>0</v>
      </c>
    </row>
    <row r="12" spans="1:20" x14ac:dyDescent="0.2">
      <c r="A12">
        <v>11</v>
      </c>
      <c r="B12" s="1">
        <v>43771</v>
      </c>
      <c r="C12" t="str">
        <v>Manchester City FC</v>
      </c>
      <c r="D12">
        <v>2</v>
      </c>
      <c r="E12" t="str">
        <v>Southampton FC</v>
      </c>
      <c r="F12">
        <v>1</v>
      </c>
      <c r="H12" s="59" cm="1">
        <f t="array" ref="H12">_xlfn.IFS(AND(C12=$N$18,D12&gt;F12),3,AND(E12=$N$18,F12&gt;D12),3,AND(C12=$N$18,D12=F12),1,AND(E12=$N$18,D12=F12),1,AND(C12=$N$18,D12&lt;F12),0,AND(E12=$N$18,F12&lt;D12),0)</f>
        <v>0</v>
      </c>
      <c r="I12">
        <f t="shared" si="0"/>
        <v>0</v>
      </c>
      <c r="J12" s="59">
        <f t="shared" si="1"/>
        <v>2</v>
      </c>
      <c r="K12" cm="1">
        <f t="array" ref="K12">_xlfn.IFS(H12=3,1+K11,H12=1,1+K11,H12=0,0)</f>
        <v>0</v>
      </c>
      <c r="L12" cm="1">
        <f t="array" ref="L12">_xlfn.IFS(H12=0,1+L11,H12=1,1+L11,H12=3,0)</f>
        <v>6</v>
      </c>
      <c r="Q12" s="57" t="s">
        <v>93</v>
      </c>
      <c r="R12">
        <v>3</v>
      </c>
      <c r="S12">
        <v>6</v>
      </c>
      <c r="T12" s="60">
        <v>2</v>
      </c>
    </row>
    <row r="13" spans="1:20" x14ac:dyDescent="0.2">
      <c r="A13">
        <v>12</v>
      </c>
      <c r="B13" s="1">
        <v>43778</v>
      </c>
      <c r="C13" t="str">
        <v>Southampton FC</v>
      </c>
      <c r="D13">
        <v>1</v>
      </c>
      <c r="E13" t="str">
        <v>Everton FC</v>
      </c>
      <c r="F13">
        <v>2</v>
      </c>
      <c r="H13" s="59" cm="1">
        <f t="array" ref="H13">_xlfn.IFS(AND(C13=$N$18,D13&gt;F13),3,AND(E13=$N$18,F13&gt;D13),3,AND(C13=$N$18,D13=F13),1,AND(E13=$N$18,D13=F13),1,AND(C13=$N$18,D13&lt;F13),0,AND(E13=$N$18,F13&lt;D13),0)</f>
        <v>0</v>
      </c>
      <c r="I13">
        <f t="shared" si="0"/>
        <v>0</v>
      </c>
      <c r="J13" s="59">
        <f t="shared" si="1"/>
        <v>3</v>
      </c>
      <c r="K13" cm="1">
        <f t="array" ref="K13">_xlfn.IFS(H13=3,1+K12,H13=1,1+K12,H13=0,0)</f>
        <v>0</v>
      </c>
      <c r="L13" cm="1">
        <f t="array" ref="L13">_xlfn.IFS(H13=0,1+L12,H13=1,1+L12,H13=3,0)</f>
        <v>7</v>
      </c>
      <c r="Q13" s="57" t="s">
        <v>94</v>
      </c>
      <c r="R13">
        <v>6</v>
      </c>
      <c r="S13">
        <v>12</v>
      </c>
      <c r="T13" s="60">
        <v>2</v>
      </c>
    </row>
    <row r="14" spans="1:20" x14ac:dyDescent="0.2">
      <c r="A14">
        <v>13</v>
      </c>
      <c r="B14" s="1">
        <v>43792</v>
      </c>
      <c r="C14" t="str">
        <v>Arsenal FC</v>
      </c>
      <c r="D14">
        <v>2</v>
      </c>
      <c r="E14" t="str">
        <v>Southampton FC</v>
      </c>
      <c r="F14">
        <v>2</v>
      </c>
      <c r="H14" s="59" cm="1">
        <f t="array" ref="H14">_xlfn.IFS(AND(C14=$N$18,D14&gt;F14),3,AND(E14=$N$18,F14&gt;D14),3,AND(C14=$N$18,D14=F14),1,AND(E14=$N$18,D14=F14),1,AND(C14=$N$18,D14&lt;F14),0,AND(E14=$N$18,F14&lt;D14),0)</f>
        <v>1</v>
      </c>
      <c r="I14">
        <f t="shared" si="0"/>
        <v>0</v>
      </c>
      <c r="J14" s="59">
        <f t="shared" si="1"/>
        <v>0</v>
      </c>
      <c r="K14" cm="1">
        <f t="array" ref="K14">_xlfn.IFS(H14=3,1+K13,H14=1,1+K13,H14=0,0)</f>
        <v>1</v>
      </c>
      <c r="L14" cm="1">
        <f t="array" ref="L14">_xlfn.IFS(H14=0,1+L13,H14=1,1+L13,H14=3,0)</f>
        <v>8</v>
      </c>
      <c r="Q14" s="56" t="s">
        <v>95</v>
      </c>
      <c r="R14">
        <v>38</v>
      </c>
      <c r="S14">
        <v>52</v>
      </c>
      <c r="T14" s="60">
        <v>1.368421052631579</v>
      </c>
    </row>
    <row r="15" spans="1:20" x14ac:dyDescent="0.2">
      <c r="A15">
        <v>14</v>
      </c>
      <c r="B15" s="1">
        <v>43799</v>
      </c>
      <c r="C15" t="str">
        <v>Southampton FC</v>
      </c>
      <c r="D15">
        <v>2</v>
      </c>
      <c r="E15" t="str">
        <v>Watford FC</v>
      </c>
      <c r="F15">
        <v>1</v>
      </c>
      <c r="H15" s="59" cm="1">
        <f t="array" ref="H15">_xlfn.IFS(AND(C15=$N$18,D15&gt;F15),3,AND(E15=$N$18,F15&gt;D15),3,AND(C15=$N$18,D15=F15),1,AND(E15=$N$18,D15=F15),1,AND(C15=$N$18,D15&lt;F15),0,AND(E15=$N$18,F15&lt;D15),0)</f>
        <v>3</v>
      </c>
      <c r="I15">
        <f t="shared" si="0"/>
        <v>1</v>
      </c>
      <c r="J15" s="59">
        <f t="shared" si="1"/>
        <v>0</v>
      </c>
      <c r="K15" cm="1">
        <f t="array" ref="K15">_xlfn.IFS(H15=3,1+K14,H15=1,1+K14,H15=0,0)</f>
        <v>2</v>
      </c>
      <c r="L15" cm="1">
        <f t="array" ref="L15">_xlfn.IFS(H15=0,1+L14,H15=1,1+L14,H15=3,0)</f>
        <v>0</v>
      </c>
    </row>
    <row r="16" spans="1:20" x14ac:dyDescent="0.2">
      <c r="A16">
        <v>15</v>
      </c>
      <c r="B16" s="1">
        <v>43803</v>
      </c>
      <c r="C16" t="str">
        <v>Southampton FC</v>
      </c>
      <c r="D16">
        <v>2</v>
      </c>
      <c r="E16" t="str">
        <v>Norwich City FC</v>
      </c>
      <c r="F16">
        <v>1</v>
      </c>
      <c r="H16" s="59" cm="1">
        <f t="array" ref="H16">_xlfn.IFS(AND(C16=$N$18,D16&gt;F16),3,AND(E16=$N$18,F16&gt;D16),3,AND(C16=$N$18,D16=F16),1,AND(E16=$N$18,D16=F16),1,AND(C16=$N$18,D16&lt;F16),0,AND(E16=$N$18,F16&lt;D16),0)</f>
        <v>3</v>
      </c>
      <c r="I16">
        <f t="shared" si="0"/>
        <v>2</v>
      </c>
      <c r="J16" s="59">
        <f t="shared" si="1"/>
        <v>0</v>
      </c>
      <c r="K16" cm="1">
        <f t="array" ref="K16">_xlfn.IFS(H16=3,1+K15,H16=1,1+K15,H16=0,0)</f>
        <v>3</v>
      </c>
      <c r="L16" cm="1">
        <f t="array" ref="L16">_xlfn.IFS(H16=0,1+L15,H16=1,1+L15,H16=3,0)</f>
        <v>0</v>
      </c>
    </row>
    <row r="17" spans="1:22" x14ac:dyDescent="0.2">
      <c r="A17">
        <v>16</v>
      </c>
      <c r="B17" s="1">
        <v>43807</v>
      </c>
      <c r="C17" t="str">
        <v>Newcastle United FC</v>
      </c>
      <c r="D17">
        <v>2</v>
      </c>
      <c r="E17" t="str">
        <v>Southampton FC</v>
      </c>
      <c r="F17">
        <v>1</v>
      </c>
      <c r="H17" s="59" cm="1">
        <f t="array" ref="H17">_xlfn.IFS(AND(C17=$N$18,D17&gt;F17),3,AND(E17=$N$18,F17&gt;D17),3,AND(C17=$N$18,D17=F17),1,AND(E17=$N$18,D17=F17),1,AND(C17=$N$18,D17&lt;F17),0,AND(E17=$N$18,F17&lt;D17),0)</f>
        <v>0</v>
      </c>
      <c r="I17">
        <f t="shared" si="0"/>
        <v>0</v>
      </c>
      <c r="J17" s="59">
        <f t="shared" si="1"/>
        <v>1</v>
      </c>
      <c r="K17" cm="1">
        <f t="array" ref="K17">_xlfn.IFS(H17=3,1+K16,H17=1,1+K16,H17=0,0)</f>
        <v>0</v>
      </c>
      <c r="L17" cm="1">
        <f t="array" ref="L17">_xlfn.IFS(H17=0,1+L16,H17=1,1+L16,H17=3,0)</f>
        <v>1</v>
      </c>
    </row>
    <row r="18" spans="1:22" x14ac:dyDescent="0.2">
      <c r="A18">
        <v>17</v>
      </c>
      <c r="B18" s="1">
        <v>43813</v>
      </c>
      <c r="C18" t="str">
        <v>Southampton FC</v>
      </c>
      <c r="D18">
        <v>0</v>
      </c>
      <c r="E18" t="str">
        <v>West Ham United FC</v>
      </c>
      <c r="F18">
        <v>1</v>
      </c>
      <c r="H18" s="59" cm="1">
        <f t="array" ref="H18">_xlfn.IFS(AND(C18=$N$18,D18&gt;F18),3,AND(E18=$N$18,F18&gt;D18),3,AND(C18=$N$18,D18=F18),1,AND(E18=$N$18,D18=F18),1,AND(C18=$N$18,D18&lt;F18),0,AND(E18=$N$18,F18&lt;D18),0)</f>
        <v>0</v>
      </c>
      <c r="I18">
        <f t="shared" si="0"/>
        <v>0</v>
      </c>
      <c r="J18" s="59">
        <f t="shared" si="1"/>
        <v>2</v>
      </c>
      <c r="K18" cm="1">
        <f t="array" ref="K18">_xlfn.IFS(H18=3,1+K17,H18=1,1+K17,H18=0,0)</f>
        <v>0</v>
      </c>
      <c r="L18" cm="1">
        <f t="array" ref="L18">_xlfn.IFS(H18=0,1+L17,H18=1,1+L17,H18=3,0)</f>
        <v>2</v>
      </c>
      <c r="N18" s="14" t="str">
        <f>E2</f>
        <v>Southampton FC</v>
      </c>
      <c r="O18" s="9" t="s">
        <v>12</v>
      </c>
      <c r="P18" s="7" t="s">
        <v>13</v>
      </c>
      <c r="Q18" s="6" t="s">
        <v>14</v>
      </c>
      <c r="R18" s="8" t="s">
        <v>15</v>
      </c>
      <c r="S18" s="9" t="s">
        <v>16</v>
      </c>
      <c r="T18" s="9" t="s">
        <v>17</v>
      </c>
      <c r="U18" s="9" t="s">
        <v>18</v>
      </c>
      <c r="V18" s="9" t="s">
        <v>19</v>
      </c>
    </row>
    <row r="19" spans="1:22" x14ac:dyDescent="0.2">
      <c r="A19">
        <v>18</v>
      </c>
      <c r="B19" s="1">
        <v>43820</v>
      </c>
      <c r="C19" t="str">
        <v>Aston Villa FC</v>
      </c>
      <c r="D19">
        <v>1</v>
      </c>
      <c r="E19" t="str">
        <v>Southampton FC</v>
      </c>
      <c r="F19">
        <v>3</v>
      </c>
      <c r="H19" s="59" cm="1">
        <f t="array" ref="H19">_xlfn.IFS(AND(C19=$N$18,D19&gt;F19),3,AND(E19=$N$18,F19&gt;D19),3,AND(C19=$N$18,D19=F19),1,AND(E19=$N$18,D19=F19),1,AND(C19=$N$18,D19&lt;F19),0,AND(E19=$N$18,F19&lt;D19),0)</f>
        <v>3</v>
      </c>
      <c r="I19">
        <f t="shared" si="0"/>
        <v>1</v>
      </c>
      <c r="J19" s="59">
        <f t="shared" si="1"/>
        <v>0</v>
      </c>
      <c r="K19" cm="1">
        <f t="array" ref="K19">_xlfn.IFS(H19=3,1+K18,H19=1,1+K18,H19=0,0)</f>
        <v>1</v>
      </c>
      <c r="L19" cm="1">
        <f t="array" ref="L19">_xlfn.IFS(H19=0,1+L18,H19=1,1+L18,H19=3,0)</f>
        <v>0</v>
      </c>
      <c r="N19" s="10" t="s">
        <v>22</v>
      </c>
      <c r="O19" s="11">
        <f>COUNT(A2:A39)</f>
        <v>38</v>
      </c>
      <c r="P19" s="5" cm="1">
        <f t="array" ref="P19">SUMPRODUCT(((C2:C39=$N$18)*(D2:D39&gt;F2:F39))+((E2:E39=$N$18)*(F2:F39&gt;D2:D39)))</f>
        <v>15</v>
      </c>
      <c r="Q19" s="12" cm="1">
        <f t="array" ref="Q19">SUMPRODUCT(((C2:C39=$N$18)*(D2:D39=F2:F39))+((E2:E39=$E$2)*(F2:F39=D2:D39)))</f>
        <v>7</v>
      </c>
      <c r="R19" s="13" cm="1">
        <f t="array" ref="R19">SUMPRODUCT(((C2:C39=$N$18)*(D2:D39&lt;F2:F39))+((E2:E39=$N$18)*(F2:F39&lt;D2:D39)))</f>
        <v>16</v>
      </c>
      <c r="S19" s="11">
        <f>SUMIF(C2:C39,N18,D2:D39)+SUMIF(E2:E39,N18,F2:F39)</f>
        <v>51</v>
      </c>
      <c r="T19" s="11">
        <f>SUMIF(C2:C39,N18,F2:F39)+SUMIF(E2:E39,N18,D2:D39)</f>
        <v>60</v>
      </c>
      <c r="U19" s="11">
        <f>S19-T19</f>
        <v>-9</v>
      </c>
      <c r="V19" s="11">
        <f>V20+V21</f>
        <v>52</v>
      </c>
    </row>
    <row r="20" spans="1:22" x14ac:dyDescent="0.2">
      <c r="A20">
        <v>19</v>
      </c>
      <c r="B20" s="1">
        <v>43825</v>
      </c>
      <c r="C20" t="str">
        <v>Chelsea FC</v>
      </c>
      <c r="D20">
        <v>0</v>
      </c>
      <c r="E20" t="str">
        <v>Southampton FC</v>
      </c>
      <c r="F20">
        <v>2</v>
      </c>
      <c r="H20" s="59" cm="1">
        <f t="array" ref="H20">_xlfn.IFS(AND(C20=$N$18,D20&gt;F20),3,AND(E20=$N$18,F20&gt;D20),3,AND(C20=$N$18,D20=F20),1,AND(E20=$N$18,D20=F20),1,AND(C20=$N$18,D20&lt;F20),0,AND(E20=$N$18,F20&lt;D20),0)</f>
        <v>3</v>
      </c>
      <c r="I20">
        <f t="shared" si="0"/>
        <v>2</v>
      </c>
      <c r="J20" s="59">
        <f t="shared" si="1"/>
        <v>0</v>
      </c>
      <c r="K20" cm="1">
        <f t="array" ref="K20">_xlfn.IFS(H20=3,1+K19,H20=1,1+K19,H20=0,0)</f>
        <v>2</v>
      </c>
      <c r="L20" cm="1">
        <f t="array" ref="L20">_xlfn.IFS(H20=0,1+L19,H20=1,1+L19,H20=3,0)</f>
        <v>0</v>
      </c>
      <c r="N20" s="10" t="s">
        <v>2</v>
      </c>
      <c r="O20" s="11">
        <f>COUNTIF(C2:C39,C3)</f>
        <v>19</v>
      </c>
      <c r="P20" s="20" cm="1">
        <f t="array" ref="P20">SUMPRODUCT(((C2:C39=$N$18)*(D2:D39&gt;F2:F39)))</f>
        <v>6</v>
      </c>
      <c r="Q20" s="12" cm="1">
        <f t="array" ref="Q20">SUMPRODUCT(((C2:C39=$N$18)*(D2:D39=F2:F39)))</f>
        <v>3</v>
      </c>
      <c r="R20" s="13" cm="1">
        <f t="array" ref="R20">SUMPRODUCT(((C2:C39=$N$18)*(D2:D39&lt;F2:F39)))</f>
        <v>10</v>
      </c>
      <c r="S20" s="11">
        <f>SUMIF(C2:C39,N18,D2:D39)</f>
        <v>21</v>
      </c>
      <c r="T20" s="11">
        <f>SUMIF(C2:C39,N18,F2:F39)</f>
        <v>35</v>
      </c>
      <c r="U20" s="11">
        <f>S20-T20</f>
        <v>-14</v>
      </c>
      <c r="V20" s="11">
        <f>(P20*3)+Q20</f>
        <v>21</v>
      </c>
    </row>
    <row r="21" spans="1:22" x14ac:dyDescent="0.2">
      <c r="A21">
        <v>20</v>
      </c>
      <c r="B21" s="1">
        <v>43827</v>
      </c>
      <c r="C21" t="str">
        <v>Southampton FC</v>
      </c>
      <c r="D21">
        <v>1</v>
      </c>
      <c r="E21" t="str">
        <v>Crystal Palace FC</v>
      </c>
      <c r="F21">
        <v>1</v>
      </c>
      <c r="H21" s="59" cm="1">
        <f t="array" ref="H21">_xlfn.IFS(AND(C21=$N$18,D21&gt;F21),3,AND(E21=$N$18,F21&gt;D21),3,AND(C21=$N$18,D21=F21),1,AND(E21=$N$18,D21=F21),1,AND(C21=$N$18,D21&lt;F21),0,AND(E21=$N$18,F21&lt;D21),0)</f>
        <v>1</v>
      </c>
      <c r="I21">
        <f t="shared" si="0"/>
        <v>0</v>
      </c>
      <c r="J21" s="59">
        <f t="shared" si="1"/>
        <v>0</v>
      </c>
      <c r="K21" cm="1">
        <f t="array" ref="K21">_xlfn.IFS(H21=3,1+K20,H21=1,1+K20,H21=0,0)</f>
        <v>3</v>
      </c>
      <c r="L21" cm="1">
        <f t="array" ref="L21">_xlfn.IFS(H21=0,1+L20,H21=1,1+L20,H21=3,0)</f>
        <v>1</v>
      </c>
      <c r="N21" s="10" t="s">
        <v>4</v>
      </c>
      <c r="O21" s="11">
        <f>COUNTIF(E2:E39,E2)</f>
        <v>19</v>
      </c>
      <c r="P21" s="5" cm="1">
        <f t="array" ref="P21">SUMPRODUCT(((E2:E39=$N$18)*(F2:F39&gt;D2:D39)))</f>
        <v>9</v>
      </c>
      <c r="Q21" s="12" cm="1">
        <f t="array" ref="Q21">SUMPRODUCT(((E2:E39=$N$18)*(F2:F39=D2:D39)))</f>
        <v>4</v>
      </c>
      <c r="R21" s="13" cm="1">
        <f t="array" ref="R21">SUMPRODUCT(((E2:E39=$N$18)*(F2:F39&lt;D2:D39)))</f>
        <v>6</v>
      </c>
      <c r="S21" s="11">
        <f>SUMIF(E2:E39,N18,F2:F39)</f>
        <v>30</v>
      </c>
      <c r="T21" s="11">
        <f>SUMIF(E2:E39,N18,D2:D39)</f>
        <v>25</v>
      </c>
      <c r="U21" s="11">
        <f>S21-T21</f>
        <v>5</v>
      </c>
      <c r="V21" s="11">
        <f>(P21*3)+Q21</f>
        <v>31</v>
      </c>
    </row>
    <row r="22" spans="1:22" x14ac:dyDescent="0.2">
      <c r="A22">
        <v>21</v>
      </c>
      <c r="B22" s="1">
        <v>43831</v>
      </c>
      <c r="C22" t="str">
        <v>Southampton FC</v>
      </c>
      <c r="D22">
        <v>1</v>
      </c>
      <c r="E22" t="str">
        <v>Tottenham Hotspur FC</v>
      </c>
      <c r="F22">
        <v>0</v>
      </c>
      <c r="H22" s="59" cm="1">
        <f t="array" ref="H22">_xlfn.IFS(AND(C22=$N$18,D22&gt;F22),3,AND(E22=$N$18,F22&gt;D22),3,AND(C22=$N$18,D22=F22),1,AND(E22=$N$18,D22=F22),1,AND(C22=$N$18,D22&lt;F22),0,AND(E22=$N$18,F22&lt;D22),0)</f>
        <v>3</v>
      </c>
      <c r="I22">
        <f t="shared" si="0"/>
        <v>1</v>
      </c>
      <c r="J22" s="59">
        <f t="shared" si="1"/>
        <v>0</v>
      </c>
      <c r="K22" cm="1">
        <f t="array" ref="K22">_xlfn.IFS(H22=3,1+K21,H22=1,1+K21,H22=0,0)</f>
        <v>4</v>
      </c>
      <c r="L22" cm="1">
        <f t="array" ref="L22">_xlfn.IFS(H22=0,1+L21,H22=1,1+L21,H22=3,0)</f>
        <v>0</v>
      </c>
    </row>
    <row r="23" spans="1:22" x14ac:dyDescent="0.2">
      <c r="A23">
        <v>22</v>
      </c>
      <c r="B23" s="1">
        <v>43841</v>
      </c>
      <c r="C23" t="str">
        <v>Leicester City FC</v>
      </c>
      <c r="D23">
        <v>1</v>
      </c>
      <c r="E23" t="str">
        <v>Southampton FC</v>
      </c>
      <c r="F23">
        <v>2</v>
      </c>
      <c r="H23" s="59" cm="1">
        <f t="array" ref="H23">_xlfn.IFS(AND(C23=$N$18,D23&gt;F23),3,AND(E23=$N$18,F23&gt;D23),3,AND(C23=$N$18,D23=F23),1,AND(E23=$N$18,D23=F23),1,AND(C23=$N$18,D23&lt;F23),0,AND(E23=$N$18,F23&lt;D23),0)</f>
        <v>3</v>
      </c>
      <c r="I23">
        <f t="shared" si="0"/>
        <v>2</v>
      </c>
      <c r="J23" s="59">
        <f t="shared" si="1"/>
        <v>0</v>
      </c>
      <c r="K23" cm="1">
        <f t="array" ref="K23">_xlfn.IFS(H23=3,1+K22,H23=1,1+K22,H23=0,0)</f>
        <v>5</v>
      </c>
      <c r="L23" cm="1">
        <f t="array" ref="L23">_xlfn.IFS(H23=0,1+L22,H23=1,1+L22,H23=3,0)</f>
        <v>0</v>
      </c>
    </row>
    <row r="24" spans="1:22" x14ac:dyDescent="0.2">
      <c r="A24">
        <v>23</v>
      </c>
      <c r="B24" s="1">
        <v>43848</v>
      </c>
      <c r="C24" t="str">
        <v>Southampton FC</v>
      </c>
      <c r="D24">
        <v>2</v>
      </c>
      <c r="E24" t="str">
        <v>Wolverhampton Wanderers FC</v>
      </c>
      <c r="F24">
        <v>3</v>
      </c>
      <c r="H24" s="59" cm="1">
        <f t="array" ref="H24">_xlfn.IFS(AND(C24=$N$18,D24&gt;F24),3,AND(E24=$N$18,F24&gt;D24),3,AND(C24=$N$18,D24=F24),1,AND(E24=$N$18,D24=F24),1,AND(C24=$N$18,D24&lt;F24),0,AND(E24=$N$18,F24&lt;D24),0)</f>
        <v>0</v>
      </c>
      <c r="I24">
        <f t="shared" si="0"/>
        <v>0</v>
      </c>
      <c r="J24" s="59">
        <f t="shared" si="1"/>
        <v>1</v>
      </c>
      <c r="K24" cm="1">
        <f t="array" ref="K24">_xlfn.IFS(H24=3,1+K23,H24=1,1+K23,H24=0,0)</f>
        <v>0</v>
      </c>
      <c r="L24" cm="1">
        <f t="array" ref="L24">_xlfn.IFS(H24=0,1+L23,H24=1,1+L23,H24=3,0)</f>
        <v>1</v>
      </c>
    </row>
    <row r="25" spans="1:22" x14ac:dyDescent="0.2">
      <c r="A25">
        <v>24</v>
      </c>
      <c r="B25" s="1">
        <v>43851</v>
      </c>
      <c r="C25" t="str">
        <v>Crystal Palace FC</v>
      </c>
      <c r="D25">
        <v>0</v>
      </c>
      <c r="E25" t="str">
        <v>Southampton FC</v>
      </c>
      <c r="F25">
        <v>2</v>
      </c>
      <c r="H25" s="59" cm="1">
        <f t="array" ref="H25">_xlfn.IFS(AND(C25=$N$18,D25&gt;F25),3,AND(E25=$N$18,F25&gt;D25),3,AND(C25=$N$18,D25=F25),1,AND(E25=$N$18,D25=F25),1,AND(C25=$N$18,D25&lt;F25),0,AND(E25=$N$18,F25&lt;D25),0)</f>
        <v>3</v>
      </c>
      <c r="I25">
        <f t="shared" si="0"/>
        <v>1</v>
      </c>
      <c r="J25" s="59">
        <f t="shared" si="1"/>
        <v>0</v>
      </c>
      <c r="K25" cm="1">
        <f t="array" ref="K25">_xlfn.IFS(H25=3,1+K24,H25=1,1+K24,H25=0,0)</f>
        <v>1</v>
      </c>
      <c r="L25" cm="1">
        <f t="array" ref="L25">_xlfn.IFS(H25=0,1+L24,H25=1,1+L24,H25=3,0)</f>
        <v>0</v>
      </c>
    </row>
    <row r="26" spans="1:22" x14ac:dyDescent="0.2">
      <c r="A26">
        <v>25</v>
      </c>
      <c r="B26" s="1">
        <v>43862</v>
      </c>
      <c r="C26" t="str">
        <v>Liverpool FC</v>
      </c>
      <c r="D26">
        <v>4</v>
      </c>
      <c r="E26" t="str">
        <v>Southampton FC</v>
      </c>
      <c r="F26">
        <v>0</v>
      </c>
      <c r="H26" s="59" cm="1">
        <f t="array" ref="H26">_xlfn.IFS(AND(C26=$N$18,D26&gt;F26),3,AND(E26=$N$18,F26&gt;D26),3,AND(C26=$N$18,D26=F26),1,AND(E26=$N$18,D26=F26),1,AND(C26=$N$18,D26&lt;F26),0,AND(E26=$N$18,F26&lt;D26),0)</f>
        <v>0</v>
      </c>
      <c r="I26">
        <f t="shared" si="0"/>
        <v>0</v>
      </c>
      <c r="J26" s="59">
        <f t="shared" si="1"/>
        <v>1</v>
      </c>
      <c r="K26" cm="1">
        <f t="array" ref="K26">_xlfn.IFS(H26=3,1+K25,H26=1,1+K25,H26=0,0)</f>
        <v>0</v>
      </c>
      <c r="L26" cm="1">
        <f t="array" ref="L26">_xlfn.IFS(H26=0,1+L25,H26=1,1+L25,H26=3,0)</f>
        <v>1</v>
      </c>
    </row>
    <row r="27" spans="1:22" x14ac:dyDescent="0.2">
      <c r="A27">
        <v>26</v>
      </c>
      <c r="B27" s="1">
        <v>43876</v>
      </c>
      <c r="C27" t="str">
        <v>Southampton FC</v>
      </c>
      <c r="D27">
        <v>1</v>
      </c>
      <c r="E27" t="str">
        <v>Burnley FC</v>
      </c>
      <c r="F27">
        <v>2</v>
      </c>
      <c r="H27" s="59" cm="1">
        <f t="array" ref="H27">_xlfn.IFS(AND(C27=$N$18,D27&gt;F27),3,AND(E27=$N$18,F27&gt;D27),3,AND(C27=$N$18,D27=F27),1,AND(E27=$N$18,D27=F27),1,AND(C27=$N$18,D27&lt;F27),0,AND(E27=$N$18,F27&lt;D27),0)</f>
        <v>0</v>
      </c>
      <c r="I27">
        <f t="shared" si="0"/>
        <v>0</v>
      </c>
      <c r="J27" s="59">
        <f t="shared" si="1"/>
        <v>2</v>
      </c>
      <c r="K27" cm="1">
        <f t="array" ref="K27">_xlfn.IFS(H27=3,1+K26,H27=1,1+K26,H27=0,0)</f>
        <v>0</v>
      </c>
      <c r="L27" cm="1">
        <f t="array" ref="L27">_xlfn.IFS(H27=0,1+L26,H27=1,1+L26,H27=3,0)</f>
        <v>2</v>
      </c>
    </row>
    <row r="28" spans="1:22" x14ac:dyDescent="0.2">
      <c r="A28">
        <v>27</v>
      </c>
      <c r="B28" s="1">
        <v>43883</v>
      </c>
      <c r="C28" t="str">
        <v>Southampton FC</v>
      </c>
      <c r="D28">
        <v>2</v>
      </c>
      <c r="E28" t="str">
        <v>Aston Villa FC</v>
      </c>
      <c r="F28">
        <v>0</v>
      </c>
      <c r="H28" s="59" cm="1">
        <f t="array" ref="H28">_xlfn.IFS(AND(C28=$N$18,D28&gt;F28),3,AND(E28=$N$18,F28&gt;D28),3,AND(C28=$N$18,D28=F28),1,AND(E28=$N$18,D28=F28),1,AND(C28=$N$18,D28&lt;F28),0,AND(E28=$N$18,F28&lt;D28),0)</f>
        <v>3</v>
      </c>
      <c r="I28">
        <f t="shared" si="0"/>
        <v>1</v>
      </c>
      <c r="J28" s="59">
        <f t="shared" si="1"/>
        <v>0</v>
      </c>
      <c r="K28" cm="1">
        <f t="array" ref="K28">_xlfn.IFS(H28=3,1+K27,H28=1,1+K27,H28=0,0)</f>
        <v>1</v>
      </c>
      <c r="L28" cm="1">
        <f t="array" ref="L28">_xlfn.IFS(H28=0,1+L27,H28=1,1+L27,H28=3,0)</f>
        <v>0</v>
      </c>
    </row>
    <row r="29" spans="1:22" x14ac:dyDescent="0.2">
      <c r="A29">
        <v>28</v>
      </c>
      <c r="B29" s="1">
        <v>43890</v>
      </c>
      <c r="C29" t="str">
        <v>West Ham United FC</v>
      </c>
      <c r="D29">
        <v>3</v>
      </c>
      <c r="E29" t="str">
        <v>Southampton FC</v>
      </c>
      <c r="F29">
        <v>1</v>
      </c>
      <c r="H29" s="59" cm="1">
        <f t="array" ref="H29">_xlfn.IFS(AND(C29=$N$18,D29&gt;F29),3,AND(E29=$N$18,F29&gt;D29),3,AND(C29=$N$18,D29=F29),1,AND(E29=$N$18,D29=F29),1,AND(C29=$N$18,D29&lt;F29),0,AND(E29=$N$18,F29&lt;D29),0)</f>
        <v>0</v>
      </c>
      <c r="I29">
        <f t="shared" si="0"/>
        <v>0</v>
      </c>
      <c r="J29" s="59">
        <f t="shared" si="1"/>
        <v>1</v>
      </c>
      <c r="K29" cm="1">
        <f t="array" ref="K29">_xlfn.IFS(H29=3,1+K28,H29=1,1+K28,H29=0,0)</f>
        <v>0</v>
      </c>
      <c r="L29" cm="1">
        <f t="array" ref="L29">_xlfn.IFS(H29=0,1+L28,H29=1,1+L28,H29=3,0)</f>
        <v>1</v>
      </c>
    </row>
    <row r="30" spans="1:22" x14ac:dyDescent="0.2">
      <c r="A30">
        <v>29</v>
      </c>
      <c r="B30" s="1">
        <v>43897</v>
      </c>
      <c r="C30" t="str">
        <v>Southampton FC</v>
      </c>
      <c r="D30">
        <v>0</v>
      </c>
      <c r="E30" t="str">
        <v>Newcastle United FC</v>
      </c>
      <c r="F30">
        <v>1</v>
      </c>
      <c r="H30" s="59" cm="1">
        <f t="array" ref="H30">_xlfn.IFS(AND(C30=$N$18,D30&gt;F30),3,AND(E30=$N$18,F30&gt;D30),3,AND(C30=$N$18,D30=F30),1,AND(E30=$N$18,D30=F30),1,AND(C30=$N$18,D30&lt;F30),0,AND(E30=$N$18,F30&lt;D30),0)</f>
        <v>0</v>
      </c>
      <c r="I30">
        <f t="shared" si="0"/>
        <v>0</v>
      </c>
      <c r="J30" s="59">
        <f t="shared" si="1"/>
        <v>2</v>
      </c>
      <c r="K30" cm="1">
        <f t="array" ref="K30">_xlfn.IFS(H30=3,1+K29,H30=1,1+K29,H30=0,0)</f>
        <v>0</v>
      </c>
      <c r="L30" cm="1">
        <f t="array" ref="L30">_xlfn.IFS(H30=0,1+L29,H30=1,1+L29,H30=3,0)</f>
        <v>2</v>
      </c>
    </row>
    <row r="31" spans="1:22" x14ac:dyDescent="0.2">
      <c r="A31">
        <v>30</v>
      </c>
      <c r="B31" s="1">
        <v>44001</v>
      </c>
      <c r="C31" t="str">
        <v>Norwich City FC</v>
      </c>
      <c r="D31">
        <v>0</v>
      </c>
      <c r="E31" t="str">
        <v>Southampton FC</v>
      </c>
      <c r="F31">
        <v>3</v>
      </c>
      <c r="H31" s="59" cm="1">
        <f t="array" ref="H31">_xlfn.IFS(AND(C31=$N$18,D31&gt;F31),3,AND(E31=$N$18,F31&gt;D31),3,AND(C31=$N$18,D31=F31),1,AND(E31=$N$18,D31=F31),1,AND(C31=$N$18,D31&lt;F31),0,AND(E31=$N$18,F31&lt;D31),0)</f>
        <v>3</v>
      </c>
      <c r="I31">
        <f t="shared" si="0"/>
        <v>1</v>
      </c>
      <c r="J31" s="59">
        <f t="shared" si="1"/>
        <v>0</v>
      </c>
      <c r="K31" cm="1">
        <f t="array" ref="K31">_xlfn.IFS(H31=3,1+K30,H31=1,1+K30,H31=0,0)</f>
        <v>1</v>
      </c>
      <c r="L31" cm="1">
        <f t="array" ref="L31">_xlfn.IFS(H31=0,1+L30,H31=1,1+L30,H31=3,0)</f>
        <v>0</v>
      </c>
    </row>
    <row r="32" spans="1:22" x14ac:dyDescent="0.2">
      <c r="A32">
        <v>31</v>
      </c>
      <c r="B32" s="1">
        <v>44007</v>
      </c>
      <c r="C32" t="str">
        <v>Southampton FC</v>
      </c>
      <c r="D32">
        <v>0</v>
      </c>
      <c r="E32" t="str">
        <v>Arsenal FC</v>
      </c>
      <c r="F32">
        <v>2</v>
      </c>
      <c r="H32" s="59" cm="1">
        <f t="array" ref="H32">_xlfn.IFS(AND(C32=$N$18,D32&gt;F32),3,AND(E32=$N$18,F32&gt;D32),3,AND(C32=$N$18,D32=F32),1,AND(E32=$N$18,D32=F32),1,AND(C32=$N$18,D32&lt;F32),0,AND(E32=$N$18,F32&lt;D32),0)</f>
        <v>0</v>
      </c>
      <c r="I32">
        <f t="shared" si="0"/>
        <v>0</v>
      </c>
      <c r="J32" s="59">
        <f t="shared" si="1"/>
        <v>1</v>
      </c>
      <c r="K32" cm="1">
        <f t="array" ref="K32">_xlfn.IFS(H32=3,1+K31,H32=1,1+K31,H32=0,0)</f>
        <v>0</v>
      </c>
      <c r="L32" cm="1">
        <f t="array" ref="L32">_xlfn.IFS(H32=0,1+L31,H32=1,1+L31,H32=3,0)</f>
        <v>1</v>
      </c>
    </row>
    <row r="33" spans="1:12" x14ac:dyDescent="0.2">
      <c r="A33">
        <v>32</v>
      </c>
      <c r="B33" s="1">
        <v>44010</v>
      </c>
      <c r="C33" t="str">
        <v>Watford FC</v>
      </c>
      <c r="D33">
        <v>1</v>
      </c>
      <c r="E33" t="str">
        <v>Southampton FC</v>
      </c>
      <c r="F33">
        <v>3</v>
      </c>
      <c r="H33" s="59" cm="1">
        <f t="array" ref="H33">_xlfn.IFS(AND(C33=$N$18,D33&gt;F33),3,AND(E33=$N$18,F33&gt;D33),3,AND(C33=$N$18,D33=F33),1,AND(E33=$N$18,D33=F33),1,AND(C33=$N$18,D33&lt;F33),0,AND(E33=$N$18,F33&lt;D33),0)</f>
        <v>3</v>
      </c>
      <c r="I33">
        <f t="shared" si="0"/>
        <v>1</v>
      </c>
      <c r="J33" s="59">
        <f t="shared" si="1"/>
        <v>0</v>
      </c>
      <c r="K33" cm="1">
        <f t="array" ref="K33">_xlfn.IFS(H33=3,1+K32,H33=1,1+K32,H33=0,0)</f>
        <v>1</v>
      </c>
      <c r="L33" cm="1">
        <f t="array" ref="L33">_xlfn.IFS(H33=0,1+L32,H33=1,1+L32,H33=3,0)</f>
        <v>0</v>
      </c>
    </row>
    <row r="34" spans="1:12" x14ac:dyDescent="0.2">
      <c r="A34">
        <v>33</v>
      </c>
      <c r="B34" s="1">
        <v>44017</v>
      </c>
      <c r="C34" t="str">
        <v>Southampton FC</v>
      </c>
      <c r="D34">
        <v>1</v>
      </c>
      <c r="E34" t="str">
        <v>Manchester City FC</v>
      </c>
      <c r="F34">
        <v>0</v>
      </c>
      <c r="H34" s="59" cm="1">
        <f t="array" ref="H34">_xlfn.IFS(AND(C34=$N$18,D34&gt;F34),3,AND(E34=$N$18,F34&gt;D34),3,AND(C34=$N$18,D34=F34),1,AND(E34=$N$18,D34=F34),1,AND(C34=$N$18,D34&lt;F34),0,AND(E34=$N$18,F34&lt;D34),0)</f>
        <v>3</v>
      </c>
      <c r="I34">
        <f t="shared" si="0"/>
        <v>2</v>
      </c>
      <c r="J34" s="59">
        <f t="shared" si="1"/>
        <v>0</v>
      </c>
      <c r="K34" cm="1">
        <f t="array" ref="K34">_xlfn.IFS(H34=3,1+K33,H34=1,1+K33,H34=0,0)</f>
        <v>2</v>
      </c>
      <c r="L34" cm="1">
        <f t="array" ref="L34">_xlfn.IFS(H34=0,1+L33,H34=1,1+L33,H34=3,0)</f>
        <v>0</v>
      </c>
    </row>
    <row r="35" spans="1:12" x14ac:dyDescent="0.2">
      <c r="A35">
        <v>34</v>
      </c>
      <c r="B35" s="1">
        <v>44021</v>
      </c>
      <c r="C35" t="str">
        <v>Everton FC</v>
      </c>
      <c r="D35">
        <v>1</v>
      </c>
      <c r="E35" t="str">
        <v>Southampton FC</v>
      </c>
      <c r="F35">
        <v>1</v>
      </c>
      <c r="H35" s="59" cm="1">
        <f t="array" ref="H35">_xlfn.IFS(AND(C35=$N$18,D35&gt;F35),3,AND(E35=$N$18,F35&gt;D35),3,AND(C35=$N$18,D35=F35),1,AND(E35=$N$18,D35=F35),1,AND(C35=$N$18,D35&lt;F35),0,AND(E35=$N$18,F35&lt;D35),0)</f>
        <v>1</v>
      </c>
      <c r="I35">
        <f t="shared" si="0"/>
        <v>0</v>
      </c>
      <c r="J35" s="59">
        <f t="shared" si="1"/>
        <v>0</v>
      </c>
      <c r="K35" cm="1">
        <f t="array" ref="K35">_xlfn.IFS(H35=3,1+K34,H35=1,1+K34,H35=0,0)</f>
        <v>3</v>
      </c>
      <c r="L35" cm="1">
        <f t="array" ref="L35">_xlfn.IFS(H35=0,1+L34,H35=1,1+L34,H35=3,0)</f>
        <v>1</v>
      </c>
    </row>
    <row r="36" spans="1:12" x14ac:dyDescent="0.2">
      <c r="A36">
        <v>35</v>
      </c>
      <c r="B36" s="1">
        <v>44025</v>
      </c>
      <c r="C36" t="str">
        <v>Manchester United FC</v>
      </c>
      <c r="D36">
        <v>2</v>
      </c>
      <c r="E36" t="str">
        <v>Southampton FC</v>
      </c>
      <c r="F36">
        <v>2</v>
      </c>
      <c r="H36" s="59" cm="1">
        <f t="array" ref="H36">_xlfn.IFS(AND(C36=$N$18,D36&gt;F36),3,AND(E36=$N$18,F36&gt;D36),3,AND(C36=$N$18,D36=F36),1,AND(E36=$N$18,D36=F36),1,AND(C36=$N$18,D36&lt;F36),0,AND(E36=$N$18,F36&lt;D36),0)</f>
        <v>1</v>
      </c>
      <c r="I36">
        <f t="shared" si="0"/>
        <v>0</v>
      </c>
      <c r="J36" s="59">
        <f t="shared" si="1"/>
        <v>0</v>
      </c>
      <c r="K36" cm="1">
        <f t="array" ref="K36">_xlfn.IFS(H36=3,1+K35,H36=1,1+K35,H36=0,0)</f>
        <v>4</v>
      </c>
      <c r="L36" cm="1">
        <f t="array" ref="L36">_xlfn.IFS(H36=0,1+L35,H36=1,1+L35,H36=3,0)</f>
        <v>2</v>
      </c>
    </row>
    <row r="37" spans="1:12" x14ac:dyDescent="0.2">
      <c r="A37">
        <v>36</v>
      </c>
      <c r="B37" s="1">
        <v>44028</v>
      </c>
      <c r="C37" t="str">
        <v>Southampton FC</v>
      </c>
      <c r="D37">
        <v>1</v>
      </c>
      <c r="E37" t="str">
        <v>Brighton &amp; Hove Albion FC</v>
      </c>
      <c r="F37">
        <v>1</v>
      </c>
      <c r="H37" s="59" cm="1">
        <f t="array" ref="H37">_xlfn.IFS(AND(C37=$N$18,D37&gt;F37),3,AND(E37=$N$18,F37&gt;D37),3,AND(C37=$N$18,D37=F37),1,AND(E37=$N$18,D37=F37),1,AND(C37=$N$18,D37&lt;F37),0,AND(E37=$N$18,F37&lt;D37),0)</f>
        <v>1</v>
      </c>
      <c r="I37">
        <f t="shared" si="0"/>
        <v>0</v>
      </c>
      <c r="J37" s="59">
        <f t="shared" si="1"/>
        <v>0</v>
      </c>
      <c r="K37" cm="1">
        <f t="array" ref="K37">_xlfn.IFS(H37=3,1+K36,H37=1,1+K36,H37=0,0)</f>
        <v>5</v>
      </c>
      <c r="L37" cm="1">
        <f t="array" ref="L37">_xlfn.IFS(H37=0,1+L36,H37=1,1+L36,H37=3,0)</f>
        <v>3</v>
      </c>
    </row>
    <row r="38" spans="1:12" x14ac:dyDescent="0.2">
      <c r="A38">
        <v>37</v>
      </c>
      <c r="B38" s="1">
        <v>44031</v>
      </c>
      <c r="C38" t="str">
        <v>AFC Bournemouth</v>
      </c>
      <c r="D38">
        <v>0</v>
      </c>
      <c r="E38" t="str">
        <v>Southampton FC</v>
      </c>
      <c r="F38">
        <v>2</v>
      </c>
      <c r="H38" s="59" cm="1">
        <f t="array" ref="H38">_xlfn.IFS(AND(C38=$N$18,D38&gt;F38),3,AND(E38=$N$18,F38&gt;D38),3,AND(C38=$N$18,D38=F38),1,AND(E38=$N$18,D38=F38),1,AND(C38=$N$18,D38&lt;F38),0,AND(E38=$N$18,F38&lt;D38),0)</f>
        <v>3</v>
      </c>
      <c r="I38">
        <f t="shared" si="0"/>
        <v>1</v>
      </c>
      <c r="J38" s="59">
        <f t="shared" si="1"/>
        <v>0</v>
      </c>
      <c r="K38" cm="1">
        <f t="array" ref="K38">_xlfn.IFS(H38=3,1+K37,H38=1,1+K37,H38=0,0)</f>
        <v>6</v>
      </c>
      <c r="L38" cm="1">
        <f t="array" ref="L38">_xlfn.IFS(H38=0,1+L37,H38=1,1+L37,H38=3,0)</f>
        <v>0</v>
      </c>
    </row>
    <row r="39" spans="1:12" x14ac:dyDescent="0.2">
      <c r="A39">
        <v>38</v>
      </c>
      <c r="B39" s="1">
        <v>44038</v>
      </c>
      <c r="C39" t="str">
        <v>Southampton FC</v>
      </c>
      <c r="D39">
        <v>3</v>
      </c>
      <c r="E39" t="str">
        <v>Sheffield United FC</v>
      </c>
      <c r="F39">
        <v>1</v>
      </c>
      <c r="H39" s="59" cm="1">
        <f t="array" ref="H39">_xlfn.IFS(AND(C39=$N$18,D39&gt;F39),3,AND(E39=$N$18,F39&gt;D39),3,AND(C39=$N$18,D39=F39),1,AND(E39=$N$18,D39=F39),1,AND(C39=$N$18,D39&lt;F39),0,AND(E39=$N$18,F39&lt;D39),0)</f>
        <v>3</v>
      </c>
      <c r="I39">
        <f t="shared" si="0"/>
        <v>2</v>
      </c>
      <c r="J39" s="59">
        <f t="shared" si="1"/>
        <v>0</v>
      </c>
      <c r="K39" cm="1">
        <f t="array" ref="K39">_xlfn.IFS(H39=3,1+K38,H39=1,1+K38,H39=0,0)</f>
        <v>7</v>
      </c>
      <c r="L39" cm="1">
        <f t="array" ref="L39">_xlfn.IFS(H39=0,1+L38,H39=1,1+L38,H39=3,0)</f>
        <v>0</v>
      </c>
    </row>
  </sheetData>
  <conditionalFormatting sqref="G2:G39">
    <cfRule type="expression" dxfId="29" priority="5">
      <formula>AND($E2=$N$18,$F2&gt;$D2)</formula>
    </cfRule>
  </conditionalFormatting>
  <conditionalFormatting sqref="G2:G39">
    <cfRule type="expression" dxfId="28" priority="4">
      <formula>AND($E2=$N$18,$F2&lt;$D2)</formula>
    </cfRule>
  </conditionalFormatting>
  <conditionalFormatting sqref="G2:G39">
    <cfRule type="expression" dxfId="27" priority="3">
      <formula>$D2=$F2</formula>
    </cfRule>
  </conditionalFormatting>
  <conditionalFormatting sqref="G2:G39">
    <cfRule type="expression" dxfId="26" priority="2">
      <formula>AND($C2=$N$18,$D2&lt;$F2)</formula>
    </cfRule>
  </conditionalFormatting>
  <conditionalFormatting sqref="G2:G39">
    <cfRule type="expression" dxfId="25" priority="1">
      <formula>AND($C2=$N$18,$D2&gt;$F2)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603F6-C0B4-4E6A-A3EA-4A92E6E8A235}">
  <sheetPr codeName="Sheet21"/>
  <dimension ref="A1:V39"/>
  <sheetViews>
    <sheetView zoomScale="60" zoomScaleNormal="60" workbookViewId="0"/>
  </sheetViews>
  <sheetFormatPr baseColWidth="10" defaultColWidth="8.83203125" defaultRowHeight="15" x14ac:dyDescent="0.2"/>
  <cols>
    <col min="1" max="1" width="8.5" customWidth="1"/>
    <col min="2" max="2" width="10.5" style="1" customWidth="1"/>
    <col min="3" max="3" width="27.1640625" customWidth="1"/>
    <col min="4" max="4" width="12.5" customWidth="1"/>
    <col min="5" max="5" width="27.1640625" customWidth="1"/>
    <col min="6" max="6" width="12.5" customWidth="1"/>
    <col min="7" max="7" width="8.5" customWidth="1"/>
    <col min="14" max="14" width="23.83203125" bestFit="1" customWidth="1"/>
    <col min="15" max="22" width="10.6640625" customWidth="1"/>
  </cols>
  <sheetData>
    <row r="1" spans="1:20" ht="32" x14ac:dyDescent="0.2">
      <c r="A1" s="67" t="s">
        <v>0</v>
      </c>
      <c r="B1" s="71" t="s">
        <v>1</v>
      </c>
      <c r="C1" s="68" t="s">
        <v>2</v>
      </c>
      <c r="D1" s="68" t="s">
        <v>3</v>
      </c>
      <c r="E1" s="68" t="s">
        <v>4</v>
      </c>
      <c r="F1" s="69" t="s">
        <v>5</v>
      </c>
      <c r="G1" s="70" t="s">
        <v>71</v>
      </c>
      <c r="H1" s="70" t="s">
        <v>19</v>
      </c>
      <c r="I1" s="81" t="s">
        <v>72</v>
      </c>
      <c r="J1" s="81" t="s">
        <v>53</v>
      </c>
      <c r="K1" s="81" t="s">
        <v>55</v>
      </c>
      <c r="L1" s="81" t="s">
        <v>73</v>
      </c>
      <c r="Q1" s="58" t="s">
        <v>74</v>
      </c>
      <c r="R1" t="s">
        <v>75</v>
      </c>
      <c r="S1" t="s">
        <v>76</v>
      </c>
      <c r="T1" s="63" t="s">
        <v>77</v>
      </c>
    </row>
    <row r="2" spans="1:20" x14ac:dyDescent="0.2">
      <c r="A2" cm="1">
        <f t="array" ref="A2:F39">_xlfn._xlws.FILTER(eng_1[],(eng_1[Home]='England 1'!C18)+(eng_1[Away]='England 1'!E3))</f>
        <v>1</v>
      </c>
      <c r="B2" s="1">
        <v>43687</v>
      </c>
      <c r="C2" t="str">
        <v>West Ham United FC</v>
      </c>
      <c r="D2">
        <v>0</v>
      </c>
      <c r="E2" t="str">
        <v>Manchester City FC</v>
      </c>
      <c r="F2">
        <v>5</v>
      </c>
      <c r="H2" s="59" cm="1">
        <f t="array" ref="H2">_xlfn.IFS(AND(C2=$N$18,D2&gt;F2),3,AND(E2=$N$18,F2&gt;D2),3,AND(C2=$N$18,D2=F2),1,AND(E2=$N$18,D2=F2),1,AND(C2=$N$18,D2&lt;F2),0,AND(E2=$N$18,F2&lt;D2),0)</f>
        <v>3</v>
      </c>
      <c r="I2" cm="1">
        <f t="array" ref="I2">_xlfn.IFS(H2=3,1,H2=1,0,H2=0,0)</f>
        <v>1</v>
      </c>
      <c r="J2" s="59" cm="1">
        <f t="array" ref="J2">_xlfn.IFS(H2=0,1,H2=1,0,H2=3,0)</f>
        <v>0</v>
      </c>
      <c r="K2" cm="1">
        <f t="array" ref="K2">_xlfn.IFS(H2=3,1,H2=1,1,H2=0,0)</f>
        <v>1</v>
      </c>
      <c r="L2" cm="1">
        <f t="array" ref="L2">_xlfn.IFS(H2=0,1,H2=1,1,H2=3,0)</f>
        <v>0</v>
      </c>
      <c r="Q2" s="56" t="s">
        <v>78</v>
      </c>
      <c r="R2">
        <v>20</v>
      </c>
      <c r="S2">
        <v>41</v>
      </c>
      <c r="T2" s="60">
        <v>2.0499999999999998</v>
      </c>
    </row>
    <row r="3" spans="1:20" x14ac:dyDescent="0.2">
      <c r="A3">
        <v>2</v>
      </c>
      <c r="B3" s="1">
        <v>43694</v>
      </c>
      <c r="C3" t="str">
        <v>Manchester City FC</v>
      </c>
      <c r="D3">
        <v>2</v>
      </c>
      <c r="E3" t="str">
        <v>Tottenham Hotspur FC</v>
      </c>
      <c r="F3">
        <v>2</v>
      </c>
      <c r="H3" s="59" cm="1">
        <f t="array" ref="H3">_xlfn.IFS(AND(C3=$N$18,D3&gt;F3),3,AND(E3=$N$18,F3&gt;D3),3,AND(C3=$N$18,D3=F3),1,AND(E3=$N$18,D3=F3),1,AND(C3=$N$18,D3&lt;F3),0,AND(E3=$N$18,F3&lt;D3),0)</f>
        <v>1</v>
      </c>
      <c r="I3">
        <f t="shared" ref="I3:I39" si="0">IF(H3=3,1+I2,0)</f>
        <v>0</v>
      </c>
      <c r="J3" s="59">
        <f t="shared" ref="J3:J39" si="1">IF(H3=0,1+J2,0)</f>
        <v>0</v>
      </c>
      <c r="K3" cm="1">
        <f t="array" ref="K3">_xlfn.IFS(H3=3,1+K2,H3=1,1+K2,H3=0,0)</f>
        <v>2</v>
      </c>
      <c r="L3" cm="1">
        <f t="array" ref="L3">_xlfn.IFS(H3=0,1+L2,H3=1,1+L2,H3=3,0)</f>
        <v>1</v>
      </c>
      <c r="N3" s="48" t="s">
        <v>79</v>
      </c>
      <c r="O3" s="48" t="s">
        <v>80</v>
      </c>
      <c r="Q3" s="57" t="s">
        <v>81</v>
      </c>
      <c r="R3">
        <v>4</v>
      </c>
      <c r="S3">
        <v>10</v>
      </c>
      <c r="T3" s="60">
        <v>2.5</v>
      </c>
    </row>
    <row r="4" spans="1:20" x14ac:dyDescent="0.2">
      <c r="A4">
        <v>3</v>
      </c>
      <c r="B4" s="1">
        <v>43702</v>
      </c>
      <c r="C4" t="str">
        <v>AFC Bournemouth</v>
      </c>
      <c r="D4">
        <v>1</v>
      </c>
      <c r="E4" t="str">
        <v>Manchester City FC</v>
      </c>
      <c r="F4">
        <v>3</v>
      </c>
      <c r="H4" s="59" cm="1">
        <f t="array" ref="H4">_xlfn.IFS(AND(C4=$N$18,D4&gt;F4),3,AND(E4=$N$18,F4&gt;D4),3,AND(C4=$N$18,D4=F4),1,AND(E4=$N$18,D4=F4),1,AND(C4=$N$18,D4&lt;F4),0,AND(E4=$N$18,F4&lt;D4),0)</f>
        <v>3</v>
      </c>
      <c r="I4">
        <f t="shared" si="0"/>
        <v>1</v>
      </c>
      <c r="J4" s="59">
        <f t="shared" si="1"/>
        <v>0</v>
      </c>
      <c r="K4" cm="1">
        <f t="array" ref="K4">_xlfn.IFS(H4=3,1+K3,H4=1,1+K3,H4=0,0)</f>
        <v>3</v>
      </c>
      <c r="L4" cm="1">
        <f t="array" ref="L4">_xlfn.IFS(H4=0,1+L3,H4=1,1+L3,H4=3,0)</f>
        <v>0</v>
      </c>
      <c r="N4" s="49" t="s">
        <v>82</v>
      </c>
      <c r="O4" s="50"/>
      <c r="Q4" s="57" t="s">
        <v>83</v>
      </c>
      <c r="R4">
        <v>3</v>
      </c>
      <c r="S4">
        <v>6</v>
      </c>
      <c r="T4" s="60">
        <v>2</v>
      </c>
    </row>
    <row r="5" spans="1:20" x14ac:dyDescent="0.2">
      <c r="A5">
        <v>4</v>
      </c>
      <c r="B5" s="1">
        <v>43708</v>
      </c>
      <c r="C5" t="str">
        <v>Manchester City FC</v>
      </c>
      <c r="D5">
        <v>4</v>
      </c>
      <c r="E5" t="str">
        <v>Brighton &amp; Hove Albion FC</v>
      </c>
      <c r="F5">
        <v>0</v>
      </c>
      <c r="H5" s="59" cm="1">
        <f t="array" ref="H5">_xlfn.IFS(AND(C5=$N$18,D5&gt;F5),3,AND(E5=$N$18,F5&gt;D5),3,AND(C5=$N$18,D5=F5),1,AND(E5=$N$18,D5=F5),1,AND(C5=$N$18,D5&lt;F5),0,AND(E5=$N$18,F5&lt;D5),0)</f>
        <v>3</v>
      </c>
      <c r="I5">
        <f t="shared" si="0"/>
        <v>2</v>
      </c>
      <c r="J5" s="59">
        <f t="shared" si="1"/>
        <v>0</v>
      </c>
      <c r="K5" cm="1">
        <f t="array" ref="K5">_xlfn.IFS(H5=3,1+K4,H5=1,1+K4,H5=0,0)</f>
        <v>4</v>
      </c>
      <c r="L5" cm="1">
        <f t="array" ref="L5">_xlfn.IFS(H5=0,1+L4,H5=1,1+L4,H5=3,0)</f>
        <v>0</v>
      </c>
      <c r="N5" s="49" t="s">
        <v>84</v>
      </c>
      <c r="O5" s="51"/>
      <c r="Q5" s="57" t="s">
        <v>85</v>
      </c>
      <c r="R5">
        <v>3</v>
      </c>
      <c r="S5">
        <v>6</v>
      </c>
      <c r="T5" s="60">
        <v>2</v>
      </c>
    </row>
    <row r="6" spans="1:20" x14ac:dyDescent="0.2">
      <c r="A6">
        <v>5</v>
      </c>
      <c r="B6" s="1">
        <v>43722</v>
      </c>
      <c r="C6" t="str">
        <v>Norwich City FC</v>
      </c>
      <c r="D6">
        <v>3</v>
      </c>
      <c r="E6" t="str">
        <v>Manchester City FC</v>
      </c>
      <c r="F6">
        <v>2</v>
      </c>
      <c r="H6" s="59" cm="1">
        <f t="array" ref="H6">_xlfn.IFS(AND(C6=$N$18,D6&gt;F6),3,AND(E6=$N$18,F6&gt;D6),3,AND(C6=$N$18,D6=F6),1,AND(E6=$N$18,D6=F6),1,AND(C6=$N$18,D6&lt;F6),0,AND(E6=$N$18,F6&lt;D6),0)</f>
        <v>0</v>
      </c>
      <c r="I6">
        <f t="shared" si="0"/>
        <v>0</v>
      </c>
      <c r="J6" s="59">
        <f t="shared" si="1"/>
        <v>1</v>
      </c>
      <c r="K6" cm="1">
        <f t="array" ref="K6">_xlfn.IFS(H6=3,1+K5,H6=1,1+K5,H6=0,0)</f>
        <v>0</v>
      </c>
      <c r="L6" cm="1">
        <f t="array" ref="L6">_xlfn.IFS(H6=0,1+L5,H6=1,1+L5,H6=3,0)</f>
        <v>1</v>
      </c>
      <c r="N6" s="49" t="s">
        <v>86</v>
      </c>
      <c r="O6" s="52"/>
      <c r="Q6" s="57" t="s">
        <v>87</v>
      </c>
      <c r="R6">
        <v>4</v>
      </c>
      <c r="S6">
        <v>7</v>
      </c>
      <c r="T6" s="60">
        <v>1.75</v>
      </c>
    </row>
    <row r="7" spans="1:20" x14ac:dyDescent="0.2">
      <c r="A7">
        <v>6</v>
      </c>
      <c r="B7" s="1">
        <v>43729</v>
      </c>
      <c r="C7" t="str">
        <v>Manchester City FC</v>
      </c>
      <c r="D7">
        <v>8</v>
      </c>
      <c r="E7" t="str">
        <v>Watford FC</v>
      </c>
      <c r="F7">
        <v>0</v>
      </c>
      <c r="H7" s="59" cm="1">
        <f t="array" ref="H7">_xlfn.IFS(AND(C7=$N$18,D7&gt;F7),3,AND(E7=$N$18,F7&gt;D7),3,AND(C7=$N$18,D7=F7),1,AND(E7=$N$18,D7=F7),1,AND(C7=$N$18,D7&lt;F7),0,AND(E7=$N$18,F7&lt;D7),0)</f>
        <v>3</v>
      </c>
      <c r="I7">
        <f t="shared" si="0"/>
        <v>1</v>
      </c>
      <c r="J7" s="59">
        <f t="shared" si="1"/>
        <v>0</v>
      </c>
      <c r="K7" cm="1">
        <f t="array" ref="K7">_xlfn.IFS(H7=3,1+K6,H7=1,1+K6,H7=0,0)</f>
        <v>1</v>
      </c>
      <c r="L7" cm="1">
        <f t="array" ref="L7">_xlfn.IFS(H7=0,1+L6,H7=1,1+L6,H7=3,0)</f>
        <v>0</v>
      </c>
      <c r="Q7" s="57" t="s">
        <v>88</v>
      </c>
      <c r="R7">
        <v>6</v>
      </c>
      <c r="S7">
        <v>12</v>
      </c>
      <c r="T7" s="60">
        <v>2</v>
      </c>
    </row>
    <row r="8" spans="1:20" x14ac:dyDescent="0.2">
      <c r="A8">
        <v>7</v>
      </c>
      <c r="B8" s="1">
        <v>43736</v>
      </c>
      <c r="C8" t="str">
        <v>Everton FC</v>
      </c>
      <c r="D8">
        <v>1</v>
      </c>
      <c r="E8" t="str">
        <v>Manchester City FC</v>
      </c>
      <c r="F8">
        <v>3</v>
      </c>
      <c r="H8" s="59" cm="1">
        <f t="array" ref="H8">_xlfn.IFS(AND(C8=$N$18,D8&gt;F8),3,AND(E8=$N$18,F8&gt;D8),3,AND(C8=$N$18,D8=F8),1,AND(E8=$N$18,D8=F8),1,AND(C8=$N$18,D8&lt;F8),0,AND(E8=$N$18,F8&lt;D8),0)</f>
        <v>3</v>
      </c>
      <c r="I8">
        <f t="shared" si="0"/>
        <v>2</v>
      </c>
      <c r="J8" s="59">
        <f t="shared" si="1"/>
        <v>0</v>
      </c>
      <c r="K8" cm="1">
        <f t="array" ref="K8">_xlfn.IFS(H8=3,1+K7,H8=1,1+K7,H8=0,0)</f>
        <v>2</v>
      </c>
      <c r="L8" cm="1">
        <f t="array" ref="L8">_xlfn.IFS(H8=0,1+L7,H8=1,1+L7,H8=3,0)</f>
        <v>0</v>
      </c>
      <c r="Q8" s="56" t="s">
        <v>89</v>
      </c>
      <c r="R8">
        <v>18</v>
      </c>
      <c r="S8">
        <v>40</v>
      </c>
      <c r="T8" s="60">
        <v>2.2222222222222223</v>
      </c>
    </row>
    <row r="9" spans="1:20" x14ac:dyDescent="0.2">
      <c r="A9">
        <v>8</v>
      </c>
      <c r="B9" s="1">
        <v>43744</v>
      </c>
      <c r="C9" t="str">
        <v>Manchester City FC</v>
      </c>
      <c r="D9">
        <v>0</v>
      </c>
      <c r="E9" t="str">
        <v>Wolverhampton Wanderers FC</v>
      </c>
      <c r="F9">
        <v>2</v>
      </c>
      <c r="H9" s="59" cm="1">
        <f t="array" ref="H9">_xlfn.IFS(AND(C9=$N$18,D9&gt;F9),3,AND(E9=$N$18,F9&gt;D9),3,AND(C9=$N$18,D9=F9),1,AND(E9=$N$18,D9=F9),1,AND(C9=$N$18,D9&lt;F9),0,AND(E9=$N$18,F9&lt;D9),0)</f>
        <v>0</v>
      </c>
      <c r="I9">
        <f t="shared" si="0"/>
        <v>0</v>
      </c>
      <c r="J9" s="59">
        <f t="shared" si="1"/>
        <v>1</v>
      </c>
      <c r="K9" cm="1">
        <f t="array" ref="K9">_xlfn.IFS(H9=3,1+K8,H9=1,1+K8,H9=0,0)</f>
        <v>0</v>
      </c>
      <c r="L9" cm="1">
        <f t="array" ref="L9">_xlfn.IFS(H9=0,1+L8,H9=1,1+L8,H9=3,0)</f>
        <v>1</v>
      </c>
      <c r="Q9" s="57" t="s">
        <v>90</v>
      </c>
      <c r="R9">
        <v>4</v>
      </c>
      <c r="S9">
        <v>10</v>
      </c>
      <c r="T9" s="60">
        <v>2.5</v>
      </c>
    </row>
    <row r="10" spans="1:20" x14ac:dyDescent="0.2">
      <c r="A10">
        <v>9</v>
      </c>
      <c r="B10" s="1">
        <v>43757</v>
      </c>
      <c r="C10" t="str">
        <v>Crystal Palace FC</v>
      </c>
      <c r="D10">
        <v>0</v>
      </c>
      <c r="E10" t="str">
        <v>Manchester City FC</v>
      </c>
      <c r="F10">
        <v>2</v>
      </c>
      <c r="H10" s="59" cm="1">
        <f t="array" ref="H10">_xlfn.IFS(AND(C10=$N$18,D10&gt;F10),3,AND(E10=$N$18,F10&gt;D10),3,AND(C10=$N$18,D10=F10),1,AND(E10=$N$18,D10=F10),1,AND(C10=$N$18,D10&lt;F10),0,AND(E10=$N$18,F10&lt;D10),0)</f>
        <v>3</v>
      </c>
      <c r="I10">
        <f t="shared" si="0"/>
        <v>1</v>
      </c>
      <c r="J10" s="59">
        <f t="shared" si="1"/>
        <v>0</v>
      </c>
      <c r="K10" cm="1">
        <f t="array" ref="K10">_xlfn.IFS(H10=3,1+K9,H10=1,1+K9,H10=0,0)</f>
        <v>1</v>
      </c>
      <c r="L10" cm="1">
        <f t="array" ref="L10">_xlfn.IFS(H10=0,1+L9,H10=1,1+L9,H10=3,0)</f>
        <v>0</v>
      </c>
      <c r="Q10" s="57" t="s">
        <v>91</v>
      </c>
      <c r="R10">
        <v>3</v>
      </c>
      <c r="S10">
        <v>6</v>
      </c>
      <c r="T10" s="60">
        <v>2</v>
      </c>
    </row>
    <row r="11" spans="1:20" x14ac:dyDescent="0.2">
      <c r="A11">
        <v>10</v>
      </c>
      <c r="B11" s="1">
        <v>43764</v>
      </c>
      <c r="C11" t="str">
        <v>Manchester City FC</v>
      </c>
      <c r="D11">
        <v>3</v>
      </c>
      <c r="E11" t="str">
        <v>Aston Villa FC</v>
      </c>
      <c r="F11">
        <v>0</v>
      </c>
      <c r="H11" s="59" cm="1">
        <f t="array" ref="H11">_xlfn.IFS(AND(C11=$N$18,D11&gt;F11),3,AND(E11=$N$18,F11&gt;D11),3,AND(C11=$N$18,D11=F11),1,AND(E11=$N$18,D11=F11),1,AND(C11=$N$18,D11&lt;F11),0,AND(E11=$N$18,F11&lt;D11),0)</f>
        <v>3</v>
      </c>
      <c r="I11">
        <f t="shared" si="0"/>
        <v>2</v>
      </c>
      <c r="J11" s="59">
        <f t="shared" si="1"/>
        <v>0</v>
      </c>
      <c r="K11" cm="1">
        <f t="array" ref="K11">_xlfn.IFS(H11=3,1+K10,H11=1,1+K10,H11=0,0)</f>
        <v>2</v>
      </c>
      <c r="L11" cm="1">
        <f t="array" ref="L11">_xlfn.IFS(H11=0,1+L10,H11=1,1+L10,H11=3,0)</f>
        <v>0</v>
      </c>
      <c r="Q11" s="57" t="s">
        <v>92</v>
      </c>
      <c r="R11">
        <v>1</v>
      </c>
      <c r="S11">
        <v>0</v>
      </c>
      <c r="T11" s="60">
        <v>0</v>
      </c>
    </row>
    <row r="12" spans="1:20" x14ac:dyDescent="0.2">
      <c r="A12">
        <v>11</v>
      </c>
      <c r="B12" s="1">
        <v>43771</v>
      </c>
      <c r="C12" t="str">
        <v>Manchester City FC</v>
      </c>
      <c r="D12">
        <v>2</v>
      </c>
      <c r="E12" t="str">
        <v>Southampton FC</v>
      </c>
      <c r="F12">
        <v>1</v>
      </c>
      <c r="H12" s="59" cm="1">
        <f t="array" ref="H12">_xlfn.IFS(AND(C12=$N$18,D12&gt;F12),3,AND(E12=$N$18,F12&gt;D12),3,AND(C12=$N$18,D12=F12),1,AND(E12=$N$18,D12=F12),1,AND(C12=$N$18,D12&lt;F12),0,AND(E12=$N$18,F12&lt;D12),0)</f>
        <v>3</v>
      </c>
      <c r="I12">
        <f t="shared" si="0"/>
        <v>3</v>
      </c>
      <c r="J12" s="59">
        <f t="shared" si="1"/>
        <v>0</v>
      </c>
      <c r="K12" cm="1">
        <f t="array" ref="K12">_xlfn.IFS(H12=3,1+K11,H12=1,1+K11,H12=0,0)</f>
        <v>3</v>
      </c>
      <c r="L12" cm="1">
        <f t="array" ref="L12">_xlfn.IFS(H12=0,1+L11,H12=1,1+L11,H12=3,0)</f>
        <v>0</v>
      </c>
      <c r="Q12" s="57" t="s">
        <v>93</v>
      </c>
      <c r="R12">
        <v>3</v>
      </c>
      <c r="S12">
        <v>6</v>
      </c>
      <c r="T12" s="60">
        <v>2</v>
      </c>
    </row>
    <row r="13" spans="1:20" x14ac:dyDescent="0.2">
      <c r="A13">
        <v>12</v>
      </c>
      <c r="B13" s="1">
        <v>43779</v>
      </c>
      <c r="C13" t="str">
        <v>Liverpool FC</v>
      </c>
      <c r="D13">
        <v>3</v>
      </c>
      <c r="E13" t="str">
        <v>Manchester City FC</v>
      </c>
      <c r="F13">
        <v>1</v>
      </c>
      <c r="H13" s="59" cm="1">
        <f t="array" ref="H13">_xlfn.IFS(AND(C13=$N$18,D13&gt;F13),3,AND(E13=$N$18,F13&gt;D13),3,AND(C13=$N$18,D13=F13),1,AND(E13=$N$18,D13=F13),1,AND(C13=$N$18,D13&lt;F13),0,AND(E13=$N$18,F13&lt;D13),0)</f>
        <v>0</v>
      </c>
      <c r="I13">
        <f t="shared" si="0"/>
        <v>0</v>
      </c>
      <c r="J13" s="59">
        <f t="shared" si="1"/>
        <v>1</v>
      </c>
      <c r="K13" cm="1">
        <f t="array" ref="K13">_xlfn.IFS(H13=3,1+K12,H13=1,1+K12,H13=0,0)</f>
        <v>0</v>
      </c>
      <c r="L13" cm="1">
        <f t="array" ref="L13">_xlfn.IFS(H13=0,1+L12,H13=1,1+L12,H13=3,0)</f>
        <v>1</v>
      </c>
      <c r="Q13" s="57" t="s">
        <v>94</v>
      </c>
      <c r="R13">
        <v>7</v>
      </c>
      <c r="S13">
        <v>18</v>
      </c>
      <c r="T13" s="60">
        <v>2.5714285714285716</v>
      </c>
    </row>
    <row r="14" spans="1:20" x14ac:dyDescent="0.2">
      <c r="A14">
        <v>13</v>
      </c>
      <c r="B14" s="1">
        <v>43792</v>
      </c>
      <c r="C14" t="str">
        <v>Manchester City FC</v>
      </c>
      <c r="D14">
        <v>2</v>
      </c>
      <c r="E14" t="str">
        <v>Chelsea FC</v>
      </c>
      <c r="F14">
        <v>1</v>
      </c>
      <c r="H14" s="59" cm="1">
        <f t="array" ref="H14">_xlfn.IFS(AND(C14=$N$18,D14&gt;F14),3,AND(E14=$N$18,F14&gt;D14),3,AND(C14=$N$18,D14=F14),1,AND(E14=$N$18,D14=F14),1,AND(C14=$N$18,D14&lt;F14),0,AND(E14=$N$18,F14&lt;D14),0)</f>
        <v>3</v>
      </c>
      <c r="I14">
        <f t="shared" si="0"/>
        <v>1</v>
      </c>
      <c r="J14" s="59">
        <f t="shared" si="1"/>
        <v>0</v>
      </c>
      <c r="K14" cm="1">
        <f t="array" ref="K14">_xlfn.IFS(H14=3,1+K13,H14=1,1+K13,H14=0,0)</f>
        <v>1</v>
      </c>
      <c r="L14" cm="1">
        <f t="array" ref="L14">_xlfn.IFS(H14=0,1+L13,H14=1,1+L13,H14=3,0)</f>
        <v>0</v>
      </c>
      <c r="Q14" s="56" t="s">
        <v>95</v>
      </c>
      <c r="R14">
        <v>38</v>
      </c>
      <c r="S14">
        <v>81</v>
      </c>
      <c r="T14" s="60">
        <v>2.1315789473684212</v>
      </c>
    </row>
    <row r="15" spans="1:20" x14ac:dyDescent="0.2">
      <c r="A15">
        <v>14</v>
      </c>
      <c r="B15" s="1">
        <v>43799</v>
      </c>
      <c r="C15" t="str">
        <v>Newcastle United FC</v>
      </c>
      <c r="D15">
        <v>2</v>
      </c>
      <c r="E15" t="str">
        <v>Manchester City FC</v>
      </c>
      <c r="F15">
        <v>2</v>
      </c>
      <c r="H15" s="59" cm="1">
        <f t="array" ref="H15">_xlfn.IFS(AND(C15=$N$18,D15&gt;F15),3,AND(E15=$N$18,F15&gt;D15),3,AND(C15=$N$18,D15=F15),1,AND(E15=$N$18,D15=F15),1,AND(C15=$N$18,D15&lt;F15),0,AND(E15=$N$18,F15&lt;D15),0)</f>
        <v>1</v>
      </c>
      <c r="I15">
        <f t="shared" si="0"/>
        <v>0</v>
      </c>
      <c r="J15" s="59">
        <f t="shared" si="1"/>
        <v>0</v>
      </c>
      <c r="K15" cm="1">
        <f t="array" ref="K15">_xlfn.IFS(H15=3,1+K14,H15=1,1+K14,H15=0,0)</f>
        <v>2</v>
      </c>
      <c r="L15" cm="1">
        <f t="array" ref="L15">_xlfn.IFS(H15=0,1+L14,H15=1,1+L14,H15=3,0)</f>
        <v>1</v>
      </c>
    </row>
    <row r="16" spans="1:20" x14ac:dyDescent="0.2">
      <c r="A16">
        <v>15</v>
      </c>
      <c r="B16" s="1">
        <v>43802</v>
      </c>
      <c r="C16" t="str">
        <v>Burnley FC</v>
      </c>
      <c r="D16">
        <v>1</v>
      </c>
      <c r="E16" t="str">
        <v>Manchester City FC</v>
      </c>
      <c r="F16">
        <v>4</v>
      </c>
      <c r="H16" s="59" cm="1">
        <f t="array" ref="H16">_xlfn.IFS(AND(C16=$N$18,D16&gt;F16),3,AND(E16=$N$18,F16&gt;D16),3,AND(C16=$N$18,D16=F16),1,AND(E16=$N$18,D16=F16),1,AND(C16=$N$18,D16&lt;F16),0,AND(E16=$N$18,F16&lt;D16),0)</f>
        <v>3</v>
      </c>
      <c r="I16">
        <f t="shared" si="0"/>
        <v>1</v>
      </c>
      <c r="J16" s="59">
        <f t="shared" si="1"/>
        <v>0</v>
      </c>
      <c r="K16" cm="1">
        <f t="array" ref="K16">_xlfn.IFS(H16=3,1+K15,H16=1,1+K15,H16=0,0)</f>
        <v>3</v>
      </c>
      <c r="L16" cm="1">
        <f t="array" ref="L16">_xlfn.IFS(H16=0,1+L15,H16=1,1+L15,H16=3,0)</f>
        <v>0</v>
      </c>
    </row>
    <row r="17" spans="1:22" x14ac:dyDescent="0.2">
      <c r="A17">
        <v>16</v>
      </c>
      <c r="B17" s="1">
        <v>43806</v>
      </c>
      <c r="C17" t="str">
        <v>Manchester City FC</v>
      </c>
      <c r="D17">
        <v>1</v>
      </c>
      <c r="E17" t="str">
        <v>Manchester United FC</v>
      </c>
      <c r="F17">
        <v>2</v>
      </c>
      <c r="H17" s="59" cm="1">
        <f t="array" ref="H17">_xlfn.IFS(AND(C17=$N$18,D17&gt;F17),3,AND(E17=$N$18,F17&gt;D17),3,AND(C17=$N$18,D17=F17),1,AND(E17=$N$18,D17=F17),1,AND(C17=$N$18,D17&lt;F17),0,AND(E17=$N$18,F17&lt;D17),0)</f>
        <v>0</v>
      </c>
      <c r="I17">
        <f t="shared" si="0"/>
        <v>0</v>
      </c>
      <c r="J17" s="59">
        <f t="shared" si="1"/>
        <v>1</v>
      </c>
      <c r="K17" cm="1">
        <f t="array" ref="K17">_xlfn.IFS(H17=3,1+K16,H17=1,1+K16,H17=0,0)</f>
        <v>0</v>
      </c>
      <c r="L17" cm="1">
        <f t="array" ref="L17">_xlfn.IFS(H17=0,1+L16,H17=1,1+L16,H17=3,0)</f>
        <v>1</v>
      </c>
    </row>
    <row r="18" spans="1:22" x14ac:dyDescent="0.2">
      <c r="A18">
        <v>17</v>
      </c>
      <c r="B18" s="1">
        <v>43814</v>
      </c>
      <c r="C18" t="str">
        <v>Arsenal FC</v>
      </c>
      <c r="D18">
        <v>0</v>
      </c>
      <c r="E18" t="str">
        <v>Manchester City FC</v>
      </c>
      <c r="F18">
        <v>3</v>
      </c>
      <c r="H18" s="59" cm="1">
        <f t="array" ref="H18">_xlfn.IFS(AND(C18=$N$18,D18&gt;F18),3,AND(E18=$N$18,F18&gt;D18),3,AND(C18=$N$18,D18=F18),1,AND(E18=$N$18,D18=F18),1,AND(C18=$N$18,D18&lt;F18),0,AND(E18=$N$18,F18&lt;D18),0)</f>
        <v>3</v>
      </c>
      <c r="I18">
        <f t="shared" si="0"/>
        <v>1</v>
      </c>
      <c r="J18" s="59">
        <f t="shared" si="1"/>
        <v>0</v>
      </c>
      <c r="K18" cm="1">
        <f t="array" ref="K18">_xlfn.IFS(H18=3,1+K17,H18=1,1+K17,H18=0,0)</f>
        <v>1</v>
      </c>
      <c r="L18" cm="1">
        <f t="array" ref="L18">_xlfn.IFS(H18=0,1+L17,H18=1,1+L17,H18=3,0)</f>
        <v>0</v>
      </c>
      <c r="N18" s="14" t="str">
        <f>E2</f>
        <v>Manchester City FC</v>
      </c>
      <c r="O18" s="9" t="s">
        <v>12</v>
      </c>
      <c r="P18" s="7" t="s">
        <v>13</v>
      </c>
      <c r="Q18" s="6" t="s">
        <v>14</v>
      </c>
      <c r="R18" s="8" t="s">
        <v>15</v>
      </c>
      <c r="S18" s="9" t="s">
        <v>16</v>
      </c>
      <c r="T18" s="9" t="s">
        <v>17</v>
      </c>
      <c r="U18" s="9" t="s">
        <v>18</v>
      </c>
      <c r="V18" s="9" t="s">
        <v>19</v>
      </c>
    </row>
    <row r="19" spans="1:22" x14ac:dyDescent="0.2">
      <c r="A19">
        <v>18</v>
      </c>
      <c r="B19" s="1">
        <v>43820</v>
      </c>
      <c r="C19" t="str">
        <v>Manchester City FC</v>
      </c>
      <c r="D19">
        <v>3</v>
      </c>
      <c r="E19" t="str">
        <v>Leicester City FC</v>
      </c>
      <c r="F19">
        <v>1</v>
      </c>
      <c r="H19" s="59" cm="1">
        <f t="array" ref="H19">_xlfn.IFS(AND(C19=$N$18,D19&gt;F19),3,AND(E19=$N$18,F19&gt;D19),3,AND(C19=$N$18,D19=F19),1,AND(E19=$N$18,D19=F19),1,AND(C19=$N$18,D19&lt;F19),0,AND(E19=$N$18,F19&lt;D19),0)</f>
        <v>3</v>
      </c>
      <c r="I19">
        <f t="shared" si="0"/>
        <v>2</v>
      </c>
      <c r="J19" s="59">
        <f t="shared" si="1"/>
        <v>0</v>
      </c>
      <c r="K19" cm="1">
        <f t="array" ref="K19">_xlfn.IFS(H19=3,1+K18,H19=1,1+K18,H19=0,0)</f>
        <v>2</v>
      </c>
      <c r="L19" cm="1">
        <f t="array" ref="L19">_xlfn.IFS(H19=0,1+L18,H19=1,1+L18,H19=3,0)</f>
        <v>0</v>
      </c>
      <c r="N19" s="10" t="s">
        <v>22</v>
      </c>
      <c r="O19" s="11">
        <f>COUNT(A2:A39)</f>
        <v>38</v>
      </c>
      <c r="P19" s="5" cm="1">
        <f t="array" ref="P19">SUMPRODUCT(((C2:C39=$N$18)*(D2:D39&gt;F2:F39))+((E2:E39=$N$18)*(F2:F39&gt;D2:D39)))</f>
        <v>26</v>
      </c>
      <c r="Q19" s="12" cm="1">
        <f t="array" ref="Q19">SUMPRODUCT(((C2:C39=$N$18)*(D2:D39=F2:F39))+((E2:E39=$E$2)*(F2:F39=D2:D39)))</f>
        <v>3</v>
      </c>
      <c r="R19" s="13" cm="1">
        <f t="array" ref="R19">SUMPRODUCT(((C2:C39=$N$18)*(D2:D39&lt;F2:F39))+((E2:E39=$N$18)*(F2:F39&lt;D2:D39)))</f>
        <v>9</v>
      </c>
      <c r="S19" s="11">
        <f>SUMIF(C2:C39,$N$18,D2:D39)+SUMIF(E2:E39,$N$18,F2:F39)</f>
        <v>102</v>
      </c>
      <c r="T19" s="11">
        <f>SUMIF(C2:C39,N18,F2:F39)+SUMIF(E2:E39,N18,D2:D39)</f>
        <v>35</v>
      </c>
      <c r="U19" s="11">
        <f>S19-T19</f>
        <v>67</v>
      </c>
      <c r="V19" s="11">
        <f>V20+V21</f>
        <v>81</v>
      </c>
    </row>
    <row r="20" spans="1:22" x14ac:dyDescent="0.2">
      <c r="A20">
        <v>19</v>
      </c>
      <c r="B20" s="1">
        <v>43826</v>
      </c>
      <c r="C20" t="str">
        <v>Wolverhampton Wanderers FC</v>
      </c>
      <c r="D20">
        <v>3</v>
      </c>
      <c r="E20" t="str">
        <v>Manchester City FC</v>
      </c>
      <c r="F20">
        <v>2</v>
      </c>
      <c r="H20" s="59" cm="1">
        <f t="array" ref="H20">_xlfn.IFS(AND(C20=$N$18,D20&gt;F20),3,AND(E20=$N$18,F20&gt;D20),3,AND(C20=$N$18,D20=F20),1,AND(E20=$N$18,D20=F20),1,AND(C20=$N$18,D20&lt;F20),0,AND(E20=$N$18,F20&lt;D20),0)</f>
        <v>0</v>
      </c>
      <c r="I20">
        <f t="shared" si="0"/>
        <v>0</v>
      </c>
      <c r="J20" s="59">
        <f t="shared" si="1"/>
        <v>1</v>
      </c>
      <c r="K20" cm="1">
        <f t="array" ref="K20">_xlfn.IFS(H20=3,1+K19,H20=1,1+K19,H20=0,0)</f>
        <v>0</v>
      </c>
      <c r="L20" cm="1">
        <f t="array" ref="L20">_xlfn.IFS(H20=0,1+L19,H20=1,1+L19,H20=3,0)</f>
        <v>1</v>
      </c>
      <c r="N20" s="10" t="s">
        <v>2</v>
      </c>
      <c r="O20" s="11">
        <f>COUNTIF(C2:C39,C3)</f>
        <v>19</v>
      </c>
      <c r="P20" s="20" cm="1">
        <f t="array" ref="P20">SUMPRODUCT(((C2:C39=$N$18)*(D2:D39&gt;F2:F39)))</f>
        <v>15</v>
      </c>
      <c r="Q20" s="12" cm="1">
        <f t="array" ref="Q20">SUMPRODUCT(((C2:C39=$N$18)*(D2:D39=F2:F39)))</f>
        <v>2</v>
      </c>
      <c r="R20" s="13" cm="1">
        <f t="array" ref="R20">SUMPRODUCT(((C2:C39=$N$18)*(D2:D39&lt;F2:F39)))</f>
        <v>2</v>
      </c>
      <c r="S20" s="11">
        <f>SUMIF(C2:C39,$N$18,D2:D39)</f>
        <v>57</v>
      </c>
      <c r="T20" s="11">
        <f>SUMIF(C2:C39,N18,F2:F39)</f>
        <v>13</v>
      </c>
      <c r="U20" s="11">
        <f>S20-T20</f>
        <v>44</v>
      </c>
      <c r="V20" s="11">
        <f>(P20*3)+Q20</f>
        <v>47</v>
      </c>
    </row>
    <row r="21" spans="1:22" x14ac:dyDescent="0.2">
      <c r="A21">
        <v>20</v>
      </c>
      <c r="B21" s="1">
        <v>43828</v>
      </c>
      <c r="C21" t="str">
        <v>Manchester City FC</v>
      </c>
      <c r="D21">
        <v>2</v>
      </c>
      <c r="E21" t="str">
        <v>Sheffield United FC</v>
      </c>
      <c r="F21">
        <v>0</v>
      </c>
      <c r="H21" s="59" cm="1">
        <f t="array" ref="H21">_xlfn.IFS(AND(C21=$N$18,D21&gt;F21),3,AND(E21=$N$18,F21&gt;D21),3,AND(C21=$N$18,D21=F21),1,AND(E21=$N$18,D21=F21),1,AND(C21=$N$18,D21&lt;F21),0,AND(E21=$N$18,F21&lt;D21),0)</f>
        <v>3</v>
      </c>
      <c r="I21">
        <f t="shared" si="0"/>
        <v>1</v>
      </c>
      <c r="J21" s="59">
        <f t="shared" si="1"/>
        <v>0</v>
      </c>
      <c r="K21" cm="1">
        <f t="array" ref="K21">_xlfn.IFS(H21=3,1+K20,H21=1,1+K20,H21=0,0)</f>
        <v>1</v>
      </c>
      <c r="L21" cm="1">
        <f t="array" ref="L21">_xlfn.IFS(H21=0,1+L20,H21=1,1+L20,H21=3,0)</f>
        <v>0</v>
      </c>
      <c r="N21" s="10" t="s">
        <v>4</v>
      </c>
      <c r="O21" s="11">
        <f>COUNTIF(E2:E39,E2)</f>
        <v>19</v>
      </c>
      <c r="P21" s="5" cm="1">
        <f t="array" ref="P21">SUMPRODUCT(((E2:E39=$N$18)*(F2:F39&gt;D2:D39)))</f>
        <v>11</v>
      </c>
      <c r="Q21" s="12" cm="1">
        <f t="array" ref="Q21">SUMPRODUCT(((E2:E39=$N$18)*(F2:F39=D2:D39)))</f>
        <v>1</v>
      </c>
      <c r="R21" s="13" cm="1">
        <f t="array" ref="R21">SUMPRODUCT(((E2:E39=$N$18)*(F2:F39&lt;D2:D39)))</f>
        <v>7</v>
      </c>
      <c r="S21" s="11">
        <f>SUMIF(E2:E39,$N$18,F2:F39)</f>
        <v>45</v>
      </c>
      <c r="T21" s="11">
        <f>SUMIF(E2:E39,N18,D2:D39)</f>
        <v>22</v>
      </c>
      <c r="U21" s="11">
        <f>S21-T21</f>
        <v>23</v>
      </c>
      <c r="V21" s="11">
        <f>(P21*3)+Q21</f>
        <v>34</v>
      </c>
    </row>
    <row r="22" spans="1:22" x14ac:dyDescent="0.2">
      <c r="A22">
        <v>21</v>
      </c>
      <c r="B22" s="1">
        <v>43831</v>
      </c>
      <c r="C22" t="str">
        <v>Manchester City FC</v>
      </c>
      <c r="D22">
        <v>2</v>
      </c>
      <c r="E22" t="str">
        <v>Everton FC</v>
      </c>
      <c r="F22">
        <v>1</v>
      </c>
      <c r="H22" s="59" cm="1">
        <f t="array" ref="H22">_xlfn.IFS(AND(C22=$N$18,D22&gt;F22),3,AND(E22=$N$18,F22&gt;D22),3,AND(C22=$N$18,D22=F22),1,AND(E22=$N$18,D22=F22),1,AND(C22=$N$18,D22&lt;F22),0,AND(E22=$N$18,F22&lt;D22),0)</f>
        <v>3</v>
      </c>
      <c r="I22">
        <f t="shared" si="0"/>
        <v>2</v>
      </c>
      <c r="J22" s="59">
        <f t="shared" si="1"/>
        <v>0</v>
      </c>
      <c r="K22" cm="1">
        <f t="array" ref="K22">_xlfn.IFS(H22=3,1+K21,H22=1,1+K21,H22=0,0)</f>
        <v>2</v>
      </c>
      <c r="L22" cm="1">
        <f t="array" ref="L22">_xlfn.IFS(H22=0,1+L21,H22=1,1+L21,H22=3,0)</f>
        <v>0</v>
      </c>
    </row>
    <row r="23" spans="1:22" x14ac:dyDescent="0.2">
      <c r="A23">
        <v>22</v>
      </c>
      <c r="B23" s="1">
        <v>43842</v>
      </c>
      <c r="C23" t="str">
        <v>Aston Villa FC</v>
      </c>
      <c r="D23">
        <v>1</v>
      </c>
      <c r="E23" t="str">
        <v>Manchester City FC</v>
      </c>
      <c r="F23">
        <v>6</v>
      </c>
      <c r="H23" s="59" cm="1">
        <f t="array" ref="H23">_xlfn.IFS(AND(C23=$N$18,D23&gt;F23),3,AND(E23=$N$18,F23&gt;D23),3,AND(C23=$N$18,D23=F23),1,AND(E23=$N$18,D23=F23),1,AND(C23=$N$18,D23&lt;F23),0,AND(E23=$N$18,F23&lt;D23),0)</f>
        <v>3</v>
      </c>
      <c r="I23">
        <f t="shared" si="0"/>
        <v>3</v>
      </c>
      <c r="J23" s="59">
        <f t="shared" si="1"/>
        <v>0</v>
      </c>
      <c r="K23" cm="1">
        <f t="array" ref="K23">_xlfn.IFS(H23=3,1+K22,H23=1,1+K22,H23=0,0)</f>
        <v>3</v>
      </c>
      <c r="L23" cm="1">
        <f t="array" ref="L23">_xlfn.IFS(H23=0,1+L22,H23=1,1+L22,H23=3,0)</f>
        <v>0</v>
      </c>
    </row>
    <row r="24" spans="1:22" x14ac:dyDescent="0.2">
      <c r="A24">
        <v>23</v>
      </c>
      <c r="B24" s="1">
        <v>43848</v>
      </c>
      <c r="C24" t="str">
        <v>Manchester City FC</v>
      </c>
      <c r="D24">
        <v>2</v>
      </c>
      <c r="E24" t="str">
        <v>Crystal Palace FC</v>
      </c>
      <c r="F24">
        <v>2</v>
      </c>
      <c r="H24" s="59" cm="1">
        <f t="array" ref="H24">_xlfn.IFS(AND(C24=$N$18,D24&gt;F24),3,AND(E24=$N$18,F24&gt;D24),3,AND(C24=$N$18,D24=F24),1,AND(E24=$N$18,D24=F24),1,AND(C24=$N$18,D24&lt;F24),0,AND(E24=$N$18,F24&lt;D24),0)</f>
        <v>1</v>
      </c>
      <c r="I24">
        <f t="shared" si="0"/>
        <v>0</v>
      </c>
      <c r="J24" s="59">
        <f t="shared" si="1"/>
        <v>0</v>
      </c>
      <c r="K24" cm="1">
        <f t="array" ref="K24">_xlfn.IFS(H24=3,1+K23,H24=1,1+K23,H24=0,0)</f>
        <v>4</v>
      </c>
      <c r="L24" cm="1">
        <f t="array" ref="L24">_xlfn.IFS(H24=0,1+L23,H24=1,1+L23,H24=3,0)</f>
        <v>1</v>
      </c>
    </row>
    <row r="25" spans="1:22" x14ac:dyDescent="0.2">
      <c r="A25">
        <v>24</v>
      </c>
      <c r="B25" s="1">
        <v>43851</v>
      </c>
      <c r="C25" t="str">
        <v>Sheffield United FC</v>
      </c>
      <c r="D25">
        <v>0</v>
      </c>
      <c r="E25" t="str">
        <v>Manchester City FC</v>
      </c>
      <c r="F25">
        <v>1</v>
      </c>
      <c r="H25" s="59" cm="1">
        <f t="array" ref="H25">_xlfn.IFS(AND(C25=$N$18,D25&gt;F25),3,AND(E25=$N$18,F25&gt;D25),3,AND(C25=$N$18,D25=F25),1,AND(E25=$N$18,D25=F25),1,AND(C25=$N$18,D25&lt;F25),0,AND(E25=$N$18,F25&lt;D25),0)</f>
        <v>3</v>
      </c>
      <c r="I25">
        <f t="shared" si="0"/>
        <v>1</v>
      </c>
      <c r="J25" s="59">
        <f t="shared" si="1"/>
        <v>0</v>
      </c>
      <c r="K25" cm="1">
        <f t="array" ref="K25">_xlfn.IFS(H25=3,1+K24,H25=1,1+K24,H25=0,0)</f>
        <v>5</v>
      </c>
      <c r="L25" cm="1">
        <f t="array" ref="L25">_xlfn.IFS(H25=0,1+L24,H25=1,1+L24,H25=3,0)</f>
        <v>0</v>
      </c>
    </row>
    <row r="26" spans="1:22" x14ac:dyDescent="0.2">
      <c r="A26">
        <v>25</v>
      </c>
      <c r="B26" s="1">
        <v>43863</v>
      </c>
      <c r="C26" t="str">
        <v>Tottenham Hotspur FC</v>
      </c>
      <c r="D26">
        <v>2</v>
      </c>
      <c r="E26" t="str">
        <v>Manchester City FC</v>
      </c>
      <c r="F26">
        <v>0</v>
      </c>
      <c r="H26" s="59" cm="1">
        <f t="array" ref="H26">_xlfn.IFS(AND(C26=$N$18,D26&gt;F26),3,AND(E26=$N$18,F26&gt;D26),3,AND(C26=$N$18,D26=F26),1,AND(E26=$N$18,D26=F26),1,AND(C26=$N$18,D26&lt;F26),0,AND(E26=$N$18,F26&lt;D26),0)</f>
        <v>0</v>
      </c>
      <c r="I26">
        <f t="shared" si="0"/>
        <v>0</v>
      </c>
      <c r="J26" s="59">
        <f t="shared" si="1"/>
        <v>1</v>
      </c>
      <c r="K26" cm="1">
        <f t="array" ref="K26">_xlfn.IFS(H26=3,1+K25,H26=1,1+K25,H26=0,0)</f>
        <v>0</v>
      </c>
      <c r="L26" cm="1">
        <f t="array" ref="L26">_xlfn.IFS(H26=0,1+L25,H26=1,1+L25,H26=3,0)</f>
        <v>1</v>
      </c>
    </row>
    <row r="27" spans="1:22" x14ac:dyDescent="0.2">
      <c r="A27">
        <v>26</v>
      </c>
      <c r="B27" s="1">
        <v>43880</v>
      </c>
      <c r="C27" t="str">
        <v>Manchester City FC</v>
      </c>
      <c r="D27">
        <v>2</v>
      </c>
      <c r="E27" t="str">
        <v>West Ham United FC</v>
      </c>
      <c r="F27">
        <v>0</v>
      </c>
      <c r="H27" s="59" cm="1">
        <f t="array" ref="H27">_xlfn.IFS(AND(C27=$N$18,D27&gt;F27),3,AND(E27=$N$18,F27&gt;D27),3,AND(C27=$N$18,D27=F27),1,AND(E27=$N$18,D27=F27),1,AND(C27=$N$18,D27&lt;F27),0,AND(E27=$N$18,F27&lt;D27),0)</f>
        <v>3</v>
      </c>
      <c r="I27">
        <f t="shared" si="0"/>
        <v>1</v>
      </c>
      <c r="J27" s="59">
        <f t="shared" si="1"/>
        <v>0</v>
      </c>
      <c r="K27" cm="1">
        <f t="array" ref="K27">_xlfn.IFS(H27=3,1+K26,H27=1,1+K26,H27=0,0)</f>
        <v>1</v>
      </c>
      <c r="L27" cm="1">
        <f t="array" ref="L27">_xlfn.IFS(H27=0,1+L26,H27=1,1+L26,H27=3,0)</f>
        <v>0</v>
      </c>
    </row>
    <row r="28" spans="1:22" x14ac:dyDescent="0.2">
      <c r="A28">
        <v>27</v>
      </c>
      <c r="B28" s="1">
        <v>43883</v>
      </c>
      <c r="C28" t="str">
        <v>Leicester City FC</v>
      </c>
      <c r="D28">
        <v>0</v>
      </c>
      <c r="E28" t="str">
        <v>Manchester City FC</v>
      </c>
      <c r="F28">
        <v>1</v>
      </c>
      <c r="H28" s="59" cm="1">
        <f t="array" ref="H28">_xlfn.IFS(AND(C28=$N$18,D28&gt;F28),3,AND(E28=$N$18,F28&gt;D28),3,AND(C28=$N$18,D28=F28),1,AND(E28=$N$18,D28=F28),1,AND(C28=$N$18,D28&lt;F28),0,AND(E28=$N$18,F28&lt;D28),0)</f>
        <v>3</v>
      </c>
      <c r="I28">
        <f t="shared" si="0"/>
        <v>2</v>
      </c>
      <c r="J28" s="59">
        <f t="shared" si="1"/>
        <v>0</v>
      </c>
      <c r="K28" cm="1">
        <f t="array" ref="K28">_xlfn.IFS(H28=3,1+K27,H28=1,1+K27,H28=0,0)</f>
        <v>2</v>
      </c>
      <c r="L28" cm="1">
        <f t="array" ref="L28">_xlfn.IFS(H28=0,1+L27,H28=1,1+L27,H28=3,0)</f>
        <v>0</v>
      </c>
    </row>
    <row r="29" spans="1:22" x14ac:dyDescent="0.2">
      <c r="A29">
        <v>28</v>
      </c>
      <c r="B29" s="1">
        <v>43999</v>
      </c>
      <c r="C29" t="str">
        <v>Manchester City FC</v>
      </c>
      <c r="D29">
        <v>3</v>
      </c>
      <c r="E29" t="str">
        <v>Arsenal FC</v>
      </c>
      <c r="F29">
        <v>0</v>
      </c>
      <c r="H29" s="59" cm="1">
        <f t="array" ref="H29">_xlfn.IFS(AND(C29=$N$18,D29&gt;F29),3,AND(E29=$N$18,F29&gt;D29),3,AND(C29=$N$18,D29=F29),1,AND(E29=$N$18,D29=F29),1,AND(C29=$N$18,D29&lt;F29),0,AND(E29=$N$18,F29&lt;D29),0)</f>
        <v>3</v>
      </c>
      <c r="I29">
        <f t="shared" si="0"/>
        <v>3</v>
      </c>
      <c r="J29" s="59">
        <f t="shared" si="1"/>
        <v>0</v>
      </c>
      <c r="K29" cm="1">
        <f t="array" ref="K29">_xlfn.IFS(H29=3,1+K28,H29=1,1+K28,H29=0,0)</f>
        <v>3</v>
      </c>
      <c r="L29" cm="1">
        <f t="array" ref="L29">_xlfn.IFS(H29=0,1+L28,H29=1,1+L28,H29=3,0)</f>
        <v>0</v>
      </c>
    </row>
    <row r="30" spans="1:22" x14ac:dyDescent="0.2">
      <c r="A30">
        <v>29</v>
      </c>
      <c r="B30" s="1">
        <v>43898</v>
      </c>
      <c r="C30" t="str">
        <v>Manchester United FC</v>
      </c>
      <c r="D30">
        <v>2</v>
      </c>
      <c r="E30" t="str">
        <v>Manchester City FC</v>
      </c>
      <c r="F30">
        <v>0</v>
      </c>
      <c r="H30" s="59" cm="1">
        <f t="array" ref="H30">_xlfn.IFS(AND(C30=$N$18,D30&gt;F30),3,AND(E30=$N$18,F30&gt;D30),3,AND(C30=$N$18,D30=F30),1,AND(E30=$N$18,D30=F30),1,AND(C30=$N$18,D30&lt;F30),0,AND(E30=$N$18,F30&lt;D30),0)</f>
        <v>0</v>
      </c>
      <c r="I30">
        <f t="shared" si="0"/>
        <v>0</v>
      </c>
      <c r="J30" s="59">
        <f t="shared" si="1"/>
        <v>1</v>
      </c>
      <c r="K30" cm="1">
        <f t="array" ref="K30">_xlfn.IFS(H30=3,1+K29,H30=1,1+K29,H30=0,0)</f>
        <v>0</v>
      </c>
      <c r="L30" cm="1">
        <f t="array" ref="L30">_xlfn.IFS(H30=0,1+L29,H30=1,1+L29,H30=3,0)</f>
        <v>1</v>
      </c>
    </row>
    <row r="31" spans="1:22" x14ac:dyDescent="0.2">
      <c r="A31">
        <v>30</v>
      </c>
      <c r="B31" s="1">
        <v>44004</v>
      </c>
      <c r="C31" t="str">
        <v>Manchester City FC</v>
      </c>
      <c r="D31">
        <v>5</v>
      </c>
      <c r="E31" t="str">
        <v>Burnley FC</v>
      </c>
      <c r="F31">
        <v>0</v>
      </c>
      <c r="H31" s="59" cm="1">
        <f t="array" ref="H31">_xlfn.IFS(AND(C31=$N$18,D31&gt;F31),3,AND(E31=$N$18,F31&gt;D31),3,AND(C31=$N$18,D31=F31),1,AND(E31=$N$18,D31=F31),1,AND(C31=$N$18,D31&lt;F31),0,AND(E31=$N$18,F31&lt;D31),0)</f>
        <v>3</v>
      </c>
      <c r="I31">
        <f t="shared" si="0"/>
        <v>1</v>
      </c>
      <c r="J31" s="59">
        <f t="shared" si="1"/>
        <v>0</v>
      </c>
      <c r="K31" cm="1">
        <f t="array" ref="K31">_xlfn.IFS(H31=3,1+K30,H31=1,1+K30,H31=0,0)</f>
        <v>1</v>
      </c>
      <c r="L31" cm="1">
        <f t="array" ref="L31">_xlfn.IFS(H31=0,1+L30,H31=1,1+L30,H31=3,0)</f>
        <v>0</v>
      </c>
    </row>
    <row r="32" spans="1:22" x14ac:dyDescent="0.2">
      <c r="A32">
        <v>31</v>
      </c>
      <c r="B32" s="1">
        <v>44007</v>
      </c>
      <c r="C32" t="str">
        <v>Chelsea FC</v>
      </c>
      <c r="D32">
        <v>2</v>
      </c>
      <c r="E32" t="str">
        <v>Manchester City FC</v>
      </c>
      <c r="F32">
        <v>1</v>
      </c>
      <c r="H32" s="59" cm="1">
        <f t="array" ref="H32">_xlfn.IFS(AND(C32=$N$18,D32&gt;F32),3,AND(E32=$N$18,F32&gt;D32),3,AND(C32=$N$18,D32=F32),1,AND(E32=$N$18,D32=F32),1,AND(C32=$N$18,D32&lt;F32),0,AND(E32=$N$18,F32&lt;D32),0)</f>
        <v>0</v>
      </c>
      <c r="I32">
        <f t="shared" si="0"/>
        <v>0</v>
      </c>
      <c r="J32" s="59">
        <f t="shared" si="1"/>
        <v>1</v>
      </c>
      <c r="K32" cm="1">
        <f t="array" ref="K32">_xlfn.IFS(H32=3,1+K31,H32=1,1+K31,H32=0,0)</f>
        <v>0</v>
      </c>
      <c r="L32" cm="1">
        <f t="array" ref="L32">_xlfn.IFS(H32=0,1+L31,H32=1,1+L31,H32=3,0)</f>
        <v>1</v>
      </c>
    </row>
    <row r="33" spans="1:12" x14ac:dyDescent="0.2">
      <c r="A33">
        <v>32</v>
      </c>
      <c r="B33" s="1">
        <v>44014</v>
      </c>
      <c r="C33" t="str">
        <v>Manchester City FC</v>
      </c>
      <c r="D33">
        <v>4</v>
      </c>
      <c r="E33" t="str">
        <v>Liverpool FC</v>
      </c>
      <c r="F33">
        <v>0</v>
      </c>
      <c r="H33" s="59" cm="1">
        <f t="array" ref="H33">_xlfn.IFS(AND(C33=$N$18,D33&gt;F33),3,AND(E33=$N$18,F33&gt;D33),3,AND(C33=$N$18,D33=F33),1,AND(E33=$N$18,D33=F33),1,AND(C33=$N$18,D33&lt;F33),0,AND(E33=$N$18,F33&lt;D33),0)</f>
        <v>3</v>
      </c>
      <c r="I33">
        <f t="shared" si="0"/>
        <v>1</v>
      </c>
      <c r="J33" s="59">
        <f t="shared" si="1"/>
        <v>0</v>
      </c>
      <c r="K33" cm="1">
        <f t="array" ref="K33">_xlfn.IFS(H33=3,1+K32,H33=1,1+K32,H33=0,0)</f>
        <v>1</v>
      </c>
      <c r="L33" cm="1">
        <f t="array" ref="L33">_xlfn.IFS(H33=0,1+L32,H33=1,1+L32,H33=3,0)</f>
        <v>0</v>
      </c>
    </row>
    <row r="34" spans="1:12" x14ac:dyDescent="0.2">
      <c r="A34">
        <v>33</v>
      </c>
      <c r="B34" s="1">
        <v>44017</v>
      </c>
      <c r="C34" t="str">
        <v>Southampton FC</v>
      </c>
      <c r="D34">
        <v>1</v>
      </c>
      <c r="E34" t="str">
        <v>Manchester City FC</v>
      </c>
      <c r="F34">
        <v>0</v>
      </c>
      <c r="H34" s="59" cm="1">
        <f t="array" ref="H34">_xlfn.IFS(AND(C34=$N$18,D34&gt;F34),3,AND(E34=$N$18,F34&gt;D34),3,AND(C34=$N$18,D34=F34),1,AND(E34=$N$18,D34=F34),1,AND(C34=$N$18,D34&lt;F34),0,AND(E34=$N$18,F34&lt;D34),0)</f>
        <v>0</v>
      </c>
      <c r="I34">
        <f t="shared" si="0"/>
        <v>0</v>
      </c>
      <c r="J34" s="59">
        <f t="shared" si="1"/>
        <v>1</v>
      </c>
      <c r="K34" cm="1">
        <f t="array" ref="K34">_xlfn.IFS(H34=3,1+K33,H34=1,1+K33,H34=0,0)</f>
        <v>0</v>
      </c>
      <c r="L34" cm="1">
        <f t="array" ref="L34">_xlfn.IFS(H34=0,1+L33,H34=1,1+L33,H34=3,0)</f>
        <v>1</v>
      </c>
    </row>
    <row r="35" spans="1:12" x14ac:dyDescent="0.2">
      <c r="A35">
        <v>34</v>
      </c>
      <c r="B35" s="1">
        <v>44020</v>
      </c>
      <c r="C35" t="str">
        <v>Manchester City FC</v>
      </c>
      <c r="D35">
        <v>5</v>
      </c>
      <c r="E35" t="str">
        <v>Newcastle United FC</v>
      </c>
      <c r="F35">
        <v>0</v>
      </c>
      <c r="H35" s="59" cm="1">
        <f t="array" ref="H35">_xlfn.IFS(AND(C35=$N$18,D35&gt;F35),3,AND(E35=$N$18,F35&gt;D35),3,AND(C35=$N$18,D35=F35),1,AND(E35=$N$18,D35=F35),1,AND(C35=$N$18,D35&lt;F35),0,AND(E35=$N$18,F35&lt;D35),0)</f>
        <v>3</v>
      </c>
      <c r="I35">
        <f t="shared" si="0"/>
        <v>1</v>
      </c>
      <c r="J35" s="59">
        <f t="shared" si="1"/>
        <v>0</v>
      </c>
      <c r="K35" cm="1">
        <f t="array" ref="K35">_xlfn.IFS(H35=3,1+K34,H35=1,1+K34,H35=0,0)</f>
        <v>1</v>
      </c>
      <c r="L35" cm="1">
        <f t="array" ref="L35">_xlfn.IFS(H35=0,1+L34,H35=1,1+L34,H35=3,0)</f>
        <v>0</v>
      </c>
    </row>
    <row r="36" spans="1:12" x14ac:dyDescent="0.2">
      <c r="A36">
        <v>35</v>
      </c>
      <c r="B36" s="1">
        <v>44023</v>
      </c>
      <c r="C36" t="str">
        <v>Brighton &amp; Hove Albion FC</v>
      </c>
      <c r="D36">
        <v>0</v>
      </c>
      <c r="E36" t="str">
        <v>Manchester City FC</v>
      </c>
      <c r="F36">
        <v>5</v>
      </c>
      <c r="H36" s="59" cm="1">
        <f t="array" ref="H36">_xlfn.IFS(AND(C36=$N$18,D36&gt;F36),3,AND(E36=$N$18,F36&gt;D36),3,AND(C36=$N$18,D36=F36),1,AND(E36=$N$18,D36=F36),1,AND(C36=$N$18,D36&lt;F36),0,AND(E36=$N$18,F36&lt;D36),0)</f>
        <v>3</v>
      </c>
      <c r="I36">
        <f t="shared" si="0"/>
        <v>2</v>
      </c>
      <c r="J36" s="59">
        <f t="shared" si="1"/>
        <v>0</v>
      </c>
      <c r="K36" cm="1">
        <f t="array" ref="K36">_xlfn.IFS(H36=3,1+K35,H36=1,1+K35,H36=0,0)</f>
        <v>2</v>
      </c>
      <c r="L36" cm="1">
        <f t="array" ref="L36">_xlfn.IFS(H36=0,1+L35,H36=1,1+L35,H36=3,0)</f>
        <v>0</v>
      </c>
    </row>
    <row r="37" spans="1:12" x14ac:dyDescent="0.2">
      <c r="A37">
        <v>36</v>
      </c>
      <c r="B37" s="1">
        <v>44027</v>
      </c>
      <c r="C37" t="str">
        <v>Manchester City FC</v>
      </c>
      <c r="D37">
        <v>2</v>
      </c>
      <c r="E37" t="str">
        <v>AFC Bournemouth</v>
      </c>
      <c r="F37">
        <v>1</v>
      </c>
      <c r="H37" s="59" cm="1">
        <f t="array" ref="H37">_xlfn.IFS(AND(C37=$N$18,D37&gt;F37),3,AND(E37=$N$18,F37&gt;D37),3,AND(C37=$N$18,D37=F37),1,AND(E37=$N$18,D37=F37),1,AND(C37=$N$18,D37&lt;F37),0,AND(E37=$N$18,F37&lt;D37),0)</f>
        <v>3</v>
      </c>
      <c r="I37">
        <f t="shared" si="0"/>
        <v>3</v>
      </c>
      <c r="J37" s="59">
        <f t="shared" si="1"/>
        <v>0</v>
      </c>
      <c r="K37" cm="1">
        <f t="array" ref="K37">_xlfn.IFS(H37=3,1+K36,H37=1,1+K36,H37=0,0)</f>
        <v>3</v>
      </c>
      <c r="L37" cm="1">
        <f t="array" ref="L37">_xlfn.IFS(H37=0,1+L36,H37=1,1+L36,H37=3,0)</f>
        <v>0</v>
      </c>
    </row>
    <row r="38" spans="1:12" x14ac:dyDescent="0.2">
      <c r="A38">
        <v>37</v>
      </c>
      <c r="B38" s="1">
        <v>44033</v>
      </c>
      <c r="C38" t="str">
        <v>Watford FC</v>
      </c>
      <c r="D38">
        <v>0</v>
      </c>
      <c r="E38" t="str">
        <v>Manchester City FC</v>
      </c>
      <c r="F38">
        <v>4</v>
      </c>
      <c r="H38" s="59" cm="1">
        <f t="array" ref="H38">_xlfn.IFS(AND(C38=$N$18,D38&gt;F38),3,AND(E38=$N$18,F38&gt;D38),3,AND(C38=$N$18,D38=F38),1,AND(E38=$N$18,D38=F38),1,AND(C38=$N$18,D38&lt;F38),0,AND(E38=$N$18,F38&lt;D38),0)</f>
        <v>3</v>
      </c>
      <c r="I38">
        <f t="shared" si="0"/>
        <v>4</v>
      </c>
      <c r="J38" s="59">
        <f t="shared" si="1"/>
        <v>0</v>
      </c>
      <c r="K38" cm="1">
        <f t="array" ref="K38">_xlfn.IFS(H38=3,1+K37,H38=1,1+K37,H38=0,0)</f>
        <v>4</v>
      </c>
      <c r="L38" cm="1">
        <f t="array" ref="L38">_xlfn.IFS(H38=0,1+L37,H38=1,1+L37,H38=3,0)</f>
        <v>0</v>
      </c>
    </row>
    <row r="39" spans="1:12" x14ac:dyDescent="0.2">
      <c r="A39">
        <v>38</v>
      </c>
      <c r="B39" s="1">
        <v>44038</v>
      </c>
      <c r="C39" t="str">
        <v>Manchester City FC</v>
      </c>
      <c r="D39">
        <v>5</v>
      </c>
      <c r="E39" t="str">
        <v>Norwich City FC</v>
      </c>
      <c r="F39">
        <v>0</v>
      </c>
      <c r="H39" s="59" cm="1">
        <f t="array" ref="H39">_xlfn.IFS(AND(C39=$N$18,D39&gt;F39),3,AND(E39=$N$18,F39&gt;D39),3,AND(C39=$N$18,D39=F39),1,AND(E39=$N$18,D39=F39),1,AND(C39=$N$18,D39&lt;F39),0,AND(E39=$N$18,F39&lt;D39),0)</f>
        <v>3</v>
      </c>
      <c r="I39">
        <f t="shared" si="0"/>
        <v>5</v>
      </c>
      <c r="J39" s="59">
        <f t="shared" si="1"/>
        <v>0</v>
      </c>
      <c r="K39" cm="1">
        <f t="array" ref="K39">_xlfn.IFS(H39=3,1+K38,H39=1,1+K38,H39=0,0)</f>
        <v>5</v>
      </c>
      <c r="L39" cm="1">
        <f t="array" ref="L39">_xlfn.IFS(H39=0,1+L38,H39=1,1+L38,H39=3,0)</f>
        <v>0</v>
      </c>
    </row>
  </sheetData>
  <conditionalFormatting sqref="G2:G39">
    <cfRule type="expression" dxfId="23" priority="5">
      <formula>AND($E2=$N$18,$F2&gt;$D2)</formula>
    </cfRule>
  </conditionalFormatting>
  <conditionalFormatting sqref="G2:G39">
    <cfRule type="expression" dxfId="22" priority="4">
      <formula>AND($E2=$N$18,$F2&lt;$D2)</formula>
    </cfRule>
  </conditionalFormatting>
  <conditionalFormatting sqref="G2:G39">
    <cfRule type="expression" dxfId="21" priority="3">
      <formula>$D2=$F2</formula>
    </cfRule>
  </conditionalFormatting>
  <conditionalFormatting sqref="G2:G39">
    <cfRule type="expression" dxfId="20" priority="2">
      <formula>AND($C2=$N$18,$D2&lt;$F2)</formula>
    </cfRule>
  </conditionalFormatting>
  <conditionalFormatting sqref="G2:G39">
    <cfRule type="expression" dxfId="19" priority="1">
      <formula>AND($C2=$N$18,$D2&gt;$F2)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E1E8E-7DFC-4386-9619-D15A22F85343}">
  <sheetPr codeName="Sheet22"/>
  <dimension ref="A1:V39"/>
  <sheetViews>
    <sheetView zoomScale="60" zoomScaleNormal="60" workbookViewId="0"/>
  </sheetViews>
  <sheetFormatPr baseColWidth="10" defaultColWidth="8.83203125" defaultRowHeight="15" x14ac:dyDescent="0.2"/>
  <cols>
    <col min="1" max="1" width="8.5" customWidth="1"/>
    <col min="2" max="2" width="10.5" style="1" customWidth="1"/>
    <col min="3" max="3" width="27.1640625" customWidth="1"/>
    <col min="4" max="4" width="12.5" customWidth="1"/>
    <col min="5" max="5" width="27.1640625" customWidth="1"/>
    <col min="6" max="6" width="12.5" customWidth="1"/>
    <col min="7" max="7" width="8.5" customWidth="1"/>
    <col min="14" max="14" width="24.33203125" bestFit="1" customWidth="1"/>
    <col min="15" max="22" width="10.6640625" customWidth="1"/>
  </cols>
  <sheetData>
    <row r="1" spans="1:20" ht="32" x14ac:dyDescent="0.2">
      <c r="A1" s="67" t="s">
        <v>0</v>
      </c>
      <c r="B1" s="71" t="s">
        <v>1</v>
      </c>
      <c r="C1" s="68" t="s">
        <v>2</v>
      </c>
      <c r="D1" s="68" t="s">
        <v>3</v>
      </c>
      <c r="E1" s="68" t="s">
        <v>4</v>
      </c>
      <c r="F1" s="69" t="s">
        <v>5</v>
      </c>
      <c r="G1" s="70" t="s">
        <v>71</v>
      </c>
      <c r="H1" s="70" t="s">
        <v>19</v>
      </c>
      <c r="I1" s="81" t="s">
        <v>72</v>
      </c>
      <c r="J1" s="81" t="s">
        <v>53</v>
      </c>
      <c r="K1" s="81" t="s">
        <v>55</v>
      </c>
      <c r="L1" s="81" t="s">
        <v>73</v>
      </c>
      <c r="Q1" s="58" t="s">
        <v>74</v>
      </c>
      <c r="R1" t="s">
        <v>75</v>
      </c>
      <c r="S1" t="s">
        <v>76</v>
      </c>
      <c r="T1" s="63" t="s">
        <v>77</v>
      </c>
    </row>
    <row r="2" spans="1:20" x14ac:dyDescent="0.2">
      <c r="A2" cm="1">
        <f t="array" ref="A2:F39">_xlfn._xlws.FILTER(eng_1[],(eng_1[Home]='England 1'!C19)+(eng_1[Away]='England 1'!E5))</f>
        <v>1</v>
      </c>
      <c r="B2" s="1">
        <v>43687</v>
      </c>
      <c r="C2" t="str">
        <v>AFC Bournemouth</v>
      </c>
      <c r="D2">
        <v>1</v>
      </c>
      <c r="E2" t="str">
        <v>Sheffield United FC</v>
      </c>
      <c r="F2">
        <v>1</v>
      </c>
      <c r="H2" s="59" cm="1">
        <f t="array" ref="H2">_xlfn.IFS(AND(C2=$N$18,D2&gt;F2),3,AND(E2=$N$18,F2&gt;D2),3,AND(C2=$N$18,D2=F2),1,AND(E2=$N$18,D2=F2),1,AND(C2=$N$18,D2&lt;F2),0,AND(E2=$N$18,F2&lt;D2),0)</f>
        <v>1</v>
      </c>
      <c r="I2" cm="1">
        <f t="array" ref="I2">_xlfn.IFS(H2=3,1,H2=1,0,H2=0,0)</f>
        <v>0</v>
      </c>
      <c r="J2" s="59" cm="1">
        <f t="array" ref="J2">_xlfn.IFS(H2=0,1,H2=1,0,H2=3,0)</f>
        <v>0</v>
      </c>
      <c r="K2" cm="1">
        <f t="array" ref="K2">_xlfn.IFS(H2=3,1,H2=1,1,H2=0,0)</f>
        <v>1</v>
      </c>
      <c r="L2" cm="1">
        <f t="array" ref="L2">_xlfn.IFS(H2=0,1,H2=1,1,H2=3,0)</f>
        <v>1</v>
      </c>
      <c r="Q2" s="56" t="s">
        <v>78</v>
      </c>
      <c r="R2">
        <v>20</v>
      </c>
      <c r="S2">
        <v>29</v>
      </c>
      <c r="T2" s="60">
        <v>1.45</v>
      </c>
    </row>
    <row r="3" spans="1:20" x14ac:dyDescent="0.2">
      <c r="A3">
        <v>2</v>
      </c>
      <c r="B3" s="1">
        <v>43695</v>
      </c>
      <c r="C3" t="str">
        <v>Sheffield United FC</v>
      </c>
      <c r="D3">
        <v>1</v>
      </c>
      <c r="E3" t="str">
        <v>Crystal Palace FC</v>
      </c>
      <c r="F3">
        <v>0</v>
      </c>
      <c r="H3" s="59" cm="1">
        <f t="array" ref="H3">_xlfn.IFS(AND(C3=$N$18,D3&gt;F3),3,AND(E3=$N$18,F3&gt;D3),3,AND(C3=$N$18,D3=F3),1,AND(E3=$N$18,D3=F3),1,AND(C3=$N$18,D3&lt;F3),0,AND(E3=$N$18,F3&lt;D3),0)</f>
        <v>3</v>
      </c>
      <c r="I3">
        <f t="shared" ref="I3:I39" si="0">IF(H3=3,1+I2,0)</f>
        <v>1</v>
      </c>
      <c r="J3" s="59">
        <f t="shared" ref="J3:J39" si="1">IF(H3=0,1+J2,0)</f>
        <v>0</v>
      </c>
      <c r="K3" cm="1">
        <f t="array" ref="K3">_xlfn.IFS(H3=3,1+K2,H3=1,1+K2,H3=0,0)</f>
        <v>2</v>
      </c>
      <c r="L3" cm="1">
        <f t="array" ref="L3">_xlfn.IFS(H3=0,1+L2,H3=1,1+L2,H3=3,0)</f>
        <v>0</v>
      </c>
      <c r="N3" s="48" t="s">
        <v>79</v>
      </c>
      <c r="O3" s="48" t="s">
        <v>80</v>
      </c>
      <c r="Q3" s="57" t="s">
        <v>81</v>
      </c>
      <c r="R3">
        <v>4</v>
      </c>
      <c r="S3">
        <v>5</v>
      </c>
      <c r="T3" s="60">
        <v>1.25</v>
      </c>
    </row>
    <row r="4" spans="1:20" x14ac:dyDescent="0.2">
      <c r="A4">
        <v>3</v>
      </c>
      <c r="B4" s="1">
        <v>43701</v>
      </c>
      <c r="C4" t="str">
        <v>Sheffield United FC</v>
      </c>
      <c r="D4">
        <v>1</v>
      </c>
      <c r="E4" t="str">
        <v>Leicester City FC</v>
      </c>
      <c r="F4">
        <v>2</v>
      </c>
      <c r="H4" s="59" cm="1">
        <f t="array" ref="H4">_xlfn.IFS(AND(C4=$N$18,D4&gt;F4),3,AND(E4=$N$18,F4&gt;D4),3,AND(C4=$N$18,D4=F4),1,AND(E4=$N$18,D4=F4),1,AND(C4=$N$18,D4&lt;F4),0,AND(E4=$N$18,F4&lt;D4),0)</f>
        <v>0</v>
      </c>
      <c r="I4">
        <f t="shared" si="0"/>
        <v>0</v>
      </c>
      <c r="J4" s="59">
        <f t="shared" si="1"/>
        <v>1</v>
      </c>
      <c r="K4" cm="1">
        <f t="array" ref="K4">_xlfn.IFS(H4=3,1+K3,H4=1,1+K3,H4=0,0)</f>
        <v>0</v>
      </c>
      <c r="L4" cm="1">
        <f t="array" ref="L4">_xlfn.IFS(H4=0,1+L3,H4=1,1+L3,H4=3,0)</f>
        <v>1</v>
      </c>
      <c r="N4" s="49" t="s">
        <v>82</v>
      </c>
      <c r="O4" s="50"/>
      <c r="Q4" s="57" t="s">
        <v>83</v>
      </c>
      <c r="R4">
        <v>3</v>
      </c>
      <c r="S4">
        <v>3</v>
      </c>
      <c r="T4" s="60">
        <v>1</v>
      </c>
    </row>
    <row r="5" spans="1:20" x14ac:dyDescent="0.2">
      <c r="A5">
        <v>4</v>
      </c>
      <c r="B5" s="1">
        <v>43708</v>
      </c>
      <c r="C5" t="str">
        <v>Chelsea FC</v>
      </c>
      <c r="D5">
        <v>2</v>
      </c>
      <c r="E5" t="str">
        <v>Sheffield United FC</v>
      </c>
      <c r="F5">
        <v>2</v>
      </c>
      <c r="H5" s="59" cm="1">
        <f t="array" ref="H5">_xlfn.IFS(AND(C5=$N$18,D5&gt;F5),3,AND(E5=$N$18,F5&gt;D5),3,AND(C5=$N$18,D5=F5),1,AND(E5=$N$18,D5=F5),1,AND(C5=$N$18,D5&lt;F5),0,AND(E5=$N$18,F5&lt;D5),0)</f>
        <v>1</v>
      </c>
      <c r="I5">
        <f t="shared" si="0"/>
        <v>0</v>
      </c>
      <c r="J5" s="59">
        <f t="shared" si="1"/>
        <v>0</v>
      </c>
      <c r="K5" cm="1">
        <f t="array" ref="K5">_xlfn.IFS(H5=3,1+K4,H5=1,1+K4,H5=0,0)</f>
        <v>1</v>
      </c>
      <c r="L5" cm="1">
        <f t="array" ref="L5">_xlfn.IFS(H5=0,1+L4,H5=1,1+L4,H5=3,0)</f>
        <v>2</v>
      </c>
      <c r="N5" s="49" t="s">
        <v>84</v>
      </c>
      <c r="O5" s="51"/>
      <c r="Q5" s="57" t="s">
        <v>85</v>
      </c>
      <c r="R5">
        <v>3</v>
      </c>
      <c r="S5">
        <v>5</v>
      </c>
      <c r="T5" s="60">
        <v>1.6666666666666667</v>
      </c>
    </row>
    <row r="6" spans="1:20" x14ac:dyDescent="0.2">
      <c r="A6">
        <v>5</v>
      </c>
      <c r="B6" s="1">
        <v>43722</v>
      </c>
      <c r="C6" t="str">
        <v>Sheffield United FC</v>
      </c>
      <c r="D6">
        <v>0</v>
      </c>
      <c r="E6" t="str">
        <v>Southampton FC</v>
      </c>
      <c r="F6">
        <v>1</v>
      </c>
      <c r="H6" s="59" cm="1">
        <f t="array" ref="H6">_xlfn.IFS(AND(C6=$N$18,D6&gt;F6),3,AND(E6=$N$18,F6&gt;D6),3,AND(C6=$N$18,D6=F6),1,AND(E6=$N$18,D6=F6),1,AND(C6=$N$18,D6&lt;F6),0,AND(E6=$N$18,F6&lt;D6),0)</f>
        <v>0</v>
      </c>
      <c r="I6">
        <f t="shared" si="0"/>
        <v>0</v>
      </c>
      <c r="J6" s="59">
        <f t="shared" si="1"/>
        <v>1</v>
      </c>
      <c r="K6" cm="1">
        <f t="array" ref="K6">_xlfn.IFS(H6=3,1+K5,H6=1,1+K5,H6=0,0)</f>
        <v>0</v>
      </c>
      <c r="L6" cm="1">
        <f t="array" ref="L6">_xlfn.IFS(H6=0,1+L5,H6=1,1+L5,H6=3,0)</f>
        <v>3</v>
      </c>
      <c r="N6" s="49" t="s">
        <v>86</v>
      </c>
      <c r="O6" s="52"/>
      <c r="Q6" s="57" t="s">
        <v>87</v>
      </c>
      <c r="R6">
        <v>3</v>
      </c>
      <c r="S6">
        <v>5</v>
      </c>
      <c r="T6" s="60">
        <v>1.6666666666666667</v>
      </c>
    </row>
    <row r="7" spans="1:20" x14ac:dyDescent="0.2">
      <c r="A7">
        <v>6</v>
      </c>
      <c r="B7" s="1">
        <v>43729</v>
      </c>
      <c r="C7" t="str">
        <v>Everton FC</v>
      </c>
      <c r="D7">
        <v>0</v>
      </c>
      <c r="E7" t="str">
        <v>Sheffield United FC</v>
      </c>
      <c r="F7">
        <v>2</v>
      </c>
      <c r="H7" s="59" cm="1">
        <f t="array" ref="H7">_xlfn.IFS(AND(C7=$N$18,D7&gt;F7),3,AND(E7=$N$18,F7&gt;D7),3,AND(C7=$N$18,D7=F7),1,AND(E7=$N$18,D7=F7),1,AND(C7=$N$18,D7&lt;F7),0,AND(E7=$N$18,F7&lt;D7),0)</f>
        <v>3</v>
      </c>
      <c r="I7">
        <f t="shared" si="0"/>
        <v>1</v>
      </c>
      <c r="J7" s="59">
        <f t="shared" si="1"/>
        <v>0</v>
      </c>
      <c r="K7" cm="1">
        <f t="array" ref="K7">_xlfn.IFS(H7=3,1+K6,H7=1,1+K6,H7=0,0)</f>
        <v>1</v>
      </c>
      <c r="L7" cm="1">
        <f t="array" ref="L7">_xlfn.IFS(H7=0,1+L6,H7=1,1+L6,H7=3,0)</f>
        <v>0</v>
      </c>
      <c r="Q7" s="57" t="s">
        <v>88</v>
      </c>
      <c r="R7">
        <v>7</v>
      </c>
      <c r="S7">
        <v>11</v>
      </c>
      <c r="T7" s="60">
        <v>1.5714285714285714</v>
      </c>
    </row>
    <row r="8" spans="1:20" x14ac:dyDescent="0.2">
      <c r="A8">
        <v>7</v>
      </c>
      <c r="B8" s="1">
        <v>43736</v>
      </c>
      <c r="C8" t="str">
        <v>Sheffield United FC</v>
      </c>
      <c r="D8">
        <v>0</v>
      </c>
      <c r="E8" t="str">
        <v>Liverpool FC</v>
      </c>
      <c r="F8">
        <v>1</v>
      </c>
      <c r="H8" s="59" cm="1">
        <f t="array" ref="H8">_xlfn.IFS(AND(C8=$N$18,D8&gt;F8),3,AND(E8=$N$18,F8&gt;D8),3,AND(C8=$N$18,D8=F8),1,AND(E8=$N$18,D8=F8),1,AND(C8=$N$18,D8&lt;F8),0,AND(E8=$N$18,F8&lt;D8),0)</f>
        <v>0</v>
      </c>
      <c r="I8">
        <f t="shared" si="0"/>
        <v>0</v>
      </c>
      <c r="J8" s="59">
        <f t="shared" si="1"/>
        <v>1</v>
      </c>
      <c r="K8" cm="1">
        <f t="array" ref="K8">_xlfn.IFS(H8=3,1+K7,H8=1,1+K7,H8=0,0)</f>
        <v>0</v>
      </c>
      <c r="L8" cm="1">
        <f t="array" ref="L8">_xlfn.IFS(H8=0,1+L7,H8=1,1+L7,H8=3,0)</f>
        <v>1</v>
      </c>
      <c r="Q8" s="56" t="s">
        <v>89</v>
      </c>
      <c r="R8">
        <v>18</v>
      </c>
      <c r="S8">
        <v>25</v>
      </c>
      <c r="T8" s="60">
        <v>1.3888888888888888</v>
      </c>
    </row>
    <row r="9" spans="1:20" x14ac:dyDescent="0.2">
      <c r="A9">
        <v>8</v>
      </c>
      <c r="B9" s="1">
        <v>43743</v>
      </c>
      <c r="C9" t="str">
        <v>Watford FC</v>
      </c>
      <c r="D9">
        <v>0</v>
      </c>
      <c r="E9" t="str">
        <v>Sheffield United FC</v>
      </c>
      <c r="F9">
        <v>0</v>
      </c>
      <c r="H9" s="59" cm="1">
        <f t="array" ref="H9">_xlfn.IFS(AND(C9=$N$18,D9&gt;F9),3,AND(E9=$N$18,F9&gt;D9),3,AND(C9=$N$18,D9=F9),1,AND(E9=$N$18,D9=F9),1,AND(C9=$N$18,D9&lt;F9),0,AND(E9=$N$18,F9&lt;D9),0)</f>
        <v>1</v>
      </c>
      <c r="I9">
        <f t="shared" si="0"/>
        <v>0</v>
      </c>
      <c r="J9" s="59">
        <f t="shared" si="1"/>
        <v>0</v>
      </c>
      <c r="K9" cm="1">
        <f t="array" ref="K9">_xlfn.IFS(H9=3,1+K8,H9=1,1+K8,H9=0,0)</f>
        <v>1</v>
      </c>
      <c r="L9" cm="1">
        <f t="array" ref="L9">_xlfn.IFS(H9=0,1+L8,H9=1,1+L8,H9=3,0)</f>
        <v>2</v>
      </c>
      <c r="Q9" s="57" t="s">
        <v>90</v>
      </c>
      <c r="R9">
        <v>4</v>
      </c>
      <c r="S9">
        <v>4</v>
      </c>
      <c r="T9" s="60">
        <v>1</v>
      </c>
    </row>
    <row r="10" spans="1:20" x14ac:dyDescent="0.2">
      <c r="A10">
        <v>9</v>
      </c>
      <c r="B10" s="1">
        <v>43759</v>
      </c>
      <c r="C10" t="str">
        <v>Sheffield United FC</v>
      </c>
      <c r="D10">
        <v>1</v>
      </c>
      <c r="E10" t="str">
        <v>Arsenal FC</v>
      </c>
      <c r="F10">
        <v>0</v>
      </c>
      <c r="H10" s="59" cm="1">
        <f t="array" ref="H10">_xlfn.IFS(AND(C10=$N$18,D10&gt;F10),3,AND(E10=$N$18,F10&gt;D10),3,AND(C10=$N$18,D10=F10),1,AND(E10=$N$18,D10=F10),1,AND(C10=$N$18,D10&lt;F10),0,AND(E10=$N$18,F10&lt;D10),0)</f>
        <v>3</v>
      </c>
      <c r="I10">
        <f t="shared" si="0"/>
        <v>1</v>
      </c>
      <c r="J10" s="59">
        <f t="shared" si="1"/>
        <v>0</v>
      </c>
      <c r="K10" cm="1">
        <f t="array" ref="K10">_xlfn.IFS(H10=3,1+K9,H10=1,1+K9,H10=0,0)</f>
        <v>2</v>
      </c>
      <c r="L10" cm="1">
        <f t="array" ref="L10">_xlfn.IFS(H10=0,1+L9,H10=1,1+L9,H10=3,0)</f>
        <v>0</v>
      </c>
      <c r="Q10" s="57" t="s">
        <v>91</v>
      </c>
      <c r="R10">
        <v>3</v>
      </c>
      <c r="S10">
        <v>7</v>
      </c>
      <c r="T10" s="60">
        <v>2.3333333333333335</v>
      </c>
    </row>
    <row r="11" spans="1:20" x14ac:dyDescent="0.2">
      <c r="A11">
        <v>10</v>
      </c>
      <c r="B11" s="1">
        <v>43764</v>
      </c>
      <c r="C11" t="str">
        <v>West Ham United FC</v>
      </c>
      <c r="D11">
        <v>1</v>
      </c>
      <c r="E11" t="str">
        <v>Sheffield United FC</v>
      </c>
      <c r="F11">
        <v>1</v>
      </c>
      <c r="H11" s="59" cm="1">
        <f t="array" ref="H11">_xlfn.IFS(AND(C11=$N$18,D11&gt;F11),3,AND(E11=$N$18,F11&gt;D11),3,AND(C11=$N$18,D11=F11),1,AND(E11=$N$18,D11=F11),1,AND(C11=$N$18,D11&lt;F11),0,AND(E11=$N$18,F11&lt;D11),0)</f>
        <v>1</v>
      </c>
      <c r="I11">
        <f t="shared" si="0"/>
        <v>0</v>
      </c>
      <c r="J11" s="59">
        <f t="shared" si="1"/>
        <v>0</v>
      </c>
      <c r="K11" cm="1">
        <f t="array" ref="K11">_xlfn.IFS(H11=3,1+K10,H11=1,1+K10,H11=0,0)</f>
        <v>3</v>
      </c>
      <c r="L11" cm="1">
        <f t="array" ref="L11">_xlfn.IFS(H11=0,1+L10,H11=1,1+L10,H11=3,0)</f>
        <v>1</v>
      </c>
      <c r="Q11" s="57" t="s">
        <v>92</v>
      </c>
      <c r="R11">
        <v>1</v>
      </c>
      <c r="S11">
        <v>3</v>
      </c>
      <c r="T11" s="60">
        <v>3</v>
      </c>
    </row>
    <row r="12" spans="1:20" x14ac:dyDescent="0.2">
      <c r="A12">
        <v>11</v>
      </c>
      <c r="B12" s="1">
        <v>43771</v>
      </c>
      <c r="C12" t="str">
        <v>Sheffield United FC</v>
      </c>
      <c r="D12">
        <v>3</v>
      </c>
      <c r="E12" t="str">
        <v>Burnley FC</v>
      </c>
      <c r="F12">
        <v>0</v>
      </c>
      <c r="H12" s="59" cm="1">
        <f t="array" ref="H12">_xlfn.IFS(AND(C12=$N$18,D12&gt;F12),3,AND(E12=$N$18,F12&gt;D12),3,AND(C12=$N$18,D12=F12),1,AND(E12=$N$18,D12=F12),1,AND(C12=$N$18,D12&lt;F12),0,AND(E12=$N$18,F12&lt;D12),0)</f>
        <v>3</v>
      </c>
      <c r="I12">
        <f t="shared" si="0"/>
        <v>1</v>
      </c>
      <c r="J12" s="59">
        <f t="shared" si="1"/>
        <v>0</v>
      </c>
      <c r="K12" cm="1">
        <f t="array" ref="K12">_xlfn.IFS(H12=3,1+K11,H12=1,1+K11,H12=0,0)</f>
        <v>4</v>
      </c>
      <c r="L12" cm="1">
        <f t="array" ref="L12">_xlfn.IFS(H12=0,1+L11,H12=1,1+L11,H12=3,0)</f>
        <v>0</v>
      </c>
      <c r="Q12" s="57" t="s">
        <v>93</v>
      </c>
      <c r="R12">
        <v>3</v>
      </c>
      <c r="S12">
        <v>1</v>
      </c>
      <c r="T12" s="60">
        <v>0.33333333333333331</v>
      </c>
    </row>
    <row r="13" spans="1:20" x14ac:dyDescent="0.2">
      <c r="A13">
        <v>12</v>
      </c>
      <c r="B13" s="1">
        <v>43778</v>
      </c>
      <c r="C13" t="str">
        <v>Tottenham Hotspur FC</v>
      </c>
      <c r="D13">
        <v>1</v>
      </c>
      <c r="E13" t="str">
        <v>Sheffield United FC</v>
      </c>
      <c r="F13">
        <v>1</v>
      </c>
      <c r="H13" s="59" cm="1">
        <f t="array" ref="H13">_xlfn.IFS(AND(C13=$N$18,D13&gt;F13),3,AND(E13=$N$18,F13&gt;D13),3,AND(C13=$N$18,D13=F13),1,AND(E13=$N$18,D13=F13),1,AND(C13=$N$18,D13&lt;F13),0,AND(E13=$N$18,F13&lt;D13),0)</f>
        <v>1</v>
      </c>
      <c r="I13">
        <f t="shared" si="0"/>
        <v>0</v>
      </c>
      <c r="J13" s="59">
        <f t="shared" si="1"/>
        <v>0</v>
      </c>
      <c r="K13" cm="1">
        <f t="array" ref="K13">_xlfn.IFS(H13=3,1+K12,H13=1,1+K12,H13=0,0)</f>
        <v>5</v>
      </c>
      <c r="L13" cm="1">
        <f t="array" ref="L13">_xlfn.IFS(H13=0,1+L12,H13=1,1+L12,H13=3,0)</f>
        <v>1</v>
      </c>
      <c r="Q13" s="57" t="s">
        <v>94</v>
      </c>
      <c r="R13">
        <v>7</v>
      </c>
      <c r="S13">
        <v>10</v>
      </c>
      <c r="T13" s="60">
        <v>1.4285714285714286</v>
      </c>
    </row>
    <row r="14" spans="1:20" x14ac:dyDescent="0.2">
      <c r="A14">
        <v>13</v>
      </c>
      <c r="B14" s="1">
        <v>43793</v>
      </c>
      <c r="C14" t="str">
        <v>Sheffield United FC</v>
      </c>
      <c r="D14">
        <v>3</v>
      </c>
      <c r="E14" t="str">
        <v>Manchester United FC</v>
      </c>
      <c r="F14">
        <v>3</v>
      </c>
      <c r="H14" s="59" cm="1">
        <f t="array" ref="H14">_xlfn.IFS(AND(C14=$N$18,D14&gt;F14),3,AND(E14=$N$18,F14&gt;D14),3,AND(C14=$N$18,D14=F14),1,AND(E14=$N$18,D14=F14),1,AND(C14=$N$18,D14&lt;F14),0,AND(E14=$N$18,F14&lt;D14),0)</f>
        <v>1</v>
      </c>
      <c r="I14">
        <f t="shared" si="0"/>
        <v>0</v>
      </c>
      <c r="J14" s="59">
        <f t="shared" si="1"/>
        <v>0</v>
      </c>
      <c r="K14" cm="1">
        <f t="array" ref="K14">_xlfn.IFS(H14=3,1+K13,H14=1,1+K13,H14=0,0)</f>
        <v>6</v>
      </c>
      <c r="L14" cm="1">
        <f t="array" ref="L14">_xlfn.IFS(H14=0,1+L13,H14=1,1+L13,H14=3,0)</f>
        <v>2</v>
      </c>
      <c r="Q14" s="56" t="s">
        <v>95</v>
      </c>
      <c r="R14">
        <v>38</v>
      </c>
      <c r="S14">
        <v>54</v>
      </c>
      <c r="T14" s="60">
        <v>1.4210526315789473</v>
      </c>
    </row>
    <row r="15" spans="1:20" x14ac:dyDescent="0.2">
      <c r="A15">
        <v>14</v>
      </c>
      <c r="B15" s="1">
        <v>43800</v>
      </c>
      <c r="C15" t="str">
        <v>Wolverhampton Wanderers FC</v>
      </c>
      <c r="D15">
        <v>1</v>
      </c>
      <c r="E15" t="str">
        <v>Sheffield United FC</v>
      </c>
      <c r="F15">
        <v>1</v>
      </c>
      <c r="H15" s="59" cm="1">
        <f t="array" ref="H15">_xlfn.IFS(AND(C15=$N$18,D15&gt;F15),3,AND(E15=$N$18,F15&gt;D15),3,AND(C15=$N$18,D15=F15),1,AND(E15=$N$18,D15=F15),1,AND(C15=$N$18,D15&lt;F15),0,AND(E15=$N$18,F15&lt;D15),0)</f>
        <v>1</v>
      </c>
      <c r="I15">
        <f t="shared" si="0"/>
        <v>0</v>
      </c>
      <c r="J15" s="59">
        <f t="shared" si="1"/>
        <v>0</v>
      </c>
      <c r="K15" cm="1">
        <f t="array" ref="K15">_xlfn.IFS(H15=3,1+K14,H15=1,1+K14,H15=0,0)</f>
        <v>7</v>
      </c>
      <c r="L15" cm="1">
        <f t="array" ref="L15">_xlfn.IFS(H15=0,1+L14,H15=1,1+L14,H15=3,0)</f>
        <v>3</v>
      </c>
    </row>
    <row r="16" spans="1:20" x14ac:dyDescent="0.2">
      <c r="A16">
        <v>15</v>
      </c>
      <c r="B16" s="1">
        <v>43804</v>
      </c>
      <c r="C16" t="str">
        <v>Sheffield United FC</v>
      </c>
      <c r="D16">
        <v>0</v>
      </c>
      <c r="E16" t="str">
        <v>Newcastle United FC</v>
      </c>
      <c r="F16">
        <v>2</v>
      </c>
      <c r="H16" s="59" cm="1">
        <f t="array" ref="H16">_xlfn.IFS(AND(C16=$N$18,D16&gt;F16),3,AND(E16=$N$18,F16&gt;D16),3,AND(C16=$N$18,D16=F16),1,AND(E16=$N$18,D16=F16),1,AND(C16=$N$18,D16&lt;F16),0,AND(E16=$N$18,F16&lt;D16),0)</f>
        <v>0</v>
      </c>
      <c r="I16">
        <f t="shared" si="0"/>
        <v>0</v>
      </c>
      <c r="J16" s="59">
        <f t="shared" si="1"/>
        <v>1</v>
      </c>
      <c r="K16" cm="1">
        <f t="array" ref="K16">_xlfn.IFS(H16=3,1+K15,H16=1,1+K15,H16=0,0)</f>
        <v>0</v>
      </c>
      <c r="L16" cm="1">
        <f t="array" ref="L16">_xlfn.IFS(H16=0,1+L15,H16=1,1+L15,H16=3,0)</f>
        <v>4</v>
      </c>
    </row>
    <row r="17" spans="1:22" x14ac:dyDescent="0.2">
      <c r="A17">
        <v>16</v>
      </c>
      <c r="B17" s="1">
        <v>43807</v>
      </c>
      <c r="C17" t="str">
        <v>Norwich City FC</v>
      </c>
      <c r="D17">
        <v>1</v>
      </c>
      <c r="E17" t="str">
        <v>Sheffield United FC</v>
      </c>
      <c r="F17">
        <v>2</v>
      </c>
      <c r="H17" s="59" cm="1">
        <f t="array" ref="H17">_xlfn.IFS(AND(C17=$N$18,D17&gt;F17),3,AND(E17=$N$18,F17&gt;D17),3,AND(C17=$N$18,D17=F17),1,AND(E17=$N$18,D17=F17),1,AND(C17=$N$18,D17&lt;F17),0,AND(E17=$N$18,F17&lt;D17),0)</f>
        <v>3</v>
      </c>
      <c r="I17">
        <f t="shared" si="0"/>
        <v>1</v>
      </c>
      <c r="J17" s="59">
        <f t="shared" si="1"/>
        <v>0</v>
      </c>
      <c r="K17" cm="1">
        <f t="array" ref="K17">_xlfn.IFS(H17=3,1+K16,H17=1,1+K16,H17=0,0)</f>
        <v>1</v>
      </c>
      <c r="L17" cm="1">
        <f t="array" ref="L17">_xlfn.IFS(H17=0,1+L16,H17=1,1+L16,H17=3,0)</f>
        <v>0</v>
      </c>
    </row>
    <row r="18" spans="1:22" x14ac:dyDescent="0.2">
      <c r="A18">
        <v>17</v>
      </c>
      <c r="B18" s="1">
        <v>43813</v>
      </c>
      <c r="C18" t="str">
        <v>Sheffield United FC</v>
      </c>
      <c r="D18">
        <v>2</v>
      </c>
      <c r="E18" t="str">
        <v>Aston Villa FC</v>
      </c>
      <c r="F18">
        <v>0</v>
      </c>
      <c r="H18" s="59" cm="1">
        <f t="array" ref="H18">_xlfn.IFS(AND(C18=$N$18,D18&gt;F18),3,AND(E18=$N$18,F18&gt;D18),3,AND(C18=$N$18,D18=F18),1,AND(E18=$N$18,D18=F18),1,AND(C18=$N$18,D18&lt;F18),0,AND(E18=$N$18,F18&lt;D18),0)</f>
        <v>3</v>
      </c>
      <c r="I18">
        <f t="shared" si="0"/>
        <v>2</v>
      </c>
      <c r="J18" s="59">
        <f t="shared" si="1"/>
        <v>0</v>
      </c>
      <c r="K18" cm="1">
        <f t="array" ref="K18">_xlfn.IFS(H18=3,1+K17,H18=1,1+K17,H18=0,0)</f>
        <v>2</v>
      </c>
      <c r="L18" cm="1">
        <f t="array" ref="L18">_xlfn.IFS(H18=0,1+L17,H18=1,1+L17,H18=3,0)</f>
        <v>0</v>
      </c>
      <c r="N18" s="14" t="str">
        <f>E2</f>
        <v>Sheffield United FC</v>
      </c>
      <c r="O18" s="9" t="s">
        <v>12</v>
      </c>
      <c r="P18" s="7" t="s">
        <v>13</v>
      </c>
      <c r="Q18" s="6" t="s">
        <v>14</v>
      </c>
      <c r="R18" s="8" t="s">
        <v>15</v>
      </c>
      <c r="S18" s="9" t="s">
        <v>16</v>
      </c>
      <c r="T18" s="9" t="s">
        <v>17</v>
      </c>
      <c r="U18" s="9" t="s">
        <v>18</v>
      </c>
      <c r="V18" s="9" t="s">
        <v>19</v>
      </c>
    </row>
    <row r="19" spans="1:22" x14ac:dyDescent="0.2">
      <c r="A19">
        <v>18</v>
      </c>
      <c r="B19" s="1">
        <v>43820</v>
      </c>
      <c r="C19" t="str">
        <v>Brighton &amp; Hove Albion FC</v>
      </c>
      <c r="D19">
        <v>0</v>
      </c>
      <c r="E19" t="str">
        <v>Sheffield United FC</v>
      </c>
      <c r="F19">
        <v>1</v>
      </c>
      <c r="H19" s="59" cm="1">
        <f t="array" ref="H19">_xlfn.IFS(AND(C19=$N$18,D19&gt;F19),3,AND(E19=$N$18,F19&gt;D19),3,AND(C19=$N$18,D19=F19),1,AND(E19=$N$18,D19=F19),1,AND(C19=$N$18,D19&lt;F19),0,AND(E19=$N$18,F19&lt;D19),0)</f>
        <v>3</v>
      </c>
      <c r="I19">
        <f t="shared" si="0"/>
        <v>3</v>
      </c>
      <c r="J19" s="59">
        <f t="shared" si="1"/>
        <v>0</v>
      </c>
      <c r="K19" cm="1">
        <f t="array" ref="K19">_xlfn.IFS(H19=3,1+K18,H19=1,1+K18,H19=0,0)</f>
        <v>3</v>
      </c>
      <c r="L19" cm="1">
        <f t="array" ref="L19">_xlfn.IFS(H19=0,1+L18,H19=1,1+L18,H19=3,0)</f>
        <v>0</v>
      </c>
      <c r="N19" s="10" t="s">
        <v>22</v>
      </c>
      <c r="O19" s="11">
        <f>COUNT(A2:A39)</f>
        <v>38</v>
      </c>
      <c r="P19" s="5" cm="1">
        <f t="array" ref="P19">SUMPRODUCT(((C2:C39=$N$18)*(D2:D39&gt;F2:F39))+((E2:E39=$N$18)*(F2:F39&gt;D2:D39)))</f>
        <v>14</v>
      </c>
      <c r="Q19" s="12" cm="1">
        <f t="array" ref="Q19">SUMPRODUCT(((C2:C39=$N$18)*(D2:D39=F2:F39))+((E2:E39=$E$2)*(F2:F39=D2:D39)))</f>
        <v>12</v>
      </c>
      <c r="R19" s="13" cm="1">
        <f t="array" ref="R19">SUMPRODUCT(((C2:C39=$N$18)*(D2:D39&lt;F2:F39))+((E2:E39=$N$18)*(F2:F39&lt;D2:D39)))</f>
        <v>12</v>
      </c>
      <c r="S19" s="11">
        <f>SUMIF(C2:C39,$N$18,D2:D39)+SUMIF(E2:E39,$N$18,F2:F39)</f>
        <v>39</v>
      </c>
      <c r="T19" s="11">
        <f>SUMIF(C2:C39,N18,F2:F39)+SUMIF(E2:E39,N18,D2:D39)</f>
        <v>39</v>
      </c>
      <c r="U19" s="11">
        <f>S19-T19</f>
        <v>0</v>
      </c>
      <c r="V19" s="11">
        <f>V20+V21</f>
        <v>54</v>
      </c>
    </row>
    <row r="20" spans="1:22" x14ac:dyDescent="0.2">
      <c r="A20">
        <v>19</v>
      </c>
      <c r="B20" s="1">
        <v>43825</v>
      </c>
      <c r="C20" t="str">
        <v>Sheffield United FC</v>
      </c>
      <c r="D20">
        <v>1</v>
      </c>
      <c r="E20" t="str">
        <v>Watford FC</v>
      </c>
      <c r="F20">
        <v>1</v>
      </c>
      <c r="H20" s="59" cm="1">
        <f t="array" ref="H20">_xlfn.IFS(AND(C20=$N$18,D20&gt;F20),3,AND(E20=$N$18,F20&gt;D20),3,AND(C20=$N$18,D20=F20),1,AND(E20=$N$18,D20=F20),1,AND(C20=$N$18,D20&lt;F20),0,AND(E20=$N$18,F20&lt;D20),0)</f>
        <v>1</v>
      </c>
      <c r="I20">
        <f t="shared" si="0"/>
        <v>0</v>
      </c>
      <c r="J20" s="59">
        <f t="shared" si="1"/>
        <v>0</v>
      </c>
      <c r="K20" cm="1">
        <f t="array" ref="K20">_xlfn.IFS(H20=3,1+K19,H20=1,1+K19,H20=0,0)</f>
        <v>4</v>
      </c>
      <c r="L20" cm="1">
        <f t="array" ref="L20">_xlfn.IFS(H20=0,1+L19,H20=1,1+L19,H20=3,0)</f>
        <v>1</v>
      </c>
      <c r="N20" s="10" t="s">
        <v>2</v>
      </c>
      <c r="O20" s="11">
        <f>COUNTIF(C2:C39,C3)</f>
        <v>19</v>
      </c>
      <c r="P20" s="20" cm="1">
        <f t="array" ref="P20">SUMPRODUCT(((C2:C39=$N$18)*(D2:D39&gt;F2:F39)))</f>
        <v>10</v>
      </c>
      <c r="Q20" s="12" cm="1">
        <f t="array" ref="Q20">SUMPRODUCT(((C2:C39=$N$18)*(D2:D39=F2:F39)))</f>
        <v>3</v>
      </c>
      <c r="R20" s="13" cm="1">
        <f t="array" ref="R20">SUMPRODUCT(((C2:C39=$N$18)*(D2:D39&lt;F2:F39)))</f>
        <v>6</v>
      </c>
      <c r="S20" s="11">
        <f>SUMIF(C2:C39,$N$18,D2:D39)</f>
        <v>24</v>
      </c>
      <c r="T20" s="11">
        <f>SUMIF(C2:C39,N18,F2:F39)</f>
        <v>15</v>
      </c>
      <c r="U20" s="11">
        <f>S20-T20</f>
        <v>9</v>
      </c>
      <c r="V20" s="11">
        <f>(P20*3)+Q20</f>
        <v>33</v>
      </c>
    </row>
    <row r="21" spans="1:22" x14ac:dyDescent="0.2">
      <c r="A21">
        <v>20</v>
      </c>
      <c r="B21" s="1">
        <v>43828</v>
      </c>
      <c r="C21" t="str">
        <v>Manchester City FC</v>
      </c>
      <c r="D21">
        <v>2</v>
      </c>
      <c r="E21" t="str">
        <v>Sheffield United FC</v>
      </c>
      <c r="F21">
        <v>0</v>
      </c>
      <c r="H21" s="59" cm="1">
        <f t="array" ref="H21">_xlfn.IFS(AND(C21=$N$18,D21&gt;F21),3,AND(E21=$N$18,F21&gt;D21),3,AND(C21=$N$18,D21=F21),1,AND(E21=$N$18,D21=F21),1,AND(C21=$N$18,D21&lt;F21),0,AND(E21=$N$18,F21&lt;D21),0)</f>
        <v>0</v>
      </c>
      <c r="I21">
        <f t="shared" si="0"/>
        <v>0</v>
      </c>
      <c r="J21" s="59">
        <f t="shared" si="1"/>
        <v>1</v>
      </c>
      <c r="K21" cm="1">
        <f t="array" ref="K21">_xlfn.IFS(H21=3,1+K20,H21=1,1+K20,H21=0,0)</f>
        <v>0</v>
      </c>
      <c r="L21" cm="1">
        <f t="array" ref="L21">_xlfn.IFS(H21=0,1+L20,H21=1,1+L20,H21=3,0)</f>
        <v>2</v>
      </c>
      <c r="N21" s="10" t="s">
        <v>4</v>
      </c>
      <c r="O21" s="11">
        <f>COUNTIF(E2:E39,E2)</f>
        <v>19</v>
      </c>
      <c r="P21" s="5" cm="1">
        <f t="array" ref="P21">SUMPRODUCT(((E2:E39=$N$18)*(F2:F39&gt;D2:D39)))</f>
        <v>4</v>
      </c>
      <c r="Q21" s="12" cm="1">
        <f t="array" ref="Q21">SUMPRODUCT(((E2:E39=$N$18)*(F2:F39=D2:D39)))</f>
        <v>9</v>
      </c>
      <c r="R21" s="13" cm="1">
        <f t="array" ref="R21">SUMPRODUCT(((E2:E39=$N$18)*(F2:F39&lt;D2:D39)))</f>
        <v>6</v>
      </c>
      <c r="S21" s="11">
        <f>SUMIF(E2:E39,$N$18,F2:F39)</f>
        <v>15</v>
      </c>
      <c r="T21" s="11">
        <f>SUMIF(E2:E39,N18,D2:D39)</f>
        <v>24</v>
      </c>
      <c r="U21" s="11">
        <f>S21-T21</f>
        <v>-9</v>
      </c>
      <c r="V21" s="11">
        <f>(P21*3)+Q21</f>
        <v>21</v>
      </c>
    </row>
    <row r="22" spans="1:22" x14ac:dyDescent="0.2">
      <c r="A22">
        <v>21</v>
      </c>
      <c r="B22" s="1">
        <v>43832</v>
      </c>
      <c r="C22" t="str">
        <v>Liverpool FC</v>
      </c>
      <c r="D22">
        <v>2</v>
      </c>
      <c r="E22" t="str">
        <v>Sheffield United FC</v>
      </c>
      <c r="F22">
        <v>0</v>
      </c>
      <c r="H22" s="59" cm="1">
        <f t="array" ref="H22">_xlfn.IFS(AND(C22=$N$18,D22&gt;F22),3,AND(E22=$N$18,F22&gt;D22),3,AND(C22=$N$18,D22=F22),1,AND(E22=$N$18,D22=F22),1,AND(C22=$N$18,D22&lt;F22),0,AND(E22=$N$18,F22&lt;D22),0)</f>
        <v>0</v>
      </c>
      <c r="I22">
        <f t="shared" si="0"/>
        <v>0</v>
      </c>
      <c r="J22" s="59">
        <f t="shared" si="1"/>
        <v>2</v>
      </c>
      <c r="K22" cm="1">
        <f t="array" ref="K22">_xlfn.IFS(H22=3,1+K21,H22=1,1+K21,H22=0,0)</f>
        <v>0</v>
      </c>
      <c r="L22" cm="1">
        <f t="array" ref="L22">_xlfn.IFS(H22=0,1+L21,H22=1,1+L21,H22=3,0)</f>
        <v>3</v>
      </c>
    </row>
    <row r="23" spans="1:22" x14ac:dyDescent="0.2">
      <c r="A23">
        <v>22</v>
      </c>
      <c r="B23" s="1">
        <v>43840</v>
      </c>
      <c r="C23" t="str">
        <v>Sheffield United FC</v>
      </c>
      <c r="D23">
        <v>1</v>
      </c>
      <c r="E23" t="str">
        <v>West Ham United FC</v>
      </c>
      <c r="F23">
        <v>0</v>
      </c>
      <c r="H23" s="59" cm="1">
        <f t="array" ref="H23">_xlfn.IFS(AND(C23=$N$18,D23&gt;F23),3,AND(E23=$N$18,F23&gt;D23),3,AND(C23=$N$18,D23=F23),1,AND(E23=$N$18,D23=F23),1,AND(C23=$N$18,D23&lt;F23),0,AND(E23=$N$18,F23&lt;D23),0)</f>
        <v>3</v>
      </c>
      <c r="I23">
        <f t="shared" si="0"/>
        <v>1</v>
      </c>
      <c r="J23" s="59">
        <f t="shared" si="1"/>
        <v>0</v>
      </c>
      <c r="K23" cm="1">
        <f t="array" ref="K23">_xlfn.IFS(H23=3,1+K22,H23=1,1+K22,H23=0,0)</f>
        <v>1</v>
      </c>
      <c r="L23" cm="1">
        <f t="array" ref="L23">_xlfn.IFS(H23=0,1+L22,H23=1,1+L22,H23=3,0)</f>
        <v>0</v>
      </c>
    </row>
    <row r="24" spans="1:22" x14ac:dyDescent="0.2">
      <c r="A24">
        <v>23</v>
      </c>
      <c r="B24" s="1">
        <v>43848</v>
      </c>
      <c r="C24" t="str">
        <v>Arsenal FC</v>
      </c>
      <c r="D24">
        <v>1</v>
      </c>
      <c r="E24" t="str">
        <v>Sheffield United FC</v>
      </c>
      <c r="F24">
        <v>1</v>
      </c>
      <c r="H24" s="59" cm="1">
        <f t="array" ref="H24">_xlfn.IFS(AND(C24=$N$18,D24&gt;F24),3,AND(E24=$N$18,F24&gt;D24),3,AND(C24=$N$18,D24=F24),1,AND(E24=$N$18,D24=F24),1,AND(C24=$N$18,D24&lt;F24),0,AND(E24=$N$18,F24&lt;D24),0)</f>
        <v>1</v>
      </c>
      <c r="I24">
        <f t="shared" si="0"/>
        <v>0</v>
      </c>
      <c r="J24" s="59">
        <f t="shared" si="1"/>
        <v>0</v>
      </c>
      <c r="K24" cm="1">
        <f t="array" ref="K24">_xlfn.IFS(H24=3,1+K23,H24=1,1+K23,H24=0,0)</f>
        <v>2</v>
      </c>
      <c r="L24" cm="1">
        <f t="array" ref="L24">_xlfn.IFS(H24=0,1+L23,H24=1,1+L23,H24=3,0)</f>
        <v>1</v>
      </c>
    </row>
    <row r="25" spans="1:22" x14ac:dyDescent="0.2">
      <c r="A25">
        <v>24</v>
      </c>
      <c r="B25" s="1">
        <v>43851</v>
      </c>
      <c r="C25" t="str">
        <v>Sheffield United FC</v>
      </c>
      <c r="D25">
        <v>0</v>
      </c>
      <c r="E25" t="str">
        <v>Manchester City FC</v>
      </c>
      <c r="F25">
        <v>1</v>
      </c>
      <c r="H25" s="59" cm="1">
        <f t="array" ref="H25">_xlfn.IFS(AND(C25=$N$18,D25&gt;F25),3,AND(E25=$N$18,F25&gt;D25),3,AND(C25=$N$18,D25=F25),1,AND(E25=$N$18,D25=F25),1,AND(C25=$N$18,D25&lt;F25),0,AND(E25=$N$18,F25&lt;D25),0)</f>
        <v>0</v>
      </c>
      <c r="I25">
        <f t="shared" si="0"/>
        <v>0</v>
      </c>
      <c r="J25" s="59">
        <f t="shared" si="1"/>
        <v>1</v>
      </c>
      <c r="K25" cm="1">
        <f t="array" ref="K25">_xlfn.IFS(H25=3,1+K24,H25=1,1+K24,H25=0,0)</f>
        <v>0</v>
      </c>
      <c r="L25" cm="1">
        <f t="array" ref="L25">_xlfn.IFS(H25=0,1+L24,H25=1,1+L24,H25=3,0)</f>
        <v>2</v>
      </c>
    </row>
    <row r="26" spans="1:22" x14ac:dyDescent="0.2">
      <c r="A26">
        <v>25</v>
      </c>
      <c r="B26" s="1">
        <v>43862</v>
      </c>
      <c r="C26" t="str">
        <v>Crystal Palace FC</v>
      </c>
      <c r="D26">
        <v>0</v>
      </c>
      <c r="E26" t="str">
        <v>Sheffield United FC</v>
      </c>
      <c r="F26">
        <v>1</v>
      </c>
      <c r="H26" s="59" cm="1">
        <f t="array" ref="H26">_xlfn.IFS(AND(C26=$N$18,D26&gt;F26),3,AND(E26=$N$18,F26&gt;D26),3,AND(C26=$N$18,D26=F26),1,AND(E26=$N$18,D26=F26),1,AND(C26=$N$18,D26&lt;F26),0,AND(E26=$N$18,F26&lt;D26),0)</f>
        <v>3</v>
      </c>
      <c r="I26">
        <f t="shared" si="0"/>
        <v>1</v>
      </c>
      <c r="J26" s="59">
        <f t="shared" si="1"/>
        <v>0</v>
      </c>
      <c r="K26" cm="1">
        <f t="array" ref="K26">_xlfn.IFS(H26=3,1+K25,H26=1,1+K25,H26=0,0)</f>
        <v>1</v>
      </c>
      <c r="L26" cm="1">
        <f t="array" ref="L26">_xlfn.IFS(H26=0,1+L25,H26=1,1+L25,H26=3,0)</f>
        <v>0</v>
      </c>
    </row>
    <row r="27" spans="1:22" x14ac:dyDescent="0.2">
      <c r="A27">
        <v>26</v>
      </c>
      <c r="B27" s="1">
        <v>43870</v>
      </c>
      <c r="C27" t="str">
        <v>Sheffield United FC</v>
      </c>
      <c r="D27">
        <v>2</v>
      </c>
      <c r="E27" t="str">
        <v>AFC Bournemouth</v>
      </c>
      <c r="F27">
        <v>1</v>
      </c>
      <c r="H27" s="59" cm="1">
        <f t="array" ref="H27">_xlfn.IFS(AND(C27=$N$18,D27&gt;F27),3,AND(E27=$N$18,F27&gt;D27),3,AND(C27=$N$18,D27=F27),1,AND(E27=$N$18,D27=F27),1,AND(C27=$N$18,D27&lt;F27),0,AND(E27=$N$18,F27&lt;D27),0)</f>
        <v>3</v>
      </c>
      <c r="I27">
        <f t="shared" si="0"/>
        <v>2</v>
      </c>
      <c r="J27" s="59">
        <f t="shared" si="1"/>
        <v>0</v>
      </c>
      <c r="K27" cm="1">
        <f t="array" ref="K27">_xlfn.IFS(H27=3,1+K26,H27=1,1+K26,H27=0,0)</f>
        <v>2</v>
      </c>
      <c r="L27" cm="1">
        <f t="array" ref="L27">_xlfn.IFS(H27=0,1+L26,H27=1,1+L26,H27=3,0)</f>
        <v>0</v>
      </c>
    </row>
    <row r="28" spans="1:22" x14ac:dyDescent="0.2">
      <c r="A28">
        <v>27</v>
      </c>
      <c r="B28" s="1">
        <v>43883</v>
      </c>
      <c r="C28" t="str">
        <v>Sheffield United FC</v>
      </c>
      <c r="D28">
        <v>1</v>
      </c>
      <c r="E28" t="str">
        <v>Brighton &amp; Hove Albion FC</v>
      </c>
      <c r="F28">
        <v>1</v>
      </c>
      <c r="H28" s="59" cm="1">
        <f t="array" ref="H28">_xlfn.IFS(AND(C28=$N$18,D28&gt;F28),3,AND(E28=$N$18,F28&gt;D28),3,AND(C28=$N$18,D28=F28),1,AND(E28=$N$18,D28=F28),1,AND(C28=$N$18,D28&lt;F28),0,AND(E28=$N$18,F28&lt;D28),0)</f>
        <v>1</v>
      </c>
      <c r="I28">
        <f t="shared" si="0"/>
        <v>0</v>
      </c>
      <c r="J28" s="59">
        <f t="shared" si="1"/>
        <v>0</v>
      </c>
      <c r="K28" cm="1">
        <f t="array" ref="K28">_xlfn.IFS(H28=3,1+K27,H28=1,1+K27,H28=0,0)</f>
        <v>3</v>
      </c>
      <c r="L28" cm="1">
        <f t="array" ref="L28">_xlfn.IFS(H28=0,1+L27,H28=1,1+L27,H28=3,0)</f>
        <v>1</v>
      </c>
    </row>
    <row r="29" spans="1:22" x14ac:dyDescent="0.2">
      <c r="A29">
        <v>28</v>
      </c>
      <c r="B29" s="1">
        <v>43999</v>
      </c>
      <c r="C29" t="str">
        <v>Aston Villa FC</v>
      </c>
      <c r="D29">
        <v>0</v>
      </c>
      <c r="E29" t="str">
        <v>Sheffield United FC</v>
      </c>
      <c r="F29">
        <v>0</v>
      </c>
      <c r="H29" s="59" cm="1">
        <f t="array" ref="H29">_xlfn.IFS(AND(C29=$N$18,D29&gt;F29),3,AND(E29=$N$18,F29&gt;D29),3,AND(C29=$N$18,D29=F29),1,AND(E29=$N$18,D29=F29),1,AND(C29=$N$18,D29&lt;F29),0,AND(E29=$N$18,F29&lt;D29),0)</f>
        <v>1</v>
      </c>
      <c r="I29">
        <f t="shared" si="0"/>
        <v>0</v>
      </c>
      <c r="J29" s="59">
        <f t="shared" si="1"/>
        <v>0</v>
      </c>
      <c r="K29" cm="1">
        <f t="array" ref="K29">_xlfn.IFS(H29=3,1+K28,H29=1,1+K28,H29=0,0)</f>
        <v>4</v>
      </c>
      <c r="L29" cm="1">
        <f t="array" ref="L29">_xlfn.IFS(H29=0,1+L28,H29=1,1+L28,H29=3,0)</f>
        <v>2</v>
      </c>
    </row>
    <row r="30" spans="1:22" x14ac:dyDescent="0.2">
      <c r="A30">
        <v>29</v>
      </c>
      <c r="B30" s="1">
        <v>43897</v>
      </c>
      <c r="C30" t="str">
        <v>Sheffield United FC</v>
      </c>
      <c r="D30">
        <v>1</v>
      </c>
      <c r="E30" t="str">
        <v>Norwich City FC</v>
      </c>
      <c r="F30">
        <v>0</v>
      </c>
      <c r="H30" s="59" cm="1">
        <f t="array" ref="H30">_xlfn.IFS(AND(C30=$N$18,D30&gt;F30),3,AND(E30=$N$18,F30&gt;D30),3,AND(C30=$N$18,D30=F30),1,AND(E30=$N$18,D30=F30),1,AND(C30=$N$18,D30&lt;F30),0,AND(E30=$N$18,F30&lt;D30),0)</f>
        <v>3</v>
      </c>
      <c r="I30">
        <f t="shared" si="0"/>
        <v>1</v>
      </c>
      <c r="J30" s="59">
        <f t="shared" si="1"/>
        <v>0</v>
      </c>
      <c r="K30" cm="1">
        <f t="array" ref="K30">_xlfn.IFS(H30=3,1+K29,H30=1,1+K29,H30=0,0)</f>
        <v>5</v>
      </c>
      <c r="L30" cm="1">
        <f t="array" ref="L30">_xlfn.IFS(H30=0,1+L29,H30=1,1+L29,H30=3,0)</f>
        <v>0</v>
      </c>
    </row>
    <row r="31" spans="1:22" x14ac:dyDescent="0.2">
      <c r="A31">
        <v>30</v>
      </c>
      <c r="B31" s="1">
        <v>44003</v>
      </c>
      <c r="C31" t="str">
        <v>Newcastle United FC</v>
      </c>
      <c r="D31">
        <v>3</v>
      </c>
      <c r="E31" t="str">
        <v>Sheffield United FC</v>
      </c>
      <c r="F31">
        <v>0</v>
      </c>
      <c r="H31" s="59" cm="1">
        <f t="array" ref="H31">_xlfn.IFS(AND(C31=$N$18,D31&gt;F31),3,AND(E31=$N$18,F31&gt;D31),3,AND(C31=$N$18,D31=F31),1,AND(E31=$N$18,D31=F31),1,AND(C31=$N$18,D31&lt;F31),0,AND(E31=$N$18,F31&lt;D31),0)</f>
        <v>0</v>
      </c>
      <c r="I31">
        <f t="shared" si="0"/>
        <v>0</v>
      </c>
      <c r="J31" s="59">
        <f t="shared" si="1"/>
        <v>1</v>
      </c>
      <c r="K31" cm="1">
        <f t="array" ref="K31">_xlfn.IFS(H31=3,1+K30,H31=1,1+K30,H31=0,0)</f>
        <v>0</v>
      </c>
      <c r="L31" cm="1">
        <f t="array" ref="L31">_xlfn.IFS(H31=0,1+L30,H31=1,1+L30,H31=3,0)</f>
        <v>1</v>
      </c>
    </row>
    <row r="32" spans="1:22" x14ac:dyDescent="0.2">
      <c r="A32">
        <v>31</v>
      </c>
      <c r="B32" s="1">
        <v>44006</v>
      </c>
      <c r="C32" t="str">
        <v>Manchester United FC</v>
      </c>
      <c r="D32">
        <v>3</v>
      </c>
      <c r="E32" t="str">
        <v>Sheffield United FC</v>
      </c>
      <c r="F32">
        <v>0</v>
      </c>
      <c r="H32" s="59" cm="1">
        <f t="array" ref="H32">_xlfn.IFS(AND(C32=$N$18,D32&gt;F32),3,AND(E32=$N$18,F32&gt;D32),3,AND(C32=$N$18,D32=F32),1,AND(E32=$N$18,D32=F32),1,AND(C32=$N$18,D32&lt;F32),0,AND(E32=$N$18,F32&lt;D32),0)</f>
        <v>0</v>
      </c>
      <c r="I32">
        <f t="shared" si="0"/>
        <v>0</v>
      </c>
      <c r="J32" s="59">
        <f t="shared" si="1"/>
        <v>2</v>
      </c>
      <c r="K32" cm="1">
        <f t="array" ref="K32">_xlfn.IFS(H32=3,1+K31,H32=1,1+K31,H32=0,0)</f>
        <v>0</v>
      </c>
      <c r="L32" cm="1">
        <f t="array" ref="L32">_xlfn.IFS(H32=0,1+L31,H32=1,1+L31,H32=3,0)</f>
        <v>2</v>
      </c>
    </row>
    <row r="33" spans="1:12" x14ac:dyDescent="0.2">
      <c r="A33">
        <v>32</v>
      </c>
      <c r="B33" s="1">
        <v>44014</v>
      </c>
      <c r="C33" t="str">
        <v>Sheffield United FC</v>
      </c>
      <c r="D33">
        <v>3</v>
      </c>
      <c r="E33" t="str">
        <v>Tottenham Hotspur FC</v>
      </c>
      <c r="F33">
        <v>1</v>
      </c>
      <c r="H33" s="59" cm="1">
        <f t="array" ref="H33">_xlfn.IFS(AND(C33=$N$18,D33&gt;F33),3,AND(E33=$N$18,F33&gt;D33),3,AND(C33=$N$18,D33=F33),1,AND(E33=$N$18,D33=F33),1,AND(C33=$N$18,D33&lt;F33),0,AND(E33=$N$18,F33&lt;D33),0)</f>
        <v>3</v>
      </c>
      <c r="I33">
        <f t="shared" si="0"/>
        <v>1</v>
      </c>
      <c r="J33" s="59">
        <f t="shared" si="1"/>
        <v>0</v>
      </c>
      <c r="K33" cm="1">
        <f t="array" ref="K33">_xlfn.IFS(H33=3,1+K32,H33=1,1+K32,H33=0,0)</f>
        <v>1</v>
      </c>
      <c r="L33" cm="1">
        <f t="array" ref="L33">_xlfn.IFS(H33=0,1+L32,H33=1,1+L32,H33=3,0)</f>
        <v>0</v>
      </c>
    </row>
    <row r="34" spans="1:12" x14ac:dyDescent="0.2">
      <c r="A34">
        <v>33</v>
      </c>
      <c r="B34" s="1">
        <v>44017</v>
      </c>
      <c r="C34" t="str">
        <v>Burnley FC</v>
      </c>
      <c r="D34">
        <v>1</v>
      </c>
      <c r="E34" t="str">
        <v>Sheffield United FC</v>
      </c>
      <c r="F34">
        <v>1</v>
      </c>
      <c r="H34" s="59" cm="1">
        <f t="array" ref="H34">_xlfn.IFS(AND(C34=$N$18,D34&gt;F34),3,AND(E34=$N$18,F34&gt;D34),3,AND(C34=$N$18,D34=F34),1,AND(E34=$N$18,D34=F34),1,AND(C34=$N$18,D34&lt;F34),0,AND(E34=$N$18,F34&lt;D34),0)</f>
        <v>1</v>
      </c>
      <c r="I34">
        <f t="shared" si="0"/>
        <v>0</v>
      </c>
      <c r="J34" s="59">
        <f t="shared" si="1"/>
        <v>0</v>
      </c>
      <c r="K34" cm="1">
        <f t="array" ref="K34">_xlfn.IFS(H34=3,1+K33,H34=1,1+K33,H34=0,0)</f>
        <v>2</v>
      </c>
      <c r="L34" cm="1">
        <f t="array" ref="L34">_xlfn.IFS(H34=0,1+L33,H34=1,1+L33,H34=3,0)</f>
        <v>1</v>
      </c>
    </row>
    <row r="35" spans="1:12" x14ac:dyDescent="0.2">
      <c r="A35">
        <v>34</v>
      </c>
      <c r="B35" s="1">
        <v>44020</v>
      </c>
      <c r="C35" t="str">
        <v>Sheffield United FC</v>
      </c>
      <c r="D35">
        <v>1</v>
      </c>
      <c r="E35" t="str">
        <v>Wolverhampton Wanderers FC</v>
      </c>
      <c r="F35">
        <v>0</v>
      </c>
      <c r="H35" s="59" cm="1">
        <f t="array" ref="H35">_xlfn.IFS(AND(C35=$N$18,D35&gt;F35),3,AND(E35=$N$18,F35&gt;D35),3,AND(C35=$N$18,D35=F35),1,AND(E35=$N$18,D35=F35),1,AND(C35=$N$18,D35&lt;F35),0,AND(E35=$N$18,F35&lt;D35),0)</f>
        <v>3</v>
      </c>
      <c r="I35">
        <f t="shared" si="0"/>
        <v>1</v>
      </c>
      <c r="J35" s="59">
        <f t="shared" si="1"/>
        <v>0</v>
      </c>
      <c r="K35" cm="1">
        <f t="array" ref="K35">_xlfn.IFS(H35=3,1+K34,H35=1,1+K34,H35=0,0)</f>
        <v>3</v>
      </c>
      <c r="L35" cm="1">
        <f t="array" ref="L35">_xlfn.IFS(H35=0,1+L34,H35=1,1+L34,H35=3,0)</f>
        <v>0</v>
      </c>
    </row>
    <row r="36" spans="1:12" x14ac:dyDescent="0.2">
      <c r="A36">
        <v>35</v>
      </c>
      <c r="B36" s="1">
        <v>44023</v>
      </c>
      <c r="C36" t="str">
        <v>Sheffield United FC</v>
      </c>
      <c r="D36">
        <v>3</v>
      </c>
      <c r="E36" t="str">
        <v>Chelsea FC</v>
      </c>
      <c r="F36">
        <v>0</v>
      </c>
      <c r="H36" s="59" cm="1">
        <f t="array" ref="H36">_xlfn.IFS(AND(C36=$N$18,D36&gt;F36),3,AND(E36=$N$18,F36&gt;D36),3,AND(C36=$N$18,D36=F36),1,AND(E36=$N$18,D36=F36),1,AND(C36=$N$18,D36&lt;F36),0,AND(E36=$N$18,F36&lt;D36),0)</f>
        <v>3</v>
      </c>
      <c r="I36">
        <f t="shared" si="0"/>
        <v>2</v>
      </c>
      <c r="J36" s="59">
        <f t="shared" si="1"/>
        <v>0</v>
      </c>
      <c r="K36" cm="1">
        <f t="array" ref="K36">_xlfn.IFS(H36=3,1+K35,H36=1,1+K35,H36=0,0)</f>
        <v>4</v>
      </c>
      <c r="L36" cm="1">
        <f t="array" ref="L36">_xlfn.IFS(H36=0,1+L35,H36=1,1+L35,H36=3,0)</f>
        <v>0</v>
      </c>
    </row>
    <row r="37" spans="1:12" x14ac:dyDescent="0.2">
      <c r="A37">
        <v>36</v>
      </c>
      <c r="B37" s="1">
        <v>44028</v>
      </c>
      <c r="C37" t="str">
        <v>Leicester City FC</v>
      </c>
      <c r="D37">
        <v>2</v>
      </c>
      <c r="E37" t="str">
        <v>Sheffield United FC</v>
      </c>
      <c r="F37">
        <v>0</v>
      </c>
      <c r="H37" s="59" cm="1">
        <f t="array" ref="H37">_xlfn.IFS(AND(C37=$N$18,D37&gt;F37),3,AND(E37=$N$18,F37&gt;D37),3,AND(C37=$N$18,D37=F37),1,AND(E37=$N$18,D37=F37),1,AND(C37=$N$18,D37&lt;F37),0,AND(E37=$N$18,F37&lt;D37),0)</f>
        <v>0</v>
      </c>
      <c r="I37">
        <f t="shared" si="0"/>
        <v>0</v>
      </c>
      <c r="J37" s="59">
        <f t="shared" si="1"/>
        <v>1</v>
      </c>
      <c r="K37" cm="1">
        <f t="array" ref="K37">_xlfn.IFS(H37=3,1+K36,H37=1,1+K36,H37=0,0)</f>
        <v>0</v>
      </c>
      <c r="L37" cm="1">
        <f t="array" ref="L37">_xlfn.IFS(H37=0,1+L36,H37=1,1+L36,H37=3,0)</f>
        <v>1</v>
      </c>
    </row>
    <row r="38" spans="1:12" x14ac:dyDescent="0.2">
      <c r="A38">
        <v>37</v>
      </c>
      <c r="B38" s="1">
        <v>44032</v>
      </c>
      <c r="C38" t="str">
        <v>Sheffield United FC</v>
      </c>
      <c r="D38">
        <v>0</v>
      </c>
      <c r="E38" t="str">
        <v>Everton FC</v>
      </c>
      <c r="F38">
        <v>1</v>
      </c>
      <c r="H38" s="59" cm="1">
        <f t="array" ref="H38">_xlfn.IFS(AND(C38=$N$18,D38&gt;F38),3,AND(E38=$N$18,F38&gt;D38),3,AND(C38=$N$18,D38=F38),1,AND(E38=$N$18,D38=F38),1,AND(C38=$N$18,D38&lt;F38),0,AND(E38=$N$18,F38&lt;D38),0)</f>
        <v>0</v>
      </c>
      <c r="I38">
        <f t="shared" si="0"/>
        <v>0</v>
      </c>
      <c r="J38" s="59">
        <f t="shared" si="1"/>
        <v>2</v>
      </c>
      <c r="K38" cm="1">
        <f t="array" ref="K38">_xlfn.IFS(H38=3,1+K37,H38=1,1+K37,H38=0,0)</f>
        <v>0</v>
      </c>
      <c r="L38" cm="1">
        <f t="array" ref="L38">_xlfn.IFS(H38=0,1+L37,H38=1,1+L37,H38=3,0)</f>
        <v>2</v>
      </c>
    </row>
    <row r="39" spans="1:12" x14ac:dyDescent="0.2">
      <c r="A39">
        <v>38</v>
      </c>
      <c r="B39" s="1">
        <v>44038</v>
      </c>
      <c r="C39" t="str">
        <v>Southampton FC</v>
      </c>
      <c r="D39">
        <v>3</v>
      </c>
      <c r="E39" t="str">
        <v>Sheffield United FC</v>
      </c>
      <c r="F39">
        <v>1</v>
      </c>
      <c r="H39" s="59" cm="1">
        <f t="array" ref="H39">_xlfn.IFS(AND(C39=$N$18,D39&gt;F39),3,AND(E39=$N$18,F39&gt;D39),3,AND(C39=$N$18,D39=F39),1,AND(E39=$N$18,D39=F39),1,AND(C39=$N$18,D39&lt;F39),0,AND(E39=$N$18,F39&lt;D39),0)</f>
        <v>0</v>
      </c>
      <c r="I39">
        <f t="shared" si="0"/>
        <v>0</v>
      </c>
      <c r="J39" s="59">
        <f t="shared" si="1"/>
        <v>3</v>
      </c>
      <c r="K39" cm="1">
        <f t="array" ref="K39">_xlfn.IFS(H39=3,1+K38,H39=1,1+K38,H39=0,0)</f>
        <v>0</v>
      </c>
      <c r="L39" cm="1">
        <f t="array" ref="L39">_xlfn.IFS(H39=0,1+L38,H39=1,1+L38,H39=3,0)</f>
        <v>3</v>
      </c>
    </row>
  </sheetData>
  <conditionalFormatting sqref="G2:G39">
    <cfRule type="expression" dxfId="17" priority="5">
      <formula>AND($E2=$N$18,$F2&gt;$D2)</formula>
    </cfRule>
  </conditionalFormatting>
  <conditionalFormatting sqref="G2:G39">
    <cfRule type="expression" dxfId="16" priority="4">
      <formula>AND($E2=$N$18,$F2&lt;$D2)</formula>
    </cfRule>
  </conditionalFormatting>
  <conditionalFormatting sqref="G2:G39">
    <cfRule type="expression" dxfId="15" priority="3">
      <formula>$D2=$F2</formula>
    </cfRule>
  </conditionalFormatting>
  <conditionalFormatting sqref="G2:G39">
    <cfRule type="expression" dxfId="14" priority="2">
      <formula>AND($C2=$N$18,$D2&lt;$F2)</formula>
    </cfRule>
  </conditionalFormatting>
  <conditionalFormatting sqref="G2:G39">
    <cfRule type="expression" dxfId="13" priority="1">
      <formula>AND($C2=$N$18,$D2&gt;$F2)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FFEFE-6398-481D-A884-460DF62633C9}">
  <sheetPr codeName="Sheet23"/>
  <dimension ref="A1:V39"/>
  <sheetViews>
    <sheetView zoomScale="60" zoomScaleNormal="60" workbookViewId="0"/>
  </sheetViews>
  <sheetFormatPr baseColWidth="10" defaultColWidth="8.83203125" defaultRowHeight="15" x14ac:dyDescent="0.2"/>
  <cols>
    <col min="1" max="1" width="8.5" customWidth="1"/>
    <col min="2" max="2" width="10.5" style="1" customWidth="1"/>
    <col min="3" max="3" width="27.1640625" customWidth="1"/>
    <col min="4" max="4" width="12.5" customWidth="1"/>
    <col min="5" max="5" width="27.1640625" customWidth="1"/>
    <col min="6" max="6" width="12.5" customWidth="1"/>
    <col min="7" max="7" width="8.5" customWidth="1"/>
    <col min="14" max="14" width="14.33203125" bestFit="1" customWidth="1"/>
    <col min="15" max="22" width="10.6640625" customWidth="1"/>
  </cols>
  <sheetData>
    <row r="1" spans="1:20" ht="32" x14ac:dyDescent="0.2">
      <c r="A1" s="67" t="s">
        <v>0</v>
      </c>
      <c r="B1" s="71" t="s">
        <v>1</v>
      </c>
      <c r="C1" s="68" t="s">
        <v>2</v>
      </c>
      <c r="D1" s="68" t="s">
        <v>3</v>
      </c>
      <c r="E1" s="68" t="s">
        <v>4</v>
      </c>
      <c r="F1" s="69" t="s">
        <v>5</v>
      </c>
      <c r="G1" s="70" t="s">
        <v>71</v>
      </c>
      <c r="H1" s="70" t="s">
        <v>19</v>
      </c>
      <c r="I1" s="81" t="s">
        <v>72</v>
      </c>
      <c r="J1" s="81" t="s">
        <v>53</v>
      </c>
      <c r="K1" s="81" t="s">
        <v>55</v>
      </c>
      <c r="L1" s="81" t="s">
        <v>73</v>
      </c>
      <c r="Q1" s="58" t="s">
        <v>74</v>
      </c>
      <c r="R1" t="s">
        <v>75</v>
      </c>
      <c r="S1" t="s">
        <v>76</v>
      </c>
      <c r="T1" s="63" t="s">
        <v>77</v>
      </c>
    </row>
    <row r="2" spans="1:20" x14ac:dyDescent="0.2">
      <c r="A2" cm="1">
        <f t="array" ref="A2:F39">_xlfn._xlws.FILTER(eng_1[],(eng_1[Home]='England 1'!C20)+(eng_1[Away]='England 1'!E11))</f>
        <v>1</v>
      </c>
      <c r="B2" s="1">
        <v>43688</v>
      </c>
      <c r="C2" t="str">
        <v>Manchester United FC</v>
      </c>
      <c r="D2">
        <v>4</v>
      </c>
      <c r="E2" t="str">
        <v>Chelsea FC</v>
      </c>
      <c r="F2">
        <v>0</v>
      </c>
      <c r="H2" s="59" cm="1">
        <f t="array" ref="H2">_xlfn.IFS(AND(C2=$N$18,D2&gt;F2),3,AND(E2=$N$18,F2&gt;D2),3,AND(C2=$N$18,D2=F2),1,AND(E2=$N$18,D2=F2),1,AND(C2=$N$18,D2&lt;F2),0,AND(E2=$N$18,F2&lt;D2),0)</f>
        <v>0</v>
      </c>
      <c r="I2" cm="1">
        <f t="array" ref="I2">_xlfn.IFS(H2=3,1,H2=1,0,H2=0,0)</f>
        <v>0</v>
      </c>
      <c r="J2" s="59" cm="1">
        <f t="array" ref="J2">_xlfn.IFS(H2=0,1,H2=1,0,H2=3,0)</f>
        <v>1</v>
      </c>
      <c r="K2" cm="1">
        <f t="array" ref="K2">_xlfn.IFS(H2=3,1,H2=1,1,H2=0,0)</f>
        <v>0</v>
      </c>
      <c r="L2" cm="1">
        <f t="array" ref="L2">_xlfn.IFS(H2=0,1,H2=1,1,H2=3,0)</f>
        <v>1</v>
      </c>
      <c r="M2" s="3"/>
      <c r="Q2" s="56" t="s">
        <v>78</v>
      </c>
      <c r="R2">
        <v>20</v>
      </c>
      <c r="S2">
        <v>35</v>
      </c>
      <c r="T2" s="60">
        <v>1.75</v>
      </c>
    </row>
    <row r="3" spans="1:20" x14ac:dyDescent="0.2">
      <c r="A3">
        <v>2</v>
      </c>
      <c r="B3" s="1">
        <v>43695</v>
      </c>
      <c r="C3" t="str">
        <v>Chelsea FC</v>
      </c>
      <c r="D3">
        <v>1</v>
      </c>
      <c r="E3" t="str">
        <v>Leicester City FC</v>
      </c>
      <c r="F3">
        <v>1</v>
      </c>
      <c r="H3" s="59" cm="1">
        <f t="array" ref="H3">_xlfn.IFS(AND(C3=$N$18,D3&gt;F3),3,AND(E3=$N$18,F3&gt;D3),3,AND(C3=$N$18,D3=F3),1,AND(E3=$N$18,D3=F3),1,AND(C3=$N$18,D3&lt;F3),0,AND(E3=$N$18,F3&lt;D3),0)</f>
        <v>1</v>
      </c>
      <c r="I3">
        <f t="shared" ref="I3:I39" si="0">IF(H3=3,1+I2,0)</f>
        <v>0</v>
      </c>
      <c r="J3" s="59">
        <f t="shared" ref="J3:J39" si="1">IF(H3=0,1+J2,0)</f>
        <v>0</v>
      </c>
      <c r="K3" cm="1">
        <f t="array" ref="K3">_xlfn.IFS(H3=3,1+K2,H3=1,1+K2,H3=0,0)</f>
        <v>1</v>
      </c>
      <c r="L3" cm="1">
        <f t="array" ref="L3">_xlfn.IFS(H3=0,1+L2,H3=1,1+L2,H3=3,0)</f>
        <v>2</v>
      </c>
      <c r="M3" s="3"/>
      <c r="N3" s="48" t="s">
        <v>79</v>
      </c>
      <c r="O3" s="48" t="s">
        <v>80</v>
      </c>
      <c r="Q3" s="57" t="s">
        <v>81</v>
      </c>
      <c r="R3">
        <v>4</v>
      </c>
      <c r="S3">
        <v>5</v>
      </c>
      <c r="T3" s="60">
        <v>1.25</v>
      </c>
    </row>
    <row r="4" spans="1:20" x14ac:dyDescent="0.2">
      <c r="A4">
        <v>3</v>
      </c>
      <c r="B4" s="1">
        <v>43701</v>
      </c>
      <c r="C4" t="str">
        <v>Norwich City FC</v>
      </c>
      <c r="D4">
        <v>2</v>
      </c>
      <c r="E4" t="str">
        <v>Chelsea FC</v>
      </c>
      <c r="F4">
        <v>3</v>
      </c>
      <c r="H4" s="59" cm="1">
        <f t="array" ref="H4">_xlfn.IFS(AND(C4=$N$18,D4&gt;F4),3,AND(E4=$N$18,F4&gt;D4),3,AND(C4=$N$18,D4=F4),1,AND(E4=$N$18,D4=F4),1,AND(C4=$N$18,D4&lt;F4),0,AND(E4=$N$18,F4&lt;D4),0)</f>
        <v>3</v>
      </c>
      <c r="I4">
        <f t="shared" si="0"/>
        <v>1</v>
      </c>
      <c r="J4" s="59">
        <f t="shared" si="1"/>
        <v>0</v>
      </c>
      <c r="K4" cm="1">
        <f t="array" ref="K4">_xlfn.IFS(H4=3,1+K3,H4=1,1+K3,H4=0,0)</f>
        <v>2</v>
      </c>
      <c r="L4" cm="1">
        <f t="array" ref="L4">_xlfn.IFS(H4=0,1+L3,H4=1,1+L3,H4=3,0)</f>
        <v>0</v>
      </c>
      <c r="M4" s="3"/>
      <c r="N4" s="49" t="s">
        <v>82</v>
      </c>
      <c r="O4" s="50"/>
      <c r="Q4" s="57" t="s">
        <v>83</v>
      </c>
      <c r="R4">
        <v>3</v>
      </c>
      <c r="S4">
        <v>6</v>
      </c>
      <c r="T4" s="60">
        <v>2</v>
      </c>
    </row>
    <row r="5" spans="1:20" x14ac:dyDescent="0.2">
      <c r="A5">
        <v>4</v>
      </c>
      <c r="B5" s="1">
        <v>43708</v>
      </c>
      <c r="C5" t="str">
        <v>Chelsea FC</v>
      </c>
      <c r="D5">
        <v>2</v>
      </c>
      <c r="E5" t="str">
        <v>Sheffield United FC</v>
      </c>
      <c r="F5">
        <v>2</v>
      </c>
      <c r="H5" s="59" cm="1">
        <f t="array" ref="H5">_xlfn.IFS(AND(C5=$N$18,D5&gt;F5),3,AND(E5=$N$18,F5&gt;D5),3,AND(C5=$N$18,D5=F5),1,AND(E5=$N$18,D5=F5),1,AND(C5=$N$18,D5&lt;F5),0,AND(E5=$N$18,F5&lt;D5),0)</f>
        <v>1</v>
      </c>
      <c r="I5">
        <f t="shared" si="0"/>
        <v>0</v>
      </c>
      <c r="J5" s="59">
        <f t="shared" si="1"/>
        <v>0</v>
      </c>
      <c r="K5" cm="1">
        <f t="array" ref="K5">_xlfn.IFS(H5=3,1+K4,H5=1,1+K4,H5=0,0)</f>
        <v>3</v>
      </c>
      <c r="L5" cm="1">
        <f t="array" ref="L5">_xlfn.IFS(H5=0,1+L4,H5=1,1+L4,H5=3,0)</f>
        <v>1</v>
      </c>
      <c r="M5" s="3"/>
      <c r="N5" s="49" t="s">
        <v>84</v>
      </c>
      <c r="O5" s="51"/>
      <c r="Q5" s="57" t="s">
        <v>85</v>
      </c>
      <c r="R5">
        <v>3</v>
      </c>
      <c r="S5">
        <v>9</v>
      </c>
      <c r="T5" s="60">
        <v>3</v>
      </c>
    </row>
    <row r="6" spans="1:20" x14ac:dyDescent="0.2">
      <c r="A6">
        <v>5</v>
      </c>
      <c r="B6" s="1">
        <v>43722</v>
      </c>
      <c r="C6" t="str">
        <v>Wolverhampton Wanderers FC</v>
      </c>
      <c r="D6">
        <v>2</v>
      </c>
      <c r="E6" t="str">
        <v>Chelsea FC</v>
      </c>
      <c r="F6">
        <v>5</v>
      </c>
      <c r="H6" s="59" cm="1">
        <f t="array" ref="H6">_xlfn.IFS(AND(C6=$N$18,D6&gt;F6),3,AND(E6=$N$18,F6&gt;D6),3,AND(C6=$N$18,D6=F6),1,AND(E6=$N$18,D6=F6),1,AND(C6=$N$18,D6&lt;F6),0,AND(E6=$N$18,F6&lt;D6),0)</f>
        <v>3</v>
      </c>
      <c r="I6">
        <f t="shared" si="0"/>
        <v>1</v>
      </c>
      <c r="J6" s="59">
        <f t="shared" si="1"/>
        <v>0</v>
      </c>
      <c r="K6" cm="1">
        <f t="array" ref="K6">_xlfn.IFS(H6=3,1+K5,H6=1,1+K5,H6=0,0)</f>
        <v>4</v>
      </c>
      <c r="L6" cm="1">
        <f t="array" ref="L6">_xlfn.IFS(H6=0,1+L5,H6=1,1+L5,H6=3,0)</f>
        <v>0</v>
      </c>
      <c r="M6" s="3"/>
      <c r="N6" s="49" t="s">
        <v>86</v>
      </c>
      <c r="O6" s="52"/>
      <c r="Q6" s="57" t="s">
        <v>87</v>
      </c>
      <c r="R6">
        <v>4</v>
      </c>
      <c r="S6">
        <v>6</v>
      </c>
      <c r="T6" s="60">
        <v>1.5</v>
      </c>
    </row>
    <row r="7" spans="1:20" x14ac:dyDescent="0.2">
      <c r="A7">
        <v>6</v>
      </c>
      <c r="B7" s="1">
        <v>43730</v>
      </c>
      <c r="C7" t="str">
        <v>Chelsea FC</v>
      </c>
      <c r="D7">
        <v>1</v>
      </c>
      <c r="E7" t="str">
        <v>Liverpool FC</v>
      </c>
      <c r="F7">
        <v>2</v>
      </c>
      <c r="H7" s="59" cm="1">
        <f t="array" ref="H7">_xlfn.IFS(AND(C7=$N$18,D7&gt;F7),3,AND(E7=$N$18,F7&gt;D7),3,AND(C7=$N$18,D7=F7),1,AND(E7=$N$18,D7=F7),1,AND(C7=$N$18,D7&lt;F7),0,AND(E7=$N$18,F7&lt;D7),0)</f>
        <v>0</v>
      </c>
      <c r="I7">
        <f t="shared" si="0"/>
        <v>0</v>
      </c>
      <c r="J7" s="59">
        <f t="shared" si="1"/>
        <v>1</v>
      </c>
      <c r="K7" cm="1">
        <f t="array" ref="K7">_xlfn.IFS(H7=3,1+K6,H7=1,1+K6,H7=0,0)</f>
        <v>0</v>
      </c>
      <c r="L7" cm="1">
        <f t="array" ref="L7">_xlfn.IFS(H7=0,1+L6,H7=1,1+L6,H7=3,0)</f>
        <v>1</v>
      </c>
      <c r="M7" s="3"/>
      <c r="Q7" s="57" t="s">
        <v>88</v>
      </c>
      <c r="R7">
        <v>6</v>
      </c>
      <c r="S7">
        <v>9</v>
      </c>
      <c r="T7" s="60">
        <v>1.5</v>
      </c>
    </row>
    <row r="8" spans="1:20" x14ac:dyDescent="0.2">
      <c r="A8">
        <v>7</v>
      </c>
      <c r="B8" s="1">
        <v>43736</v>
      </c>
      <c r="C8" t="str">
        <v>Chelsea FC</v>
      </c>
      <c r="D8">
        <v>2</v>
      </c>
      <c r="E8" t="str">
        <v>Brighton &amp; Hove Albion FC</v>
      </c>
      <c r="F8">
        <v>0</v>
      </c>
      <c r="H8" s="59" cm="1">
        <f t="array" ref="H8">_xlfn.IFS(AND(C8=$N$18,D8&gt;F8),3,AND(E8=$N$18,F8&gt;D8),3,AND(C8=$N$18,D8=F8),1,AND(E8=$N$18,D8=F8),1,AND(C8=$N$18,D8&lt;F8),0,AND(E8=$N$18,F8&lt;D8),0)</f>
        <v>3</v>
      </c>
      <c r="I8">
        <f t="shared" si="0"/>
        <v>1</v>
      </c>
      <c r="J8" s="59">
        <f t="shared" si="1"/>
        <v>0</v>
      </c>
      <c r="K8" cm="1">
        <f t="array" ref="K8">_xlfn.IFS(H8=3,1+K7,H8=1,1+K7,H8=0,0)</f>
        <v>1</v>
      </c>
      <c r="L8" cm="1">
        <f t="array" ref="L8">_xlfn.IFS(H8=0,1+L7,H8=1,1+L7,H8=3,0)</f>
        <v>0</v>
      </c>
      <c r="M8" s="3"/>
      <c r="Q8" s="56" t="s">
        <v>89</v>
      </c>
      <c r="R8">
        <v>18</v>
      </c>
      <c r="S8">
        <v>31</v>
      </c>
      <c r="T8" s="60">
        <v>1.7222222222222223</v>
      </c>
    </row>
    <row r="9" spans="1:20" x14ac:dyDescent="0.2">
      <c r="A9">
        <v>8</v>
      </c>
      <c r="B9" s="1">
        <v>43744</v>
      </c>
      <c r="C9" t="str">
        <v>Southampton FC</v>
      </c>
      <c r="D9">
        <v>1</v>
      </c>
      <c r="E9" t="str">
        <v>Chelsea FC</v>
      </c>
      <c r="F9">
        <v>4</v>
      </c>
      <c r="H9" s="59" cm="1">
        <f t="array" ref="H9">_xlfn.IFS(AND(C9=$N$18,D9&gt;F9),3,AND(E9=$N$18,F9&gt;D9),3,AND(C9=$N$18,D9=F9),1,AND(E9=$N$18,D9=F9),1,AND(C9=$N$18,D9&lt;F9),0,AND(E9=$N$18,F9&lt;D9),0)</f>
        <v>3</v>
      </c>
      <c r="I9">
        <f t="shared" si="0"/>
        <v>2</v>
      </c>
      <c r="J9" s="59">
        <f t="shared" si="1"/>
        <v>0</v>
      </c>
      <c r="K9" cm="1">
        <f t="array" ref="K9">_xlfn.IFS(H9=3,1+K8,H9=1,1+K8,H9=0,0)</f>
        <v>2</v>
      </c>
      <c r="L9" cm="1">
        <f t="array" ref="L9">_xlfn.IFS(H9=0,1+L8,H9=1,1+L8,H9=3,0)</f>
        <v>0</v>
      </c>
      <c r="M9" s="3"/>
      <c r="Q9" s="57" t="s">
        <v>90</v>
      </c>
      <c r="R9">
        <v>4</v>
      </c>
      <c r="S9">
        <v>5</v>
      </c>
      <c r="T9" s="60">
        <v>1.25</v>
      </c>
    </row>
    <row r="10" spans="1:20" x14ac:dyDescent="0.2">
      <c r="A10">
        <v>9</v>
      </c>
      <c r="B10" s="1">
        <v>43757</v>
      </c>
      <c r="C10" t="str">
        <v>Chelsea FC</v>
      </c>
      <c r="D10">
        <v>1</v>
      </c>
      <c r="E10" t="str">
        <v>Newcastle United FC</v>
      </c>
      <c r="F10">
        <v>0</v>
      </c>
      <c r="H10" s="59" cm="1">
        <f t="array" ref="H10">_xlfn.IFS(AND(C10=$N$18,D10&gt;F10),3,AND(E10=$N$18,F10&gt;D10),3,AND(C10=$N$18,D10=F10),1,AND(E10=$N$18,D10=F10),1,AND(C10=$N$18,D10&lt;F10),0,AND(E10=$N$18,F10&lt;D10),0)</f>
        <v>3</v>
      </c>
      <c r="I10">
        <f t="shared" si="0"/>
        <v>3</v>
      </c>
      <c r="J10" s="59">
        <f t="shared" si="1"/>
        <v>0</v>
      </c>
      <c r="K10" cm="1">
        <f t="array" ref="K10">_xlfn.IFS(H10=3,1+K9,H10=1,1+K9,H10=0,0)</f>
        <v>3</v>
      </c>
      <c r="L10" cm="1">
        <f t="array" ref="L10">_xlfn.IFS(H10=0,1+L9,H10=1,1+L9,H10=3,0)</f>
        <v>0</v>
      </c>
      <c r="M10" s="3"/>
      <c r="Q10" s="57" t="s">
        <v>91</v>
      </c>
      <c r="R10">
        <v>4</v>
      </c>
      <c r="S10">
        <v>5</v>
      </c>
      <c r="T10" s="60">
        <v>1.25</v>
      </c>
    </row>
    <row r="11" spans="1:20" x14ac:dyDescent="0.2">
      <c r="A11">
        <v>10</v>
      </c>
      <c r="B11" s="1">
        <v>43764</v>
      </c>
      <c r="C11" t="str">
        <v>Burnley FC</v>
      </c>
      <c r="D11">
        <v>2</v>
      </c>
      <c r="E11" t="str">
        <v>Chelsea FC</v>
      </c>
      <c r="F11">
        <v>4</v>
      </c>
      <c r="H11" s="59" cm="1">
        <f t="array" ref="H11">_xlfn.IFS(AND(C11=$N$18,D11&gt;F11),3,AND(E11=$N$18,F11&gt;D11),3,AND(C11=$N$18,D11=F11),1,AND(E11=$N$18,D11=F11),1,AND(C11=$N$18,D11&lt;F11),0,AND(E11=$N$18,F11&lt;D11),0)</f>
        <v>3</v>
      </c>
      <c r="I11">
        <f t="shared" si="0"/>
        <v>4</v>
      </c>
      <c r="J11" s="59">
        <f t="shared" si="1"/>
        <v>0</v>
      </c>
      <c r="K11" cm="1">
        <f t="array" ref="K11">_xlfn.IFS(H11=3,1+K10,H11=1,1+K10,H11=0,0)</f>
        <v>4</v>
      </c>
      <c r="L11" cm="1">
        <f t="array" ref="L11">_xlfn.IFS(H11=0,1+L10,H11=1,1+L10,H11=3,0)</f>
        <v>0</v>
      </c>
      <c r="M11" s="3"/>
      <c r="Q11" s="57" t="s">
        <v>92</v>
      </c>
      <c r="R11">
        <v>1</v>
      </c>
      <c r="S11">
        <v>3</v>
      </c>
      <c r="T11" s="60">
        <v>3</v>
      </c>
    </row>
    <row r="12" spans="1:20" x14ac:dyDescent="0.2">
      <c r="A12">
        <v>11</v>
      </c>
      <c r="B12" s="1">
        <v>43771</v>
      </c>
      <c r="C12" t="str">
        <v>Watford FC</v>
      </c>
      <c r="D12">
        <v>1</v>
      </c>
      <c r="E12" t="str">
        <v>Chelsea FC</v>
      </c>
      <c r="F12">
        <v>2</v>
      </c>
      <c r="H12" s="59" cm="1">
        <f t="array" ref="H12">_xlfn.IFS(AND(C12=$N$18,D12&gt;F12),3,AND(E12=$N$18,F12&gt;D12),3,AND(C12=$N$18,D12=F12),1,AND(E12=$N$18,D12=F12),1,AND(C12=$N$18,D12&lt;F12),0,AND(E12=$N$18,F12&lt;D12),0)</f>
        <v>3</v>
      </c>
      <c r="I12">
        <f t="shared" si="0"/>
        <v>5</v>
      </c>
      <c r="J12" s="59">
        <f t="shared" si="1"/>
        <v>0</v>
      </c>
      <c r="K12" cm="1">
        <f t="array" ref="K12">_xlfn.IFS(H12=3,1+K11,H12=1,1+K11,H12=0,0)</f>
        <v>5</v>
      </c>
      <c r="L12" cm="1">
        <f t="array" ref="L12">_xlfn.IFS(H12=0,1+L11,H12=1,1+L11,H12=3,0)</f>
        <v>0</v>
      </c>
      <c r="M12" s="3"/>
      <c r="Q12" s="57" t="s">
        <v>93</v>
      </c>
      <c r="R12">
        <v>2</v>
      </c>
      <c r="S12">
        <v>6</v>
      </c>
      <c r="T12" s="60">
        <v>3</v>
      </c>
    </row>
    <row r="13" spans="1:20" x14ac:dyDescent="0.2">
      <c r="A13">
        <v>12</v>
      </c>
      <c r="B13" s="1">
        <v>43778</v>
      </c>
      <c r="C13" t="str">
        <v>Chelsea FC</v>
      </c>
      <c r="D13">
        <v>2</v>
      </c>
      <c r="E13" t="str">
        <v>Crystal Palace FC</v>
      </c>
      <c r="F13">
        <v>0</v>
      </c>
      <c r="H13" s="59" cm="1">
        <f t="array" ref="H13">_xlfn.IFS(AND(C13=$N$18,D13&gt;F13),3,AND(E13=$N$18,F13&gt;D13),3,AND(C13=$N$18,D13=F13),1,AND(E13=$N$18,D13=F13),1,AND(C13=$N$18,D13&lt;F13),0,AND(E13=$N$18,F13&lt;D13),0)</f>
        <v>3</v>
      </c>
      <c r="I13">
        <f t="shared" si="0"/>
        <v>6</v>
      </c>
      <c r="J13" s="59">
        <f t="shared" si="1"/>
        <v>0</v>
      </c>
      <c r="K13" cm="1">
        <f t="array" ref="K13">_xlfn.IFS(H13=3,1+K12,H13=1,1+K12,H13=0,0)</f>
        <v>6</v>
      </c>
      <c r="L13" cm="1">
        <f t="array" ref="L13">_xlfn.IFS(H13=0,1+L12,H13=1,1+L12,H13=3,0)</f>
        <v>0</v>
      </c>
      <c r="M13" s="3"/>
      <c r="Q13" s="57" t="s">
        <v>94</v>
      </c>
      <c r="R13">
        <v>7</v>
      </c>
      <c r="S13">
        <v>12</v>
      </c>
      <c r="T13" s="60">
        <v>1.7142857142857142</v>
      </c>
    </row>
    <row r="14" spans="1:20" x14ac:dyDescent="0.2">
      <c r="A14">
        <v>13</v>
      </c>
      <c r="B14" s="1">
        <v>43792</v>
      </c>
      <c r="C14" t="str">
        <v>Manchester City FC</v>
      </c>
      <c r="D14">
        <v>2</v>
      </c>
      <c r="E14" t="str">
        <v>Chelsea FC</v>
      </c>
      <c r="F14">
        <v>1</v>
      </c>
      <c r="H14" s="59" cm="1">
        <f t="array" ref="H14">_xlfn.IFS(AND(C14=$N$18,D14&gt;F14),3,AND(E14=$N$18,F14&gt;D14),3,AND(C14=$N$18,D14=F14),1,AND(E14=$N$18,D14=F14),1,AND(C14=$N$18,D14&lt;F14),0,AND(E14=$N$18,F14&lt;D14),0)</f>
        <v>0</v>
      </c>
      <c r="I14">
        <f t="shared" si="0"/>
        <v>0</v>
      </c>
      <c r="J14" s="59">
        <f t="shared" si="1"/>
        <v>1</v>
      </c>
      <c r="K14" cm="1">
        <f t="array" ref="K14">_xlfn.IFS(H14=3,1+K13,H14=1,1+K13,H14=0,0)</f>
        <v>0</v>
      </c>
      <c r="L14" cm="1">
        <f t="array" ref="L14">_xlfn.IFS(H14=0,1+L13,H14=1,1+L13,H14=3,0)</f>
        <v>1</v>
      </c>
      <c r="M14" s="3"/>
      <c r="Q14" s="56" t="s">
        <v>95</v>
      </c>
      <c r="R14">
        <v>38</v>
      </c>
      <c r="S14">
        <v>66</v>
      </c>
      <c r="T14" s="60">
        <v>1.736842105263158</v>
      </c>
    </row>
    <row r="15" spans="1:20" x14ac:dyDescent="0.2">
      <c r="A15">
        <v>14</v>
      </c>
      <c r="B15" s="1">
        <v>43799</v>
      </c>
      <c r="C15" t="str">
        <v>Chelsea FC</v>
      </c>
      <c r="D15">
        <v>0</v>
      </c>
      <c r="E15" t="str">
        <v>West Ham United FC</v>
      </c>
      <c r="F15">
        <v>1</v>
      </c>
      <c r="H15" s="59" cm="1">
        <f t="array" ref="H15">_xlfn.IFS(AND(C15=$N$18,D15&gt;F15),3,AND(E15=$N$18,F15&gt;D15),3,AND(C15=$N$18,D15=F15),1,AND(E15=$N$18,D15=F15),1,AND(C15=$N$18,D15&lt;F15),0,AND(E15=$N$18,F15&lt;D15),0)</f>
        <v>0</v>
      </c>
      <c r="I15">
        <f t="shared" si="0"/>
        <v>0</v>
      </c>
      <c r="J15" s="59">
        <f t="shared" si="1"/>
        <v>2</v>
      </c>
      <c r="K15" cm="1">
        <f t="array" ref="K15">_xlfn.IFS(H15=3,1+K14,H15=1,1+K14,H15=0,0)</f>
        <v>0</v>
      </c>
      <c r="L15" cm="1">
        <f t="array" ref="L15">_xlfn.IFS(H15=0,1+L14,H15=1,1+L14,H15=3,0)</f>
        <v>2</v>
      </c>
      <c r="M15" s="3"/>
    </row>
    <row r="16" spans="1:20" x14ac:dyDescent="0.2">
      <c r="A16">
        <v>15</v>
      </c>
      <c r="B16" s="1">
        <v>43803</v>
      </c>
      <c r="C16" t="str">
        <v>Chelsea FC</v>
      </c>
      <c r="D16">
        <v>2</v>
      </c>
      <c r="E16" t="str">
        <v>Aston Villa FC</v>
      </c>
      <c r="F16">
        <v>1</v>
      </c>
      <c r="H16" s="59" cm="1">
        <f t="array" ref="H16">_xlfn.IFS(AND(C16=$N$18,D16&gt;F16),3,AND(E16=$N$18,F16&gt;D16),3,AND(C16=$N$18,D16=F16),1,AND(E16=$N$18,D16=F16),1,AND(C16=$N$18,D16&lt;F16),0,AND(E16=$N$18,F16&lt;D16),0)</f>
        <v>3</v>
      </c>
      <c r="I16">
        <f t="shared" si="0"/>
        <v>1</v>
      </c>
      <c r="J16" s="59">
        <f t="shared" si="1"/>
        <v>0</v>
      </c>
      <c r="K16" cm="1">
        <f t="array" ref="K16">_xlfn.IFS(H16=3,1+K15,H16=1,1+K15,H16=0,0)</f>
        <v>1</v>
      </c>
      <c r="L16" cm="1">
        <f t="array" ref="L16">_xlfn.IFS(H16=0,1+L15,H16=1,1+L15,H16=3,0)</f>
        <v>0</v>
      </c>
      <c r="M16" s="3"/>
    </row>
    <row r="17" spans="1:22" x14ac:dyDescent="0.2">
      <c r="A17">
        <v>16</v>
      </c>
      <c r="B17" s="1">
        <v>43806</v>
      </c>
      <c r="C17" t="str">
        <v>Everton FC</v>
      </c>
      <c r="D17">
        <v>3</v>
      </c>
      <c r="E17" t="str">
        <v>Chelsea FC</v>
      </c>
      <c r="F17">
        <v>1</v>
      </c>
      <c r="H17" s="59" cm="1">
        <f t="array" ref="H17">_xlfn.IFS(AND(C17=$N$18,D17&gt;F17),3,AND(E17=$N$18,F17&gt;D17),3,AND(C17=$N$18,D17=F17),1,AND(E17=$N$18,D17=F17),1,AND(C17=$N$18,D17&lt;F17),0,AND(E17=$N$18,F17&lt;D17),0)</f>
        <v>0</v>
      </c>
      <c r="I17">
        <f t="shared" si="0"/>
        <v>0</v>
      </c>
      <c r="J17" s="59">
        <f t="shared" si="1"/>
        <v>1</v>
      </c>
      <c r="K17" cm="1">
        <f t="array" ref="K17">_xlfn.IFS(H17=3,1+K16,H17=1,1+K16,H17=0,0)</f>
        <v>0</v>
      </c>
      <c r="L17" cm="1">
        <f t="array" ref="L17">_xlfn.IFS(H17=0,1+L16,H17=1,1+L16,H17=3,0)</f>
        <v>1</v>
      </c>
      <c r="M17" s="3"/>
    </row>
    <row r="18" spans="1:22" x14ac:dyDescent="0.2">
      <c r="A18">
        <v>17</v>
      </c>
      <c r="B18" s="1">
        <v>43813</v>
      </c>
      <c r="C18" t="str">
        <v>Chelsea FC</v>
      </c>
      <c r="D18">
        <v>0</v>
      </c>
      <c r="E18" t="str">
        <v>AFC Bournemouth</v>
      </c>
      <c r="F18">
        <v>1</v>
      </c>
      <c r="H18" s="59" cm="1">
        <f t="array" ref="H18">_xlfn.IFS(AND(C18=$N$18,D18&gt;F18),3,AND(E18=$N$18,F18&gt;D18),3,AND(C18=$N$18,D18=F18),1,AND(E18=$N$18,D18=F18),1,AND(C18=$N$18,D18&lt;F18),0,AND(E18=$N$18,F18&lt;D18),0)</f>
        <v>0</v>
      </c>
      <c r="I18">
        <f t="shared" si="0"/>
        <v>0</v>
      </c>
      <c r="J18" s="59">
        <f t="shared" si="1"/>
        <v>2</v>
      </c>
      <c r="K18" cm="1">
        <f t="array" ref="K18">_xlfn.IFS(H18=3,1+K17,H18=1,1+K17,H18=0,0)</f>
        <v>0</v>
      </c>
      <c r="L18" cm="1">
        <f t="array" ref="L18">_xlfn.IFS(H18=0,1+L17,H18=1,1+L17,H18=3,0)</f>
        <v>2</v>
      </c>
      <c r="M18" s="3"/>
      <c r="N18" s="14" t="str">
        <f>E2</f>
        <v>Chelsea FC</v>
      </c>
      <c r="O18" s="9" t="s">
        <v>12</v>
      </c>
      <c r="P18" s="7" t="s">
        <v>13</v>
      </c>
      <c r="Q18" s="6" t="s">
        <v>14</v>
      </c>
      <c r="R18" s="8" t="s">
        <v>15</v>
      </c>
      <c r="S18" s="9" t="s">
        <v>16</v>
      </c>
      <c r="T18" s="9" t="s">
        <v>17</v>
      </c>
      <c r="U18" s="9" t="s">
        <v>18</v>
      </c>
      <c r="V18" s="9" t="s">
        <v>19</v>
      </c>
    </row>
    <row r="19" spans="1:22" x14ac:dyDescent="0.2">
      <c r="A19">
        <v>18</v>
      </c>
      <c r="B19" s="1">
        <v>43821</v>
      </c>
      <c r="C19" t="str">
        <v>Tottenham Hotspur FC</v>
      </c>
      <c r="D19">
        <v>0</v>
      </c>
      <c r="E19" t="str">
        <v>Chelsea FC</v>
      </c>
      <c r="F19">
        <v>2</v>
      </c>
      <c r="H19" s="59" cm="1">
        <f t="array" ref="H19">_xlfn.IFS(AND(C19=$N$18,D19&gt;F19),3,AND(E19=$N$18,F19&gt;D19),3,AND(C19=$N$18,D19=F19),1,AND(E19=$N$18,D19=F19),1,AND(C19=$N$18,D19&lt;F19),0,AND(E19=$N$18,F19&lt;D19),0)</f>
        <v>3</v>
      </c>
      <c r="I19">
        <f t="shared" si="0"/>
        <v>1</v>
      </c>
      <c r="J19" s="59">
        <f t="shared" si="1"/>
        <v>0</v>
      </c>
      <c r="K19" cm="1">
        <f t="array" ref="K19">_xlfn.IFS(H19=3,1+K18,H19=1,1+K18,H19=0,0)</f>
        <v>1</v>
      </c>
      <c r="L19" cm="1">
        <f t="array" ref="L19">_xlfn.IFS(H19=0,1+L18,H19=1,1+L18,H19=3,0)</f>
        <v>0</v>
      </c>
      <c r="M19" s="3"/>
      <c r="N19" s="10" t="s">
        <v>22</v>
      </c>
      <c r="O19" s="11">
        <f>COUNT(A2:A39)</f>
        <v>38</v>
      </c>
      <c r="P19" s="5" cm="1">
        <f t="array" ref="P19">SUMPRODUCT(((C2:C39=$N$18)*(D2:D39&gt;F2:F39))+((E2:E39=$N$18)*(F2:F39&gt;D2:D39)))</f>
        <v>20</v>
      </c>
      <c r="Q19" s="12" cm="1">
        <f t="array" ref="Q19">SUMPRODUCT(((C2:C39=$N$18)*(D2:D39=F2:F39))+((E2:E39=$E$2)*(F2:F39=D2:D39)))</f>
        <v>6</v>
      </c>
      <c r="R19" s="13" cm="1">
        <f t="array" ref="R19">SUMPRODUCT(((C2:C39=$N$18)*(D2:D39&lt;F2:F39))+((E2:E39=$N$18)*(F2:F39&lt;D2:D39)))</f>
        <v>12</v>
      </c>
      <c r="S19" s="11">
        <f>SUMIF(C2:C39,$N$18,D2:D39)+SUMIF(E2:E39,$N$18,F2:F39)</f>
        <v>69</v>
      </c>
      <c r="T19" s="11">
        <f>SUMIF(C2:C39,N18,F2:F39)+SUMIF(E2:E39,N18,D2:D39)</f>
        <v>54</v>
      </c>
      <c r="U19" s="11">
        <f>S19-T19</f>
        <v>15</v>
      </c>
      <c r="V19" s="11">
        <f>V20+V21</f>
        <v>66</v>
      </c>
    </row>
    <row r="20" spans="1:22" x14ac:dyDescent="0.2">
      <c r="A20">
        <v>19</v>
      </c>
      <c r="B20" s="1">
        <v>43825</v>
      </c>
      <c r="C20" t="str">
        <v>Chelsea FC</v>
      </c>
      <c r="D20">
        <v>0</v>
      </c>
      <c r="E20" t="str">
        <v>Southampton FC</v>
      </c>
      <c r="F20">
        <v>2</v>
      </c>
      <c r="H20" s="59" cm="1">
        <f t="array" ref="H20">_xlfn.IFS(AND(C20=$N$18,D20&gt;F20),3,AND(E20=$N$18,F20&gt;D20),3,AND(C20=$N$18,D20=F20),1,AND(E20=$N$18,D20=F20),1,AND(C20=$N$18,D20&lt;F20),0,AND(E20=$N$18,F20&lt;D20),0)</f>
        <v>0</v>
      </c>
      <c r="I20">
        <f t="shared" si="0"/>
        <v>0</v>
      </c>
      <c r="J20" s="59">
        <f t="shared" si="1"/>
        <v>1</v>
      </c>
      <c r="K20" cm="1">
        <f t="array" ref="K20">_xlfn.IFS(H20=3,1+K19,H20=1,1+K19,H20=0,0)</f>
        <v>0</v>
      </c>
      <c r="L20" cm="1">
        <f t="array" ref="L20">_xlfn.IFS(H20=0,1+L19,H20=1,1+L19,H20=3,0)</f>
        <v>1</v>
      </c>
      <c r="M20" s="3"/>
      <c r="N20" s="10" t="s">
        <v>2</v>
      </c>
      <c r="O20" s="11">
        <f>COUNTIF(C2:C39,C3)</f>
        <v>19</v>
      </c>
      <c r="P20" s="20" cm="1">
        <f t="array" ref="P20">SUMPRODUCT(((C2:C39=$N$18)*(D2:D39&gt;F2:F39)))</f>
        <v>11</v>
      </c>
      <c r="Q20" s="12" cm="1">
        <f t="array" ref="Q20">SUMPRODUCT(((C2:C39=$N$18)*(D2:D39=F2:F39)))</f>
        <v>3</v>
      </c>
      <c r="R20" s="13" cm="1">
        <f t="array" ref="R20">SUMPRODUCT(((C2:C39=$N$18)*(D2:D39&lt;F2:F39)))</f>
        <v>5</v>
      </c>
      <c r="S20" s="11">
        <f>SUMIF(C2:C39,$N$18,D2:D39)</f>
        <v>30</v>
      </c>
      <c r="T20" s="11">
        <f>SUMIF(C2:C39,N18,F2:F39)</f>
        <v>16</v>
      </c>
      <c r="U20" s="11">
        <f>S20-T20</f>
        <v>14</v>
      </c>
      <c r="V20" s="11">
        <f>(P20*3)+Q20</f>
        <v>36</v>
      </c>
    </row>
    <row r="21" spans="1:22" x14ac:dyDescent="0.2">
      <c r="A21">
        <v>20</v>
      </c>
      <c r="B21" s="1">
        <v>43828</v>
      </c>
      <c r="C21" t="str">
        <v>Arsenal FC</v>
      </c>
      <c r="D21">
        <v>1</v>
      </c>
      <c r="E21" t="str">
        <v>Chelsea FC</v>
      </c>
      <c r="F21">
        <v>2</v>
      </c>
      <c r="H21" s="59" cm="1">
        <f t="array" ref="H21">_xlfn.IFS(AND(C21=$N$18,D21&gt;F21),3,AND(E21=$N$18,F21&gt;D21),3,AND(C21=$N$18,D21=F21),1,AND(E21=$N$18,D21=F21),1,AND(C21=$N$18,D21&lt;F21),0,AND(E21=$N$18,F21&lt;D21),0)</f>
        <v>3</v>
      </c>
      <c r="I21">
        <f t="shared" si="0"/>
        <v>1</v>
      </c>
      <c r="J21" s="59">
        <f t="shared" si="1"/>
        <v>0</v>
      </c>
      <c r="K21" cm="1">
        <f t="array" ref="K21">_xlfn.IFS(H21=3,1+K20,H21=1,1+K20,H21=0,0)</f>
        <v>1</v>
      </c>
      <c r="L21" cm="1">
        <f t="array" ref="L21">_xlfn.IFS(H21=0,1+L20,H21=1,1+L20,H21=3,0)</f>
        <v>0</v>
      </c>
      <c r="M21" s="3"/>
      <c r="N21" s="10" t="s">
        <v>4</v>
      </c>
      <c r="O21" s="11">
        <f>COUNTIF(E2:E39,E2)</f>
        <v>19</v>
      </c>
      <c r="P21" s="5" cm="1">
        <f t="array" ref="P21">SUMPRODUCT(((E2:E39=$N$18)*(F2:F39&gt;D2:D39)))</f>
        <v>9</v>
      </c>
      <c r="Q21" s="12" cm="1">
        <f t="array" ref="Q21">SUMPRODUCT(((E2:E39=$N$18)*(F2:F39=D2:D39)))</f>
        <v>3</v>
      </c>
      <c r="R21" s="13" cm="1">
        <f t="array" ref="R21">SUMPRODUCT(((E2:E39=$N$18)*(F2:F39&lt;D2:D39)))</f>
        <v>7</v>
      </c>
      <c r="S21" s="11">
        <f>SUMIF(E2:E39,$N$18,F2:F39)</f>
        <v>39</v>
      </c>
      <c r="T21" s="11">
        <f>SUMIF(E2:E39,N18,D2:D39)</f>
        <v>38</v>
      </c>
      <c r="U21" s="11">
        <f>S21-T21</f>
        <v>1</v>
      </c>
      <c r="V21" s="11">
        <f>(P21*3)+Q21</f>
        <v>30</v>
      </c>
    </row>
    <row r="22" spans="1:22" x14ac:dyDescent="0.2">
      <c r="A22">
        <v>21</v>
      </c>
      <c r="B22" s="1">
        <v>43831</v>
      </c>
      <c r="C22" t="str">
        <v>Brighton &amp; Hove Albion FC</v>
      </c>
      <c r="D22">
        <v>1</v>
      </c>
      <c r="E22" t="str">
        <v>Chelsea FC</v>
      </c>
      <c r="F22">
        <v>1</v>
      </c>
      <c r="H22" s="59" cm="1">
        <f t="array" ref="H22">_xlfn.IFS(AND(C22=$N$18,D22&gt;F22),3,AND(E22=$N$18,F22&gt;D22),3,AND(C22=$N$18,D22=F22),1,AND(E22=$N$18,D22=F22),1,AND(C22=$N$18,D22&lt;F22),0,AND(E22=$N$18,F22&lt;D22),0)</f>
        <v>1</v>
      </c>
      <c r="I22">
        <f t="shared" si="0"/>
        <v>0</v>
      </c>
      <c r="J22" s="59">
        <f t="shared" si="1"/>
        <v>0</v>
      </c>
      <c r="K22" cm="1">
        <f t="array" ref="K22">_xlfn.IFS(H22=3,1+K21,H22=1,1+K21,H22=0,0)</f>
        <v>2</v>
      </c>
      <c r="L22" cm="1">
        <f t="array" ref="L22">_xlfn.IFS(H22=0,1+L21,H22=1,1+L21,H22=3,0)</f>
        <v>1</v>
      </c>
      <c r="M22" s="3"/>
    </row>
    <row r="23" spans="1:22" x14ac:dyDescent="0.2">
      <c r="A23">
        <v>22</v>
      </c>
      <c r="B23" s="1">
        <v>43841</v>
      </c>
      <c r="C23" t="str">
        <v>Chelsea FC</v>
      </c>
      <c r="D23">
        <v>3</v>
      </c>
      <c r="E23" t="str">
        <v>Burnley FC</v>
      </c>
      <c r="F23">
        <v>0</v>
      </c>
      <c r="H23" s="59" cm="1">
        <f t="array" ref="H23">_xlfn.IFS(AND(C23=$N$18,D23&gt;F23),3,AND(E23=$N$18,F23&gt;D23),3,AND(C23=$N$18,D23=F23),1,AND(E23=$N$18,D23=F23),1,AND(C23=$N$18,D23&lt;F23),0,AND(E23=$N$18,F23&lt;D23),0)</f>
        <v>3</v>
      </c>
      <c r="I23">
        <f t="shared" si="0"/>
        <v>1</v>
      </c>
      <c r="J23" s="59">
        <f t="shared" si="1"/>
        <v>0</v>
      </c>
      <c r="K23" cm="1">
        <f t="array" ref="K23">_xlfn.IFS(H23=3,1+K22,H23=1,1+K22,H23=0,0)</f>
        <v>3</v>
      </c>
      <c r="L23" cm="1">
        <f t="array" ref="L23">_xlfn.IFS(H23=0,1+L22,H23=1,1+L22,H23=3,0)</f>
        <v>0</v>
      </c>
      <c r="M23" s="3"/>
    </row>
    <row r="24" spans="1:22" x14ac:dyDescent="0.2">
      <c r="A24">
        <v>23</v>
      </c>
      <c r="B24" s="1">
        <v>43848</v>
      </c>
      <c r="C24" t="str">
        <v>Newcastle United FC</v>
      </c>
      <c r="D24">
        <v>1</v>
      </c>
      <c r="E24" t="str">
        <v>Chelsea FC</v>
      </c>
      <c r="F24">
        <v>0</v>
      </c>
      <c r="H24" s="59" cm="1">
        <f t="array" ref="H24">_xlfn.IFS(AND(C24=$N$18,D24&gt;F24),3,AND(E24=$N$18,F24&gt;D24),3,AND(C24=$N$18,D24=F24),1,AND(E24=$N$18,D24=F24),1,AND(C24=$N$18,D24&lt;F24),0,AND(E24=$N$18,F24&lt;D24),0)</f>
        <v>0</v>
      </c>
      <c r="I24">
        <f t="shared" si="0"/>
        <v>0</v>
      </c>
      <c r="J24" s="59">
        <f t="shared" si="1"/>
        <v>1</v>
      </c>
      <c r="K24" cm="1">
        <f t="array" ref="K24">_xlfn.IFS(H24=3,1+K23,H24=1,1+K23,H24=0,0)</f>
        <v>0</v>
      </c>
      <c r="L24" cm="1">
        <f t="array" ref="L24">_xlfn.IFS(H24=0,1+L23,H24=1,1+L23,H24=3,0)</f>
        <v>1</v>
      </c>
      <c r="M24" s="3"/>
    </row>
    <row r="25" spans="1:22" x14ac:dyDescent="0.2">
      <c r="A25">
        <v>24</v>
      </c>
      <c r="B25" s="1">
        <v>43851</v>
      </c>
      <c r="C25" t="str">
        <v>Chelsea FC</v>
      </c>
      <c r="D25">
        <v>2</v>
      </c>
      <c r="E25" t="str">
        <v>Arsenal FC</v>
      </c>
      <c r="F25">
        <v>2</v>
      </c>
      <c r="H25" s="59" cm="1">
        <f t="array" ref="H25">_xlfn.IFS(AND(C25=$N$18,D25&gt;F25),3,AND(E25=$N$18,F25&gt;D25),3,AND(C25=$N$18,D25=F25),1,AND(E25=$N$18,D25=F25),1,AND(C25=$N$18,D25&lt;F25),0,AND(E25=$N$18,F25&lt;D25),0)</f>
        <v>1</v>
      </c>
      <c r="I25">
        <f t="shared" si="0"/>
        <v>0</v>
      </c>
      <c r="J25" s="59">
        <f t="shared" si="1"/>
        <v>0</v>
      </c>
      <c r="K25" cm="1">
        <f t="array" ref="K25">_xlfn.IFS(H25=3,1+K24,H25=1,1+K24,H25=0,0)</f>
        <v>1</v>
      </c>
      <c r="L25" cm="1">
        <f t="array" ref="L25">_xlfn.IFS(H25=0,1+L24,H25=1,1+L24,H25=3,0)</f>
        <v>2</v>
      </c>
      <c r="M25" s="3"/>
    </row>
    <row r="26" spans="1:22" x14ac:dyDescent="0.2">
      <c r="A26">
        <v>25</v>
      </c>
      <c r="B26" s="1">
        <v>43862</v>
      </c>
      <c r="C26" t="str">
        <v>Leicester City FC</v>
      </c>
      <c r="D26">
        <v>2</v>
      </c>
      <c r="E26" t="str">
        <v>Chelsea FC</v>
      </c>
      <c r="F26">
        <v>2</v>
      </c>
      <c r="H26" s="59" cm="1">
        <f t="array" ref="H26">_xlfn.IFS(AND(C26=$N$18,D26&gt;F26),3,AND(E26=$N$18,F26&gt;D26),3,AND(C26=$N$18,D26=F26),1,AND(E26=$N$18,D26=F26),1,AND(C26=$N$18,D26&lt;F26),0,AND(E26=$N$18,F26&lt;D26),0)</f>
        <v>1</v>
      </c>
      <c r="I26">
        <f t="shared" si="0"/>
        <v>0</v>
      </c>
      <c r="J26" s="59">
        <f t="shared" si="1"/>
        <v>0</v>
      </c>
      <c r="K26" cm="1">
        <f t="array" ref="K26">_xlfn.IFS(H26=3,1+K25,H26=1,1+K25,H26=0,0)</f>
        <v>2</v>
      </c>
      <c r="L26" cm="1">
        <f t="array" ref="L26">_xlfn.IFS(H26=0,1+L25,H26=1,1+L25,H26=3,0)</f>
        <v>3</v>
      </c>
      <c r="M26" s="3"/>
    </row>
    <row r="27" spans="1:22" x14ac:dyDescent="0.2">
      <c r="A27">
        <v>26</v>
      </c>
      <c r="B27" s="1">
        <v>43878</v>
      </c>
      <c r="C27" t="str">
        <v>Chelsea FC</v>
      </c>
      <c r="D27">
        <v>0</v>
      </c>
      <c r="E27" t="str">
        <v>Manchester United FC</v>
      </c>
      <c r="F27">
        <v>2</v>
      </c>
      <c r="H27" s="59" cm="1">
        <f t="array" ref="H27">_xlfn.IFS(AND(C27=$N$18,D27&gt;F27),3,AND(E27=$N$18,F27&gt;D27),3,AND(C27=$N$18,D27=F27),1,AND(E27=$N$18,D27=F27),1,AND(C27=$N$18,D27&lt;F27),0,AND(E27=$N$18,F27&lt;D27),0)</f>
        <v>0</v>
      </c>
      <c r="I27">
        <f t="shared" si="0"/>
        <v>0</v>
      </c>
      <c r="J27" s="59">
        <f t="shared" si="1"/>
        <v>1</v>
      </c>
      <c r="K27" cm="1">
        <f t="array" ref="K27">_xlfn.IFS(H27=3,1+K26,H27=1,1+K26,H27=0,0)</f>
        <v>0</v>
      </c>
      <c r="L27" cm="1">
        <f t="array" ref="L27">_xlfn.IFS(H27=0,1+L26,H27=1,1+L26,H27=3,0)</f>
        <v>4</v>
      </c>
      <c r="M27" s="3"/>
    </row>
    <row r="28" spans="1:22" x14ac:dyDescent="0.2">
      <c r="A28">
        <v>27</v>
      </c>
      <c r="B28" s="1">
        <v>43883</v>
      </c>
      <c r="C28" t="str">
        <v>Chelsea FC</v>
      </c>
      <c r="D28">
        <v>2</v>
      </c>
      <c r="E28" t="str">
        <v>Tottenham Hotspur FC</v>
      </c>
      <c r="F28">
        <v>1</v>
      </c>
      <c r="H28" s="59" cm="1">
        <f t="array" ref="H28">_xlfn.IFS(AND(C28=$N$18,D28&gt;F28),3,AND(E28=$N$18,F28&gt;D28),3,AND(C28=$N$18,D28=F28),1,AND(E28=$N$18,D28=F28),1,AND(C28=$N$18,D28&lt;F28),0,AND(E28=$N$18,F28&lt;D28),0)</f>
        <v>3</v>
      </c>
      <c r="I28">
        <f t="shared" si="0"/>
        <v>1</v>
      </c>
      <c r="J28" s="59">
        <f t="shared" si="1"/>
        <v>0</v>
      </c>
      <c r="K28" cm="1">
        <f t="array" ref="K28">_xlfn.IFS(H28=3,1+K27,H28=1,1+K27,H28=0,0)</f>
        <v>1</v>
      </c>
      <c r="L28" cm="1">
        <f t="array" ref="L28">_xlfn.IFS(H28=0,1+L27,H28=1,1+L27,H28=3,0)</f>
        <v>0</v>
      </c>
      <c r="M28" s="3"/>
    </row>
    <row r="29" spans="1:22" x14ac:dyDescent="0.2">
      <c r="A29">
        <v>28</v>
      </c>
      <c r="B29" s="1">
        <v>43890</v>
      </c>
      <c r="C29" t="str">
        <v>AFC Bournemouth</v>
      </c>
      <c r="D29">
        <v>2</v>
      </c>
      <c r="E29" t="str">
        <v>Chelsea FC</v>
      </c>
      <c r="F29">
        <v>2</v>
      </c>
      <c r="H29" s="59" cm="1">
        <f t="array" ref="H29">_xlfn.IFS(AND(C29=$N$18,D29&gt;F29),3,AND(E29=$N$18,F29&gt;D29),3,AND(C29=$N$18,D29=F29),1,AND(E29=$N$18,D29=F29),1,AND(C29=$N$18,D29&lt;F29),0,AND(E29=$N$18,F29&lt;D29),0)</f>
        <v>1</v>
      </c>
      <c r="I29">
        <f t="shared" si="0"/>
        <v>0</v>
      </c>
      <c r="J29" s="59">
        <f t="shared" si="1"/>
        <v>0</v>
      </c>
      <c r="K29" cm="1">
        <f t="array" ref="K29">_xlfn.IFS(H29=3,1+K28,H29=1,1+K28,H29=0,0)</f>
        <v>2</v>
      </c>
      <c r="L29" cm="1">
        <f t="array" ref="L29">_xlfn.IFS(H29=0,1+L28,H29=1,1+L28,H29=3,0)</f>
        <v>1</v>
      </c>
      <c r="M29" s="3"/>
    </row>
    <row r="30" spans="1:22" x14ac:dyDescent="0.2">
      <c r="A30">
        <v>29</v>
      </c>
      <c r="B30" s="1">
        <v>43898</v>
      </c>
      <c r="C30" t="str">
        <v>Chelsea FC</v>
      </c>
      <c r="D30">
        <v>4</v>
      </c>
      <c r="E30" t="str">
        <v>Everton FC</v>
      </c>
      <c r="F30">
        <v>0</v>
      </c>
      <c r="H30" s="59" cm="1">
        <f t="array" ref="H30">_xlfn.IFS(AND(C30=$N$18,D30&gt;F30),3,AND(E30=$N$18,F30&gt;D30),3,AND(C30=$N$18,D30=F30),1,AND(E30=$N$18,D30=F30),1,AND(C30=$N$18,D30&lt;F30),0,AND(E30=$N$18,F30&lt;D30),0)</f>
        <v>3</v>
      </c>
      <c r="I30">
        <f t="shared" si="0"/>
        <v>1</v>
      </c>
      <c r="J30" s="59">
        <f t="shared" si="1"/>
        <v>0</v>
      </c>
      <c r="K30" cm="1">
        <f t="array" ref="K30">_xlfn.IFS(H30=3,1+K29,H30=1,1+K29,H30=0,0)</f>
        <v>3</v>
      </c>
      <c r="L30" cm="1">
        <f t="array" ref="L30">_xlfn.IFS(H30=0,1+L29,H30=1,1+L29,H30=3,0)</f>
        <v>0</v>
      </c>
      <c r="M30" s="3"/>
    </row>
    <row r="31" spans="1:22" x14ac:dyDescent="0.2">
      <c r="A31">
        <v>30</v>
      </c>
      <c r="B31" s="1">
        <v>44003</v>
      </c>
      <c r="C31" t="str">
        <v>Aston Villa FC</v>
      </c>
      <c r="D31">
        <v>1</v>
      </c>
      <c r="E31" t="str">
        <v>Chelsea FC</v>
      </c>
      <c r="F31">
        <v>2</v>
      </c>
      <c r="H31" s="59" cm="1">
        <f t="array" ref="H31">_xlfn.IFS(AND(C31=$N$18,D31&gt;F31),3,AND(E31=$N$18,F31&gt;D31),3,AND(C31=$N$18,D31=F31),1,AND(E31=$N$18,D31=F31),1,AND(C31=$N$18,D31&lt;F31),0,AND(E31=$N$18,F31&lt;D31),0)</f>
        <v>3</v>
      </c>
      <c r="I31">
        <f t="shared" si="0"/>
        <v>2</v>
      </c>
      <c r="J31" s="59">
        <f t="shared" si="1"/>
        <v>0</v>
      </c>
      <c r="K31" cm="1">
        <f t="array" ref="K31">_xlfn.IFS(H31=3,1+K30,H31=1,1+K30,H31=0,0)</f>
        <v>4</v>
      </c>
      <c r="L31" cm="1">
        <f t="array" ref="L31">_xlfn.IFS(H31=0,1+L30,H31=1,1+L30,H31=3,0)</f>
        <v>0</v>
      </c>
      <c r="M31" s="3"/>
    </row>
    <row r="32" spans="1:22" x14ac:dyDescent="0.2">
      <c r="A32">
        <v>31</v>
      </c>
      <c r="B32" s="1">
        <v>44007</v>
      </c>
      <c r="C32" t="str">
        <v>Chelsea FC</v>
      </c>
      <c r="D32">
        <v>2</v>
      </c>
      <c r="E32" t="str">
        <v>Manchester City FC</v>
      </c>
      <c r="F32">
        <v>1</v>
      </c>
      <c r="H32" s="59" cm="1">
        <f t="array" ref="H32">_xlfn.IFS(AND(C32=$N$18,D32&gt;F32),3,AND(E32=$N$18,F32&gt;D32),3,AND(C32=$N$18,D32=F32),1,AND(E32=$N$18,D32=F32),1,AND(C32=$N$18,D32&lt;F32),0,AND(E32=$N$18,F32&lt;D32),0)</f>
        <v>3</v>
      </c>
      <c r="I32">
        <f t="shared" si="0"/>
        <v>3</v>
      </c>
      <c r="J32" s="59">
        <f t="shared" si="1"/>
        <v>0</v>
      </c>
      <c r="K32" cm="1">
        <f t="array" ref="K32">_xlfn.IFS(H32=3,1+K31,H32=1,1+K31,H32=0,0)</f>
        <v>5</v>
      </c>
      <c r="L32" cm="1">
        <f t="array" ref="L32">_xlfn.IFS(H32=0,1+L31,H32=1,1+L31,H32=3,0)</f>
        <v>0</v>
      </c>
      <c r="M32" s="3"/>
    </row>
    <row r="33" spans="1:13" x14ac:dyDescent="0.2">
      <c r="A33">
        <v>32</v>
      </c>
      <c r="B33" s="1">
        <v>44013</v>
      </c>
      <c r="C33" t="str">
        <v>West Ham United FC</v>
      </c>
      <c r="D33">
        <v>3</v>
      </c>
      <c r="E33" t="str">
        <v>Chelsea FC</v>
      </c>
      <c r="F33">
        <v>2</v>
      </c>
      <c r="H33" s="59" cm="1">
        <f t="array" ref="H33">_xlfn.IFS(AND(C33=$N$18,D33&gt;F33),3,AND(E33=$N$18,F33&gt;D33),3,AND(C33=$N$18,D33=F33),1,AND(E33=$N$18,D33=F33),1,AND(C33=$N$18,D33&lt;F33),0,AND(E33=$N$18,F33&lt;D33),0)</f>
        <v>0</v>
      </c>
      <c r="I33">
        <f t="shared" si="0"/>
        <v>0</v>
      </c>
      <c r="J33" s="59">
        <f t="shared" si="1"/>
        <v>1</v>
      </c>
      <c r="K33" cm="1">
        <f t="array" ref="K33">_xlfn.IFS(H33=3,1+K32,H33=1,1+K32,H33=0,0)</f>
        <v>0</v>
      </c>
      <c r="L33" cm="1">
        <f t="array" ref="L33">_xlfn.IFS(H33=0,1+L32,H33=1,1+L32,H33=3,0)</f>
        <v>1</v>
      </c>
      <c r="M33" s="3"/>
    </row>
    <row r="34" spans="1:13" x14ac:dyDescent="0.2">
      <c r="A34">
        <v>33</v>
      </c>
      <c r="B34" s="1">
        <v>44016</v>
      </c>
      <c r="C34" t="str">
        <v>Chelsea FC</v>
      </c>
      <c r="D34">
        <v>3</v>
      </c>
      <c r="E34" t="str">
        <v>Watford FC</v>
      </c>
      <c r="F34">
        <v>0</v>
      </c>
      <c r="H34" s="59" cm="1">
        <f t="array" ref="H34">_xlfn.IFS(AND(C34=$N$18,D34&gt;F34),3,AND(E34=$N$18,F34&gt;D34),3,AND(C34=$N$18,D34=F34),1,AND(E34=$N$18,D34=F34),1,AND(C34=$N$18,D34&lt;F34),0,AND(E34=$N$18,F34&lt;D34),0)</f>
        <v>3</v>
      </c>
      <c r="I34">
        <f t="shared" si="0"/>
        <v>1</v>
      </c>
      <c r="J34" s="59">
        <f t="shared" si="1"/>
        <v>0</v>
      </c>
      <c r="K34" cm="1">
        <f t="array" ref="K34">_xlfn.IFS(H34=3,1+K33,H34=1,1+K33,H34=0,0)</f>
        <v>1</v>
      </c>
      <c r="L34" cm="1">
        <f t="array" ref="L34">_xlfn.IFS(H34=0,1+L33,H34=1,1+L33,H34=3,0)</f>
        <v>0</v>
      </c>
      <c r="M34" s="3"/>
    </row>
    <row r="35" spans="1:13" x14ac:dyDescent="0.2">
      <c r="A35">
        <v>34</v>
      </c>
      <c r="B35" s="1">
        <v>44019</v>
      </c>
      <c r="C35" t="str">
        <v>Crystal Palace FC</v>
      </c>
      <c r="D35">
        <v>2</v>
      </c>
      <c r="E35" t="str">
        <v>Chelsea FC</v>
      </c>
      <c r="F35">
        <v>3</v>
      </c>
      <c r="H35" s="59" cm="1">
        <f t="array" ref="H35">_xlfn.IFS(AND(C35=$N$18,D35&gt;F35),3,AND(E35=$N$18,F35&gt;D35),3,AND(C35=$N$18,D35=F35),1,AND(E35=$N$18,D35=F35),1,AND(C35=$N$18,D35&lt;F35),0,AND(E35=$N$18,F35&lt;D35),0)</f>
        <v>3</v>
      </c>
      <c r="I35">
        <f t="shared" si="0"/>
        <v>2</v>
      </c>
      <c r="J35" s="59">
        <f t="shared" si="1"/>
        <v>0</v>
      </c>
      <c r="K35" cm="1">
        <f t="array" ref="K35">_xlfn.IFS(H35=3,1+K34,H35=1,1+K34,H35=0,0)</f>
        <v>2</v>
      </c>
      <c r="L35" cm="1">
        <f t="array" ref="L35">_xlfn.IFS(H35=0,1+L34,H35=1,1+L34,H35=3,0)</f>
        <v>0</v>
      </c>
      <c r="M35" s="3"/>
    </row>
    <row r="36" spans="1:13" x14ac:dyDescent="0.2">
      <c r="A36">
        <v>35</v>
      </c>
      <c r="B36" s="1">
        <v>44023</v>
      </c>
      <c r="C36" t="str">
        <v>Sheffield United FC</v>
      </c>
      <c r="D36">
        <v>3</v>
      </c>
      <c r="E36" t="str">
        <v>Chelsea FC</v>
      </c>
      <c r="F36">
        <v>0</v>
      </c>
      <c r="H36" s="59" cm="1">
        <f t="array" ref="H36">_xlfn.IFS(AND(C36=$N$18,D36&gt;F36),3,AND(E36=$N$18,F36&gt;D36),3,AND(C36=$N$18,D36=F36),1,AND(E36=$N$18,D36=F36),1,AND(C36=$N$18,D36&lt;F36),0,AND(E36=$N$18,F36&lt;D36),0)</f>
        <v>0</v>
      </c>
      <c r="I36">
        <f t="shared" si="0"/>
        <v>0</v>
      </c>
      <c r="J36" s="59">
        <f t="shared" si="1"/>
        <v>1</v>
      </c>
      <c r="K36" cm="1">
        <f t="array" ref="K36">_xlfn.IFS(H36=3,1+K35,H36=1,1+K35,H36=0,0)</f>
        <v>0</v>
      </c>
      <c r="L36" cm="1">
        <f t="array" ref="L36">_xlfn.IFS(H36=0,1+L35,H36=1,1+L35,H36=3,0)</f>
        <v>1</v>
      </c>
      <c r="M36" s="3"/>
    </row>
    <row r="37" spans="1:13" x14ac:dyDescent="0.2">
      <c r="A37">
        <v>36</v>
      </c>
      <c r="B37" s="1">
        <v>44026</v>
      </c>
      <c r="C37" t="str">
        <v>Chelsea FC</v>
      </c>
      <c r="D37">
        <v>1</v>
      </c>
      <c r="E37" t="str">
        <v>Norwich City FC</v>
      </c>
      <c r="F37">
        <v>0</v>
      </c>
      <c r="H37" s="59" cm="1">
        <f t="array" ref="H37">_xlfn.IFS(AND(C37=$N$18,D37&gt;F37),3,AND(E37=$N$18,F37&gt;D37),3,AND(C37=$N$18,D37=F37),1,AND(E37=$N$18,D37=F37),1,AND(C37=$N$18,D37&lt;F37),0,AND(E37=$N$18,F37&lt;D37),0)</f>
        <v>3</v>
      </c>
      <c r="I37">
        <f t="shared" si="0"/>
        <v>1</v>
      </c>
      <c r="J37" s="59">
        <f t="shared" si="1"/>
        <v>0</v>
      </c>
      <c r="K37" cm="1">
        <f t="array" ref="K37">_xlfn.IFS(H37=3,1+K36,H37=1,1+K36,H37=0,0)</f>
        <v>1</v>
      </c>
      <c r="L37" cm="1">
        <f t="array" ref="L37">_xlfn.IFS(H37=0,1+L36,H37=1,1+L36,H37=3,0)</f>
        <v>0</v>
      </c>
      <c r="M37" s="3"/>
    </row>
    <row r="38" spans="1:13" x14ac:dyDescent="0.2">
      <c r="A38">
        <v>37</v>
      </c>
      <c r="B38" s="1">
        <v>44034</v>
      </c>
      <c r="C38" t="str">
        <v>Liverpool FC</v>
      </c>
      <c r="D38">
        <v>5</v>
      </c>
      <c r="E38" t="str">
        <v>Chelsea FC</v>
      </c>
      <c r="F38">
        <v>3</v>
      </c>
      <c r="H38" s="59" cm="1">
        <f t="array" ref="H38">_xlfn.IFS(AND(C38=$N$18,D38&gt;F38),3,AND(E38=$N$18,F38&gt;D38),3,AND(C38=$N$18,D38=F38),1,AND(E38=$N$18,D38=F38),1,AND(C38=$N$18,D38&lt;F38),0,AND(E38=$N$18,F38&lt;D38),0)</f>
        <v>0</v>
      </c>
      <c r="I38">
        <f t="shared" si="0"/>
        <v>0</v>
      </c>
      <c r="J38" s="59">
        <f t="shared" si="1"/>
        <v>1</v>
      </c>
      <c r="K38" cm="1">
        <f t="array" ref="K38">_xlfn.IFS(H38=3,1+K37,H38=1,1+K37,H38=0,0)</f>
        <v>0</v>
      </c>
      <c r="L38" cm="1">
        <f t="array" ref="L38">_xlfn.IFS(H38=0,1+L37,H38=1,1+L37,H38=3,0)</f>
        <v>1</v>
      </c>
      <c r="M38" s="3"/>
    </row>
    <row r="39" spans="1:13" x14ac:dyDescent="0.2">
      <c r="A39">
        <v>38</v>
      </c>
      <c r="B39" s="1">
        <v>44038</v>
      </c>
      <c r="C39" t="str">
        <v>Chelsea FC</v>
      </c>
      <c r="D39">
        <v>2</v>
      </c>
      <c r="E39" t="str">
        <v>Wolverhampton Wanderers FC</v>
      </c>
      <c r="F39">
        <v>0</v>
      </c>
      <c r="H39" s="59" cm="1">
        <f t="array" ref="H39">_xlfn.IFS(AND(C39=$N$18,D39&gt;F39),3,AND(E39=$N$18,F39&gt;D39),3,AND(C39=$N$18,D39=F39),1,AND(E39=$N$18,D39=F39),1,AND(C39=$N$18,D39&lt;F39),0,AND(E39=$N$18,F39&lt;D39),0)</f>
        <v>3</v>
      </c>
      <c r="I39">
        <f t="shared" si="0"/>
        <v>1</v>
      </c>
      <c r="J39" s="59">
        <f t="shared" si="1"/>
        <v>0</v>
      </c>
      <c r="K39" cm="1">
        <f t="array" ref="K39">_xlfn.IFS(H39=3,1+K38,H39=1,1+K38,H39=0,0)</f>
        <v>1</v>
      </c>
      <c r="L39" cm="1">
        <f t="array" ref="L39">_xlfn.IFS(H39=0,1+L38,H39=1,1+L38,H39=3,0)</f>
        <v>0</v>
      </c>
      <c r="M39" s="3"/>
    </row>
  </sheetData>
  <conditionalFormatting sqref="G2:G39">
    <cfRule type="expression" dxfId="11" priority="5">
      <formula>AND($E2=$N$18,$F2&gt;$D2)</formula>
    </cfRule>
  </conditionalFormatting>
  <conditionalFormatting sqref="G2:G39">
    <cfRule type="expression" dxfId="10" priority="4">
      <formula>AND($E2=$N$18,$F2&lt;$D2)</formula>
    </cfRule>
  </conditionalFormatting>
  <conditionalFormatting sqref="G2:G39">
    <cfRule type="expression" dxfId="9" priority="3">
      <formula>$D2=$F2</formula>
    </cfRule>
  </conditionalFormatting>
  <conditionalFormatting sqref="G2:G39">
    <cfRule type="expression" dxfId="8" priority="2">
      <formula>AND($C2=$N$18,$D2&lt;$F2)</formula>
    </cfRule>
  </conditionalFormatting>
  <conditionalFormatting sqref="G2:G39">
    <cfRule type="expression" dxfId="7" priority="1">
      <formula>AND($C2=$N$18,$D2&gt;$F2)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895BA-29F9-4682-8F5E-2332CD2A8518}">
  <sheetPr codeName="Sheet24"/>
  <dimension ref="A1:V39"/>
  <sheetViews>
    <sheetView zoomScale="60" zoomScaleNormal="60" workbookViewId="0"/>
  </sheetViews>
  <sheetFormatPr baseColWidth="10" defaultColWidth="8.83203125" defaultRowHeight="15" x14ac:dyDescent="0.2"/>
  <cols>
    <col min="1" max="1" width="8.5" customWidth="1"/>
    <col min="2" max="2" width="10.5" customWidth="1"/>
    <col min="3" max="3" width="27.1640625" customWidth="1"/>
    <col min="4" max="4" width="12.5" customWidth="1"/>
    <col min="5" max="5" width="27.1640625" customWidth="1"/>
    <col min="6" max="6" width="12.5" customWidth="1"/>
    <col min="7" max="7" width="8.5" customWidth="1"/>
    <col min="14" max="14" width="36.6640625" bestFit="1" customWidth="1"/>
    <col min="15" max="22" width="10.6640625" customWidth="1"/>
  </cols>
  <sheetData>
    <row r="1" spans="1:20" ht="32" x14ac:dyDescent="0.2">
      <c r="A1" s="67" t="s">
        <v>0</v>
      </c>
      <c r="B1" s="68" t="s">
        <v>1</v>
      </c>
      <c r="C1" s="68" t="s">
        <v>2</v>
      </c>
      <c r="D1" s="68" t="s">
        <v>3</v>
      </c>
      <c r="E1" s="68" t="s">
        <v>4</v>
      </c>
      <c r="F1" s="69" t="s">
        <v>5</v>
      </c>
      <c r="G1" s="70" t="s">
        <v>71</v>
      </c>
      <c r="H1" s="70" t="s">
        <v>19</v>
      </c>
      <c r="I1" s="81" t="s">
        <v>72</v>
      </c>
      <c r="J1" s="81" t="s">
        <v>53</v>
      </c>
      <c r="K1" s="81" t="s">
        <v>55</v>
      </c>
      <c r="L1" s="81" t="s">
        <v>73</v>
      </c>
      <c r="Q1" s="58" t="s">
        <v>74</v>
      </c>
      <c r="R1" t="s">
        <v>75</v>
      </c>
      <c r="S1" t="s">
        <v>76</v>
      </c>
      <c r="T1" s="63" t="s">
        <v>77</v>
      </c>
    </row>
    <row r="2" spans="1:20" x14ac:dyDescent="0.2">
      <c r="A2" cm="1">
        <f t="array" ref="A2:F39">_xlfn._xlws.FILTER(eng_1[],(eng_1[Home]='England 1'!C21)+(eng_1[Away]='England 1'!E9))</f>
        <v>1</v>
      </c>
      <c r="B2" s="1">
        <v>43688</v>
      </c>
      <c r="C2" t="str">
        <v>Leicester City FC</v>
      </c>
      <c r="D2">
        <v>0</v>
      </c>
      <c r="E2" t="str">
        <v>Wolverhampton Wanderers FC</v>
      </c>
      <c r="F2">
        <v>0</v>
      </c>
      <c r="H2" s="59" cm="1">
        <f t="array" ref="H2">_xlfn.IFS(AND(C2=$N$18,D2&gt;F2),3,AND(E2=$N$18,F2&gt;D2),3,AND(C2=$N$18,D2=F2),1,AND(E2=$N$18,D2=F2),1,AND(C2=$N$18,D2&lt;F2),0,AND(E2=$N$18,F2&lt;D2),0)</f>
        <v>1</v>
      </c>
      <c r="I2" cm="1">
        <f t="array" ref="I2">_xlfn.IFS(H2=3,1,H2=1,0,H2=0,0)</f>
        <v>0</v>
      </c>
      <c r="J2" s="59" cm="1">
        <f t="array" ref="J2">_xlfn.IFS(H2=0,1,H2=1,0,H2=3,0)</f>
        <v>0</v>
      </c>
      <c r="K2" cm="1">
        <f t="array" ref="K2">_xlfn.IFS(H2=3,1,H2=1,1,H2=0,0)</f>
        <v>1</v>
      </c>
      <c r="L2" cm="1">
        <f t="array" ref="L2">_xlfn.IFS(H2=0,1,H2=1,1,H2=3,0)</f>
        <v>1</v>
      </c>
      <c r="Q2" s="56" t="s">
        <v>78</v>
      </c>
      <c r="R2">
        <v>20</v>
      </c>
      <c r="S2">
        <v>30</v>
      </c>
      <c r="T2" s="60">
        <v>1.5</v>
      </c>
    </row>
    <row r="3" spans="1:20" x14ac:dyDescent="0.2">
      <c r="A3">
        <v>2</v>
      </c>
      <c r="B3" s="1">
        <v>43696</v>
      </c>
      <c r="C3" t="str">
        <v>Wolverhampton Wanderers FC</v>
      </c>
      <c r="D3">
        <v>1</v>
      </c>
      <c r="E3" t="str">
        <v>Manchester United FC</v>
      </c>
      <c r="F3">
        <v>1</v>
      </c>
      <c r="H3" s="59" cm="1">
        <f t="array" ref="H3">_xlfn.IFS(AND(C3=$N$18,D3&gt;F3),3,AND(E3=$N$18,F3&gt;D3),3,AND(C3=$N$18,D3=F3),1,AND(E3=$N$18,D3=F3),1,AND(C3=$N$18,D3&lt;F3),0,AND(E3=$N$18,F3&lt;D3),0)</f>
        <v>1</v>
      </c>
      <c r="I3">
        <f t="shared" ref="I3:I39" si="0">IF(H3=3,1+I2,0)</f>
        <v>0</v>
      </c>
      <c r="J3" s="59">
        <f t="shared" ref="J3:J39" si="1">IF(H3=0,1+J2,0)</f>
        <v>0</v>
      </c>
      <c r="K3" cm="1">
        <f t="array" ref="K3">_xlfn.IFS(H3=3,1+K2,H3=1,1+K2,H3=0,0)</f>
        <v>2</v>
      </c>
      <c r="L3" cm="1">
        <f t="array" ref="L3">_xlfn.IFS(H3=0,1+L2,H3=1,1+L2,H3=3,0)</f>
        <v>2</v>
      </c>
      <c r="N3" s="48" t="s">
        <v>79</v>
      </c>
      <c r="O3" s="48" t="s">
        <v>80</v>
      </c>
      <c r="Q3" s="57" t="s">
        <v>81</v>
      </c>
      <c r="R3">
        <v>3</v>
      </c>
      <c r="S3">
        <v>3</v>
      </c>
      <c r="T3" s="60">
        <v>1</v>
      </c>
    </row>
    <row r="4" spans="1:20" x14ac:dyDescent="0.2">
      <c r="A4">
        <v>3</v>
      </c>
      <c r="B4" s="1">
        <v>43702</v>
      </c>
      <c r="C4" t="str">
        <v>Wolverhampton Wanderers FC</v>
      </c>
      <c r="D4">
        <v>1</v>
      </c>
      <c r="E4" t="str">
        <v>Burnley FC</v>
      </c>
      <c r="F4">
        <v>1</v>
      </c>
      <c r="H4" s="59" cm="1">
        <f t="array" ref="H4">_xlfn.IFS(AND(C4=$N$18,D4&gt;F4),3,AND(E4=$N$18,F4&gt;D4),3,AND(C4=$N$18,D4=F4),1,AND(E4=$N$18,D4=F4),1,AND(C4=$N$18,D4&lt;F4),0,AND(E4=$N$18,F4&lt;D4),0)</f>
        <v>1</v>
      </c>
      <c r="I4">
        <f t="shared" si="0"/>
        <v>0</v>
      </c>
      <c r="J4" s="59">
        <f t="shared" si="1"/>
        <v>0</v>
      </c>
      <c r="K4" cm="1">
        <f t="array" ref="K4">_xlfn.IFS(H4=3,1+K3,H4=1,1+K3,H4=0,0)</f>
        <v>3</v>
      </c>
      <c r="L4" cm="1">
        <f t="array" ref="L4">_xlfn.IFS(H4=0,1+L3,H4=1,1+L3,H4=3,0)</f>
        <v>3</v>
      </c>
      <c r="N4" s="49" t="s">
        <v>82</v>
      </c>
      <c r="O4" s="50"/>
      <c r="Q4" s="57" t="s">
        <v>83</v>
      </c>
      <c r="R4">
        <v>4</v>
      </c>
      <c r="S4">
        <v>4</v>
      </c>
      <c r="T4" s="60">
        <v>1</v>
      </c>
    </row>
    <row r="5" spans="1:20" x14ac:dyDescent="0.2">
      <c r="A5">
        <v>4</v>
      </c>
      <c r="B5" s="1">
        <v>43709</v>
      </c>
      <c r="C5" t="str">
        <v>Everton FC</v>
      </c>
      <c r="D5">
        <v>3</v>
      </c>
      <c r="E5" t="str">
        <v>Wolverhampton Wanderers FC</v>
      </c>
      <c r="F5">
        <v>2</v>
      </c>
      <c r="H5" s="59" cm="1">
        <f t="array" ref="H5">_xlfn.IFS(AND(C5=$N$18,D5&gt;F5),3,AND(E5=$N$18,F5&gt;D5),3,AND(C5=$N$18,D5=F5),1,AND(E5=$N$18,D5=F5),1,AND(C5=$N$18,D5&lt;F5),0,AND(E5=$N$18,F5&lt;D5),0)</f>
        <v>0</v>
      </c>
      <c r="I5">
        <f t="shared" si="0"/>
        <v>0</v>
      </c>
      <c r="J5" s="59">
        <f t="shared" si="1"/>
        <v>1</v>
      </c>
      <c r="K5" cm="1">
        <f t="array" ref="K5">_xlfn.IFS(H5=3,1+K4,H5=1,1+K4,H5=0,0)</f>
        <v>0</v>
      </c>
      <c r="L5" cm="1">
        <f t="array" ref="L5">_xlfn.IFS(H5=0,1+L4,H5=1,1+L4,H5=3,0)</f>
        <v>4</v>
      </c>
      <c r="N5" s="49" t="s">
        <v>84</v>
      </c>
      <c r="O5" s="51"/>
      <c r="Q5" s="57" t="s">
        <v>85</v>
      </c>
      <c r="R5">
        <v>3</v>
      </c>
      <c r="S5">
        <v>5</v>
      </c>
      <c r="T5" s="60">
        <v>1.6666666666666667</v>
      </c>
    </row>
    <row r="6" spans="1:20" x14ac:dyDescent="0.2">
      <c r="A6">
        <v>5</v>
      </c>
      <c r="B6" s="1">
        <v>43722</v>
      </c>
      <c r="C6" t="str">
        <v>Wolverhampton Wanderers FC</v>
      </c>
      <c r="D6">
        <v>2</v>
      </c>
      <c r="E6" t="str">
        <v>Chelsea FC</v>
      </c>
      <c r="F6">
        <v>5</v>
      </c>
      <c r="H6" s="59" cm="1">
        <f t="array" ref="H6">_xlfn.IFS(AND(C6=$N$18,D6&gt;F6),3,AND(E6=$N$18,F6&gt;D6),3,AND(C6=$N$18,D6=F6),1,AND(E6=$N$18,D6=F6),1,AND(C6=$N$18,D6&lt;F6),0,AND(E6=$N$18,F6&lt;D6),0)</f>
        <v>0</v>
      </c>
      <c r="I6">
        <f t="shared" si="0"/>
        <v>0</v>
      </c>
      <c r="J6" s="59">
        <f t="shared" si="1"/>
        <v>2</v>
      </c>
      <c r="K6" cm="1">
        <f t="array" ref="K6">_xlfn.IFS(H6=3,1+K5,H6=1,1+K5,H6=0,0)</f>
        <v>0</v>
      </c>
      <c r="L6" cm="1">
        <f t="array" ref="L6">_xlfn.IFS(H6=0,1+L5,H6=1,1+L5,H6=3,0)</f>
        <v>5</v>
      </c>
      <c r="N6" s="49" t="s">
        <v>86</v>
      </c>
      <c r="O6" s="52"/>
      <c r="Q6" s="57" t="s">
        <v>87</v>
      </c>
      <c r="R6">
        <v>3</v>
      </c>
      <c r="S6">
        <v>7</v>
      </c>
      <c r="T6" s="60">
        <v>2.3333333333333335</v>
      </c>
    </row>
    <row r="7" spans="1:20" x14ac:dyDescent="0.2">
      <c r="A7">
        <v>6</v>
      </c>
      <c r="B7" s="1">
        <v>43730</v>
      </c>
      <c r="C7" t="str">
        <v>Crystal Palace FC</v>
      </c>
      <c r="D7">
        <v>1</v>
      </c>
      <c r="E7" t="str">
        <v>Wolverhampton Wanderers FC</v>
      </c>
      <c r="F7">
        <v>1</v>
      </c>
      <c r="H7" s="59" cm="1">
        <f t="array" ref="H7">_xlfn.IFS(AND(C7=$N$18,D7&gt;F7),3,AND(E7=$N$18,F7&gt;D7),3,AND(C7=$N$18,D7=F7),1,AND(E7=$N$18,D7=F7),1,AND(C7=$N$18,D7&lt;F7),0,AND(E7=$N$18,F7&lt;D7),0)</f>
        <v>1</v>
      </c>
      <c r="I7">
        <f t="shared" si="0"/>
        <v>0</v>
      </c>
      <c r="J7" s="59">
        <f t="shared" si="1"/>
        <v>0</v>
      </c>
      <c r="K7" cm="1">
        <f t="array" ref="K7">_xlfn.IFS(H7=3,1+K6,H7=1,1+K6,H7=0,0)</f>
        <v>1</v>
      </c>
      <c r="L7" cm="1">
        <f t="array" ref="L7">_xlfn.IFS(H7=0,1+L6,H7=1,1+L6,H7=3,0)</f>
        <v>6</v>
      </c>
      <c r="Q7" s="57" t="s">
        <v>88</v>
      </c>
      <c r="R7">
        <v>7</v>
      </c>
      <c r="S7">
        <v>11</v>
      </c>
      <c r="T7" s="60">
        <v>1.5714285714285714</v>
      </c>
    </row>
    <row r="8" spans="1:20" x14ac:dyDescent="0.2">
      <c r="A8">
        <v>7</v>
      </c>
      <c r="B8" s="1">
        <v>43736</v>
      </c>
      <c r="C8" t="str">
        <v>Wolverhampton Wanderers FC</v>
      </c>
      <c r="D8">
        <v>2</v>
      </c>
      <c r="E8" t="str">
        <v>Watford FC</v>
      </c>
      <c r="F8">
        <v>0</v>
      </c>
      <c r="H8" s="59" cm="1">
        <f t="array" ref="H8">_xlfn.IFS(AND(C8=$N$18,D8&gt;F8),3,AND(E8=$N$18,F8&gt;D8),3,AND(C8=$N$18,D8=F8),1,AND(E8=$N$18,D8=F8),1,AND(C8=$N$18,D8&lt;F8),0,AND(E8=$N$18,F8&lt;D8),0)</f>
        <v>3</v>
      </c>
      <c r="I8">
        <f t="shared" si="0"/>
        <v>1</v>
      </c>
      <c r="J8" s="59">
        <f t="shared" si="1"/>
        <v>0</v>
      </c>
      <c r="K8" cm="1">
        <f t="array" ref="K8">_xlfn.IFS(H8=3,1+K7,H8=1,1+K7,H8=0,0)</f>
        <v>2</v>
      </c>
      <c r="L8" cm="1">
        <f t="array" ref="L8">_xlfn.IFS(H8=0,1+L7,H8=1,1+L7,H8=3,0)</f>
        <v>0</v>
      </c>
      <c r="Q8" s="56" t="s">
        <v>89</v>
      </c>
      <c r="R8">
        <v>18</v>
      </c>
      <c r="S8">
        <v>29</v>
      </c>
      <c r="T8" s="60">
        <v>1.6111111111111112</v>
      </c>
    </row>
    <row r="9" spans="1:20" x14ac:dyDescent="0.2">
      <c r="A9">
        <v>8</v>
      </c>
      <c r="B9" s="1">
        <v>43744</v>
      </c>
      <c r="C9" t="str">
        <v>Manchester City FC</v>
      </c>
      <c r="D9">
        <v>0</v>
      </c>
      <c r="E9" t="str">
        <v>Wolverhampton Wanderers FC</v>
      </c>
      <c r="F9">
        <v>2</v>
      </c>
      <c r="H9" s="59" cm="1">
        <f t="array" ref="H9">_xlfn.IFS(AND(C9=$N$18,D9&gt;F9),3,AND(E9=$N$18,F9&gt;D9),3,AND(C9=$N$18,D9=F9),1,AND(E9=$N$18,D9=F9),1,AND(C9=$N$18,D9&lt;F9),0,AND(E9=$N$18,F9&lt;D9),0)</f>
        <v>3</v>
      </c>
      <c r="I9">
        <f t="shared" si="0"/>
        <v>2</v>
      </c>
      <c r="J9" s="59">
        <f t="shared" si="1"/>
        <v>0</v>
      </c>
      <c r="K9" cm="1">
        <f t="array" ref="K9">_xlfn.IFS(H9=3,1+K8,H9=1,1+K8,H9=0,0)</f>
        <v>3</v>
      </c>
      <c r="L9" cm="1">
        <f t="array" ref="L9">_xlfn.IFS(H9=0,1+L8,H9=1,1+L8,H9=3,0)</f>
        <v>0</v>
      </c>
      <c r="Q9" s="57" t="s">
        <v>90</v>
      </c>
      <c r="R9">
        <v>4</v>
      </c>
      <c r="S9">
        <v>4</v>
      </c>
      <c r="T9" s="60">
        <v>1</v>
      </c>
    </row>
    <row r="10" spans="1:20" x14ac:dyDescent="0.2">
      <c r="A10">
        <v>9</v>
      </c>
      <c r="B10" s="1">
        <v>43757</v>
      </c>
      <c r="C10" t="str">
        <v>Wolverhampton Wanderers FC</v>
      </c>
      <c r="D10">
        <v>1</v>
      </c>
      <c r="E10" t="str">
        <v>Southampton FC</v>
      </c>
      <c r="F10">
        <v>1</v>
      </c>
      <c r="H10" s="59" cm="1">
        <f t="array" ref="H10">_xlfn.IFS(AND(C10=$N$18,D10&gt;F10),3,AND(E10=$N$18,F10&gt;D10),3,AND(C10=$N$18,D10=F10),1,AND(E10=$N$18,D10=F10),1,AND(C10=$N$18,D10&lt;F10),0,AND(E10=$N$18,F10&lt;D10),0)</f>
        <v>1</v>
      </c>
      <c r="I10">
        <f t="shared" si="0"/>
        <v>0</v>
      </c>
      <c r="J10" s="59">
        <f t="shared" si="1"/>
        <v>0</v>
      </c>
      <c r="K10" cm="1">
        <f t="array" ref="K10">_xlfn.IFS(H10=3,1+K9,H10=1,1+K9,H10=0,0)</f>
        <v>4</v>
      </c>
      <c r="L10" cm="1">
        <f t="array" ref="L10">_xlfn.IFS(H10=0,1+L9,H10=1,1+L9,H10=3,0)</f>
        <v>1</v>
      </c>
      <c r="Q10" s="57" t="s">
        <v>91</v>
      </c>
      <c r="R10">
        <v>3</v>
      </c>
      <c r="S10">
        <v>5</v>
      </c>
      <c r="T10" s="60">
        <v>1.6666666666666667</v>
      </c>
    </row>
    <row r="11" spans="1:20" x14ac:dyDescent="0.2">
      <c r="A11">
        <v>10</v>
      </c>
      <c r="B11" s="1">
        <v>43765</v>
      </c>
      <c r="C11" t="str">
        <v>Newcastle United FC</v>
      </c>
      <c r="D11">
        <v>1</v>
      </c>
      <c r="E11" t="str">
        <v>Wolverhampton Wanderers FC</v>
      </c>
      <c r="F11">
        <v>1</v>
      </c>
      <c r="H11" s="59" cm="1">
        <f t="array" ref="H11">_xlfn.IFS(AND(C11=$N$18,D11&gt;F11),3,AND(E11=$N$18,F11&gt;D11),3,AND(C11=$N$18,D11=F11),1,AND(E11=$N$18,D11=F11),1,AND(C11=$N$18,D11&lt;F11),0,AND(E11=$N$18,F11&lt;D11),0)</f>
        <v>1</v>
      </c>
      <c r="I11">
        <f t="shared" si="0"/>
        <v>0</v>
      </c>
      <c r="J11" s="59">
        <f t="shared" si="1"/>
        <v>0</v>
      </c>
      <c r="K11" cm="1">
        <f t="array" ref="K11">_xlfn.IFS(H11=3,1+K10,H11=1,1+K10,H11=0,0)</f>
        <v>5</v>
      </c>
      <c r="L11" cm="1">
        <f t="array" ref="L11">_xlfn.IFS(H11=0,1+L10,H11=1,1+L10,H11=3,0)</f>
        <v>2</v>
      </c>
      <c r="Q11" s="57" t="s">
        <v>92</v>
      </c>
      <c r="R11">
        <v>2</v>
      </c>
      <c r="S11">
        <v>4</v>
      </c>
      <c r="T11" s="60">
        <v>2</v>
      </c>
    </row>
    <row r="12" spans="1:20" x14ac:dyDescent="0.2">
      <c r="A12">
        <v>11</v>
      </c>
      <c r="B12" s="1">
        <v>43771</v>
      </c>
      <c r="C12" t="str">
        <v>Arsenal FC</v>
      </c>
      <c r="D12">
        <v>1</v>
      </c>
      <c r="E12" t="str">
        <v>Wolverhampton Wanderers FC</v>
      </c>
      <c r="F12">
        <v>1</v>
      </c>
      <c r="H12" s="59" cm="1">
        <f t="array" ref="H12">_xlfn.IFS(AND(C12=$N$18,D12&gt;F12),3,AND(E12=$N$18,F12&gt;D12),3,AND(C12=$N$18,D12=F12),1,AND(E12=$N$18,D12=F12),1,AND(C12=$N$18,D12&lt;F12),0,AND(E12=$N$18,F12&lt;D12),0)</f>
        <v>1</v>
      </c>
      <c r="I12">
        <f t="shared" si="0"/>
        <v>0</v>
      </c>
      <c r="J12" s="59">
        <f t="shared" si="1"/>
        <v>0</v>
      </c>
      <c r="K12" cm="1">
        <f t="array" ref="K12">_xlfn.IFS(H12=3,1+K11,H12=1,1+K11,H12=0,0)</f>
        <v>6</v>
      </c>
      <c r="L12" cm="1">
        <f t="array" ref="L12">_xlfn.IFS(H12=0,1+L11,H12=1,1+L11,H12=3,0)</f>
        <v>3</v>
      </c>
      <c r="Q12" s="57" t="s">
        <v>93</v>
      </c>
      <c r="R12">
        <v>3</v>
      </c>
      <c r="S12">
        <v>9</v>
      </c>
      <c r="T12" s="60">
        <v>3</v>
      </c>
    </row>
    <row r="13" spans="1:20" x14ac:dyDescent="0.2">
      <c r="A13">
        <v>12</v>
      </c>
      <c r="B13" s="1">
        <v>43779</v>
      </c>
      <c r="C13" t="str">
        <v>Wolverhampton Wanderers FC</v>
      </c>
      <c r="D13">
        <v>2</v>
      </c>
      <c r="E13" t="str">
        <v>Aston Villa FC</v>
      </c>
      <c r="F13">
        <v>1</v>
      </c>
      <c r="H13" s="59" cm="1">
        <f t="array" ref="H13">_xlfn.IFS(AND(C13=$N$18,D13&gt;F13),3,AND(E13=$N$18,F13&gt;D13),3,AND(C13=$N$18,D13=F13),1,AND(E13=$N$18,D13=F13),1,AND(C13=$N$18,D13&lt;F13),0,AND(E13=$N$18,F13&lt;D13),0)</f>
        <v>3</v>
      </c>
      <c r="I13">
        <f t="shared" si="0"/>
        <v>1</v>
      </c>
      <c r="J13" s="59">
        <f t="shared" si="1"/>
        <v>0</v>
      </c>
      <c r="K13" cm="1">
        <f t="array" ref="K13">_xlfn.IFS(H13=3,1+K12,H13=1,1+K12,H13=0,0)</f>
        <v>7</v>
      </c>
      <c r="L13" cm="1">
        <f t="array" ref="L13">_xlfn.IFS(H13=0,1+L12,H13=1,1+L12,H13=3,0)</f>
        <v>0</v>
      </c>
      <c r="Q13" s="57" t="s">
        <v>94</v>
      </c>
      <c r="R13">
        <v>6</v>
      </c>
      <c r="S13">
        <v>7</v>
      </c>
      <c r="T13" s="60">
        <v>1.1666666666666667</v>
      </c>
    </row>
    <row r="14" spans="1:20" x14ac:dyDescent="0.2">
      <c r="A14">
        <v>13</v>
      </c>
      <c r="B14" s="1">
        <v>43792</v>
      </c>
      <c r="C14" t="str">
        <v>AFC Bournemouth</v>
      </c>
      <c r="D14">
        <v>1</v>
      </c>
      <c r="E14" t="str">
        <v>Wolverhampton Wanderers FC</v>
      </c>
      <c r="F14">
        <v>2</v>
      </c>
      <c r="H14" s="59" cm="1">
        <f t="array" ref="H14">_xlfn.IFS(AND(C14=$N$18,D14&gt;F14),3,AND(E14=$N$18,F14&gt;D14),3,AND(C14=$N$18,D14=F14),1,AND(E14=$N$18,D14=F14),1,AND(C14=$N$18,D14&lt;F14),0,AND(E14=$N$18,F14&lt;D14),0)</f>
        <v>3</v>
      </c>
      <c r="I14">
        <f t="shared" si="0"/>
        <v>2</v>
      </c>
      <c r="J14" s="59">
        <f t="shared" si="1"/>
        <v>0</v>
      </c>
      <c r="K14" cm="1">
        <f t="array" ref="K14">_xlfn.IFS(H14=3,1+K13,H14=1,1+K13,H14=0,0)</f>
        <v>8</v>
      </c>
      <c r="L14" cm="1">
        <f t="array" ref="L14">_xlfn.IFS(H14=0,1+L13,H14=1,1+L13,H14=3,0)</f>
        <v>0</v>
      </c>
      <c r="Q14" s="56" t="s">
        <v>95</v>
      </c>
      <c r="R14">
        <v>38</v>
      </c>
      <c r="S14">
        <v>59</v>
      </c>
      <c r="T14" s="60">
        <v>1.5526315789473684</v>
      </c>
    </row>
    <row r="15" spans="1:20" x14ac:dyDescent="0.2">
      <c r="A15">
        <v>14</v>
      </c>
      <c r="B15" s="1">
        <v>43800</v>
      </c>
      <c r="C15" t="str">
        <v>Wolverhampton Wanderers FC</v>
      </c>
      <c r="D15">
        <v>1</v>
      </c>
      <c r="E15" t="str">
        <v>Sheffield United FC</v>
      </c>
      <c r="F15">
        <v>1</v>
      </c>
      <c r="H15" s="59" cm="1">
        <f t="array" ref="H15">_xlfn.IFS(AND(C15=$N$18,D15&gt;F15),3,AND(E15=$N$18,F15&gt;D15),3,AND(C15=$N$18,D15=F15),1,AND(E15=$N$18,D15=F15),1,AND(C15=$N$18,D15&lt;F15),0,AND(E15=$N$18,F15&lt;D15),0)</f>
        <v>1</v>
      </c>
      <c r="I15">
        <f t="shared" si="0"/>
        <v>0</v>
      </c>
      <c r="J15" s="59">
        <f t="shared" si="1"/>
        <v>0</v>
      </c>
      <c r="K15" cm="1">
        <f t="array" ref="K15">_xlfn.IFS(H15=3,1+K14,H15=1,1+K14,H15=0,0)</f>
        <v>9</v>
      </c>
      <c r="L15" cm="1">
        <f t="array" ref="L15">_xlfn.IFS(H15=0,1+L14,H15=1,1+L14,H15=3,0)</f>
        <v>1</v>
      </c>
    </row>
    <row r="16" spans="1:20" x14ac:dyDescent="0.2">
      <c r="A16">
        <v>15</v>
      </c>
      <c r="B16" s="1">
        <v>43803</v>
      </c>
      <c r="C16" t="str">
        <v>Wolverhampton Wanderers FC</v>
      </c>
      <c r="D16">
        <v>2</v>
      </c>
      <c r="E16" t="str">
        <v>West Ham United FC</v>
      </c>
      <c r="F16">
        <v>0</v>
      </c>
      <c r="H16" s="59" cm="1">
        <f t="array" ref="H16">_xlfn.IFS(AND(C16=$N$18,D16&gt;F16),3,AND(E16=$N$18,F16&gt;D16),3,AND(C16=$N$18,D16=F16),1,AND(E16=$N$18,D16=F16),1,AND(C16=$N$18,D16&lt;F16),0,AND(E16=$N$18,F16&lt;D16),0)</f>
        <v>3</v>
      </c>
      <c r="I16">
        <f t="shared" si="0"/>
        <v>1</v>
      </c>
      <c r="J16" s="59">
        <f t="shared" si="1"/>
        <v>0</v>
      </c>
      <c r="K16" cm="1">
        <f t="array" ref="K16">_xlfn.IFS(H16=3,1+K15,H16=1,1+K15,H16=0,0)</f>
        <v>10</v>
      </c>
      <c r="L16" cm="1">
        <f t="array" ref="L16">_xlfn.IFS(H16=0,1+L15,H16=1,1+L15,H16=3,0)</f>
        <v>0</v>
      </c>
    </row>
    <row r="17" spans="1:22" x14ac:dyDescent="0.2">
      <c r="A17">
        <v>16</v>
      </c>
      <c r="B17" s="1">
        <v>43807</v>
      </c>
      <c r="C17" t="str">
        <v>Brighton &amp; Hove Albion FC</v>
      </c>
      <c r="D17">
        <v>2</v>
      </c>
      <c r="E17" t="str">
        <v>Wolverhampton Wanderers FC</v>
      </c>
      <c r="F17">
        <v>2</v>
      </c>
      <c r="H17" s="59" cm="1">
        <f t="array" ref="H17">_xlfn.IFS(AND(C17=$N$18,D17&gt;F17),3,AND(E17=$N$18,F17&gt;D17),3,AND(C17=$N$18,D17=F17),1,AND(E17=$N$18,D17=F17),1,AND(C17=$N$18,D17&lt;F17),0,AND(E17=$N$18,F17&lt;D17),0)</f>
        <v>1</v>
      </c>
      <c r="I17">
        <f t="shared" si="0"/>
        <v>0</v>
      </c>
      <c r="J17" s="59">
        <f t="shared" si="1"/>
        <v>0</v>
      </c>
      <c r="K17" cm="1">
        <f t="array" ref="K17">_xlfn.IFS(H17=3,1+K16,H17=1,1+K16,H17=0,0)</f>
        <v>11</v>
      </c>
      <c r="L17" cm="1">
        <f t="array" ref="L17">_xlfn.IFS(H17=0,1+L16,H17=1,1+L16,H17=3,0)</f>
        <v>1</v>
      </c>
    </row>
    <row r="18" spans="1:22" x14ac:dyDescent="0.2">
      <c r="A18">
        <v>17</v>
      </c>
      <c r="B18" s="1">
        <v>43814</v>
      </c>
      <c r="C18" t="str">
        <v>Wolverhampton Wanderers FC</v>
      </c>
      <c r="D18">
        <v>1</v>
      </c>
      <c r="E18" t="str">
        <v>Tottenham Hotspur FC</v>
      </c>
      <c r="F18">
        <v>2</v>
      </c>
      <c r="H18" s="59" cm="1">
        <f t="array" ref="H18">_xlfn.IFS(AND(C18=$N$18,D18&gt;F18),3,AND(E18=$N$18,F18&gt;D18),3,AND(C18=$N$18,D18=F18),1,AND(E18=$N$18,D18=F18),1,AND(C18=$N$18,D18&lt;F18),0,AND(E18=$N$18,F18&lt;D18),0)</f>
        <v>0</v>
      </c>
      <c r="I18">
        <f t="shared" si="0"/>
        <v>0</v>
      </c>
      <c r="J18" s="59">
        <f t="shared" si="1"/>
        <v>1</v>
      </c>
      <c r="K18" cm="1">
        <f t="array" ref="K18">_xlfn.IFS(H18=3,1+K17,H18=1,1+K17,H18=0,0)</f>
        <v>0</v>
      </c>
      <c r="L18" cm="1">
        <f t="array" ref="L18">_xlfn.IFS(H18=0,1+L17,H18=1,1+L17,H18=3,0)</f>
        <v>2</v>
      </c>
      <c r="N18" s="14" t="str">
        <f>E2</f>
        <v>Wolverhampton Wanderers FC</v>
      </c>
      <c r="O18" s="9" t="s">
        <v>12</v>
      </c>
      <c r="P18" s="7" t="s">
        <v>13</v>
      </c>
      <c r="Q18" s="6" t="s">
        <v>14</v>
      </c>
      <c r="R18" s="8" t="s">
        <v>15</v>
      </c>
      <c r="S18" s="9" t="s">
        <v>16</v>
      </c>
      <c r="T18" s="9" t="s">
        <v>17</v>
      </c>
      <c r="U18" s="9" t="s">
        <v>18</v>
      </c>
      <c r="V18" s="9" t="s">
        <v>19</v>
      </c>
    </row>
    <row r="19" spans="1:22" x14ac:dyDescent="0.2">
      <c r="A19">
        <v>18</v>
      </c>
      <c r="B19" s="1">
        <v>43820</v>
      </c>
      <c r="C19" t="str">
        <v>Norwich City FC</v>
      </c>
      <c r="D19">
        <v>1</v>
      </c>
      <c r="E19" t="str">
        <v>Wolverhampton Wanderers FC</v>
      </c>
      <c r="F19">
        <v>2</v>
      </c>
      <c r="H19" s="59" cm="1">
        <f t="array" ref="H19">_xlfn.IFS(AND(C19=$N$18,D19&gt;F19),3,AND(E19=$N$18,F19&gt;D19),3,AND(C19=$N$18,D19=F19),1,AND(E19=$N$18,D19=F19),1,AND(C19=$N$18,D19&lt;F19),0,AND(E19=$N$18,F19&lt;D19),0)</f>
        <v>3</v>
      </c>
      <c r="I19">
        <f t="shared" si="0"/>
        <v>1</v>
      </c>
      <c r="J19" s="59">
        <f t="shared" si="1"/>
        <v>0</v>
      </c>
      <c r="K19" cm="1">
        <f t="array" ref="K19">_xlfn.IFS(H19=3,1+K18,H19=1,1+K18,H19=0,0)</f>
        <v>1</v>
      </c>
      <c r="L19" cm="1">
        <f t="array" ref="L19">_xlfn.IFS(H19=0,1+L18,H19=1,1+L18,H19=3,0)</f>
        <v>0</v>
      </c>
      <c r="N19" s="10" t="s">
        <v>22</v>
      </c>
      <c r="O19" s="11">
        <f>COUNT(A2:A39)</f>
        <v>38</v>
      </c>
      <c r="P19" s="5" cm="1">
        <f t="array" ref="P19">SUMPRODUCT(((C2:C39=$N$18)*(D2:D39&gt;F2:F39))+((E2:E39=$N$18)*(F2:F39&gt;D2:D39)))</f>
        <v>15</v>
      </c>
      <c r="Q19" s="12" cm="1">
        <f t="array" ref="Q19">SUMPRODUCT(((C2:C39=$N$18)*(D2:D39=F2:F39))+((E2:E39=$E$2)*(F2:F39=D2:D39)))</f>
        <v>14</v>
      </c>
      <c r="R19" s="13" cm="1">
        <f t="array" ref="R19">SUMPRODUCT(((C2:C39=$N$18)*(D2:D39&lt;F2:F39))+((E2:E39=$N$18)*(F2:F39&lt;D2:D39)))</f>
        <v>9</v>
      </c>
      <c r="S19" s="11">
        <f>SUMIF(C2:C39,$N$18,D2:D39)+SUMIF(E2:E39,$N$18,F2:F39)</f>
        <v>51</v>
      </c>
      <c r="T19" s="11">
        <f>SUMIF(C2:C39,N18,F2:F39)+SUMIF(E2:E39,N18,D2:D39)</f>
        <v>40</v>
      </c>
      <c r="U19" s="11">
        <f>S19-T19</f>
        <v>11</v>
      </c>
      <c r="V19" s="11">
        <f>V20+V21</f>
        <v>59</v>
      </c>
    </row>
    <row r="20" spans="1:22" x14ac:dyDescent="0.2">
      <c r="A20">
        <v>19</v>
      </c>
      <c r="B20" s="1">
        <v>43826</v>
      </c>
      <c r="C20" t="str">
        <v>Wolverhampton Wanderers FC</v>
      </c>
      <c r="D20">
        <v>3</v>
      </c>
      <c r="E20" t="str">
        <v>Manchester City FC</v>
      </c>
      <c r="F20">
        <v>2</v>
      </c>
      <c r="H20" s="59" cm="1">
        <f t="array" ref="H20">_xlfn.IFS(AND(C20=$N$18,D20&gt;F20),3,AND(E20=$N$18,F20&gt;D20),3,AND(C20=$N$18,D20=F20),1,AND(E20=$N$18,D20=F20),1,AND(C20=$N$18,D20&lt;F20),0,AND(E20=$N$18,F20&lt;D20),0)</f>
        <v>3</v>
      </c>
      <c r="I20">
        <f t="shared" si="0"/>
        <v>2</v>
      </c>
      <c r="J20" s="59">
        <f t="shared" si="1"/>
        <v>0</v>
      </c>
      <c r="K20" cm="1">
        <f t="array" ref="K20">_xlfn.IFS(H20=3,1+K19,H20=1,1+K19,H20=0,0)</f>
        <v>2</v>
      </c>
      <c r="L20" cm="1">
        <f t="array" ref="L20">_xlfn.IFS(H20=0,1+L19,H20=1,1+L19,H20=3,0)</f>
        <v>0</v>
      </c>
      <c r="N20" s="10" t="s">
        <v>2</v>
      </c>
      <c r="O20" s="11">
        <f>COUNTIF(C2:C39,C3)</f>
        <v>19</v>
      </c>
      <c r="P20" s="20" cm="1">
        <f t="array" ref="P20">SUMPRODUCT(((C2:C39=$N$18)*(D2:D39&gt;F2:F39)))</f>
        <v>8</v>
      </c>
      <c r="Q20" s="12" cm="1">
        <f t="array" ref="Q20">SUMPRODUCT(((C2:C39=$N$18)*(D2:D39=F2:F39)))</f>
        <v>7</v>
      </c>
      <c r="R20" s="13" cm="1">
        <f t="array" ref="R20">SUMPRODUCT(((C2:C39=$N$18)*(D2:D39&lt;F2:F39)))</f>
        <v>4</v>
      </c>
      <c r="S20" s="11">
        <f>SUMIF(C2:C39,$N$18,D2:D39)</f>
        <v>27</v>
      </c>
      <c r="T20" s="11">
        <f>SUMIF(C2:C39,N18,F2:F39)</f>
        <v>19</v>
      </c>
      <c r="U20" s="11">
        <f>S20-T20</f>
        <v>8</v>
      </c>
      <c r="V20" s="11">
        <f>(P20*3)+Q20</f>
        <v>31</v>
      </c>
    </row>
    <row r="21" spans="1:22" x14ac:dyDescent="0.2">
      <c r="A21">
        <v>20</v>
      </c>
      <c r="B21" s="1">
        <v>43828</v>
      </c>
      <c r="C21" t="str">
        <v>Liverpool FC</v>
      </c>
      <c r="D21">
        <v>1</v>
      </c>
      <c r="E21" t="str">
        <v>Wolverhampton Wanderers FC</v>
      </c>
      <c r="F21">
        <v>0</v>
      </c>
      <c r="H21" s="59" cm="1">
        <f t="array" ref="H21">_xlfn.IFS(AND(C21=$N$18,D21&gt;F21),3,AND(E21=$N$18,F21&gt;D21),3,AND(C21=$N$18,D21=F21),1,AND(E21=$N$18,D21=F21),1,AND(C21=$N$18,D21&lt;F21),0,AND(E21=$N$18,F21&lt;D21),0)</f>
        <v>0</v>
      </c>
      <c r="I21">
        <f t="shared" si="0"/>
        <v>0</v>
      </c>
      <c r="J21" s="59">
        <f t="shared" si="1"/>
        <v>1</v>
      </c>
      <c r="K21" cm="1">
        <f t="array" ref="K21">_xlfn.IFS(H21=3,1+K20,H21=1,1+K20,H21=0,0)</f>
        <v>0</v>
      </c>
      <c r="L21" cm="1">
        <f t="array" ref="L21">_xlfn.IFS(H21=0,1+L20,H21=1,1+L20,H21=3,0)</f>
        <v>1</v>
      </c>
      <c r="N21" s="10" t="s">
        <v>4</v>
      </c>
      <c r="O21" s="11">
        <f>COUNTIF(E2:E39,E2)</f>
        <v>19</v>
      </c>
      <c r="P21" s="5" cm="1">
        <f t="array" ref="P21">SUMPRODUCT(((E2:E39=$N$18)*(F2:F39&gt;D2:D39)))</f>
        <v>7</v>
      </c>
      <c r="Q21" s="12" cm="1">
        <f t="array" ref="Q21">SUMPRODUCT(((E2:E39=$N$18)*(F2:F39=D2:D39)))</f>
        <v>7</v>
      </c>
      <c r="R21" s="13" cm="1">
        <f t="array" ref="R21">SUMPRODUCT(((E2:E39=$N$18)*(F2:F39&lt;D2:D39)))</f>
        <v>5</v>
      </c>
      <c r="S21" s="11">
        <f>SUMIF(E2:E39,$N$18,F2:F39)</f>
        <v>24</v>
      </c>
      <c r="T21" s="11">
        <f>SUMIF(E2:E39,N18,D2:D39)</f>
        <v>21</v>
      </c>
      <c r="U21" s="11">
        <f>S21-T21</f>
        <v>3</v>
      </c>
      <c r="V21" s="11">
        <f>(P21*3)+Q21</f>
        <v>28</v>
      </c>
    </row>
    <row r="22" spans="1:22" x14ac:dyDescent="0.2">
      <c r="A22">
        <v>21</v>
      </c>
      <c r="B22" s="1">
        <v>43831</v>
      </c>
      <c r="C22" t="str">
        <v>Watford FC</v>
      </c>
      <c r="D22">
        <v>2</v>
      </c>
      <c r="E22" t="str">
        <v>Wolverhampton Wanderers FC</v>
      </c>
      <c r="F22">
        <v>1</v>
      </c>
      <c r="H22" s="59" cm="1">
        <f t="array" ref="H22">_xlfn.IFS(AND(C22=$N$18,D22&gt;F22),3,AND(E22=$N$18,F22&gt;D22),3,AND(C22=$N$18,D22=F22),1,AND(E22=$N$18,D22=F22),1,AND(C22=$N$18,D22&lt;F22),0,AND(E22=$N$18,F22&lt;D22),0)</f>
        <v>0</v>
      </c>
      <c r="I22">
        <f t="shared" si="0"/>
        <v>0</v>
      </c>
      <c r="J22" s="59">
        <f t="shared" si="1"/>
        <v>2</v>
      </c>
      <c r="K22" cm="1">
        <f t="array" ref="K22">_xlfn.IFS(H22=3,1+K21,H22=1,1+K21,H22=0,0)</f>
        <v>0</v>
      </c>
      <c r="L22" cm="1">
        <f t="array" ref="L22">_xlfn.IFS(H22=0,1+L21,H22=1,1+L21,H22=3,0)</f>
        <v>2</v>
      </c>
    </row>
    <row r="23" spans="1:22" x14ac:dyDescent="0.2">
      <c r="A23">
        <v>22</v>
      </c>
      <c r="B23" s="1">
        <v>43841</v>
      </c>
      <c r="C23" t="str">
        <v>Wolverhampton Wanderers FC</v>
      </c>
      <c r="D23">
        <v>1</v>
      </c>
      <c r="E23" t="str">
        <v>Newcastle United FC</v>
      </c>
      <c r="F23">
        <v>1</v>
      </c>
      <c r="H23" s="59" cm="1">
        <f t="array" ref="H23">_xlfn.IFS(AND(C23=$N$18,D23&gt;F23),3,AND(E23=$N$18,F23&gt;D23),3,AND(C23=$N$18,D23=F23),1,AND(E23=$N$18,D23=F23),1,AND(C23=$N$18,D23&lt;F23),0,AND(E23=$N$18,F23&lt;D23),0)</f>
        <v>1</v>
      </c>
      <c r="I23">
        <f t="shared" si="0"/>
        <v>0</v>
      </c>
      <c r="J23" s="59">
        <f t="shared" si="1"/>
        <v>0</v>
      </c>
      <c r="K23" cm="1">
        <f t="array" ref="K23">_xlfn.IFS(H23=3,1+K22,H23=1,1+K22,H23=0,0)</f>
        <v>1</v>
      </c>
      <c r="L23" cm="1">
        <f t="array" ref="L23">_xlfn.IFS(H23=0,1+L22,H23=1,1+L22,H23=3,0)</f>
        <v>3</v>
      </c>
    </row>
    <row r="24" spans="1:22" x14ac:dyDescent="0.2">
      <c r="A24">
        <v>23</v>
      </c>
      <c r="B24" s="1">
        <v>43848</v>
      </c>
      <c r="C24" t="str">
        <v>Southampton FC</v>
      </c>
      <c r="D24">
        <v>2</v>
      </c>
      <c r="E24" t="str">
        <v>Wolverhampton Wanderers FC</v>
      </c>
      <c r="F24">
        <v>3</v>
      </c>
      <c r="H24" s="59" cm="1">
        <f t="array" ref="H24">_xlfn.IFS(AND(C24=$N$18,D24&gt;F24),3,AND(E24=$N$18,F24&gt;D24),3,AND(C24=$N$18,D24=F24),1,AND(E24=$N$18,D24=F24),1,AND(C24=$N$18,D24&lt;F24),0,AND(E24=$N$18,F24&lt;D24),0)</f>
        <v>3</v>
      </c>
      <c r="I24">
        <f t="shared" si="0"/>
        <v>1</v>
      </c>
      <c r="J24" s="59">
        <f t="shared" si="1"/>
        <v>0</v>
      </c>
      <c r="K24" cm="1">
        <f t="array" ref="K24">_xlfn.IFS(H24=3,1+K23,H24=1,1+K23,H24=0,0)</f>
        <v>2</v>
      </c>
      <c r="L24" cm="1">
        <f t="array" ref="L24">_xlfn.IFS(H24=0,1+L23,H24=1,1+L23,H24=3,0)</f>
        <v>0</v>
      </c>
    </row>
    <row r="25" spans="1:22" x14ac:dyDescent="0.2">
      <c r="A25">
        <v>24</v>
      </c>
      <c r="B25" s="1">
        <v>43853</v>
      </c>
      <c r="C25" t="str">
        <v>Wolverhampton Wanderers FC</v>
      </c>
      <c r="D25">
        <v>1</v>
      </c>
      <c r="E25" t="str">
        <v>Liverpool FC</v>
      </c>
      <c r="F25">
        <v>2</v>
      </c>
      <c r="H25" s="59" cm="1">
        <f t="array" ref="H25">_xlfn.IFS(AND(C25=$N$18,D25&gt;F25),3,AND(E25=$N$18,F25&gt;D25),3,AND(C25=$N$18,D25=F25),1,AND(E25=$N$18,D25=F25),1,AND(C25=$N$18,D25&lt;F25),0,AND(E25=$N$18,F25&lt;D25),0)</f>
        <v>0</v>
      </c>
      <c r="I25">
        <f t="shared" si="0"/>
        <v>0</v>
      </c>
      <c r="J25" s="59">
        <f t="shared" si="1"/>
        <v>1</v>
      </c>
      <c r="K25" cm="1">
        <f t="array" ref="K25">_xlfn.IFS(H25=3,1+K24,H25=1,1+K24,H25=0,0)</f>
        <v>0</v>
      </c>
      <c r="L25" cm="1">
        <f t="array" ref="L25">_xlfn.IFS(H25=0,1+L24,H25=1,1+L24,H25=3,0)</f>
        <v>1</v>
      </c>
    </row>
    <row r="26" spans="1:22" x14ac:dyDescent="0.2">
      <c r="A26">
        <v>25</v>
      </c>
      <c r="B26" s="1">
        <v>43862</v>
      </c>
      <c r="C26" t="str">
        <v>Manchester United FC</v>
      </c>
      <c r="D26">
        <v>0</v>
      </c>
      <c r="E26" t="str">
        <v>Wolverhampton Wanderers FC</v>
      </c>
      <c r="F26">
        <v>0</v>
      </c>
      <c r="H26" s="59" cm="1">
        <f t="array" ref="H26">_xlfn.IFS(AND(C26=$N$18,D26&gt;F26),3,AND(E26=$N$18,F26&gt;D26),3,AND(C26=$N$18,D26=F26),1,AND(E26=$N$18,D26=F26),1,AND(C26=$N$18,D26&lt;F26),0,AND(E26=$N$18,F26&lt;D26),0)</f>
        <v>1</v>
      </c>
      <c r="I26">
        <f t="shared" si="0"/>
        <v>0</v>
      </c>
      <c r="J26" s="59">
        <f t="shared" si="1"/>
        <v>0</v>
      </c>
      <c r="K26" cm="1">
        <f t="array" ref="K26">_xlfn.IFS(H26=3,1+K25,H26=1,1+K25,H26=0,0)</f>
        <v>1</v>
      </c>
      <c r="L26" cm="1">
        <f t="array" ref="L26">_xlfn.IFS(H26=0,1+L25,H26=1,1+L25,H26=3,0)</f>
        <v>2</v>
      </c>
    </row>
    <row r="27" spans="1:22" x14ac:dyDescent="0.2">
      <c r="A27">
        <v>26</v>
      </c>
      <c r="B27" s="1">
        <v>43875</v>
      </c>
      <c r="C27" t="str">
        <v>Wolverhampton Wanderers FC</v>
      </c>
      <c r="D27">
        <v>0</v>
      </c>
      <c r="E27" t="str">
        <v>Leicester City FC</v>
      </c>
      <c r="F27">
        <v>0</v>
      </c>
      <c r="H27" s="59" cm="1">
        <f t="array" ref="H27">_xlfn.IFS(AND(C27=$N$18,D27&gt;F27),3,AND(E27=$N$18,F27&gt;D27),3,AND(C27=$N$18,D27=F27),1,AND(E27=$N$18,D27=F27),1,AND(C27=$N$18,D27&lt;F27),0,AND(E27=$N$18,F27&lt;D27),0)</f>
        <v>1</v>
      </c>
      <c r="I27">
        <f t="shared" si="0"/>
        <v>0</v>
      </c>
      <c r="J27" s="59">
        <f t="shared" si="1"/>
        <v>0</v>
      </c>
      <c r="K27" cm="1">
        <f t="array" ref="K27">_xlfn.IFS(H27=3,1+K26,H27=1,1+K26,H27=0,0)</f>
        <v>2</v>
      </c>
      <c r="L27" cm="1">
        <f t="array" ref="L27">_xlfn.IFS(H27=0,1+L26,H27=1,1+L26,H27=3,0)</f>
        <v>3</v>
      </c>
    </row>
    <row r="28" spans="1:22" x14ac:dyDescent="0.2">
      <c r="A28">
        <v>27</v>
      </c>
      <c r="B28" s="1">
        <v>43884</v>
      </c>
      <c r="C28" t="str">
        <v>Wolverhampton Wanderers FC</v>
      </c>
      <c r="D28">
        <v>3</v>
      </c>
      <c r="E28" t="str">
        <v>Norwich City FC</v>
      </c>
      <c r="F28">
        <v>0</v>
      </c>
      <c r="H28" s="59" cm="1">
        <f t="array" ref="H28">_xlfn.IFS(AND(C28=$N$18,D28&gt;F28),3,AND(E28=$N$18,F28&gt;D28),3,AND(C28=$N$18,D28=F28),1,AND(E28=$N$18,D28=F28),1,AND(C28=$N$18,D28&lt;F28),0,AND(E28=$N$18,F28&lt;D28),0)</f>
        <v>3</v>
      </c>
      <c r="I28">
        <f t="shared" si="0"/>
        <v>1</v>
      </c>
      <c r="J28" s="59">
        <f t="shared" si="1"/>
        <v>0</v>
      </c>
      <c r="K28" cm="1">
        <f t="array" ref="K28">_xlfn.IFS(H28=3,1+K27,H28=1,1+K27,H28=0,0)</f>
        <v>3</v>
      </c>
      <c r="L28" cm="1">
        <f t="array" ref="L28">_xlfn.IFS(H28=0,1+L27,H28=1,1+L27,H28=3,0)</f>
        <v>0</v>
      </c>
    </row>
    <row r="29" spans="1:22" x14ac:dyDescent="0.2">
      <c r="A29">
        <v>28</v>
      </c>
      <c r="B29" s="1">
        <v>43891</v>
      </c>
      <c r="C29" t="str">
        <v>Tottenham Hotspur FC</v>
      </c>
      <c r="D29">
        <v>2</v>
      </c>
      <c r="E29" t="str">
        <v>Wolverhampton Wanderers FC</v>
      </c>
      <c r="F29">
        <v>3</v>
      </c>
      <c r="H29" s="59" cm="1">
        <f t="array" ref="H29">_xlfn.IFS(AND(C29=$N$18,D29&gt;F29),3,AND(E29=$N$18,F29&gt;D29),3,AND(C29=$N$18,D29=F29),1,AND(E29=$N$18,D29=F29),1,AND(C29=$N$18,D29&lt;F29),0,AND(E29=$N$18,F29&lt;D29),0)</f>
        <v>3</v>
      </c>
      <c r="I29">
        <f t="shared" si="0"/>
        <v>2</v>
      </c>
      <c r="J29" s="59">
        <f t="shared" si="1"/>
        <v>0</v>
      </c>
      <c r="K29" cm="1">
        <f t="array" ref="K29">_xlfn.IFS(H29=3,1+K28,H29=1,1+K28,H29=0,0)</f>
        <v>4</v>
      </c>
      <c r="L29" cm="1">
        <f t="array" ref="L29">_xlfn.IFS(H29=0,1+L28,H29=1,1+L28,H29=3,0)</f>
        <v>0</v>
      </c>
    </row>
    <row r="30" spans="1:22" x14ac:dyDescent="0.2">
      <c r="A30">
        <v>29</v>
      </c>
      <c r="B30" s="1">
        <v>43897</v>
      </c>
      <c r="C30" t="str">
        <v>Wolverhampton Wanderers FC</v>
      </c>
      <c r="D30">
        <v>0</v>
      </c>
      <c r="E30" t="str">
        <v>Brighton &amp; Hove Albion FC</v>
      </c>
      <c r="F30">
        <v>0</v>
      </c>
      <c r="H30" s="59" cm="1">
        <f t="array" ref="H30">_xlfn.IFS(AND(C30=$N$18,D30&gt;F30),3,AND(E30=$N$18,F30&gt;D30),3,AND(C30=$N$18,D30=F30),1,AND(E30=$N$18,D30=F30),1,AND(C30=$N$18,D30&lt;F30),0,AND(E30=$N$18,F30&lt;D30),0)</f>
        <v>1</v>
      </c>
      <c r="I30">
        <f t="shared" si="0"/>
        <v>0</v>
      </c>
      <c r="J30" s="59">
        <f t="shared" si="1"/>
        <v>0</v>
      </c>
      <c r="K30" cm="1">
        <f t="array" ref="K30">_xlfn.IFS(H30=3,1+K29,H30=1,1+K29,H30=0,0)</f>
        <v>5</v>
      </c>
      <c r="L30" cm="1">
        <f t="array" ref="L30">_xlfn.IFS(H30=0,1+L29,H30=1,1+L29,H30=3,0)</f>
        <v>1</v>
      </c>
    </row>
    <row r="31" spans="1:22" x14ac:dyDescent="0.2">
      <c r="A31">
        <v>30</v>
      </c>
      <c r="B31" s="1">
        <v>44002</v>
      </c>
      <c r="C31" t="str">
        <v>West Ham United FC</v>
      </c>
      <c r="D31">
        <v>0</v>
      </c>
      <c r="E31" t="str">
        <v>Wolverhampton Wanderers FC</v>
      </c>
      <c r="F31">
        <v>2</v>
      </c>
      <c r="H31" s="59" cm="1">
        <f t="array" ref="H31">_xlfn.IFS(AND(C31=$N$18,D31&gt;F31),3,AND(E31=$N$18,F31&gt;D31),3,AND(C31=$N$18,D31=F31),1,AND(E31=$N$18,D31=F31),1,AND(C31=$N$18,D31&lt;F31),0,AND(E31=$N$18,F31&lt;D31),0)</f>
        <v>3</v>
      </c>
      <c r="I31">
        <f t="shared" si="0"/>
        <v>1</v>
      </c>
      <c r="J31" s="59">
        <f t="shared" si="1"/>
        <v>0</v>
      </c>
      <c r="K31" cm="1">
        <f t="array" ref="K31">_xlfn.IFS(H31=3,1+K30,H31=1,1+K30,H31=0,0)</f>
        <v>6</v>
      </c>
      <c r="L31" cm="1">
        <f t="array" ref="L31">_xlfn.IFS(H31=0,1+L30,H31=1,1+L30,H31=3,0)</f>
        <v>0</v>
      </c>
    </row>
    <row r="32" spans="1:22" x14ac:dyDescent="0.2">
      <c r="A32">
        <v>31</v>
      </c>
      <c r="B32" s="1">
        <v>44006</v>
      </c>
      <c r="C32" t="str">
        <v>Wolverhampton Wanderers FC</v>
      </c>
      <c r="D32">
        <v>1</v>
      </c>
      <c r="E32" t="str">
        <v>AFC Bournemouth</v>
      </c>
      <c r="F32">
        <v>0</v>
      </c>
      <c r="H32" s="59" cm="1">
        <f t="array" ref="H32">_xlfn.IFS(AND(C32=$N$18,D32&gt;F32),3,AND(E32=$N$18,F32&gt;D32),3,AND(C32=$N$18,D32=F32),1,AND(E32=$N$18,D32=F32),1,AND(C32=$N$18,D32&lt;F32),0,AND(E32=$N$18,F32&lt;D32),0)</f>
        <v>3</v>
      </c>
      <c r="I32">
        <f t="shared" si="0"/>
        <v>2</v>
      </c>
      <c r="J32" s="59">
        <f t="shared" si="1"/>
        <v>0</v>
      </c>
      <c r="K32" cm="1">
        <f t="array" ref="K32">_xlfn.IFS(H32=3,1+K31,H32=1,1+K31,H32=0,0)</f>
        <v>7</v>
      </c>
      <c r="L32" cm="1">
        <f t="array" ref="L32">_xlfn.IFS(H32=0,1+L31,H32=1,1+L31,H32=3,0)</f>
        <v>0</v>
      </c>
    </row>
    <row r="33" spans="1:12" x14ac:dyDescent="0.2">
      <c r="A33">
        <v>32</v>
      </c>
      <c r="B33" s="1">
        <v>44009</v>
      </c>
      <c r="C33" t="str">
        <v>Aston Villa FC</v>
      </c>
      <c r="D33">
        <v>0</v>
      </c>
      <c r="E33" t="str">
        <v>Wolverhampton Wanderers FC</v>
      </c>
      <c r="F33">
        <v>1</v>
      </c>
      <c r="H33" s="59" cm="1">
        <f t="array" ref="H33">_xlfn.IFS(AND(C33=$N$18,D33&gt;F33),3,AND(E33=$N$18,F33&gt;D33),3,AND(C33=$N$18,D33=F33),1,AND(E33=$N$18,D33=F33),1,AND(C33=$N$18,D33&lt;F33),0,AND(E33=$N$18,F33&lt;D33),0)</f>
        <v>3</v>
      </c>
      <c r="I33">
        <f t="shared" si="0"/>
        <v>3</v>
      </c>
      <c r="J33" s="59">
        <f t="shared" si="1"/>
        <v>0</v>
      </c>
      <c r="K33" cm="1">
        <f t="array" ref="K33">_xlfn.IFS(H33=3,1+K32,H33=1,1+K32,H33=0,0)</f>
        <v>8</v>
      </c>
      <c r="L33" cm="1">
        <f t="array" ref="L33">_xlfn.IFS(H33=0,1+L32,H33=1,1+L32,H33=3,0)</f>
        <v>0</v>
      </c>
    </row>
    <row r="34" spans="1:12" x14ac:dyDescent="0.2">
      <c r="A34">
        <v>33</v>
      </c>
      <c r="B34" s="1">
        <v>44016</v>
      </c>
      <c r="C34" t="str">
        <v>Wolverhampton Wanderers FC</v>
      </c>
      <c r="D34">
        <v>0</v>
      </c>
      <c r="E34" t="str">
        <v>Arsenal FC</v>
      </c>
      <c r="F34">
        <v>2</v>
      </c>
      <c r="H34" s="59" cm="1">
        <f t="array" ref="H34">_xlfn.IFS(AND(C34=$N$18,D34&gt;F34),3,AND(E34=$N$18,F34&gt;D34),3,AND(C34=$N$18,D34=F34),1,AND(E34=$N$18,D34=F34),1,AND(C34=$N$18,D34&lt;F34),0,AND(E34=$N$18,F34&lt;D34),0)</f>
        <v>0</v>
      </c>
      <c r="I34">
        <f t="shared" si="0"/>
        <v>0</v>
      </c>
      <c r="J34" s="59">
        <f t="shared" si="1"/>
        <v>1</v>
      </c>
      <c r="K34" cm="1">
        <f t="array" ref="K34">_xlfn.IFS(H34=3,1+K33,H34=1,1+K33,H34=0,0)</f>
        <v>0</v>
      </c>
      <c r="L34" cm="1">
        <f t="array" ref="L34">_xlfn.IFS(H34=0,1+L33,H34=1,1+L33,H34=3,0)</f>
        <v>1</v>
      </c>
    </row>
    <row r="35" spans="1:12" x14ac:dyDescent="0.2">
      <c r="A35">
        <v>34</v>
      </c>
      <c r="B35" s="1">
        <v>44020</v>
      </c>
      <c r="C35" t="str">
        <v>Sheffield United FC</v>
      </c>
      <c r="D35">
        <v>1</v>
      </c>
      <c r="E35" t="str">
        <v>Wolverhampton Wanderers FC</v>
      </c>
      <c r="F35">
        <v>0</v>
      </c>
      <c r="H35" s="59" cm="1">
        <f t="array" ref="H35">_xlfn.IFS(AND(C35=$N$18,D35&gt;F35),3,AND(E35=$N$18,F35&gt;D35),3,AND(C35=$N$18,D35=F35),1,AND(E35=$N$18,D35=F35),1,AND(C35=$N$18,D35&lt;F35),0,AND(E35=$N$18,F35&lt;D35),0)</f>
        <v>0</v>
      </c>
      <c r="I35">
        <f t="shared" si="0"/>
        <v>0</v>
      </c>
      <c r="J35" s="59">
        <f t="shared" si="1"/>
        <v>2</v>
      </c>
      <c r="K35" cm="1">
        <f t="array" ref="K35">_xlfn.IFS(H35=3,1+K34,H35=1,1+K34,H35=0,0)</f>
        <v>0</v>
      </c>
      <c r="L35" cm="1">
        <f t="array" ref="L35">_xlfn.IFS(H35=0,1+L34,H35=1,1+L34,H35=3,0)</f>
        <v>2</v>
      </c>
    </row>
    <row r="36" spans="1:12" x14ac:dyDescent="0.2">
      <c r="A36">
        <v>35</v>
      </c>
      <c r="B36" s="1">
        <v>44024</v>
      </c>
      <c r="C36" t="str">
        <v>Wolverhampton Wanderers FC</v>
      </c>
      <c r="D36">
        <v>3</v>
      </c>
      <c r="E36" t="str">
        <v>Everton FC</v>
      </c>
      <c r="F36">
        <v>0</v>
      </c>
      <c r="H36" s="59" cm="1">
        <f t="array" ref="H36">_xlfn.IFS(AND(C36=$N$18,D36&gt;F36),3,AND(E36=$N$18,F36&gt;D36),3,AND(C36=$N$18,D36=F36),1,AND(E36=$N$18,D36=F36),1,AND(C36=$N$18,D36&lt;F36),0,AND(E36=$N$18,F36&lt;D36),0)</f>
        <v>3</v>
      </c>
      <c r="I36">
        <f t="shared" si="0"/>
        <v>1</v>
      </c>
      <c r="J36" s="59">
        <f t="shared" si="1"/>
        <v>0</v>
      </c>
      <c r="K36" cm="1">
        <f t="array" ref="K36">_xlfn.IFS(H36=3,1+K35,H36=1,1+K35,H36=0,0)</f>
        <v>1</v>
      </c>
      <c r="L36" cm="1">
        <f t="array" ref="L36">_xlfn.IFS(H36=0,1+L35,H36=1,1+L35,H36=3,0)</f>
        <v>0</v>
      </c>
    </row>
    <row r="37" spans="1:12" x14ac:dyDescent="0.2">
      <c r="A37">
        <v>36</v>
      </c>
      <c r="B37" s="1">
        <v>44027</v>
      </c>
      <c r="C37" t="str">
        <v>Burnley FC</v>
      </c>
      <c r="D37">
        <v>1</v>
      </c>
      <c r="E37" t="str">
        <v>Wolverhampton Wanderers FC</v>
      </c>
      <c r="F37">
        <v>1</v>
      </c>
      <c r="H37" s="59" cm="1">
        <f t="array" ref="H37">_xlfn.IFS(AND(C37=$N$18,D37&gt;F37),3,AND(E37=$N$18,F37&gt;D37),3,AND(C37=$N$18,D37=F37),1,AND(E37=$N$18,D37=F37),1,AND(C37=$N$18,D37&lt;F37),0,AND(E37=$N$18,F37&lt;D37),0)</f>
        <v>1</v>
      </c>
      <c r="I37">
        <f t="shared" si="0"/>
        <v>0</v>
      </c>
      <c r="J37" s="59">
        <f t="shared" si="1"/>
        <v>0</v>
      </c>
      <c r="K37" cm="1">
        <f t="array" ref="K37">_xlfn.IFS(H37=3,1+K36,H37=1,1+K36,H37=0,0)</f>
        <v>2</v>
      </c>
      <c r="L37" cm="1">
        <f t="array" ref="L37">_xlfn.IFS(H37=0,1+L36,H37=1,1+L36,H37=3,0)</f>
        <v>1</v>
      </c>
    </row>
    <row r="38" spans="1:12" x14ac:dyDescent="0.2">
      <c r="A38">
        <v>37</v>
      </c>
      <c r="B38" s="1">
        <v>44032</v>
      </c>
      <c r="C38" t="str">
        <v>Wolverhampton Wanderers FC</v>
      </c>
      <c r="D38">
        <v>2</v>
      </c>
      <c r="E38" t="str">
        <v>Crystal Palace FC</v>
      </c>
      <c r="F38">
        <v>0</v>
      </c>
      <c r="H38" s="59" cm="1">
        <f t="array" ref="H38">_xlfn.IFS(AND(C38=$N$18,D38&gt;F38),3,AND(E38=$N$18,F38&gt;D38),3,AND(C38=$N$18,D38=F38),1,AND(E38=$N$18,D38=F38),1,AND(C38=$N$18,D38&lt;F38),0,AND(E38=$N$18,F38&lt;D38),0)</f>
        <v>3</v>
      </c>
      <c r="I38">
        <f t="shared" si="0"/>
        <v>1</v>
      </c>
      <c r="J38" s="59">
        <f t="shared" si="1"/>
        <v>0</v>
      </c>
      <c r="K38" cm="1">
        <f t="array" ref="K38">_xlfn.IFS(H38=3,1+K37,H38=1,1+K37,H38=0,0)</f>
        <v>3</v>
      </c>
      <c r="L38" cm="1">
        <f t="array" ref="L38">_xlfn.IFS(H38=0,1+L37,H38=1,1+L37,H38=3,0)</f>
        <v>0</v>
      </c>
    </row>
    <row r="39" spans="1:12" x14ac:dyDescent="0.2">
      <c r="A39">
        <v>38</v>
      </c>
      <c r="B39" s="1">
        <v>44038</v>
      </c>
      <c r="C39" t="str">
        <v>Chelsea FC</v>
      </c>
      <c r="D39">
        <v>2</v>
      </c>
      <c r="E39" t="str">
        <v>Wolverhampton Wanderers FC</v>
      </c>
      <c r="F39">
        <v>0</v>
      </c>
      <c r="H39" s="59" cm="1">
        <f t="array" ref="H39">_xlfn.IFS(AND(C39=$N$18,D39&gt;F39),3,AND(E39=$N$18,F39&gt;D39),3,AND(C39=$N$18,D39=F39),1,AND(E39=$N$18,D39=F39),1,AND(C39=$N$18,D39&lt;F39),0,AND(E39=$N$18,F39&lt;D39),0)</f>
        <v>0</v>
      </c>
      <c r="I39">
        <f t="shared" si="0"/>
        <v>0</v>
      </c>
      <c r="J39" s="59">
        <f t="shared" si="1"/>
        <v>1</v>
      </c>
      <c r="K39" cm="1">
        <f t="array" ref="K39">_xlfn.IFS(H39=3,1+K38,H39=1,1+K38,H39=0,0)</f>
        <v>0</v>
      </c>
      <c r="L39" cm="1">
        <f t="array" ref="L39">_xlfn.IFS(H39=0,1+L38,H39=1,1+L38,H39=3,0)</f>
        <v>1</v>
      </c>
    </row>
  </sheetData>
  <conditionalFormatting sqref="G2:G39">
    <cfRule type="expression" dxfId="5" priority="5">
      <formula>AND($E2=$N$18,$F2&gt;$D2)</formula>
    </cfRule>
  </conditionalFormatting>
  <conditionalFormatting sqref="G2:G39">
    <cfRule type="expression" dxfId="4" priority="3">
      <formula>$D2=$F2</formula>
    </cfRule>
  </conditionalFormatting>
  <conditionalFormatting sqref="G2:G39">
    <cfRule type="expression" dxfId="3" priority="1">
      <formula>AND($C2=$N$18,$D2&gt;$F2)</formula>
    </cfRule>
  </conditionalFormatting>
  <conditionalFormatting sqref="G2:G39">
    <cfRule type="expression" dxfId="2" priority="4">
      <formula>AND($E2=$N$18,$F2&lt;$D2)</formula>
    </cfRule>
  </conditionalFormatting>
  <conditionalFormatting sqref="G2:G39">
    <cfRule type="expression" dxfId="1" priority="2">
      <formula>AND($C2=$N$18,$D2&lt;$F2)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52BA22D-CB0C-43FC-AE8B-066CF007367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TABLE OF CONTENT</vt:lpstr>
      <vt:lpstr>England 1</vt:lpstr>
      <vt:lpstr>Team Position by Round</vt:lpstr>
      <vt:lpstr>League Table Unsort</vt:lpstr>
      <vt:lpstr>League Table Sorted</vt:lpstr>
      <vt:lpstr>Liverpool FC</vt:lpstr>
      <vt:lpstr>West Ham United FC</vt:lpstr>
      <vt:lpstr>Burnley FC</vt:lpstr>
      <vt:lpstr>AFC Bournemouth</vt:lpstr>
      <vt:lpstr>Crystal Palace FC</vt:lpstr>
      <vt:lpstr>Watford FC</vt:lpstr>
      <vt:lpstr>Tottenham Hotspur FC</vt:lpstr>
      <vt:lpstr>Leicester City FC</vt:lpstr>
      <vt:lpstr>Newcastle United FC</vt:lpstr>
      <vt:lpstr>Manchester United FC</vt:lpstr>
      <vt:lpstr>Arsenal FC</vt:lpstr>
      <vt:lpstr>Everton FC</vt:lpstr>
      <vt:lpstr>Brighton &amp; Hove Albion FC</vt:lpstr>
      <vt:lpstr>Aston Villa FC</vt:lpstr>
      <vt:lpstr>Norwich City FC</vt:lpstr>
      <vt:lpstr>Southampton FC</vt:lpstr>
      <vt:lpstr>Manchester City FC</vt:lpstr>
      <vt:lpstr>Sheffield United FC</vt:lpstr>
      <vt:lpstr>Chelsea FC</vt:lpstr>
      <vt:lpstr>Wolverhampton Wanderers FC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Alisa Afendi</cp:lastModifiedBy>
  <cp:revision/>
  <cp:lastPrinted>2026-01-08T08:06:10Z</cp:lastPrinted>
  <dcterms:created xsi:type="dcterms:W3CDTF">2022-01-07T15:10:50Z</dcterms:created>
  <dcterms:modified xsi:type="dcterms:W3CDTF">2026-01-14T01:46:16Z</dcterms:modified>
  <cp:category/>
  <cp:contentStatus/>
</cp:coreProperties>
</file>