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60"/>
  </bookViews>
  <sheets>
    <sheet name="Assumptions" sheetId="1" r:id="rId1"/>
    <sheet name="Monthly OPEX Breakdown" sheetId="2" r:id="rId2"/>
    <sheet name="CAPEX (One-time Cost)" sheetId="3" r:id="rId3"/>
    <sheet name="Revenue Model" sheetId="4" r:id="rId4"/>
    <sheet name="Cashflow Statement" sheetId="5" r:id="rId5"/>
    <sheet name="P&amp;L" sheetId="6" r:id="rId6"/>
    <sheet name="Unit Economic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<sst xmlns="http://schemas.openxmlformats.org/spreadsheetml/2006/main" count="220" uniqueCount="190">
  <si>
    <t>🎯 CONTROL PANEL - ADJUST ALL PARAMETERS HERE</t>
  </si>
  <si>
    <t>PERSONNEL COSTS (IDR/month)</t>
  </si>
  <si>
    <t>Position</t>
  </si>
  <si>
    <t>Monthly Salary</t>
  </si>
  <si>
    <t>Start Month</t>
  </si>
  <si>
    <t>Notes</t>
  </si>
  <si>
    <t>CEO+COO+CMO+PM</t>
  </si>
  <si>
    <t>Ali Sadikin</t>
  </si>
  <si>
    <t>Senior AI/ML Engineer</t>
  </si>
  <si>
    <t>Core technical lead</t>
  </si>
  <si>
    <t>Office Rent (WIFI+Electric)</t>
  </si>
  <si>
    <t>Monthly rent</t>
  </si>
  <si>
    <t>Additional Engineer</t>
  </si>
  <si>
    <t>Hired from Mo 4</t>
  </si>
  <si>
    <t>Designer/Product</t>
  </si>
  <si>
    <t>Hired from Mo 7</t>
  </si>
  <si>
    <t>Support Staff</t>
  </si>
  <si>
    <t>Hired from Mo 9</t>
  </si>
  <si>
    <t>INFRASTRUCTURE COSTS (IDR/month)</t>
  </si>
  <si>
    <t>Item</t>
  </si>
  <si>
    <t>Cost (Mo 1-3)</t>
  </si>
  <si>
    <t>Cost (Mo 4-6)</t>
  </si>
  <si>
    <t>Cost (Mo 7-13)</t>
  </si>
  <si>
    <t>Cloud Compute (Modal T4 GPU)</t>
  </si>
  <si>
    <t>API Costs (30% volume)</t>
  </si>
  <si>
    <t>Storage &amp; CDN</t>
  </si>
  <si>
    <t>Payment Gateway % of Revenue</t>
  </si>
  <si>
    <t>AI AGENTS &amp; HOSTING</t>
  </si>
  <si>
    <t>Monthly Cost</t>
  </si>
  <si>
    <t>End Month</t>
  </si>
  <si>
    <t>Claude API (3 accounts)</t>
  </si>
  <si>
    <t>3 x $200 @ Rp 16,570/USD</t>
  </si>
  <si>
    <t>Hosting Server</t>
  </si>
  <si>
    <t>Ends at Month 12</t>
  </si>
  <si>
    <t>MARKETING COSTS (IDR/month)</t>
  </si>
  <si>
    <t>Community Manager Salary</t>
  </si>
  <si>
    <t>Content/SEO</t>
  </si>
  <si>
    <t>Nano-influencers</t>
  </si>
  <si>
    <t>Paid Ads (Meta/TikTok)</t>
  </si>
  <si>
    <t>Referral Program</t>
  </si>
  <si>
    <t>OTHER COSTS</t>
  </si>
  <si>
    <t>SaaS Subscriptions</t>
  </si>
  <si>
    <t>Monitoring &amp; Analytics</t>
  </si>
  <si>
    <t>Accounting Services</t>
  </si>
  <si>
    <t>Trademark/Legal (one-time Mo 1)</t>
  </si>
  <si>
    <t>Miscellaneous Operational</t>
  </si>
  <si>
    <t>REVENUE ASSUMPTIONS</t>
  </si>
  <si>
    <t>Parameter</t>
  </si>
  <si>
    <t>Value</t>
  </si>
  <si>
    <t>Unit</t>
  </si>
  <si>
    <t>Starting Users (Mo 1)</t>
  </si>
  <si>
    <t>users</t>
  </si>
  <si>
    <t>Seefluencer alumni</t>
  </si>
  <si>
    <t>Monthly Growth Rate</t>
  </si>
  <si>
    <t>%</t>
  </si>
  <si>
    <t>10% MoM</t>
  </si>
  <si>
    <t>Free-to-Paid Conversion</t>
  </si>
  <si>
    <t>8%</t>
  </si>
  <si>
    <t>Monthly Churn Rate</t>
  </si>
  <si>
    <t>5%</t>
  </si>
  <si>
    <t>Creator Tier % (Rp 49K)</t>
  </si>
  <si>
    <t>60% of paid</t>
  </si>
  <si>
    <t>Pro Tier % (Rp 149K)</t>
  </si>
  <si>
    <t>30% of paid</t>
  </si>
  <si>
    <t>Business Tier % (Rp 349K)</t>
  </si>
  <si>
    <t>10% of paid</t>
  </si>
  <si>
    <t>Category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</si>
  <si>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</si>
  <si>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</si>
  <si>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</si>
  <si>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</si>
  <si>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</si>
  <si>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</si>
  <si>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</si>
  <si>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</si>
  <si>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</si>
  <si>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</si>
  <si>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</si>
  <si>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</si>
  <si>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</si>
  <si>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Total 13 Mo</t>
  </si>
  <si>
    <t>PERSONNEL</t>
  </si>
  <si>
    <t>Ali Sadikin (CEO+COO+CMO+PM)</t>
  </si>
  <si>
    <t>Senior AI/ML Engineer + GEN AI</t>
  </si>
  <si>
    <t>Sewa Kantor (WIFI+Listrik+Air)</t>
  </si>
  <si>
    <t>Additional Engineer (from Mo 4)</t>
  </si>
  <si>
    <t>Designer/Product (from Mo 7)</t>
  </si>
  <si>
    <t>Support Staff (from Mo 9)</t>
  </si>
  <si>
    <t>PERSONNEL SUBTOTAL</t>
  </si>
  <si>
    <t>INFRASTRUCTURE</t>
  </si>
  <si>
    <t>API Costs (30% volume from Mo 4)</t>
  </si>
  <si>
    <t>Storage &amp; CDN (S3/Cloudflare)</t>
  </si>
  <si>
    <t>Payment Gateway (Xendit 2.9%)</t>
  </si>
  <si>
    <t>INFRASTRUCTURE SUBTOTAL</t>
  </si>
  <si>
    <t>AI AGENTS</t>
  </si>
  <si>
    <t>Claude API (3 accounts x $200)</t>
  </si>
  <si>
    <t>AI AGENTS SUBTOTAL</t>
  </si>
  <si>
    <t>HOSTING</t>
  </si>
  <si>
    <t>HOSTING SUBTOTAL</t>
  </si>
  <si>
    <t>MARKETING</t>
  </si>
  <si>
    <t>MARKETING SUBTOTAL</t>
  </si>
  <si>
    <t>SOFTWARE &amp; TOOLS</t>
  </si>
  <si>
    <t>SaaS Subscriptions (Figma/GitHub/etc)</t>
  </si>
  <si>
    <t>SOFTWARE &amp; TOOLS SUBTOTAL</t>
  </si>
  <si>
    <t>LEGAL &amp; COMPLIANCE</t>
  </si>
  <si>
    <t>Trademark/Legal Fees</t>
  </si>
  <si>
    <t>LEGAL &amp; COMPLIANCE SUBTOTAL</t>
  </si>
  <si>
    <t>G&amp;A</t>
  </si>
  <si>
    <t>G&amp;A SUBTOTAL</t>
  </si>
  <si>
    <t>TOTAL MONTHLY OPEX</t>
  </si>
  <si>
    <t>No</t>
  </si>
  <si>
    <t>Quantity</t>
  </si>
  <si>
    <t>Unit Cost</t>
  </si>
  <si>
    <t>Total Cost</t>
  </si>
  <si>
    <t>Biaya Setup PT</t>
  </si>
  <si>
    <t>Legal entity establishment</t>
  </si>
  <si>
    <t>Laptop Management</t>
  </si>
  <si>
    <t>Admin/PM laptop</t>
  </si>
  <si>
    <t>Laptop Developer</t>
  </si>
  <si>
    <t>Engineering laptop</t>
  </si>
  <si>
    <t>TOTAL CAPEX</t>
  </si>
  <si>
    <t>Depreciate over 36 months</t>
  </si>
  <si>
    <t>Month</t>
  </si>
  <si>
    <t>New Users</t>
  </si>
  <si>
    <t>Total Free</t>
  </si>
  <si>
    <t>Free-to-Paid</t>
  </si>
  <si>
    <t>Paid Churn</t>
  </si>
  <si>
    <t>Net New Paid</t>
  </si>
  <si>
    <t>Cumulative Paid</t>
  </si>
  <si>
    <t>Creator (60%)</t>
  </si>
  <si>
    <t>Pro (30%)</t>
  </si>
  <si>
    <t>Business (10%)</t>
  </si>
  <si>
    <t>MRR (IDR)</t>
  </si>
  <si>
    <t>(Month 0 = Initial state with 800 users, 8% converted = 64 paying customers)</t>
  </si>
  <si>
    <t>Revenue (IDR)</t>
  </si>
  <si>
    <t>Total OPEX (IDR)</t>
  </si>
  <si>
    <t>COGS (IDR)</t>
  </si>
  <si>
    <t>Net Cash Flow</t>
  </si>
  <si>
    <t>Cumulative Cash</t>
  </si>
  <si>
    <t>Months Runway</t>
  </si>
  <si>
    <t>Kategori</t>
  </si>
  <si>
    <t>Amount (IDR)</t>
  </si>
  <si>
    <t>REVENUE</t>
  </si>
  <si>
    <t>Subscription Revenue (13 months)</t>
  </si>
  <si>
    <t>Total MRR across 13 months</t>
  </si>
  <si>
    <t>Total Revenue</t>
  </si>
  <si>
    <t>COST OF GOODS SOLD (COGS)</t>
  </si>
  <si>
    <t>Infrastructure &amp; Hosting</t>
  </si>
  <si>
    <t>Infrastructure + AI Agents + Hosting</t>
  </si>
  <si>
    <t>Payment Processing Fees</t>
  </si>
  <si>
    <t>Payment gateway fees</t>
  </si>
  <si>
    <t>Total COGS</t>
  </si>
  <si>
    <t>GROSS PROFIT</t>
  </si>
  <si>
    <t>Gross Margin %</t>
  </si>
  <si>
    <t>OPERATING EXPENSES (OPEX)</t>
  </si>
  <si>
    <t>Personnel Costs</t>
  </si>
  <si>
    <t>Marketing &amp; Sales</t>
  </si>
  <si>
    <t>Software &amp; Tools</t>
  </si>
  <si>
    <t>Legal &amp; Compliance</t>
  </si>
  <si>
    <t>General &amp; Administrative</t>
  </si>
  <si>
    <t>Total Operating Expenses</t>
  </si>
  <si>
    <t>EBITDA (Operating Profit)</t>
  </si>
  <si>
    <t>Add: One-Time CAPEX</t>
  </si>
  <si>
    <t>Total Cash Burn (13 months)</t>
  </si>
  <si>
    <t>Metric</t>
  </si>
  <si>
    <t>Month 1</t>
  </si>
  <si>
    <t>Month 3</t>
  </si>
  <si>
    <t>Month 6</t>
  </si>
  <si>
    <t>Month 13</t>
  </si>
  <si>
    <t>Formula/Notes</t>
  </si>
  <si>
    <t>Videos Generated</t>
  </si>
  <si>
    <t>Paying customers * 10 videos/mo</t>
  </si>
  <si>
    <t>Cost per Video (COGS)</t>
  </si>
  <si>
    <t>COGS / Videos Generated</t>
  </si>
  <si>
    <t>Revenue per Video</t>
  </si>
  <si>
    <t>Revenue / Videos Generated</t>
  </si>
  <si>
    <t>Paying Customers</t>
  </si>
  <si>
    <t>From Revenue Model</t>
  </si>
  <si>
    <t>ARPU (per month)</t>
  </si>
  <si>
    <t>MRR / Paying Customers</t>
  </si>
  <si>
    <t>CAC (Customer Acq Cost)</t>
  </si>
  <si>
    <t>Cumulative Marketing / Cumulative Conversions</t>
  </si>
  <si>
    <t>LTV (24-mo retention)</t>
  </si>
  <si>
    <t>ARPU * 24 months * (1-churn rate)</t>
  </si>
  <si>
    <t>LTV/CAC Ratio</t>
  </si>
  <si>
    <t>LTV / CAC</t>
  </si>
  <si>
    <t>COGS/Revenue Ratio</t>
  </si>
  <si>
    <t>Cost per Video / Revenue per Video</t>
  </si>
  <si>
    <t>Gross Margin</t>
  </si>
  <si>
    <t>1 - (COGS/Revenue)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</si>
</sst>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Rp-3809]#,##0;\-[$Rp-3809]#,##0"/>
  </numFmts>
  <fonts count="25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i/>
      <sz val="9"/>
      <name val="Calibri"/>
      <charset val="134"/>
      <scheme val="minor"/>
    </font>
    <font>
      <b/>
      <sz val="14"/>
      <color rgb="FFFFFF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6B6B"/>
        <bgColor rgb="FFFF6B6B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3" fontId="0" fillId="0" borderId="0" xfId="0" applyNumberFormat="1"/>
    <xf numFmtId="2" fontId="0" fillId="0" borderId="0" xfId="0" applyNumberFormat="1"/>
    <xf numFmtId="0" fontId="3" fillId="3" borderId="0" xfId="0" applyFont="1" applyFill="1"/>
    <xf numFmtId="178" fontId="0" fillId="0" borderId="0" xfId="0" applyNumberFormat="1"/>
    <xf numFmtId="178" fontId="2" fillId="4" borderId="0" xfId="0" applyNumberFormat="1" applyFont="1" applyFill="1"/>
    <xf numFmtId="0" fontId="3" fillId="0" borderId="0" xfId="0" applyFont="1"/>
    <xf numFmtId="178" fontId="2" fillId="5" borderId="0" xfId="0" applyNumberFormat="1" applyFont="1" applyFill="1"/>
    <xf numFmtId="178" fontId="2" fillId="6" borderId="0" xfId="0" applyNumberFormat="1" applyFont="1" applyFill="1"/>
    <xf numFmtId="178" fontId="3" fillId="7" borderId="0" xfId="0" applyNumberFormat="1" applyFont="1" applyFill="1"/>
    <xf numFmtId="0" fontId="1" fillId="2" borderId="0" xfId="0" applyFont="1" applyFill="1" applyAlignment="1">
      <alignment horizontal="center"/>
    </xf>
    <xf numFmtId="176" fontId="0" fillId="0" borderId="0" xfId="1" applyAlignment="1"/>
    <xf numFmtId="0" fontId="4" fillId="0" borderId="0" xfId="0" applyFont="1"/>
    <xf numFmtId="0" fontId="2" fillId="5" borderId="0" xfId="0" applyFont="1" applyFill="1"/>
    <xf numFmtId="0" fontId="2" fillId="4" borderId="0" xfId="0" applyFont="1" applyFill="1"/>
    <xf numFmtId="178" fontId="2" fillId="0" borderId="0" xfId="0" applyNumberFormat="1" applyFont="1"/>
    <xf numFmtId="0" fontId="3" fillId="5" borderId="0" xfId="0" applyFont="1" applyFill="1"/>
    <xf numFmtId="0" fontId="5" fillId="2" borderId="0" xfId="0" applyFont="1" applyFill="1"/>
    <xf numFmtId="0" fontId="2" fillId="8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tabSelected="1" topLeftCell="A21" workbookViewId="0">
      <selection activeCell="E51" sqref="E51"/>
    </sheetView>
  </sheetViews>
  <sheetFormatPr defaultColWidth="9" defaultRowHeight="14.4" outlineLevelCol="3"/>
  <cols>
    <col min="1" max="1" width="30" customWidth="1"/>
    <col min="2" max="3" width="18" customWidth="1"/>
    <col min="4" max="4" width="35" customWidth="1"/>
  </cols>
  <sheetData>
    <row r="1" ht="18" spans="1:1">
      <c r="A1" s="19" t="s">
        <v>0</v>
      </c>
    </row>
    <row r="3" ht="15.6" spans="1:1">
      <c r="A3" s="5" t="s">
        <v>1</v>
      </c>
    </row>
    <row r="4" spans="1:4">
      <c r="A4" s="20" t="s">
        <v>2</v>
      </c>
      <c r="B4" s="20" t="s">
        <v>3</v>
      </c>
      <c r="C4" s="20" t="s">
        <v>4</v>
      </c>
      <c r="D4" s="20" t="s">
        <v>5</v>
      </c>
    </row>
    <row r="5" spans="1:4">
      <c r="A5" t="s">
        <v>6</v>
      </c>
      <c r="B5" s="6">
        <v>40000000</v>
      </c>
      <c r="C5">
        <v>1</v>
      </c>
      <c r="D5" t="s">
        <v>7</v>
      </c>
    </row>
    <row r="6" spans="1:4">
      <c r="A6" t="s">
        <v>8</v>
      </c>
      <c r="B6" s="6">
        <v>20000000</v>
      </c>
      <c r="C6">
        <v>1</v>
      </c>
      <c r="D6" t="s">
        <v>9</v>
      </c>
    </row>
    <row r="7" spans="1:4">
      <c r="A7" t="s">
        <v>10</v>
      </c>
      <c r="B7" s="6">
        <v>5000000</v>
      </c>
      <c r="C7">
        <v>1</v>
      </c>
      <c r="D7" t="s">
        <v>11</v>
      </c>
    </row>
    <row r="8" spans="1:4">
      <c r="A8" t="s">
        <v>12</v>
      </c>
      <c r="B8" s="6">
        <v>12000000</v>
      </c>
      <c r="C8">
        <v>4</v>
      </c>
      <c r="D8" t="s">
        <v>13</v>
      </c>
    </row>
    <row r="9" spans="1:4">
      <c r="A9" t="s">
        <v>14</v>
      </c>
      <c r="B9" s="6">
        <v>12000000</v>
      </c>
      <c r="C9">
        <v>7</v>
      </c>
      <c r="D9" t="s">
        <v>15</v>
      </c>
    </row>
    <row r="10" spans="1:4">
      <c r="A10" t="s">
        <v>16</v>
      </c>
      <c r="B10" s="6">
        <v>6000000</v>
      </c>
      <c r="C10">
        <v>9</v>
      </c>
      <c r="D10" t="s">
        <v>17</v>
      </c>
    </row>
    <row r="12" ht="15.6" spans="1:1">
      <c r="A12" s="5" t="s">
        <v>18</v>
      </c>
    </row>
    <row r="13" spans="1:4">
      <c r="A13" s="20" t="s">
        <v>19</v>
      </c>
      <c r="B13" s="20" t="s">
        <v>20</v>
      </c>
      <c r="C13" s="20" t="s">
        <v>21</v>
      </c>
      <c r="D13" s="20" t="s">
        <v>22</v>
      </c>
    </row>
    <row r="14" spans="1:4">
      <c r="A14" t="s">
        <v>23</v>
      </c>
      <c r="B14" s="6">
        <v>0</v>
      </c>
      <c r="C14" s="6">
        <v>4200000</v>
      </c>
      <c r="D14" s="6">
        <v>8500000</v>
      </c>
    </row>
    <row r="15" spans="1:4">
      <c r="A15" t="s">
        <v>24</v>
      </c>
      <c r="B15" s="6">
        <v>0</v>
      </c>
      <c r="C15" s="6">
        <v>3000000</v>
      </c>
      <c r="D15" s="6">
        <v>8000000</v>
      </c>
    </row>
    <row r="16" spans="1:4">
      <c r="A16" t="s">
        <v>25</v>
      </c>
      <c r="B16" s="6">
        <v>0</v>
      </c>
      <c r="C16" s="6">
        <v>2000000</v>
      </c>
      <c r="D16" s="6">
        <v>4000000</v>
      </c>
    </row>
    <row r="17" spans="1:4">
      <c r="A17" t="s">
        <v>26</v>
      </c>
      <c r="B17">
        <v>0.029</v>
      </c>
      <c r="C17">
        <v>0.029</v>
      </c>
      <c r="D17">
        <v>0.029</v>
      </c>
    </row>
    <row r="19" ht="15.6" spans="1:1">
      <c r="A19" s="5" t="s">
        <v>27</v>
      </c>
    </row>
    <row r="20" spans="1:4">
      <c r="A20" s="20" t="s">
        <v>19</v>
      </c>
      <c r="B20" s="20" t="s">
        <v>28</v>
      </c>
      <c r="C20" s="20" t="s">
        <v>29</v>
      </c>
      <c r="D20" s="20" t="s">
        <v>5</v>
      </c>
    </row>
    <row r="21" spans="1:4">
      <c r="A21" t="s">
        <v>30</v>
      </c>
      <c r="B21" s="6">
        <v>9942000</v>
      </c>
      <c r="C21">
        <v>13</v>
      </c>
      <c r="D21" t="s">
        <v>31</v>
      </c>
    </row>
    <row r="22" spans="1:4">
      <c r="A22" t="s">
        <v>32</v>
      </c>
      <c r="B22" s="6">
        <v>500000</v>
      </c>
      <c r="C22">
        <v>13</v>
      </c>
      <c r="D22" t="s">
        <v>33</v>
      </c>
    </row>
    <row r="24" ht="15.6" spans="1:1">
      <c r="A24" s="5" t="s">
        <v>34</v>
      </c>
    </row>
    <row r="25" spans="1:4">
      <c r="A25" s="20" t="s">
        <v>19</v>
      </c>
      <c r="B25" s="20" t="s">
        <v>20</v>
      </c>
      <c r="C25" s="20" t="s">
        <v>21</v>
      </c>
      <c r="D25" s="20" t="s">
        <v>22</v>
      </c>
    </row>
    <row r="26" spans="1:4">
      <c r="A26" t="s">
        <v>35</v>
      </c>
      <c r="B26" s="6">
        <v>8000000</v>
      </c>
      <c r="C26" s="6">
        <v>8000000</v>
      </c>
      <c r="D26" s="6">
        <v>8000000</v>
      </c>
    </row>
    <row r="27" spans="1:4">
      <c r="A27" t="s">
        <v>36</v>
      </c>
      <c r="B27" s="6">
        <v>0</v>
      </c>
      <c r="C27" s="6">
        <v>5000000</v>
      </c>
      <c r="D27" s="6">
        <v>6000000</v>
      </c>
    </row>
    <row r="28" spans="1:4">
      <c r="A28" t="s">
        <v>37</v>
      </c>
      <c r="B28" s="6">
        <v>7200000</v>
      </c>
      <c r="C28" s="6">
        <v>15000000</v>
      </c>
      <c r="D28" s="6">
        <v>25000000</v>
      </c>
    </row>
    <row r="29" spans="1:4">
      <c r="A29" t="s">
        <v>38</v>
      </c>
      <c r="B29" s="6">
        <v>6000000</v>
      </c>
      <c r="C29" s="6">
        <v>16000000</v>
      </c>
      <c r="D29" s="6">
        <v>31000000</v>
      </c>
    </row>
    <row r="30" spans="1:4">
      <c r="A30" t="s">
        <v>39</v>
      </c>
      <c r="B30" s="6">
        <v>0</v>
      </c>
      <c r="C30" s="6">
        <v>5000000</v>
      </c>
      <c r="D30" s="6">
        <v>5000000</v>
      </c>
    </row>
    <row r="32" ht="15.6" spans="1:1">
      <c r="A32" s="5" t="s">
        <v>40</v>
      </c>
    </row>
    <row r="33" spans="1:4">
      <c r="A33" s="20" t="s">
        <v>19</v>
      </c>
      <c r="B33" s="20" t="s">
        <v>20</v>
      </c>
      <c r="C33" s="20" t="s">
        <v>21</v>
      </c>
      <c r="D33" s="20" t="s">
        <v>22</v>
      </c>
    </row>
    <row r="34" spans="1:4">
      <c r="A34" t="s">
        <v>41</v>
      </c>
      <c r="B34" s="6">
        <v>3000000</v>
      </c>
      <c r="C34" s="6">
        <v>3000000</v>
      </c>
      <c r="D34" s="6">
        <v>4000000</v>
      </c>
    </row>
    <row r="35" spans="1:4">
      <c r="A35" t="s">
        <v>42</v>
      </c>
      <c r="B35" s="6">
        <v>2000000</v>
      </c>
      <c r="C35" s="6">
        <v>2000000</v>
      </c>
      <c r="D35" s="6">
        <v>3000000</v>
      </c>
    </row>
    <row r="36" spans="1:4">
      <c r="A36" t="s">
        <v>43</v>
      </c>
      <c r="B36" s="6">
        <v>2000000</v>
      </c>
      <c r="C36" s="6">
        <v>2000000</v>
      </c>
      <c r="D36" s="6">
        <v>2000000</v>
      </c>
    </row>
    <row r="37" spans="1:4">
      <c r="A37" t="s">
        <v>44</v>
      </c>
      <c r="B37" s="6">
        <v>3000000</v>
      </c>
      <c r="C37" s="6">
        <v>0</v>
      </c>
      <c r="D37" s="6">
        <v>0</v>
      </c>
    </row>
    <row r="38" spans="1:4">
      <c r="A38" t="s">
        <v>45</v>
      </c>
      <c r="B38" s="6">
        <v>2000000</v>
      </c>
      <c r="C38" s="6">
        <v>3000000</v>
      </c>
      <c r="D38" s="6">
        <v>4000000</v>
      </c>
    </row>
    <row r="40" ht="15.6" spans="1:1">
      <c r="A40" s="5" t="s">
        <v>46</v>
      </c>
    </row>
    <row r="41" spans="1:4">
      <c r="A41" s="20" t="s">
        <v>47</v>
      </c>
      <c r="B41" s="20" t="s">
        <v>48</v>
      </c>
      <c r="C41" s="20" t="s">
        <v>49</v>
      </c>
      <c r="D41" s="20" t="s">
        <v>5</v>
      </c>
    </row>
    <row r="42" spans="1:4">
      <c r="A42" t="s">
        <v>50</v>
      </c>
      <c r="B42">
        <v>800</v>
      </c>
      <c r="C42" t="s">
        <v>51</v>
      </c>
      <c r="D42" t="s">
        <v>52</v>
      </c>
    </row>
    <row r="43" spans="1:4">
      <c r="A43" t="s">
        <v>53</v>
      </c>
      <c r="B43">
        <v>0.1</v>
      </c>
      <c r="C43" t="s">
        <v>54</v>
      </c>
      <c r="D43" t="s">
        <v>55</v>
      </c>
    </row>
    <row r="44" spans="1:4">
      <c r="A44" t="s">
        <v>56</v>
      </c>
      <c r="B44">
        <v>0.1</v>
      </c>
      <c r="C44" t="s">
        <v>54</v>
      </c>
      <c r="D44" t="s">
        <v>57</v>
      </c>
    </row>
    <row r="45" spans="1:4">
      <c r="A45" t="s">
        <v>58</v>
      </c>
      <c r="B45">
        <v>0.05</v>
      </c>
      <c r="C45" t="s">
        <v>54</v>
      </c>
      <c r="D45" t="s">
        <v>59</v>
      </c>
    </row>
    <row r="46" spans="1:4">
      <c r="A46" t="s">
        <v>60</v>
      </c>
      <c r="B46">
        <v>0.6</v>
      </c>
      <c r="C46" t="s">
        <v>54</v>
      </c>
      <c r="D46" t="s">
        <v>61</v>
      </c>
    </row>
    <row r="47" spans="1:4">
      <c r="A47" t="s">
        <v>62</v>
      </c>
      <c r="B47">
        <v>0.3</v>
      </c>
      <c r="C47" t="s">
        <v>54</v>
      </c>
      <c r="D47" t="s">
        <v>63</v>
      </c>
    </row>
    <row r="48" spans="1:4">
      <c r="A48" t="s">
        <v>64</v>
      </c>
      <c r="B48">
        <v>0.1</v>
      </c>
      <c r="C48" t="s">
        <v>54</v>
      </c>
      <c r="D48" t="s">
        <v>65</v>
      </c>
    </row>
  </sheetData>
  <mergeCells count="7">
    <mergeCell ref="A1:D1"/>
    <mergeCell ref="A3:D3"/>
    <mergeCell ref="A12:D12"/>
    <mergeCell ref="A19:D19"/>
    <mergeCell ref="A24:D24"/>
    <mergeCell ref="A32:D32"/>
    <mergeCell ref="A40:D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opLeftCell="A4" workbookViewId="0">
      <selection activeCell="F41" sqref="F41"/>
    </sheetView>
  </sheetViews>
  <sheetFormatPr defaultColWidth="9" defaultRowHeight="14.4"/>
  <cols>
    <col min="1" max="1" width="25" customWidth="1"/>
    <col min="2" max="2" width="35" customWidth="1"/>
    <col min="3" max="15" width="13" customWidth="1"/>
    <col min="16" max="16" width="16.2222222222222" customWidth="1"/>
  </cols>
  <sheetData>
    <row r="1" spans="1:16">
      <c r="A1" s="12" t="s">
        <v>66</v>
      </c>
      <c r="B1" s="12" t="s">
        <v>19</v>
      </c>
      <c r="C1" s="12" t="s">
        <v>67</v>
      </c>
      <c r="D1" s="12" t="s">
        <v>68</v>
      </c>
      <c r="E1" s="12" t="s">
        <v>69</v>
      </c>
      <c r="F1" s="12" t="s">
        <v>70</v>
      </c>
      <c r="G1" s="12" t="s">
        <v>71</v>
      </c>
      <c r="H1" s="12" t="s">
        <v>72</v>
      </c>
      <c r="I1" s="12" t="s">
        <v>73</v>
      </c>
      <c r="J1" s="12" t="s">
        <v>74</v>
      </c>
      <c r="K1" s="12" t="s">
        <v>75</v>
      </c>
      <c r="L1" s="12" t="s">
        <v>76</v>
      </c>
      <c r="M1" s="12" t="s">
        <v>77</v>
      </c>
      <c r="N1" s="12" t="s">
        <v>78</v>
      </c>
      <c r="O1" s="12" t="s">
        <v>79</v>
      </c>
      <c r="P1" s="12" t="s">
        <v>80</v>
      </c>
    </row>
    <row r="2" spans="1:1">
      <c r="A2" s="2" t="s">
        <v>81</v>
      </c>
    </row>
    <row r="3" spans="2:16">
      <c r="B3" t="s">
        <v>82</v>
      </c>
      <c r="C3" s="6">
        <f>IF(1&gt;=Assumptions!C5,Assumptions!B5,0)</f>
        <v>40000000</v>
      </c>
      <c r="D3" s="6">
        <f>IF(2&gt;=Assumptions!C5,Assumptions!B5,0)</f>
        <v>40000000</v>
      </c>
      <c r="E3" s="6">
        <f>IF(3&gt;=Assumptions!C5,Assumptions!B5,0)</f>
        <v>40000000</v>
      </c>
      <c r="F3" s="6">
        <f>IF(4&gt;=Assumptions!C5,Assumptions!B5,0)</f>
        <v>40000000</v>
      </c>
      <c r="G3" s="6">
        <f>IF(5&gt;=Assumptions!C5,Assumptions!B5,0)</f>
        <v>40000000</v>
      </c>
      <c r="H3" s="6">
        <f>IF(6&gt;=Assumptions!C5,Assumptions!B5,0)</f>
        <v>40000000</v>
      </c>
      <c r="I3" s="6">
        <f>IF(7&gt;=Assumptions!C5,Assumptions!B5,0)</f>
        <v>40000000</v>
      </c>
      <c r="J3" s="6">
        <f>IF(8&gt;=Assumptions!C5,Assumptions!B5,0)</f>
        <v>40000000</v>
      </c>
      <c r="K3" s="6">
        <f>IF(9&gt;=Assumptions!C5,Assumptions!B5,0)</f>
        <v>40000000</v>
      </c>
      <c r="L3" s="6">
        <f>IF(10&gt;=Assumptions!C5,Assumptions!B5,0)</f>
        <v>40000000</v>
      </c>
      <c r="M3" s="6">
        <f>IF(11&gt;=Assumptions!C5,Assumptions!B5,0)</f>
        <v>40000000</v>
      </c>
      <c r="N3" s="6">
        <f>IF(12&gt;=Assumptions!C5,Assumptions!B5,0)</f>
        <v>40000000</v>
      </c>
      <c r="O3" s="6">
        <f>IF(13&gt;=Assumptions!C5,Assumptions!B5,0)</f>
        <v>40000000</v>
      </c>
      <c r="P3" s="6">
        <f t="shared" ref="P3:P9" si="0">SUM(C3:O3)</f>
        <v>520000000</v>
      </c>
    </row>
    <row r="4" spans="2:16">
      <c r="B4" t="s">
        <v>83</v>
      </c>
      <c r="C4" s="6">
        <f>IF(1&gt;=Assumptions!C6,Assumptions!B6,0)</f>
        <v>20000000</v>
      </c>
      <c r="D4" s="6">
        <f>IF(2&gt;=Assumptions!C6,Assumptions!B6,0)</f>
        <v>20000000</v>
      </c>
      <c r="E4" s="6">
        <f>IF(3&gt;=Assumptions!C6,Assumptions!B6,0)</f>
        <v>20000000</v>
      </c>
      <c r="F4" s="6">
        <f>IF(4&gt;=Assumptions!C6,Assumptions!B6,0)</f>
        <v>20000000</v>
      </c>
      <c r="G4" s="6">
        <f>IF(5&gt;=Assumptions!C6,Assumptions!B6,0)</f>
        <v>20000000</v>
      </c>
      <c r="H4" s="6">
        <f>IF(6&gt;=Assumptions!C6,Assumptions!B6,0)</f>
        <v>20000000</v>
      </c>
      <c r="I4" s="6">
        <f>IF(7&gt;=Assumptions!C6,Assumptions!B6,0)</f>
        <v>20000000</v>
      </c>
      <c r="J4" s="6">
        <f>IF(8&gt;=Assumptions!C6,Assumptions!B6,0)</f>
        <v>20000000</v>
      </c>
      <c r="K4" s="6">
        <f>IF(9&gt;=Assumptions!C6,Assumptions!B6,0)</f>
        <v>20000000</v>
      </c>
      <c r="L4" s="6">
        <f>IF(10&gt;=Assumptions!C6,Assumptions!B6,0)</f>
        <v>20000000</v>
      </c>
      <c r="M4" s="6">
        <f>IF(11&gt;=Assumptions!C6,Assumptions!B6,0)</f>
        <v>20000000</v>
      </c>
      <c r="N4" s="6">
        <f>IF(12&gt;=Assumptions!C6,Assumptions!B6,0)</f>
        <v>20000000</v>
      </c>
      <c r="O4" s="6">
        <f>IF(13&gt;=Assumptions!C6,Assumptions!B6,0)</f>
        <v>20000000</v>
      </c>
      <c r="P4" s="6">
        <f t="shared" si="0"/>
        <v>260000000</v>
      </c>
    </row>
    <row r="5" spans="2:16">
      <c r="B5" t="s">
        <v>84</v>
      </c>
      <c r="C5" s="6">
        <f>IF(AND(1&gt;=Assumptions!C7,1&lt;=12),Assumptions!B7,0)</f>
        <v>5000000</v>
      </c>
      <c r="D5" s="6">
        <f>IF(AND(2&gt;=Assumptions!C7,2&lt;=12),Assumptions!B7,0)</f>
        <v>5000000</v>
      </c>
      <c r="E5" s="6">
        <f>IF(AND(3&gt;=Assumptions!C7,3&lt;=12),Assumptions!B7,0)</f>
        <v>5000000</v>
      </c>
      <c r="F5" s="6">
        <f>IF(AND(4&gt;=Assumptions!C7,4&lt;=12),Assumptions!B7,0)</f>
        <v>5000000</v>
      </c>
      <c r="G5" s="6">
        <f>IF(AND(5&gt;=Assumptions!C7,5&lt;=12),Assumptions!B7,0)</f>
        <v>5000000</v>
      </c>
      <c r="H5" s="6">
        <f>IF(AND(6&gt;=Assumptions!C7,6&lt;=12),Assumptions!B7,0)</f>
        <v>5000000</v>
      </c>
      <c r="I5" s="6">
        <f>IF(AND(7&gt;=Assumptions!C7,7&lt;=12),Assumptions!B7,0)</f>
        <v>5000000</v>
      </c>
      <c r="J5" s="6">
        <f>IF(AND(8&gt;=Assumptions!C7,8&lt;=12),Assumptions!B7,0)</f>
        <v>5000000</v>
      </c>
      <c r="K5" s="6">
        <f>IF(AND(9&gt;=Assumptions!C7,9&lt;=12),Assumptions!B7,0)</f>
        <v>5000000</v>
      </c>
      <c r="L5" s="6">
        <f>IF(AND(10&gt;=Assumptions!C7,10&lt;=12),Assumptions!B7,0)</f>
        <v>5000000</v>
      </c>
      <c r="M5" s="6">
        <f>IF(AND(11&gt;=Assumptions!C7,11&lt;=12),Assumptions!B7,0)</f>
        <v>5000000</v>
      </c>
      <c r="N5" s="6">
        <f>IF(AND(12&gt;=Assumptions!C7,12&lt;=12),Assumptions!B7,0)</f>
        <v>5000000</v>
      </c>
      <c r="O5" s="6">
        <f>IF(AND(13&gt;=Assumptions!C7,13&lt;=12),Assumptions!B7,0)</f>
        <v>0</v>
      </c>
      <c r="P5" s="6">
        <f t="shared" si="0"/>
        <v>60000000</v>
      </c>
    </row>
    <row r="6" spans="2:16">
      <c r="B6" t="s">
        <v>85</v>
      </c>
      <c r="C6" s="6">
        <f>IF(1&gt;=Assumptions!C8,Assumptions!B8,0)</f>
        <v>0</v>
      </c>
      <c r="D6" s="6">
        <f>IF(2&gt;=Assumptions!C8,Assumptions!B8,0)</f>
        <v>0</v>
      </c>
      <c r="E6" s="6">
        <f>IF(3&gt;=Assumptions!C8,Assumptions!B8,0)</f>
        <v>0</v>
      </c>
      <c r="F6" s="6">
        <f>IF(4&gt;=Assumptions!C8,Assumptions!B8,0)</f>
        <v>12000000</v>
      </c>
      <c r="G6" s="6">
        <f>IF(5&gt;=Assumptions!C8,Assumptions!B8,0)</f>
        <v>12000000</v>
      </c>
      <c r="H6" s="6">
        <f>IF(6&gt;=Assumptions!C8,Assumptions!B8,0)</f>
        <v>12000000</v>
      </c>
      <c r="I6" s="6">
        <f>IF(7&gt;=Assumptions!C8,Assumptions!B8,0)</f>
        <v>12000000</v>
      </c>
      <c r="J6" s="6">
        <f>IF(8&gt;=Assumptions!C8,Assumptions!B8,0)</f>
        <v>12000000</v>
      </c>
      <c r="K6" s="6">
        <f>IF(9&gt;=Assumptions!C8,Assumptions!B8,0)</f>
        <v>12000000</v>
      </c>
      <c r="L6" s="6">
        <f>IF(10&gt;=Assumptions!C8,Assumptions!B8,0)</f>
        <v>12000000</v>
      </c>
      <c r="M6" s="6">
        <f>IF(11&gt;=Assumptions!C8,Assumptions!B8,0)</f>
        <v>12000000</v>
      </c>
      <c r="N6" s="6">
        <f>IF(12&gt;=Assumptions!C8,Assumptions!B8,0)</f>
        <v>12000000</v>
      </c>
      <c r="O6" s="6">
        <f>IF(13&gt;=Assumptions!C8,Assumptions!B8,0)</f>
        <v>12000000</v>
      </c>
      <c r="P6" s="6">
        <f t="shared" si="0"/>
        <v>120000000</v>
      </c>
    </row>
    <row r="7" spans="2:16">
      <c r="B7" t="s">
        <v>86</v>
      </c>
      <c r="C7" s="6">
        <f>IF(1&gt;=Assumptions!C9,Assumptions!B9,0)</f>
        <v>0</v>
      </c>
      <c r="D7" s="6">
        <f>IF(2&gt;=Assumptions!C9,Assumptions!B9,0)</f>
        <v>0</v>
      </c>
      <c r="E7" s="6">
        <f>IF(3&gt;=Assumptions!C9,Assumptions!B9,0)</f>
        <v>0</v>
      </c>
      <c r="F7" s="6">
        <f>IF(4&gt;=Assumptions!C9,Assumptions!B9,0)</f>
        <v>0</v>
      </c>
      <c r="G7" s="6">
        <f>IF(5&gt;=Assumptions!C9,Assumptions!B9,0)</f>
        <v>0</v>
      </c>
      <c r="H7" s="6">
        <f>IF(6&gt;=Assumptions!C9,Assumptions!B9,0)</f>
        <v>0</v>
      </c>
      <c r="I7" s="6">
        <f>IF(7&gt;=Assumptions!C9,Assumptions!B9,0)</f>
        <v>12000000</v>
      </c>
      <c r="J7" s="6">
        <f>IF(8&gt;=Assumptions!C9,Assumptions!B9,0)</f>
        <v>12000000</v>
      </c>
      <c r="K7" s="6">
        <f>IF(9&gt;=Assumptions!C9,Assumptions!B9,0)</f>
        <v>12000000</v>
      </c>
      <c r="L7" s="6">
        <f>IF(10&gt;=Assumptions!C9,Assumptions!B9,0)</f>
        <v>12000000</v>
      </c>
      <c r="M7" s="6">
        <f>IF(11&gt;=Assumptions!C9,Assumptions!B9,0)</f>
        <v>12000000</v>
      </c>
      <c r="N7" s="6">
        <f>IF(12&gt;=Assumptions!C9,Assumptions!B9,0)</f>
        <v>12000000</v>
      </c>
      <c r="O7" s="6">
        <f>IF(13&gt;=Assumptions!C9,Assumptions!B9,0)</f>
        <v>12000000</v>
      </c>
      <c r="P7" s="6">
        <f t="shared" si="0"/>
        <v>84000000</v>
      </c>
    </row>
    <row r="8" spans="2:16">
      <c r="B8" t="s">
        <v>87</v>
      </c>
      <c r="C8" s="6">
        <f>IF(1&gt;=Assumptions!C10,Assumptions!B10,0)</f>
        <v>0</v>
      </c>
      <c r="D8" s="6">
        <f>IF(2&gt;=Assumptions!C10,Assumptions!B10,0)</f>
        <v>0</v>
      </c>
      <c r="E8" s="6">
        <f>IF(3&gt;=Assumptions!C10,Assumptions!B10,0)</f>
        <v>0</v>
      </c>
      <c r="F8" s="6">
        <f>IF(4&gt;=Assumptions!C10,Assumptions!B10,0)</f>
        <v>0</v>
      </c>
      <c r="G8" s="6">
        <f>IF(5&gt;=Assumptions!C10,Assumptions!B10,0)</f>
        <v>0</v>
      </c>
      <c r="H8" s="6">
        <f>IF(6&gt;=Assumptions!C10,Assumptions!B10,0)</f>
        <v>0</v>
      </c>
      <c r="I8" s="6">
        <f>IF(7&gt;=Assumptions!C10,Assumptions!B10,0)</f>
        <v>0</v>
      </c>
      <c r="J8" s="6">
        <f>IF(8&gt;=Assumptions!C10,Assumptions!B10,0)</f>
        <v>0</v>
      </c>
      <c r="K8" s="6">
        <f>IF(9&gt;=Assumptions!C10,Assumptions!B10,0)</f>
        <v>6000000</v>
      </c>
      <c r="L8" s="6">
        <f>IF(10&gt;=Assumptions!C10,Assumptions!B10,0)</f>
        <v>6000000</v>
      </c>
      <c r="M8" s="6">
        <f>IF(11&gt;=Assumptions!C10,Assumptions!B10,0)</f>
        <v>6000000</v>
      </c>
      <c r="N8" s="6">
        <f>IF(12&gt;=Assumptions!C10,Assumptions!B10,0)</f>
        <v>6000000</v>
      </c>
      <c r="O8" s="6">
        <f>IF(13&gt;=Assumptions!C10,Assumptions!B10,0)</f>
        <v>6000000</v>
      </c>
      <c r="P8" s="6">
        <f t="shared" si="0"/>
        <v>30000000</v>
      </c>
    </row>
    <row r="9" spans="1:16">
      <c r="A9" s="16" t="s">
        <v>88</v>
      </c>
      <c r="C9" s="17">
        <f>SUM(C3:C8)</f>
        <v>65000000</v>
      </c>
      <c r="D9" s="17">
        <f>SUM(C3:C8)</f>
        <v>65000000</v>
      </c>
      <c r="E9" s="17">
        <f>SUM(C3:C8)</f>
        <v>65000000</v>
      </c>
      <c r="F9" s="17">
        <f>SUM(C3:C8)</f>
        <v>65000000</v>
      </c>
      <c r="G9" s="17">
        <f>SUM(C3:C8)</f>
        <v>65000000</v>
      </c>
      <c r="H9" s="17">
        <f>SUM(C3:C8)</f>
        <v>65000000</v>
      </c>
      <c r="I9" s="17">
        <f>SUM(C3:C8)</f>
        <v>65000000</v>
      </c>
      <c r="J9" s="17">
        <f>SUM(C3:C8)</f>
        <v>65000000</v>
      </c>
      <c r="K9" s="17">
        <f>SUM(C3:C8)</f>
        <v>65000000</v>
      </c>
      <c r="L9" s="17">
        <f>SUM(C3:C8)</f>
        <v>65000000</v>
      </c>
      <c r="M9" s="17">
        <f>SUM(C3:C8)</f>
        <v>65000000</v>
      </c>
      <c r="N9" s="17">
        <f>SUM(C3:C8)</f>
        <v>65000000</v>
      </c>
      <c r="O9" s="17">
        <f>SUM(C3:C8)</f>
        <v>65000000</v>
      </c>
      <c r="P9" s="17">
        <f t="shared" si="0"/>
        <v>845000000</v>
      </c>
    </row>
    <row r="10" spans="1:16">
      <c r="A10" s="2" t="s">
        <v>89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6">
      <c r="B11" t="s">
        <v>23</v>
      </c>
      <c r="C11" s="6">
        <f>Assumptions!B14</f>
        <v>0</v>
      </c>
      <c r="D11" s="6">
        <f>Assumptions!B14</f>
        <v>0</v>
      </c>
      <c r="E11" s="6">
        <f>Assumptions!B14</f>
        <v>0</v>
      </c>
      <c r="F11" s="6">
        <f>Assumptions!C14</f>
        <v>4200000</v>
      </c>
      <c r="G11" s="6">
        <f>Assumptions!C14</f>
        <v>4200000</v>
      </c>
      <c r="H11" s="6">
        <f>Assumptions!C14</f>
        <v>4200000</v>
      </c>
      <c r="I11" s="6">
        <f>Assumptions!D14</f>
        <v>8500000</v>
      </c>
      <c r="J11" s="6">
        <f>Assumptions!D14</f>
        <v>8500000</v>
      </c>
      <c r="K11" s="6">
        <f>Assumptions!D14</f>
        <v>8500000</v>
      </c>
      <c r="L11" s="6">
        <f>Assumptions!D14</f>
        <v>8500000</v>
      </c>
      <c r="M11" s="6">
        <f>Assumptions!D14</f>
        <v>8500000</v>
      </c>
      <c r="N11" s="6">
        <f>Assumptions!D14</f>
        <v>8500000</v>
      </c>
      <c r="O11" s="6">
        <f>Assumptions!D14</f>
        <v>8500000</v>
      </c>
      <c r="P11" s="6">
        <f>SUM(C11:O11)</f>
        <v>72100000</v>
      </c>
    </row>
    <row r="12" spans="2:16">
      <c r="B12" t="s">
        <v>90</v>
      </c>
      <c r="C12" s="6">
        <f>Assumptions!B15</f>
        <v>0</v>
      </c>
      <c r="D12" s="6">
        <f>Assumptions!B15</f>
        <v>0</v>
      </c>
      <c r="E12" s="6">
        <f>Assumptions!B15</f>
        <v>0</v>
      </c>
      <c r="F12" s="6">
        <f>Assumptions!C15</f>
        <v>3000000</v>
      </c>
      <c r="G12" s="6">
        <f>Assumptions!C15</f>
        <v>3000000</v>
      </c>
      <c r="H12" s="6">
        <f>Assumptions!C15</f>
        <v>3000000</v>
      </c>
      <c r="I12" s="6">
        <f>Assumptions!D15</f>
        <v>8000000</v>
      </c>
      <c r="J12" s="6">
        <f>Assumptions!D15</f>
        <v>8000000</v>
      </c>
      <c r="K12" s="6">
        <f>Assumptions!D15</f>
        <v>8000000</v>
      </c>
      <c r="L12" s="6">
        <f>Assumptions!D15</f>
        <v>8000000</v>
      </c>
      <c r="M12" s="6">
        <f>Assumptions!D15</f>
        <v>8000000</v>
      </c>
      <c r="N12" s="6">
        <f>Assumptions!D15</f>
        <v>8000000</v>
      </c>
      <c r="O12" s="6">
        <f>Assumptions!D15</f>
        <v>8000000</v>
      </c>
      <c r="P12" s="6">
        <f>SUM(C12:O12)</f>
        <v>65000000</v>
      </c>
    </row>
    <row r="13" spans="2:16">
      <c r="B13" t="s">
        <v>91</v>
      </c>
      <c r="C13" s="6">
        <f>Assumptions!B16</f>
        <v>0</v>
      </c>
      <c r="D13" s="6">
        <f>Assumptions!B16</f>
        <v>0</v>
      </c>
      <c r="E13" s="6">
        <f>Assumptions!B16</f>
        <v>0</v>
      </c>
      <c r="F13" s="6">
        <f>Assumptions!C16</f>
        <v>2000000</v>
      </c>
      <c r="G13" s="6">
        <f>Assumptions!C16</f>
        <v>2000000</v>
      </c>
      <c r="H13" s="6">
        <f>Assumptions!C16</f>
        <v>2000000</v>
      </c>
      <c r="I13" s="6">
        <f>Assumptions!D16</f>
        <v>4000000</v>
      </c>
      <c r="J13" s="6">
        <f>Assumptions!D16</f>
        <v>4000000</v>
      </c>
      <c r="K13" s="6">
        <f>Assumptions!D16</f>
        <v>4000000</v>
      </c>
      <c r="L13" s="6">
        <f>Assumptions!D16</f>
        <v>4000000</v>
      </c>
      <c r="M13" s="6">
        <f>Assumptions!D16</f>
        <v>4000000</v>
      </c>
      <c r="N13" s="6">
        <f>Assumptions!D16</f>
        <v>4000000</v>
      </c>
      <c r="O13" s="6">
        <f>Assumptions!D16</f>
        <v>4000000</v>
      </c>
      <c r="P13" s="6">
        <f>SUM(C13:O13)</f>
        <v>34000000</v>
      </c>
    </row>
    <row r="14" spans="2:16">
      <c r="B14" t="s">
        <v>92</v>
      </c>
      <c r="C14" s="6">
        <f>'Revenue Model'!K3*Assumptions!$B$17</f>
        <v>252880</v>
      </c>
      <c r="D14" s="6">
        <f>'Revenue Model'!K4*Assumptions!$B$17</f>
        <v>260043</v>
      </c>
      <c r="E14" s="6">
        <f>'Revenue Model'!K5*Assumptions!$B$17</f>
        <v>283069</v>
      </c>
      <c r="F14" s="6">
        <f>'Revenue Model'!K6*Assumptions!$B$17</f>
        <v>307516</v>
      </c>
      <c r="G14" s="6">
        <f>'Revenue Model'!K7*Assumptions!$B$17</f>
        <v>317521</v>
      </c>
      <c r="H14" s="6">
        <f>'Revenue Model'!K8*Assumptions!$B$17</f>
        <v>341968</v>
      </c>
      <c r="I14" s="6">
        <f>'Revenue Model'!K9*Assumptions!$B$17</f>
        <v>372157</v>
      </c>
      <c r="J14" s="6">
        <f>'Revenue Model'!K10*Assumptions!$B$17</f>
        <v>386483</v>
      </c>
      <c r="K14" s="6">
        <f>'Revenue Model'!K11*Assumptions!$B$17</f>
        <v>418093</v>
      </c>
      <c r="L14" s="6">
        <f>'Revenue Model'!K12*Assumptions!$B$17</f>
        <v>449703</v>
      </c>
      <c r="M14" s="6">
        <f>'Revenue Model'!K13*Assumptions!$B$17</f>
        <v>498597</v>
      </c>
      <c r="N14" s="6">
        <f>'Revenue Model'!K14*Assumptions!$B$17</f>
        <v>535949</v>
      </c>
      <c r="O14" s="6">
        <f>'Revenue Model'!K15*Assumptions!$B$17</f>
        <v>576143</v>
      </c>
      <c r="P14" s="6">
        <f>SUM(C14:O14)</f>
        <v>5000122</v>
      </c>
    </row>
    <row r="15" spans="1:16">
      <c r="A15" s="16" t="s">
        <v>93</v>
      </c>
      <c r="C15" s="17">
        <f>SUM(C11:C14)</f>
        <v>252880</v>
      </c>
      <c r="D15" s="17">
        <f>SUM(C11:C14)</f>
        <v>252880</v>
      </c>
      <c r="E15" s="17">
        <f>SUM(C11:C14)</f>
        <v>252880</v>
      </c>
      <c r="F15" s="17">
        <f>SUM(C11:C14)</f>
        <v>252880</v>
      </c>
      <c r="G15" s="17">
        <f>SUM(C11:C14)</f>
        <v>252880</v>
      </c>
      <c r="H15" s="17">
        <f>SUM(C11:C14)</f>
        <v>252880</v>
      </c>
      <c r="I15" s="17">
        <f>SUM(C11:C14)</f>
        <v>252880</v>
      </c>
      <c r="J15" s="17">
        <f>SUM(C11:C14)</f>
        <v>252880</v>
      </c>
      <c r="K15" s="17">
        <f>SUM(C11:C14)</f>
        <v>252880</v>
      </c>
      <c r="L15" s="17">
        <f>SUM(C11:C14)</f>
        <v>252880</v>
      </c>
      <c r="M15" s="17">
        <f>SUM(C11:C14)</f>
        <v>252880</v>
      </c>
      <c r="N15" s="17">
        <f>SUM(C11:C14)</f>
        <v>252880</v>
      </c>
      <c r="O15" s="17">
        <f>SUM(C11:C14)</f>
        <v>252880</v>
      </c>
      <c r="P15" s="6">
        <f>SUM(C15:O15)</f>
        <v>3287440</v>
      </c>
    </row>
    <row r="16" spans="1:16">
      <c r="A16" s="2" t="s">
        <v>94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t="s">
        <v>95</v>
      </c>
      <c r="C17" s="6">
        <f>IF(1&lt;=Assumptions!C21,Assumptions!B21,0)</f>
        <v>9942000</v>
      </c>
      <c r="D17" s="6">
        <f>IF(2&lt;=Assumptions!C21,Assumptions!B21,0)</f>
        <v>9942000</v>
      </c>
      <c r="E17" s="6">
        <f>IF(3&lt;=Assumptions!C21,Assumptions!B21,0)</f>
        <v>9942000</v>
      </c>
      <c r="F17" s="6">
        <f>IF(4&lt;=Assumptions!C21,Assumptions!B21,0)</f>
        <v>9942000</v>
      </c>
      <c r="G17" s="6">
        <f>IF(5&lt;=Assumptions!C21,Assumptions!B21,0)</f>
        <v>9942000</v>
      </c>
      <c r="H17" s="6">
        <f>IF(6&lt;=Assumptions!C21,Assumptions!B21,0)</f>
        <v>9942000</v>
      </c>
      <c r="I17" s="6">
        <f>IF(7&lt;=Assumptions!C21,Assumptions!B21,0)</f>
        <v>9942000</v>
      </c>
      <c r="J17" s="6">
        <f>IF(8&lt;=Assumptions!C21,Assumptions!B21,0)</f>
        <v>9942000</v>
      </c>
      <c r="K17" s="6">
        <f>IF(9&lt;=Assumptions!C21,Assumptions!B21,0)</f>
        <v>9942000</v>
      </c>
      <c r="L17" s="6">
        <f>IF(10&lt;=Assumptions!C21,Assumptions!B21,0)</f>
        <v>9942000</v>
      </c>
      <c r="M17" s="6">
        <f>IF(11&lt;=Assumptions!C21,Assumptions!B21,0)</f>
        <v>9942000</v>
      </c>
      <c r="N17" s="6">
        <f>IF(12&lt;=Assumptions!C21,Assumptions!B21,0)</f>
        <v>9942000</v>
      </c>
      <c r="O17" s="6">
        <f>IF(13&lt;=Assumptions!C21,Assumptions!B21,0)</f>
        <v>9942000</v>
      </c>
      <c r="P17" s="6">
        <f>SUM(C17:O17)</f>
        <v>129246000</v>
      </c>
    </row>
    <row r="18" spans="1:16">
      <c r="A18" s="16" t="s">
        <v>96</v>
      </c>
      <c r="C18" s="17">
        <f>C17</f>
        <v>9942000</v>
      </c>
      <c r="D18" s="17">
        <f>C17</f>
        <v>9942000</v>
      </c>
      <c r="E18" s="17">
        <f>C17</f>
        <v>9942000</v>
      </c>
      <c r="F18" s="17">
        <f>C17</f>
        <v>9942000</v>
      </c>
      <c r="G18" s="17">
        <f>C17</f>
        <v>9942000</v>
      </c>
      <c r="H18" s="17">
        <f>C17</f>
        <v>9942000</v>
      </c>
      <c r="I18" s="17">
        <f>C17</f>
        <v>9942000</v>
      </c>
      <c r="J18" s="17">
        <f>C17</f>
        <v>9942000</v>
      </c>
      <c r="K18" s="17">
        <f>C17</f>
        <v>9942000</v>
      </c>
      <c r="L18" s="17">
        <f>C17</f>
        <v>9942000</v>
      </c>
      <c r="M18" s="17">
        <f>C17</f>
        <v>9942000</v>
      </c>
      <c r="N18" s="17">
        <f>C17</f>
        <v>9942000</v>
      </c>
      <c r="O18" s="17">
        <f>C17</f>
        <v>9942000</v>
      </c>
      <c r="P18" s="6">
        <f>SUM(C18:O18)</f>
        <v>129246000</v>
      </c>
    </row>
    <row r="19" spans="1:16">
      <c r="A19" s="2" t="s">
        <v>97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>
      <c r="B20" t="s">
        <v>32</v>
      </c>
      <c r="C20" s="6">
        <f>IF(1&lt;=Assumptions!C22,Assumptions!B22,0)</f>
        <v>500000</v>
      </c>
      <c r="D20" s="6">
        <f>IF(2&lt;=Assumptions!C22,Assumptions!B22,0)</f>
        <v>500000</v>
      </c>
      <c r="E20" s="6">
        <f>IF(3&lt;=Assumptions!C22,Assumptions!B22,0)</f>
        <v>500000</v>
      </c>
      <c r="F20" s="6">
        <f>IF(4&lt;=Assumptions!C22,Assumptions!B22,0)</f>
        <v>500000</v>
      </c>
      <c r="G20" s="6">
        <f>IF(5&lt;=Assumptions!C22,Assumptions!B22,0)</f>
        <v>500000</v>
      </c>
      <c r="H20" s="6">
        <f>IF(6&lt;=Assumptions!C22,Assumptions!B22,0)</f>
        <v>500000</v>
      </c>
      <c r="I20" s="6">
        <f>IF(7&lt;=Assumptions!C22,Assumptions!B22,0)</f>
        <v>500000</v>
      </c>
      <c r="J20" s="6">
        <f>IF(8&lt;=Assumptions!C22,Assumptions!B22,0)</f>
        <v>500000</v>
      </c>
      <c r="K20" s="6">
        <f>IF(9&lt;=Assumptions!C22,Assumptions!B22,0)</f>
        <v>500000</v>
      </c>
      <c r="L20" s="6">
        <f>IF(10&lt;=Assumptions!C22,Assumptions!B22,0)</f>
        <v>500000</v>
      </c>
      <c r="M20" s="6">
        <f>IF(11&lt;=Assumptions!C22,Assumptions!B22,0)</f>
        <v>500000</v>
      </c>
      <c r="N20" s="6">
        <f>IF(12&lt;=Assumptions!C22,Assumptions!B22,0)</f>
        <v>500000</v>
      </c>
      <c r="O20" s="6">
        <f>IF(13&lt;=Assumptions!C22,Assumptions!B22,0)</f>
        <v>500000</v>
      </c>
      <c r="P20" s="6">
        <f>SUM(C20:O20)</f>
        <v>6500000</v>
      </c>
    </row>
    <row r="21" spans="1:16">
      <c r="A21" s="16" t="s">
        <v>98</v>
      </c>
      <c r="C21" s="17">
        <f>C20</f>
        <v>500000</v>
      </c>
      <c r="D21" s="17">
        <f>C20</f>
        <v>500000</v>
      </c>
      <c r="E21" s="17">
        <f>C20</f>
        <v>500000</v>
      </c>
      <c r="F21" s="17">
        <f>C20</f>
        <v>500000</v>
      </c>
      <c r="G21" s="17">
        <f>C20</f>
        <v>500000</v>
      </c>
      <c r="H21" s="17">
        <f>C20</f>
        <v>500000</v>
      </c>
      <c r="I21" s="17">
        <f>C20</f>
        <v>500000</v>
      </c>
      <c r="J21" s="17">
        <f>C20</f>
        <v>500000</v>
      </c>
      <c r="K21" s="17">
        <f>C20</f>
        <v>500000</v>
      </c>
      <c r="L21" s="17">
        <f>C20</f>
        <v>500000</v>
      </c>
      <c r="M21" s="17">
        <f>C20</f>
        <v>500000</v>
      </c>
      <c r="N21" s="17">
        <f>C20</f>
        <v>500000</v>
      </c>
      <c r="O21" s="17">
        <f>C20</f>
        <v>500000</v>
      </c>
      <c r="P21" s="6">
        <f>SUM(C21:O21)</f>
        <v>6500000</v>
      </c>
    </row>
    <row r="22" spans="1:16">
      <c r="A22" s="2" t="s">
        <v>99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6">
      <c r="B23" t="s">
        <v>35</v>
      </c>
      <c r="C23" s="6">
        <f>Assumptions!B26</f>
        <v>8000000</v>
      </c>
      <c r="D23" s="6">
        <f>Assumptions!B26</f>
        <v>8000000</v>
      </c>
      <c r="E23" s="6">
        <f>Assumptions!B26</f>
        <v>8000000</v>
      </c>
      <c r="F23" s="6">
        <f>Assumptions!C26</f>
        <v>8000000</v>
      </c>
      <c r="G23" s="6">
        <f>Assumptions!C26</f>
        <v>8000000</v>
      </c>
      <c r="H23" s="6">
        <f>Assumptions!C26</f>
        <v>8000000</v>
      </c>
      <c r="I23" s="6">
        <f>Assumptions!D26</f>
        <v>8000000</v>
      </c>
      <c r="J23" s="6">
        <f>Assumptions!D26</f>
        <v>8000000</v>
      </c>
      <c r="K23" s="6">
        <f>Assumptions!D26</f>
        <v>8000000</v>
      </c>
      <c r="L23" s="6">
        <f>Assumptions!D26</f>
        <v>8000000</v>
      </c>
      <c r="M23" s="6">
        <f>Assumptions!D26</f>
        <v>8000000</v>
      </c>
      <c r="N23" s="6">
        <f>Assumptions!D26</f>
        <v>8000000</v>
      </c>
      <c r="O23" s="6">
        <f>Assumptions!D26</f>
        <v>8000000</v>
      </c>
      <c r="P23" s="6">
        <f>SUM(C23:O23)</f>
        <v>104000000</v>
      </c>
    </row>
    <row r="24" spans="2:16">
      <c r="B24" t="s">
        <v>36</v>
      </c>
      <c r="C24" s="6">
        <f>Assumptions!B27</f>
        <v>0</v>
      </c>
      <c r="D24" s="6">
        <f>Assumptions!B27</f>
        <v>0</v>
      </c>
      <c r="E24" s="6">
        <f>Assumptions!B27</f>
        <v>0</v>
      </c>
      <c r="F24" s="6">
        <f>Assumptions!C27</f>
        <v>5000000</v>
      </c>
      <c r="G24" s="6">
        <f>Assumptions!C27</f>
        <v>5000000</v>
      </c>
      <c r="H24" s="6">
        <f>Assumptions!C27</f>
        <v>5000000</v>
      </c>
      <c r="I24" s="6">
        <f>Assumptions!D27</f>
        <v>6000000</v>
      </c>
      <c r="J24" s="6">
        <f>Assumptions!D27</f>
        <v>6000000</v>
      </c>
      <c r="K24" s="6">
        <f>Assumptions!D27</f>
        <v>6000000</v>
      </c>
      <c r="L24" s="6">
        <f>Assumptions!D27</f>
        <v>6000000</v>
      </c>
      <c r="M24" s="6">
        <f>Assumptions!D27</f>
        <v>6000000</v>
      </c>
      <c r="N24" s="6">
        <f>Assumptions!D27</f>
        <v>6000000</v>
      </c>
      <c r="O24" s="6">
        <f>Assumptions!D27</f>
        <v>6000000</v>
      </c>
      <c r="P24" s="6">
        <f>SUM(C24:O24)</f>
        <v>57000000</v>
      </c>
    </row>
    <row r="25" spans="2:16">
      <c r="B25" t="s">
        <v>37</v>
      </c>
      <c r="C25" s="6">
        <f>Assumptions!B28</f>
        <v>7200000</v>
      </c>
      <c r="D25" s="6">
        <f>Assumptions!B28</f>
        <v>7200000</v>
      </c>
      <c r="E25" s="6">
        <f>Assumptions!B28</f>
        <v>7200000</v>
      </c>
      <c r="F25" s="6">
        <f>Assumptions!C28</f>
        <v>15000000</v>
      </c>
      <c r="G25" s="6">
        <f>Assumptions!C28</f>
        <v>15000000</v>
      </c>
      <c r="H25" s="6">
        <f>Assumptions!C28</f>
        <v>15000000</v>
      </c>
      <c r="I25" s="6">
        <f>Assumptions!D28</f>
        <v>25000000</v>
      </c>
      <c r="J25" s="6">
        <f>Assumptions!D28</f>
        <v>25000000</v>
      </c>
      <c r="K25" s="6">
        <f>Assumptions!D28</f>
        <v>25000000</v>
      </c>
      <c r="L25" s="6">
        <f>Assumptions!D28</f>
        <v>25000000</v>
      </c>
      <c r="M25" s="6">
        <f>Assumptions!D28</f>
        <v>25000000</v>
      </c>
      <c r="N25" s="6">
        <f>Assumptions!D28</f>
        <v>25000000</v>
      </c>
      <c r="O25" s="6">
        <f>Assumptions!D28</f>
        <v>25000000</v>
      </c>
      <c r="P25" s="6">
        <f>SUM(C25:O25)</f>
        <v>241600000</v>
      </c>
    </row>
    <row r="26" spans="2:16">
      <c r="B26" t="s">
        <v>38</v>
      </c>
      <c r="C26" s="6">
        <f>Assumptions!B29</f>
        <v>6000000</v>
      </c>
      <c r="D26" s="6">
        <f>Assumptions!B29</f>
        <v>6000000</v>
      </c>
      <c r="E26" s="6">
        <f>Assumptions!B29</f>
        <v>6000000</v>
      </c>
      <c r="F26" s="6">
        <f>Assumptions!C29</f>
        <v>16000000</v>
      </c>
      <c r="G26" s="6">
        <f>Assumptions!C29</f>
        <v>16000000</v>
      </c>
      <c r="H26" s="6">
        <f>Assumptions!C29</f>
        <v>16000000</v>
      </c>
      <c r="I26" s="6">
        <f>Assumptions!D29</f>
        <v>31000000</v>
      </c>
      <c r="J26" s="6">
        <f>Assumptions!D29</f>
        <v>31000000</v>
      </c>
      <c r="K26" s="6">
        <f>Assumptions!D29</f>
        <v>31000000</v>
      </c>
      <c r="L26" s="6">
        <f>Assumptions!D29</f>
        <v>31000000</v>
      </c>
      <c r="M26" s="6">
        <f>Assumptions!D29</f>
        <v>31000000</v>
      </c>
      <c r="N26" s="6">
        <f>Assumptions!D29</f>
        <v>31000000</v>
      </c>
      <c r="O26" s="6">
        <f>Assumptions!D29</f>
        <v>31000000</v>
      </c>
      <c r="P26" s="6">
        <f>SUM(C26:O26)</f>
        <v>283000000</v>
      </c>
    </row>
    <row r="27" spans="1:16">
      <c r="A27" s="16" t="s">
        <v>100</v>
      </c>
      <c r="C27" s="17">
        <f>SUM(C23:C26)</f>
        <v>21200000</v>
      </c>
      <c r="D27" s="17">
        <f>SUM(C23:C26)</f>
        <v>21200000</v>
      </c>
      <c r="E27" s="17">
        <f>SUM(C23:C26)</f>
        <v>21200000</v>
      </c>
      <c r="F27" s="17">
        <f>SUM(C23:C26)</f>
        <v>21200000</v>
      </c>
      <c r="G27" s="17">
        <f>SUM(C23:C26)</f>
        <v>21200000</v>
      </c>
      <c r="H27" s="17">
        <f>SUM(C23:C26)</f>
        <v>21200000</v>
      </c>
      <c r="I27" s="17">
        <f>SUM(C23:C26)</f>
        <v>21200000</v>
      </c>
      <c r="J27" s="17">
        <f>SUM(C23:C26)</f>
        <v>21200000</v>
      </c>
      <c r="K27" s="17">
        <f>SUM(C23:C26)</f>
        <v>21200000</v>
      </c>
      <c r="L27" s="17">
        <f>SUM(C23:C26)</f>
        <v>21200000</v>
      </c>
      <c r="M27" s="17">
        <f>SUM(C23:C26)</f>
        <v>21200000</v>
      </c>
      <c r="N27" s="17">
        <f>SUM(C23:C26)</f>
        <v>21200000</v>
      </c>
      <c r="O27" s="17">
        <f>SUM(C23:C26)</f>
        <v>21200000</v>
      </c>
      <c r="P27" s="6">
        <f>SUM(C27:O27)</f>
        <v>275600000</v>
      </c>
    </row>
    <row r="28" spans="1:16">
      <c r="A28" s="2" t="s">
        <v>101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>
      <c r="B29" t="s">
        <v>102</v>
      </c>
      <c r="C29" s="6">
        <f>Assumptions!B34</f>
        <v>3000000</v>
      </c>
      <c r="D29" s="6">
        <f>Assumptions!B34</f>
        <v>3000000</v>
      </c>
      <c r="E29" s="6">
        <f>Assumptions!B34</f>
        <v>3000000</v>
      </c>
      <c r="F29" s="6">
        <f>Assumptions!C34</f>
        <v>3000000</v>
      </c>
      <c r="G29" s="6">
        <f>Assumptions!C34</f>
        <v>3000000</v>
      </c>
      <c r="H29" s="6">
        <f>Assumptions!C34</f>
        <v>3000000</v>
      </c>
      <c r="I29" s="6">
        <f>Assumptions!D34</f>
        <v>4000000</v>
      </c>
      <c r="J29" s="6">
        <f>Assumptions!D34</f>
        <v>4000000</v>
      </c>
      <c r="K29" s="6">
        <f>Assumptions!D34</f>
        <v>4000000</v>
      </c>
      <c r="L29" s="6">
        <f>Assumptions!D34</f>
        <v>4000000</v>
      </c>
      <c r="M29" s="6">
        <f>Assumptions!D34</f>
        <v>4000000</v>
      </c>
      <c r="N29" s="6">
        <f>Assumptions!D34</f>
        <v>4000000</v>
      </c>
      <c r="O29" s="6">
        <f>Assumptions!D34</f>
        <v>4000000</v>
      </c>
      <c r="P29" s="6">
        <f>SUM(C29:O29)</f>
        <v>46000000</v>
      </c>
    </row>
    <row r="30" spans="2:16">
      <c r="B30" t="s">
        <v>42</v>
      </c>
      <c r="C30" s="6">
        <f>Assumptions!B35</f>
        <v>2000000</v>
      </c>
      <c r="D30" s="6">
        <f>Assumptions!B35</f>
        <v>2000000</v>
      </c>
      <c r="E30" s="6">
        <f>Assumptions!B35</f>
        <v>2000000</v>
      </c>
      <c r="F30" s="6">
        <f>Assumptions!C35</f>
        <v>2000000</v>
      </c>
      <c r="G30" s="6">
        <f>Assumptions!C35</f>
        <v>2000000</v>
      </c>
      <c r="H30" s="6">
        <f>Assumptions!C35</f>
        <v>2000000</v>
      </c>
      <c r="I30" s="6">
        <f>Assumptions!D35</f>
        <v>3000000</v>
      </c>
      <c r="J30" s="6">
        <f>Assumptions!D35</f>
        <v>3000000</v>
      </c>
      <c r="K30" s="6">
        <f>Assumptions!D35</f>
        <v>3000000</v>
      </c>
      <c r="L30" s="6">
        <f>Assumptions!D35</f>
        <v>3000000</v>
      </c>
      <c r="M30" s="6">
        <f>Assumptions!D35</f>
        <v>3000000</v>
      </c>
      <c r="N30" s="6">
        <f>Assumptions!D35</f>
        <v>3000000</v>
      </c>
      <c r="O30" s="6">
        <f>Assumptions!D35</f>
        <v>3000000</v>
      </c>
      <c r="P30" s="6">
        <f>SUM(C30:O30)</f>
        <v>33000000</v>
      </c>
    </row>
    <row r="31" spans="1:16">
      <c r="A31" s="16" t="s">
        <v>103</v>
      </c>
      <c r="C31" s="17">
        <f>SUM(C29:C30)</f>
        <v>5000000</v>
      </c>
      <c r="D31" s="17">
        <f>SUM(C29:C30)</f>
        <v>5000000</v>
      </c>
      <c r="E31" s="17">
        <f>SUM(C29:C30)</f>
        <v>5000000</v>
      </c>
      <c r="F31" s="17">
        <f>SUM(C29:C30)</f>
        <v>5000000</v>
      </c>
      <c r="G31" s="17">
        <f>SUM(C29:C30)</f>
        <v>5000000</v>
      </c>
      <c r="H31" s="17">
        <f>SUM(C29:C30)</f>
        <v>5000000</v>
      </c>
      <c r="I31" s="17">
        <f>SUM(C29:C30)</f>
        <v>5000000</v>
      </c>
      <c r="J31" s="17">
        <f>SUM(C29:C30)</f>
        <v>5000000</v>
      </c>
      <c r="K31" s="17">
        <f>SUM(C29:C30)</f>
        <v>5000000</v>
      </c>
      <c r="L31" s="17">
        <f>SUM(C29:C30)</f>
        <v>5000000</v>
      </c>
      <c r="M31" s="17">
        <f>SUM(C29:C30)</f>
        <v>5000000</v>
      </c>
      <c r="N31" s="17">
        <f>SUM(C29:C30)</f>
        <v>5000000</v>
      </c>
      <c r="O31" s="17">
        <f>SUM(C29:C30)</f>
        <v>5000000</v>
      </c>
      <c r="P31" s="6">
        <f>SUM(C31:O31)</f>
        <v>65000000</v>
      </c>
    </row>
    <row r="32" spans="1:16">
      <c r="A32" s="2" t="s">
        <v>104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t="s">
        <v>43</v>
      </c>
      <c r="C33" s="6">
        <f>Assumptions!B36</f>
        <v>2000000</v>
      </c>
      <c r="D33" s="6">
        <f>Assumptions!B36</f>
        <v>2000000</v>
      </c>
      <c r="E33" s="6">
        <f>Assumptions!B36</f>
        <v>2000000</v>
      </c>
      <c r="F33" s="6">
        <f>Assumptions!C36</f>
        <v>2000000</v>
      </c>
      <c r="G33" s="6">
        <f>Assumptions!C36</f>
        <v>2000000</v>
      </c>
      <c r="H33" s="6">
        <f>Assumptions!C36</f>
        <v>2000000</v>
      </c>
      <c r="I33" s="6">
        <f>Assumptions!D36</f>
        <v>2000000</v>
      </c>
      <c r="J33" s="6">
        <f>Assumptions!D36</f>
        <v>2000000</v>
      </c>
      <c r="K33" s="6">
        <f>Assumptions!D36</f>
        <v>2000000</v>
      </c>
      <c r="L33" s="6">
        <f>Assumptions!D36</f>
        <v>2000000</v>
      </c>
      <c r="M33" s="6">
        <f>Assumptions!D36</f>
        <v>2000000</v>
      </c>
      <c r="N33" s="6">
        <f>Assumptions!D36</f>
        <v>2000000</v>
      </c>
      <c r="O33" s="6">
        <f>Assumptions!D36</f>
        <v>2000000</v>
      </c>
      <c r="P33" s="6">
        <f>SUM(C33:O33)</f>
        <v>26000000</v>
      </c>
    </row>
    <row r="34" spans="2:16">
      <c r="B34" t="s">
        <v>105</v>
      </c>
      <c r="C34" s="6">
        <f>IF(1=1,Assumptions!B37,0)</f>
        <v>3000000</v>
      </c>
      <c r="D34" s="6">
        <f>IF(2=1,Assumptions!B37,0)</f>
        <v>0</v>
      </c>
      <c r="E34" s="6">
        <f>IF(3=1,Assumptions!B37,0)</f>
        <v>0</v>
      </c>
      <c r="F34" s="6">
        <f>IF(4=1,Assumptions!B37,0)</f>
        <v>0</v>
      </c>
      <c r="G34" s="6">
        <f>IF(5=1,Assumptions!B37,0)</f>
        <v>0</v>
      </c>
      <c r="H34" s="6">
        <f>IF(6=1,Assumptions!B37,0)</f>
        <v>0</v>
      </c>
      <c r="I34" s="6">
        <f>IF(7=1,Assumptions!B37,0)</f>
        <v>0</v>
      </c>
      <c r="J34" s="6">
        <f>IF(8=1,Assumptions!B37,0)</f>
        <v>0</v>
      </c>
      <c r="K34" s="6">
        <f>IF(9=1,Assumptions!B37,0)</f>
        <v>0</v>
      </c>
      <c r="L34" s="6">
        <f>IF(10=1,Assumptions!B37,0)</f>
        <v>0</v>
      </c>
      <c r="M34" s="6">
        <f>IF(11=1,Assumptions!B37,0)</f>
        <v>0</v>
      </c>
      <c r="N34" s="6">
        <f>IF(12=1,Assumptions!B37,0)</f>
        <v>0</v>
      </c>
      <c r="O34" s="6">
        <f>IF(13=1,Assumptions!B37,0)</f>
        <v>0</v>
      </c>
      <c r="P34" s="6">
        <f>SUM(C34:O34)</f>
        <v>3000000</v>
      </c>
    </row>
    <row r="35" spans="1:16">
      <c r="A35" s="16" t="s">
        <v>106</v>
      </c>
      <c r="C35" s="17">
        <f>SUM(C33:C34)</f>
        <v>5000000</v>
      </c>
      <c r="D35" s="17">
        <f>SUM(C33:C34)</f>
        <v>5000000</v>
      </c>
      <c r="E35" s="17">
        <f>SUM(C33:C34)</f>
        <v>5000000</v>
      </c>
      <c r="F35" s="17">
        <f>SUM(C33:C34)</f>
        <v>5000000</v>
      </c>
      <c r="G35" s="17">
        <f>SUM(C33:C34)</f>
        <v>5000000</v>
      </c>
      <c r="H35" s="17">
        <f>SUM(C33:C34)</f>
        <v>5000000</v>
      </c>
      <c r="I35" s="17">
        <f>SUM(C33:C34)</f>
        <v>5000000</v>
      </c>
      <c r="J35" s="17">
        <f>SUM(C33:C34)</f>
        <v>5000000</v>
      </c>
      <c r="K35" s="17">
        <f>SUM(C33:C34)</f>
        <v>5000000</v>
      </c>
      <c r="L35" s="17">
        <f>SUM(C33:C34)</f>
        <v>5000000</v>
      </c>
      <c r="M35" s="17">
        <f>SUM(C33:C34)</f>
        <v>5000000</v>
      </c>
      <c r="N35" s="17">
        <f>SUM(C33:C34)</f>
        <v>5000000</v>
      </c>
      <c r="O35" s="17">
        <f>SUM(C33:C34)</f>
        <v>5000000</v>
      </c>
      <c r="P35" s="6">
        <f>SUM(C35:O35)</f>
        <v>65000000</v>
      </c>
    </row>
    <row r="36" spans="1:16">
      <c r="A36" s="2" t="s">
        <v>107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>
      <c r="B37" t="s">
        <v>45</v>
      </c>
      <c r="C37" s="6">
        <f>Assumptions!B38</f>
        <v>2000000</v>
      </c>
      <c r="D37" s="6">
        <f>Assumptions!B38</f>
        <v>2000000</v>
      </c>
      <c r="E37" s="6">
        <f>Assumptions!B38</f>
        <v>2000000</v>
      </c>
      <c r="F37" s="6">
        <f>Assumptions!C38</f>
        <v>3000000</v>
      </c>
      <c r="G37" s="6">
        <f>Assumptions!C38</f>
        <v>3000000</v>
      </c>
      <c r="H37" s="6">
        <f>Assumptions!C38</f>
        <v>3000000</v>
      </c>
      <c r="I37" s="6">
        <f>Assumptions!D38</f>
        <v>4000000</v>
      </c>
      <c r="J37" s="6">
        <f>Assumptions!D38</f>
        <v>4000000</v>
      </c>
      <c r="K37" s="6">
        <f>Assumptions!D38</f>
        <v>4000000</v>
      </c>
      <c r="L37" s="6">
        <f>Assumptions!D38</f>
        <v>4000000</v>
      </c>
      <c r="M37" s="6">
        <f>Assumptions!D38</f>
        <v>4000000</v>
      </c>
      <c r="N37" s="6">
        <f>Assumptions!D38</f>
        <v>4000000</v>
      </c>
      <c r="O37" s="6">
        <f>Assumptions!D38</f>
        <v>4000000</v>
      </c>
      <c r="P37" s="6">
        <f>SUM(C37:O37)</f>
        <v>43000000</v>
      </c>
    </row>
    <row r="38" spans="1:16">
      <c r="A38" s="16" t="s">
        <v>108</v>
      </c>
      <c r="C38" s="17">
        <f>C37</f>
        <v>2000000</v>
      </c>
      <c r="D38" s="17">
        <f>C37</f>
        <v>2000000</v>
      </c>
      <c r="E38" s="17">
        <f>C37</f>
        <v>2000000</v>
      </c>
      <c r="F38" s="17">
        <f>C37</f>
        <v>2000000</v>
      </c>
      <c r="G38" s="17">
        <f>C37</f>
        <v>2000000</v>
      </c>
      <c r="H38" s="17">
        <f>C37</f>
        <v>2000000</v>
      </c>
      <c r="I38" s="17">
        <f>C37</f>
        <v>2000000</v>
      </c>
      <c r="J38" s="17">
        <f>C37</f>
        <v>2000000</v>
      </c>
      <c r="K38" s="17">
        <f>C37</f>
        <v>2000000</v>
      </c>
      <c r="L38" s="17">
        <f>C37</f>
        <v>2000000</v>
      </c>
      <c r="M38" s="17">
        <f>C37</f>
        <v>2000000</v>
      </c>
      <c r="N38" s="17">
        <f>C37</f>
        <v>2000000</v>
      </c>
      <c r="O38" s="17">
        <f>C37</f>
        <v>2000000</v>
      </c>
      <c r="P38" s="6">
        <f>SUM(C38:O38)</f>
        <v>26000000</v>
      </c>
    </row>
    <row r="39" ht="15.6" spans="1:16">
      <c r="A39" s="18" t="s">
        <v>109</v>
      </c>
      <c r="C39" s="9">
        <f t="shared" ref="C39:O39" si="1">C9+C15+C18+C21+C27+C31+C35+C38</f>
        <v>108894880</v>
      </c>
      <c r="D39" s="9">
        <f t="shared" si="1"/>
        <v>108894880</v>
      </c>
      <c r="E39" s="9">
        <f t="shared" si="1"/>
        <v>108894880</v>
      </c>
      <c r="F39" s="9">
        <f t="shared" si="1"/>
        <v>108894880</v>
      </c>
      <c r="G39" s="9">
        <f t="shared" si="1"/>
        <v>108894880</v>
      </c>
      <c r="H39" s="9">
        <f t="shared" si="1"/>
        <v>108894880</v>
      </c>
      <c r="I39" s="9">
        <f t="shared" si="1"/>
        <v>108894880</v>
      </c>
      <c r="J39" s="9">
        <f t="shared" si="1"/>
        <v>108894880</v>
      </c>
      <c r="K39" s="9">
        <f t="shared" si="1"/>
        <v>108894880</v>
      </c>
      <c r="L39" s="9">
        <f t="shared" si="1"/>
        <v>108894880</v>
      </c>
      <c r="M39" s="9">
        <f t="shared" si="1"/>
        <v>108894880</v>
      </c>
      <c r="N39" s="9">
        <f t="shared" si="1"/>
        <v>108894880</v>
      </c>
      <c r="O39" s="9">
        <f t="shared" si="1"/>
        <v>108894880</v>
      </c>
      <c r="P39" s="9">
        <f>SUM(C39:O39)</f>
        <v>1415633440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28" sqref="H28"/>
    </sheetView>
  </sheetViews>
  <sheetFormatPr defaultColWidth="9" defaultRowHeight="14.4" outlineLevelRow="4" outlineLevelCol="5"/>
  <cols>
    <col min="1" max="1" width="8" customWidth="1"/>
    <col min="2" max="2" width="25" customWidth="1"/>
    <col min="3" max="3" width="12" customWidth="1"/>
    <col min="4" max="5" width="15" customWidth="1"/>
    <col min="6" max="6" width="30" customWidth="1"/>
  </cols>
  <sheetData>
    <row r="1" spans="1:6">
      <c r="A1" s="1" t="s">
        <v>110</v>
      </c>
      <c r="B1" s="1" t="s">
        <v>19</v>
      </c>
      <c r="C1" s="1" t="s">
        <v>111</v>
      </c>
      <c r="D1" s="1" t="s">
        <v>112</v>
      </c>
      <c r="E1" s="1" t="s">
        <v>113</v>
      </c>
      <c r="F1" s="1" t="s">
        <v>5</v>
      </c>
    </row>
    <row r="2" spans="1:6">
      <c r="A2">
        <v>1</v>
      </c>
      <c r="B2" t="s">
        <v>114</v>
      </c>
      <c r="C2">
        <v>1</v>
      </c>
      <c r="D2" s="6">
        <v>8000000</v>
      </c>
      <c r="E2" s="6">
        <f>C2*D2</f>
        <v>8000000</v>
      </c>
      <c r="F2" t="s">
        <v>115</v>
      </c>
    </row>
    <row r="3" spans="1:6">
      <c r="A3">
        <v>2</v>
      </c>
      <c r="B3" t="s">
        <v>116</v>
      </c>
      <c r="C3">
        <v>1</v>
      </c>
      <c r="D3" s="6">
        <v>15000000</v>
      </c>
      <c r="E3" s="6">
        <f>C3*D3</f>
        <v>15000000</v>
      </c>
      <c r="F3" t="s">
        <v>117</v>
      </c>
    </row>
    <row r="4" spans="1:6">
      <c r="A4">
        <v>3</v>
      </c>
      <c r="B4" t="s">
        <v>118</v>
      </c>
      <c r="C4">
        <v>1</v>
      </c>
      <c r="D4" s="6">
        <v>18500000</v>
      </c>
      <c r="E4" s="6">
        <f>C4*D4</f>
        <v>18500000</v>
      </c>
      <c r="F4" t="s">
        <v>119</v>
      </c>
    </row>
    <row r="5" spans="1:6">
      <c r="A5" s="15" t="s">
        <v>120</v>
      </c>
      <c r="D5" s="6"/>
      <c r="E5" s="9">
        <f>SUM(E2:E4)</f>
        <v>41500000</v>
      </c>
      <c r="F5" t="s">
        <v>121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K26" sqref="K26"/>
    </sheetView>
  </sheetViews>
  <sheetFormatPr defaultColWidth="9" defaultRowHeight="14.4"/>
  <cols>
    <col min="1" max="10" width="14" customWidth="1"/>
    <col min="11" max="11" width="13" customWidth="1"/>
  </cols>
  <sheetData>
    <row r="1" spans="1:11">
      <c r="A1" s="12" t="s">
        <v>122</v>
      </c>
      <c r="B1" s="12" t="s">
        <v>123</v>
      </c>
      <c r="C1" s="12" t="s">
        <v>124</v>
      </c>
      <c r="D1" s="12" t="s">
        <v>125</v>
      </c>
      <c r="E1" s="12" t="s">
        <v>126</v>
      </c>
      <c r="F1" s="12" t="s">
        <v>127</v>
      </c>
      <c r="G1" s="12" t="s">
        <v>128</v>
      </c>
      <c r="H1" s="12" t="s">
        <v>129</v>
      </c>
      <c r="I1" s="12" t="s">
        <v>130</v>
      </c>
      <c r="J1" s="12" t="s">
        <v>131</v>
      </c>
      <c r="K1" s="12" t="s">
        <v>132</v>
      </c>
    </row>
    <row r="2" spans="1:1">
      <c r="A2" s="14" t="s">
        <v>133</v>
      </c>
    </row>
    <row r="3" spans="1:11">
      <c r="A3">
        <v>0</v>
      </c>
      <c r="B3">
        <f>Assumptions!B42</f>
        <v>800</v>
      </c>
      <c r="C3">
        <f>B3</f>
        <v>800</v>
      </c>
      <c r="D3">
        <f>ROUND(B3*Assumptions!$B$44,0)</f>
        <v>80</v>
      </c>
      <c r="E3">
        <v>0</v>
      </c>
      <c r="F3">
        <v>0</v>
      </c>
      <c r="G3">
        <f>D3</f>
        <v>80</v>
      </c>
      <c r="H3">
        <f>ROUND(G3*Assumptions!$B$46,0)</f>
        <v>48</v>
      </c>
      <c r="I3">
        <f>ROUND(G3*Assumptions!$B$47,0)</f>
        <v>24</v>
      </c>
      <c r="J3">
        <f>ROUND(G3*Assumptions!$B$48,0)</f>
        <v>8</v>
      </c>
      <c r="K3" s="6">
        <f t="shared" ref="K3:K16" si="0">H3*49000+I3*149000+J3*349000</f>
        <v>8720000</v>
      </c>
    </row>
    <row r="4" spans="1:11">
      <c r="A4">
        <v>1</v>
      </c>
      <c r="B4">
        <f>ROUND(C3*Assumptions!$B$43,0)</f>
        <v>80</v>
      </c>
      <c r="C4">
        <f t="shared" ref="C4:C16" si="1">C3+B4</f>
        <v>880</v>
      </c>
      <c r="D4">
        <f>ROUND(B4*Assumptions!$B$44,0)</f>
        <v>8</v>
      </c>
      <c r="E4">
        <f>ROUND(G3*Assumptions!$B$45,0)</f>
        <v>4</v>
      </c>
      <c r="F4">
        <f t="shared" ref="F4:F16" si="2">D4-E4</f>
        <v>4</v>
      </c>
      <c r="G4">
        <f t="shared" ref="G4:G16" si="3">G3+F4</f>
        <v>84</v>
      </c>
      <c r="H4">
        <f>ROUND(G4*Assumptions!$B$46,0)</f>
        <v>50</v>
      </c>
      <c r="I4">
        <f>ROUND(G4*Assumptions!$B$47,0)</f>
        <v>25</v>
      </c>
      <c r="J4">
        <f>ROUND(G4*Assumptions!$B$48,0)</f>
        <v>8</v>
      </c>
      <c r="K4" s="6">
        <f t="shared" si="0"/>
        <v>8967000</v>
      </c>
    </row>
    <row r="5" spans="1:11">
      <c r="A5">
        <v>2</v>
      </c>
      <c r="B5">
        <f>ROUND(C4*Assumptions!$B$43,0)</f>
        <v>88</v>
      </c>
      <c r="C5">
        <f t="shared" si="1"/>
        <v>968</v>
      </c>
      <c r="D5">
        <f>ROUND(B5*Assumptions!$B$44,0)</f>
        <v>9</v>
      </c>
      <c r="E5">
        <f>ROUND(G4*Assumptions!$B$45,0)</f>
        <v>4</v>
      </c>
      <c r="F5">
        <f t="shared" si="2"/>
        <v>5</v>
      </c>
      <c r="G5">
        <f t="shared" si="3"/>
        <v>89</v>
      </c>
      <c r="H5">
        <f>ROUND(G5*Assumptions!$B$46,0)</f>
        <v>53</v>
      </c>
      <c r="I5">
        <f>ROUND(G5*Assumptions!$B$47,0)</f>
        <v>27</v>
      </c>
      <c r="J5">
        <f>ROUND(G5*Assumptions!$B$48,0)</f>
        <v>9</v>
      </c>
      <c r="K5" s="6">
        <f t="shared" si="0"/>
        <v>9761000</v>
      </c>
    </row>
    <row r="6" spans="1:11">
      <c r="A6">
        <v>3</v>
      </c>
      <c r="B6">
        <f>ROUND(C5*Assumptions!$B$43,0)</f>
        <v>97</v>
      </c>
      <c r="C6">
        <f t="shared" si="1"/>
        <v>1065</v>
      </c>
      <c r="D6">
        <f>ROUND(B6*Assumptions!$B$44,0)</f>
        <v>10</v>
      </c>
      <c r="E6">
        <f>ROUND(G5*Assumptions!$B$45,0)</f>
        <v>4</v>
      </c>
      <c r="F6">
        <f t="shared" si="2"/>
        <v>6</v>
      </c>
      <c r="G6">
        <f t="shared" si="3"/>
        <v>95</v>
      </c>
      <c r="H6">
        <f>ROUND(G6*Assumptions!$B$46,0)</f>
        <v>57</v>
      </c>
      <c r="I6">
        <f>ROUND(G6*Assumptions!$B$47,0)</f>
        <v>29</v>
      </c>
      <c r="J6">
        <f>ROUND(G6*Assumptions!$B$48,0)</f>
        <v>10</v>
      </c>
      <c r="K6" s="6">
        <f t="shared" si="0"/>
        <v>10604000</v>
      </c>
    </row>
    <row r="7" spans="1:11">
      <c r="A7">
        <v>4</v>
      </c>
      <c r="B7">
        <f>ROUND(C6*Assumptions!$B$43,0)</f>
        <v>107</v>
      </c>
      <c r="C7">
        <f t="shared" si="1"/>
        <v>1172</v>
      </c>
      <c r="D7">
        <f>ROUND(B7*Assumptions!$B$44,0)</f>
        <v>11</v>
      </c>
      <c r="E7">
        <f>ROUND(G6*Assumptions!$B$45,0)</f>
        <v>5</v>
      </c>
      <c r="F7">
        <f t="shared" si="2"/>
        <v>6</v>
      </c>
      <c r="G7">
        <f t="shared" si="3"/>
        <v>101</v>
      </c>
      <c r="H7">
        <f>ROUND(G7*Assumptions!$B$46,0)</f>
        <v>61</v>
      </c>
      <c r="I7">
        <f>ROUND(G7*Assumptions!$B$47,0)</f>
        <v>30</v>
      </c>
      <c r="J7">
        <f>ROUND(G7*Assumptions!$B$48,0)</f>
        <v>10</v>
      </c>
      <c r="K7" s="6">
        <f t="shared" si="0"/>
        <v>10949000</v>
      </c>
    </row>
    <row r="8" spans="1:11">
      <c r="A8">
        <v>5</v>
      </c>
      <c r="B8">
        <f>ROUND(C7*Assumptions!$B$43,0)</f>
        <v>117</v>
      </c>
      <c r="C8">
        <f t="shared" si="1"/>
        <v>1289</v>
      </c>
      <c r="D8">
        <f>ROUND(B8*Assumptions!$B$44,0)</f>
        <v>12</v>
      </c>
      <c r="E8">
        <f>ROUND(G7*Assumptions!$B$45,0)</f>
        <v>5</v>
      </c>
      <c r="F8">
        <f t="shared" si="2"/>
        <v>7</v>
      </c>
      <c r="G8">
        <f t="shared" si="3"/>
        <v>108</v>
      </c>
      <c r="H8">
        <f>ROUND(G8*Assumptions!$B$46,0)</f>
        <v>65</v>
      </c>
      <c r="I8">
        <f>ROUND(G8*Assumptions!$B$47,0)</f>
        <v>32</v>
      </c>
      <c r="J8">
        <f>ROUND(G8*Assumptions!$B$48,0)</f>
        <v>11</v>
      </c>
      <c r="K8" s="6">
        <f t="shared" si="0"/>
        <v>11792000</v>
      </c>
    </row>
    <row r="9" spans="1:11">
      <c r="A9">
        <v>6</v>
      </c>
      <c r="B9">
        <f>ROUND(C8*Assumptions!$B$43,0)</f>
        <v>129</v>
      </c>
      <c r="C9">
        <f t="shared" si="1"/>
        <v>1418</v>
      </c>
      <c r="D9">
        <f>ROUND(B9*Assumptions!$B$44,0)</f>
        <v>13</v>
      </c>
      <c r="E9">
        <f>ROUND(G8*Assumptions!$B$45,0)</f>
        <v>5</v>
      </c>
      <c r="F9">
        <f t="shared" si="2"/>
        <v>8</v>
      </c>
      <c r="G9">
        <f t="shared" si="3"/>
        <v>116</v>
      </c>
      <c r="H9">
        <f>ROUND(G9*Assumptions!$B$46,0)</f>
        <v>70</v>
      </c>
      <c r="I9">
        <f>ROUND(G9*Assumptions!$B$47,0)</f>
        <v>35</v>
      </c>
      <c r="J9">
        <f>ROUND(G9*Assumptions!$B$48,0)</f>
        <v>12</v>
      </c>
      <c r="K9" s="6">
        <f t="shared" si="0"/>
        <v>12833000</v>
      </c>
    </row>
    <row r="10" spans="1:11">
      <c r="A10">
        <v>7</v>
      </c>
      <c r="B10">
        <f>ROUND(C9*Assumptions!$B$43,0)</f>
        <v>142</v>
      </c>
      <c r="C10">
        <f t="shared" si="1"/>
        <v>1560</v>
      </c>
      <c r="D10">
        <f>ROUND(B10*Assumptions!$B$44,0)</f>
        <v>14</v>
      </c>
      <c r="E10">
        <f>ROUND(G9*Assumptions!$B$45,0)</f>
        <v>6</v>
      </c>
      <c r="F10">
        <f t="shared" si="2"/>
        <v>8</v>
      </c>
      <c r="G10">
        <f t="shared" si="3"/>
        <v>124</v>
      </c>
      <c r="H10">
        <f>ROUND(G10*Assumptions!$B$46,0)</f>
        <v>74</v>
      </c>
      <c r="I10">
        <f>ROUND(G10*Assumptions!$B$47,0)</f>
        <v>37</v>
      </c>
      <c r="J10">
        <f>ROUND(G10*Assumptions!$B$48,0)</f>
        <v>12</v>
      </c>
      <c r="K10" s="6">
        <f t="shared" si="0"/>
        <v>13327000</v>
      </c>
    </row>
    <row r="11" spans="1:11">
      <c r="A11">
        <v>8</v>
      </c>
      <c r="B11">
        <f>ROUND(C10*Assumptions!$B$43,0)</f>
        <v>156</v>
      </c>
      <c r="C11">
        <f t="shared" si="1"/>
        <v>1716</v>
      </c>
      <c r="D11">
        <f>ROUND(B11*Assumptions!$B$44,0)</f>
        <v>16</v>
      </c>
      <c r="E11">
        <f>ROUND(G10*Assumptions!$B$45,0)</f>
        <v>6</v>
      </c>
      <c r="F11">
        <f t="shared" si="2"/>
        <v>10</v>
      </c>
      <c r="G11">
        <f t="shared" si="3"/>
        <v>134</v>
      </c>
      <c r="H11">
        <f>ROUND(G11*Assumptions!$B$46,0)</f>
        <v>80</v>
      </c>
      <c r="I11">
        <f>ROUND(G11*Assumptions!$B$47,0)</f>
        <v>40</v>
      </c>
      <c r="J11">
        <f>ROUND(G11*Assumptions!$B$48,0)</f>
        <v>13</v>
      </c>
      <c r="K11" s="6">
        <f t="shared" si="0"/>
        <v>14417000</v>
      </c>
    </row>
    <row r="12" spans="1:11">
      <c r="A12">
        <v>9</v>
      </c>
      <c r="B12">
        <f>ROUND(C11*Assumptions!$B$43,0)</f>
        <v>172</v>
      </c>
      <c r="C12">
        <f t="shared" si="1"/>
        <v>1888</v>
      </c>
      <c r="D12">
        <f>ROUND(B12*Assumptions!$B$44,0)</f>
        <v>17</v>
      </c>
      <c r="E12">
        <f>ROUND(G11*Assumptions!$B$45,0)</f>
        <v>7</v>
      </c>
      <c r="F12">
        <f t="shared" si="2"/>
        <v>10</v>
      </c>
      <c r="G12">
        <f t="shared" si="3"/>
        <v>144</v>
      </c>
      <c r="H12">
        <f>ROUND(G12*Assumptions!$B$46,0)</f>
        <v>86</v>
      </c>
      <c r="I12">
        <f>ROUND(G12*Assumptions!$B$47,0)</f>
        <v>43</v>
      </c>
      <c r="J12">
        <f>ROUND(G12*Assumptions!$B$48,0)</f>
        <v>14</v>
      </c>
      <c r="K12" s="6">
        <f t="shared" si="0"/>
        <v>15507000</v>
      </c>
    </row>
    <row r="13" spans="1:11">
      <c r="A13">
        <v>10</v>
      </c>
      <c r="B13">
        <f>ROUND(C12*Assumptions!$B$43,0)</f>
        <v>189</v>
      </c>
      <c r="C13">
        <f t="shared" si="1"/>
        <v>2077</v>
      </c>
      <c r="D13">
        <f>ROUND(B13*Assumptions!$B$44,0)</f>
        <v>19</v>
      </c>
      <c r="E13">
        <f>ROUND(G12*Assumptions!$B$45,0)</f>
        <v>7</v>
      </c>
      <c r="F13">
        <f t="shared" si="2"/>
        <v>12</v>
      </c>
      <c r="G13">
        <f t="shared" si="3"/>
        <v>156</v>
      </c>
      <c r="H13">
        <f>ROUND(G13*Assumptions!$B$46,0)</f>
        <v>94</v>
      </c>
      <c r="I13">
        <f>ROUND(G13*Assumptions!$B$47,0)</f>
        <v>47</v>
      </c>
      <c r="J13">
        <f>ROUND(G13*Assumptions!$B$48,0)</f>
        <v>16</v>
      </c>
      <c r="K13" s="6">
        <f t="shared" si="0"/>
        <v>17193000</v>
      </c>
    </row>
    <row r="14" spans="1:11">
      <c r="A14">
        <v>11</v>
      </c>
      <c r="B14">
        <f>ROUND(C13*Assumptions!$B$43,0)</f>
        <v>208</v>
      </c>
      <c r="C14">
        <f t="shared" si="1"/>
        <v>2285</v>
      </c>
      <c r="D14">
        <f>ROUND(B14*Assumptions!$B$44,0)</f>
        <v>21</v>
      </c>
      <c r="E14">
        <f>ROUND(G13*Assumptions!$B$45,0)</f>
        <v>8</v>
      </c>
      <c r="F14">
        <f t="shared" si="2"/>
        <v>13</v>
      </c>
      <c r="G14">
        <f t="shared" si="3"/>
        <v>169</v>
      </c>
      <c r="H14">
        <f>ROUND(G14*Assumptions!$B$46,0)</f>
        <v>101</v>
      </c>
      <c r="I14">
        <f>ROUND(G14*Assumptions!$B$47,0)</f>
        <v>51</v>
      </c>
      <c r="J14">
        <f>ROUND(G14*Assumptions!$B$48,0)</f>
        <v>17</v>
      </c>
      <c r="K14" s="6">
        <f t="shared" si="0"/>
        <v>18481000</v>
      </c>
    </row>
    <row r="15" spans="1:11">
      <c r="A15">
        <v>12</v>
      </c>
      <c r="B15">
        <f>ROUND(C14*Assumptions!$B$43,0)</f>
        <v>229</v>
      </c>
      <c r="C15">
        <f t="shared" si="1"/>
        <v>2514</v>
      </c>
      <c r="D15">
        <f>ROUND(B15*Assumptions!$B$44,0)</f>
        <v>23</v>
      </c>
      <c r="E15">
        <f>ROUND(G14*Assumptions!$B$45,0)</f>
        <v>8</v>
      </c>
      <c r="F15">
        <f t="shared" si="2"/>
        <v>15</v>
      </c>
      <c r="G15">
        <f t="shared" si="3"/>
        <v>184</v>
      </c>
      <c r="H15">
        <f>ROUND(G15*Assumptions!$B$46,0)</f>
        <v>110</v>
      </c>
      <c r="I15">
        <f>ROUND(G15*Assumptions!$B$47,0)</f>
        <v>55</v>
      </c>
      <c r="J15">
        <f>ROUND(G15*Assumptions!$B$48,0)</f>
        <v>18</v>
      </c>
      <c r="K15" s="6">
        <f t="shared" si="0"/>
        <v>19867000</v>
      </c>
    </row>
    <row r="16" spans="1:11">
      <c r="A16">
        <v>13</v>
      </c>
      <c r="B16">
        <f>ROUND(C15*Assumptions!$B$43,0)</f>
        <v>251</v>
      </c>
      <c r="C16">
        <f t="shared" si="1"/>
        <v>2765</v>
      </c>
      <c r="D16">
        <f>ROUND(B16*Assumptions!$B$44,0)</f>
        <v>25</v>
      </c>
      <c r="E16">
        <f>ROUND(G15*Assumptions!$B$45,0)</f>
        <v>9</v>
      </c>
      <c r="F16">
        <f t="shared" si="2"/>
        <v>16</v>
      </c>
      <c r="G16">
        <f t="shared" si="3"/>
        <v>200</v>
      </c>
      <c r="H16">
        <f>ROUND(G16*Assumptions!$B$46,0)</f>
        <v>120</v>
      </c>
      <c r="I16">
        <f>ROUND(G16*Assumptions!$B$47,0)</f>
        <v>60</v>
      </c>
      <c r="J16">
        <f>ROUND(G16*Assumptions!$B$48,0)</f>
        <v>20</v>
      </c>
      <c r="K16" s="6">
        <f t="shared" si="0"/>
        <v>21800000</v>
      </c>
    </row>
  </sheetData>
  <mergeCells count="1">
    <mergeCell ref="A2:K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G22" sqref="G22"/>
    </sheetView>
  </sheetViews>
  <sheetFormatPr defaultColWidth="9" defaultRowHeight="14.4" outlineLevelCol="6"/>
  <cols>
    <col min="1" max="7" width="18" customWidth="1"/>
  </cols>
  <sheetData>
    <row r="1" spans="1:7">
      <c r="A1" s="12" t="s">
        <v>122</v>
      </c>
      <c r="B1" s="12" t="s">
        <v>134</v>
      </c>
      <c r="C1" s="12" t="s">
        <v>135</v>
      </c>
      <c r="D1" s="12" t="s">
        <v>136</v>
      </c>
      <c r="E1" s="12" t="s">
        <v>137</v>
      </c>
      <c r="F1" s="12" t="s">
        <v>138</v>
      </c>
      <c r="G1" s="12" t="s">
        <v>139</v>
      </c>
    </row>
    <row r="2" spans="1:6">
      <c r="A2">
        <v>0</v>
      </c>
      <c r="B2" s="6">
        <v>0</v>
      </c>
      <c r="C2" s="6">
        <v>0</v>
      </c>
      <c r="D2" s="6">
        <v>0</v>
      </c>
      <c r="E2" s="6">
        <v>0</v>
      </c>
      <c r="F2" s="6">
        <v>2000000000</v>
      </c>
    </row>
    <row r="3" spans="1:6">
      <c r="A3">
        <v>1</v>
      </c>
      <c r="B3" s="6">
        <f>'Revenue Model'!K4</f>
        <v>8967000</v>
      </c>
      <c r="C3" s="6">
        <f>'Monthly OPEX Breakdown'!C39</f>
        <v>108894880</v>
      </c>
      <c r="D3" s="6">
        <f>'Monthly OPEX Breakdown'!C15</f>
        <v>252880</v>
      </c>
      <c r="E3" s="6">
        <f t="shared" ref="E3:E15" si="0">B3-C3</f>
        <v>-99927880</v>
      </c>
      <c r="F3" s="6">
        <f t="shared" ref="F3:F15" si="1">F2+E3</f>
        <v>1900072120</v>
      </c>
    </row>
    <row r="4" spans="1:6">
      <c r="A4">
        <v>2</v>
      </c>
      <c r="B4" s="6">
        <f>'Revenue Model'!K5</f>
        <v>9761000</v>
      </c>
      <c r="C4" s="6">
        <f>'Monthly OPEX Breakdown'!D39</f>
        <v>108894880</v>
      </c>
      <c r="D4" s="6">
        <f>'Monthly OPEX Breakdown'!D15</f>
        <v>252880</v>
      </c>
      <c r="E4" s="6">
        <f t="shared" si="0"/>
        <v>-99133880</v>
      </c>
      <c r="F4" s="6">
        <f t="shared" si="1"/>
        <v>1800938240</v>
      </c>
    </row>
    <row r="5" spans="1:7">
      <c r="A5">
        <v>3</v>
      </c>
      <c r="B5" s="6">
        <f>'Revenue Model'!K6</f>
        <v>10604000</v>
      </c>
      <c r="C5" s="6">
        <f>'Monthly OPEX Breakdown'!E39</f>
        <v>108894880</v>
      </c>
      <c r="D5" s="6">
        <f>'Monthly OPEX Breakdown'!E15</f>
        <v>252880</v>
      </c>
      <c r="E5" s="6">
        <f t="shared" si="0"/>
        <v>-98290880</v>
      </c>
      <c r="F5" s="6">
        <f t="shared" si="1"/>
        <v>1702647360</v>
      </c>
      <c r="G5" s="13">
        <f t="shared" ref="G5:G15" si="2">IFERROR(F5/AVERAGE(C3:C5),"")</f>
        <v>15.6356971053184</v>
      </c>
    </row>
    <row r="6" spans="1:7">
      <c r="A6">
        <v>4</v>
      </c>
      <c r="B6" s="6">
        <f>'Revenue Model'!K7</f>
        <v>10949000</v>
      </c>
      <c r="C6" s="6">
        <f>'Monthly OPEX Breakdown'!F39</f>
        <v>108894880</v>
      </c>
      <c r="D6" s="6">
        <f>'Monthly OPEX Breakdown'!F15</f>
        <v>252880</v>
      </c>
      <c r="E6" s="6">
        <f t="shared" si="0"/>
        <v>-97945880</v>
      </c>
      <c r="F6" s="6">
        <f t="shared" si="1"/>
        <v>1604701480</v>
      </c>
      <c r="G6" s="13">
        <f t="shared" si="2"/>
        <v>14.7362436140248</v>
      </c>
    </row>
    <row r="7" spans="1:7">
      <c r="A7">
        <v>5</v>
      </c>
      <c r="B7" s="6">
        <f>'Revenue Model'!K8</f>
        <v>11792000</v>
      </c>
      <c r="C7" s="6">
        <f>'Monthly OPEX Breakdown'!G39</f>
        <v>108894880</v>
      </c>
      <c r="D7" s="6">
        <f>'Monthly OPEX Breakdown'!G15</f>
        <v>252880</v>
      </c>
      <c r="E7" s="6">
        <f t="shared" si="0"/>
        <v>-97102880</v>
      </c>
      <c r="F7" s="6">
        <f t="shared" si="1"/>
        <v>1507598600</v>
      </c>
      <c r="G7" s="13">
        <f t="shared" si="2"/>
        <v>13.8445315335303</v>
      </c>
    </row>
    <row r="8" spans="1:7">
      <c r="A8">
        <v>6</v>
      </c>
      <c r="B8" s="6">
        <f>'Revenue Model'!K9</f>
        <v>12833000</v>
      </c>
      <c r="C8" s="6">
        <f>'Monthly OPEX Breakdown'!H39</f>
        <v>108894880</v>
      </c>
      <c r="D8" s="6">
        <f>'Monthly OPEX Breakdown'!H15</f>
        <v>252880</v>
      </c>
      <c r="E8" s="6">
        <f t="shared" si="0"/>
        <v>-96061880</v>
      </c>
      <c r="F8" s="6">
        <f t="shared" si="1"/>
        <v>1411536720</v>
      </c>
      <c r="G8" s="13">
        <f t="shared" si="2"/>
        <v>12.9623791311401</v>
      </c>
    </row>
    <row r="9" spans="1:7">
      <c r="A9">
        <v>7</v>
      </c>
      <c r="B9" s="6">
        <f>'Revenue Model'!K10</f>
        <v>13327000</v>
      </c>
      <c r="C9" s="6">
        <f>'Monthly OPEX Breakdown'!I39</f>
        <v>108894880</v>
      </c>
      <c r="D9" s="6">
        <f>'Monthly OPEX Breakdown'!I15</f>
        <v>252880</v>
      </c>
      <c r="E9" s="6">
        <f t="shared" si="0"/>
        <v>-95567880</v>
      </c>
      <c r="F9" s="6">
        <f t="shared" si="1"/>
        <v>1315968840</v>
      </c>
      <c r="G9" s="13">
        <f t="shared" si="2"/>
        <v>12.0847632138444</v>
      </c>
    </row>
    <row r="10" spans="1:7">
      <c r="A10">
        <v>8</v>
      </c>
      <c r="B10" s="6">
        <f>'Revenue Model'!K11</f>
        <v>14417000</v>
      </c>
      <c r="C10" s="6">
        <f>'Monthly OPEX Breakdown'!J39</f>
        <v>108894880</v>
      </c>
      <c r="D10" s="6">
        <f>'Monthly OPEX Breakdown'!J15</f>
        <v>252880</v>
      </c>
      <c r="E10" s="6">
        <f t="shared" si="0"/>
        <v>-94477880</v>
      </c>
      <c r="F10" s="6">
        <f t="shared" si="1"/>
        <v>1221490960</v>
      </c>
      <c r="G10" s="13">
        <f t="shared" si="2"/>
        <v>11.2171569498952</v>
      </c>
    </row>
    <row r="11" spans="1:7">
      <c r="A11">
        <v>9</v>
      </c>
      <c r="B11" s="6">
        <f>'Revenue Model'!K12</f>
        <v>15507000</v>
      </c>
      <c r="C11" s="6">
        <f>'Monthly OPEX Breakdown'!K39</f>
        <v>108894880</v>
      </c>
      <c r="D11" s="6">
        <f>'Monthly OPEX Breakdown'!K15</f>
        <v>252880</v>
      </c>
      <c r="E11" s="6">
        <f t="shared" si="0"/>
        <v>-93387880</v>
      </c>
      <c r="F11" s="6">
        <f t="shared" si="1"/>
        <v>1128103080</v>
      </c>
      <c r="G11" s="13">
        <f t="shared" si="2"/>
        <v>10.3595603392924</v>
      </c>
    </row>
    <row r="12" spans="1:7">
      <c r="A12">
        <v>10</v>
      </c>
      <c r="B12" s="6">
        <f>'Revenue Model'!K13</f>
        <v>17193000</v>
      </c>
      <c r="C12" s="6">
        <f>'Monthly OPEX Breakdown'!L39</f>
        <v>108894880</v>
      </c>
      <c r="D12" s="6">
        <f>'Monthly OPEX Breakdown'!L15</f>
        <v>252880</v>
      </c>
      <c r="E12" s="6">
        <f t="shared" si="0"/>
        <v>-91701880</v>
      </c>
      <c r="F12" s="6">
        <f t="shared" si="1"/>
        <v>1036401200</v>
      </c>
      <c r="G12" s="13">
        <f t="shared" si="2"/>
        <v>9.51744655028776</v>
      </c>
    </row>
    <row r="13" spans="1:7">
      <c r="A13">
        <v>11</v>
      </c>
      <c r="B13" s="6">
        <f>'Revenue Model'!K14</f>
        <v>18481000</v>
      </c>
      <c r="C13" s="6">
        <f>'Monthly OPEX Breakdown'!M39</f>
        <v>108894880</v>
      </c>
      <c r="D13" s="6">
        <f>'Monthly OPEX Breakdown'!M15</f>
        <v>252880</v>
      </c>
      <c r="E13" s="6">
        <f t="shared" si="0"/>
        <v>-90413880</v>
      </c>
      <c r="F13" s="6">
        <f t="shared" si="1"/>
        <v>945987320</v>
      </c>
      <c r="G13" s="13">
        <f t="shared" si="2"/>
        <v>8.68716068193472</v>
      </c>
    </row>
    <row r="14" spans="1:7">
      <c r="A14">
        <v>12</v>
      </c>
      <c r="B14" s="6">
        <f>'Revenue Model'!K15</f>
        <v>19867000</v>
      </c>
      <c r="C14" s="6">
        <f>'Monthly OPEX Breakdown'!N39</f>
        <v>108894880</v>
      </c>
      <c r="D14" s="6">
        <f>'Monthly OPEX Breakdown'!N15</f>
        <v>252880</v>
      </c>
      <c r="E14" s="6">
        <f t="shared" si="0"/>
        <v>-89027880</v>
      </c>
      <c r="F14" s="6">
        <f t="shared" si="1"/>
        <v>856959440</v>
      </c>
      <c r="G14" s="13">
        <f t="shared" si="2"/>
        <v>7.86960268471759</v>
      </c>
    </row>
    <row r="15" spans="1:7">
      <c r="A15">
        <v>13</v>
      </c>
      <c r="B15" s="6">
        <f>'Revenue Model'!K16</f>
        <v>21800000</v>
      </c>
      <c r="C15" s="6">
        <f>'Monthly OPEX Breakdown'!O39</f>
        <v>108894880</v>
      </c>
      <c r="D15" s="6">
        <f>'Monthly OPEX Breakdown'!O15</f>
        <v>252880</v>
      </c>
      <c r="E15" s="6">
        <f t="shared" si="0"/>
        <v>-87094880</v>
      </c>
      <c r="F15" s="6">
        <f t="shared" si="1"/>
        <v>769864560</v>
      </c>
      <c r="G15" s="13">
        <f t="shared" si="2"/>
        <v>7.06979575164599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B25" sqref="B25"/>
    </sheetView>
  </sheetViews>
  <sheetFormatPr defaultColWidth="9" defaultRowHeight="14.4" outlineLevelCol="2"/>
  <cols>
    <col min="1" max="1" width="35" customWidth="1"/>
    <col min="2" max="2" width="20" customWidth="1"/>
    <col min="3" max="3" width="40" customWidth="1"/>
  </cols>
  <sheetData>
    <row r="1" spans="1:3">
      <c r="A1" s="1" t="s">
        <v>140</v>
      </c>
      <c r="B1" s="1" t="s">
        <v>141</v>
      </c>
      <c r="C1" s="1" t="s">
        <v>5</v>
      </c>
    </row>
    <row r="2" ht="15.6" spans="1:1">
      <c r="A2" s="5" t="s">
        <v>142</v>
      </c>
    </row>
    <row r="3" spans="1:3">
      <c r="A3" t="s">
        <v>143</v>
      </c>
      <c r="B3" s="6">
        <f>SUM('Revenue Model'!K3:K15)</f>
        <v>172418000</v>
      </c>
      <c r="C3" t="s">
        <v>144</v>
      </c>
    </row>
    <row r="4" spans="1:2">
      <c r="A4" s="2" t="s">
        <v>145</v>
      </c>
      <c r="B4" s="7">
        <f>B3</f>
        <v>172418000</v>
      </c>
    </row>
    <row r="5" spans="2:2">
      <c r="B5" s="6"/>
    </row>
    <row r="6" ht="15.6" spans="1:2">
      <c r="A6" s="5" t="s">
        <v>146</v>
      </c>
      <c r="B6" s="6"/>
    </row>
    <row r="7" spans="1:3">
      <c r="A7" t="s">
        <v>147</v>
      </c>
      <c r="B7" s="6">
        <f>'Monthly OPEX Breakdown'!P12+'Monthly OPEX Breakdown'!P18</f>
        <v>194246000</v>
      </c>
      <c r="C7" t="s">
        <v>148</v>
      </c>
    </row>
    <row r="8" spans="1:3">
      <c r="A8" t="s">
        <v>149</v>
      </c>
      <c r="B8" s="6">
        <f>'Monthly OPEX Breakdown'!P11</f>
        <v>72100000</v>
      </c>
      <c r="C8" t="s">
        <v>150</v>
      </c>
    </row>
    <row r="9" spans="1:2">
      <c r="A9" s="2" t="s">
        <v>151</v>
      </c>
      <c r="B9" s="7">
        <f>SUM(B7:B8)</f>
        <v>266346000</v>
      </c>
    </row>
    <row r="10" spans="2:2">
      <c r="B10" s="6"/>
    </row>
    <row r="11" ht="15.6" spans="1:2">
      <c r="A11" s="8" t="s">
        <v>152</v>
      </c>
      <c r="B11" s="9">
        <f>B4-B9</f>
        <v>-93928000</v>
      </c>
    </row>
    <row r="12" spans="1:2">
      <c r="A12" t="s">
        <v>153</v>
      </c>
      <c r="B12" s="6">
        <f>B11/B4</f>
        <v>-0.544769107633774</v>
      </c>
    </row>
    <row r="13" spans="2:2">
      <c r="B13" s="6"/>
    </row>
    <row r="14" ht="15.6" spans="1:2">
      <c r="A14" s="5" t="s">
        <v>154</v>
      </c>
      <c r="B14" s="6"/>
    </row>
    <row r="15" spans="1:2">
      <c r="A15" t="s">
        <v>155</v>
      </c>
      <c r="B15" s="6">
        <f>'Monthly OPEX Breakdown'!P8</f>
        <v>30000000</v>
      </c>
    </row>
    <row r="16" spans="1:2">
      <c r="A16" t="s">
        <v>156</v>
      </c>
      <c r="B16" s="6">
        <f>'Monthly OPEX Breakdown'!P24</f>
        <v>57000000</v>
      </c>
    </row>
    <row r="17" spans="1:2">
      <c r="A17" t="s">
        <v>157</v>
      </c>
      <c r="B17" s="6">
        <f>'Monthly OPEX Breakdown'!P27</f>
        <v>275600000</v>
      </c>
    </row>
    <row r="18" spans="1:2">
      <c r="A18" t="s">
        <v>158</v>
      </c>
      <c r="B18" s="6">
        <f>'Monthly OPEX Breakdown'!P30</f>
        <v>33000000</v>
      </c>
    </row>
    <row r="19" spans="1:2">
      <c r="A19" t="s">
        <v>159</v>
      </c>
      <c r="B19" s="6">
        <f>'Monthly OPEX Breakdown'!P33</f>
        <v>26000000</v>
      </c>
    </row>
    <row r="20" spans="1:2">
      <c r="A20" s="2" t="s">
        <v>160</v>
      </c>
      <c r="B20" s="7">
        <f>SUM(B15:B19)</f>
        <v>421600000</v>
      </c>
    </row>
    <row r="21" spans="2:2">
      <c r="B21" s="6"/>
    </row>
    <row r="22" ht="15.6" spans="1:2">
      <c r="A22" s="8" t="s">
        <v>161</v>
      </c>
      <c r="B22" s="10">
        <f>B11-B20</f>
        <v>-515528000</v>
      </c>
    </row>
    <row r="23" spans="2:2">
      <c r="B23" s="6"/>
    </row>
    <row r="24" spans="1:2">
      <c r="A24" t="s">
        <v>162</v>
      </c>
      <c r="B24" s="6">
        <f>'CAPEX (One-time Cost)'!E5</f>
        <v>41500000</v>
      </c>
    </row>
    <row r="25" ht="15.6" spans="1:2">
      <c r="A25" s="8" t="s">
        <v>163</v>
      </c>
      <c r="B25" s="11">
        <f>ABS(B22)+B24</f>
        <v>557028000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33" sqref="F33"/>
    </sheetView>
  </sheetViews>
  <sheetFormatPr defaultColWidth="9" defaultRowHeight="14.4" outlineLevelCol="5"/>
  <cols>
    <col min="1" max="1" width="25" customWidth="1"/>
    <col min="2" max="5" width="15" customWidth="1"/>
    <col min="6" max="6" width="40" customWidth="1"/>
  </cols>
  <sheetData>
    <row r="1" spans="1:6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</row>
    <row r="2" spans="1:6">
      <c r="A2" s="2" t="s">
        <v>170</v>
      </c>
      <c r="B2" s="3">
        <f>'Revenue Model'!G4*10</f>
        <v>840</v>
      </c>
      <c r="C2" s="3">
        <f>'Revenue Model'!G6*10</f>
        <v>950</v>
      </c>
      <c r="D2" s="3">
        <f>'Revenue Model'!G9*10</f>
        <v>1160</v>
      </c>
      <c r="E2" s="3">
        <f>'Revenue Model'!G16*10</f>
        <v>2000</v>
      </c>
      <c r="F2" t="s">
        <v>171</v>
      </c>
    </row>
    <row r="3" spans="1:6">
      <c r="A3" s="2" t="s">
        <v>172</v>
      </c>
      <c r="B3" s="3">
        <f>IFERROR('Cashflow Statement'!D3/B2,0)</f>
        <v>301.047619047619</v>
      </c>
      <c r="C3" s="3">
        <f>IFERROR('Cashflow Statement'!D5/B3,0)</f>
        <v>840</v>
      </c>
      <c r="D3" s="3">
        <f>IFERROR('Cashflow Statement'!D8/B4,0)</f>
        <v>23.6889929742389</v>
      </c>
      <c r="E3" s="3">
        <f>IFERROR('Cashflow Statement'!D15/B5,0)</f>
        <v>3010.47619047619</v>
      </c>
      <c r="F3" t="s">
        <v>173</v>
      </c>
    </row>
    <row r="4" spans="1:6">
      <c r="A4" s="2" t="s">
        <v>174</v>
      </c>
      <c r="B4" s="3">
        <f>IFERROR('Cashflow Statement'!B3/B2,0)</f>
        <v>10675</v>
      </c>
      <c r="C4" s="3">
        <f>IFERROR('Cashflow Statement'!B5/B3,0)</f>
        <v>35223.663397659</v>
      </c>
      <c r="D4" s="3">
        <f>IFERROR('Cashflow Statement'!B8/B4,0)</f>
        <v>1202.15456674473</v>
      </c>
      <c r="E4" s="3">
        <f>IFERROR('Cashflow Statement'!B15/B5,0)</f>
        <v>259523.80952381</v>
      </c>
      <c r="F4" t="s">
        <v>175</v>
      </c>
    </row>
    <row r="5" spans="1:6">
      <c r="A5" s="2" t="s">
        <v>176</v>
      </c>
      <c r="B5" s="3">
        <f>'Revenue Model'!G4</f>
        <v>84</v>
      </c>
      <c r="C5" s="3">
        <f>'Revenue Model'!G6</f>
        <v>95</v>
      </c>
      <c r="D5" s="3">
        <f>'Revenue Model'!G9</f>
        <v>116</v>
      </c>
      <c r="E5" s="3">
        <f>'Revenue Model'!G16</f>
        <v>200</v>
      </c>
      <c r="F5" t="s">
        <v>177</v>
      </c>
    </row>
    <row r="6" spans="1:6">
      <c r="A6" s="2" t="s">
        <v>178</v>
      </c>
      <c r="B6" s="3">
        <f>IFERROR('Revenue Model'!K4/'Revenue Model'!G4,0)</f>
        <v>106750</v>
      </c>
      <c r="C6" s="3">
        <f>IFERROR('Revenue Model'!K6/'Revenue Model'!G6,0)</f>
        <v>111621.052631579</v>
      </c>
      <c r="D6" s="3">
        <f>IFERROR('Revenue Model'!K9/'Revenue Model'!G9,0)</f>
        <v>110629.310344828</v>
      </c>
      <c r="E6" s="3">
        <f>IFERROR('Revenue Model'!K16/'Revenue Model'!G16,0)</f>
        <v>109000</v>
      </c>
      <c r="F6" t="s">
        <v>179</v>
      </c>
    </row>
    <row r="7" spans="1:6">
      <c r="A7" s="2" t="s">
        <v>180</v>
      </c>
      <c r="B7" s="3">
        <f>IFERROR('Monthly OPEX Breakdown'!C27/'Revenue Model'!D4,0)</f>
        <v>2650000</v>
      </c>
      <c r="C7" s="3">
        <f>IFERROR(SUM('Monthly OPEX Breakdown'!C27:E27)/SUM('Revenue Model'!D4:D6),0)</f>
        <v>2355555.55555556</v>
      </c>
      <c r="D7" s="3">
        <f>IFERROR(SUM('Monthly OPEX Breakdown'!C27:H27)/SUM('Revenue Model'!D4:D9),0)</f>
        <v>2019047.61904762</v>
      </c>
      <c r="E7" s="3">
        <f>IFERROR(SUM('Monthly OPEX Breakdown'!C27:O27)/SUM('Revenue Model'!D4:D16),0)</f>
        <v>1391919.19191919</v>
      </c>
      <c r="F7" t="s">
        <v>181</v>
      </c>
    </row>
    <row r="8" spans="1:6">
      <c r="A8" s="2" t="s">
        <v>182</v>
      </c>
      <c r="B8" s="3">
        <f>B6*24*(1-Assumptions!$B$45)</f>
        <v>2433900</v>
      </c>
      <c r="C8" s="3">
        <f>C6*24*(1-Assumptions!$B$45)</f>
        <v>2544960</v>
      </c>
      <c r="D8" s="3">
        <f>D6*24*(1-Assumptions!$B$45)</f>
        <v>2522348.27586207</v>
      </c>
      <c r="E8" s="3">
        <f>E6*24*(1-Assumptions!$B$45)</f>
        <v>2485200</v>
      </c>
      <c r="F8" t="s">
        <v>183</v>
      </c>
    </row>
    <row r="9" spans="1:6">
      <c r="A9" s="2" t="s">
        <v>184</v>
      </c>
      <c r="B9" s="4">
        <f>IFERROR(B8/B7,0)</f>
        <v>0.918452830188679</v>
      </c>
      <c r="C9" s="4">
        <f>IFERROR(C8/C7,0)</f>
        <v>1.08040754716981</v>
      </c>
      <c r="D9" s="4">
        <f>IFERROR(D8/D7,0)</f>
        <v>1.24927626870527</v>
      </c>
      <c r="E9" s="4">
        <f>IFERROR(E8/E7,0)</f>
        <v>1.78544847605225</v>
      </c>
      <c r="F9" t="s">
        <v>185</v>
      </c>
    </row>
    <row r="10" spans="1:6">
      <c r="A10" s="2" t="s">
        <v>186</v>
      </c>
      <c r="B10" s="4">
        <f>IFERROR(B3/B4,0)</f>
        <v>0.0282011821121891</v>
      </c>
      <c r="C10" s="4">
        <f>IFERROR(C3/C4,0)</f>
        <v>0.0238476046774802</v>
      </c>
      <c r="D10" s="4">
        <f>IFERROR(D3/D4,0)</f>
        <v>0.0197054468947245</v>
      </c>
      <c r="E10" s="4">
        <f>IFERROR(E3/E4,0)</f>
        <v>0.0116</v>
      </c>
      <c r="F10" t="s">
        <v>187</v>
      </c>
    </row>
    <row r="11" spans="1:6">
      <c r="A11" s="2" t="s">
        <v>188</v>
      </c>
      <c r="B11" s="4">
        <f>IFERROR(1-B10,0)</f>
        <v>0.971798817887811</v>
      </c>
      <c r="C11" s="4">
        <f>IFERROR(1-C10,0)</f>
        <v>0.97615239532252</v>
      </c>
      <c r="D11" s="4">
        <f>IFERROR(1-D10,0)</f>
        <v>0.980294553105275</v>
      </c>
      <c r="E11" s="4">
        <f>IFERROR(1-E10,0)</f>
        <v>0.9884</v>
      </c>
      <c r="F11" t="s">
        <v>189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Assumptions</vt:lpstr>
      <vt:lpstr>Monthly OPEX Breakdown</vt:lpstr>
      <vt:lpstr>CAPEX (One-time Cost)</vt:lpstr>
      <vt:lpstr>Revenue Model</vt:lpstr>
      <vt:lpstr>Cashflow Statement</vt:lpstr>
      <vt:lpstr>P&amp;L</vt:lpstr>
      <vt:lpstr>Unit Economics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sadikin</cp:lastModifiedBy>
  <dcterms:created xsi:type="dcterms:W3CDTF">2025-10-22T06:31:00Z</dcterms:created>
  <dcterms:modified xsi:type="dcterms:W3CDTF">2025-10-22T08:55:02Z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24B1ECF5C8174B80BC00BD19E3FDF662_12</vt:lpwstr>
  </property>
  <property fmtid="{D5CDD505-2E9C-101B-9397-08002B2CF9AE}" pid="3" name="KSOProductBuildVer">
    <vt:lpwstr>1033-12.2.0.23131</vt:lpwstr>
  </property>
</Properties>
</file>