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EDE1BCCB-0818-4F12-99A7-8D784E27E15D}" xr6:coauthVersionLast="47" xr6:coauthVersionMax="47" xr10:uidLastSave="{00000000-0000-0000-0000-000000000000}"/>
  <bookViews>
    <workbookView xWindow="0" yWindow="780" windowWidth="28800" windowHeight="14595" tabRatio="872" firstSheet="1" activeTab="3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5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7" l="1"/>
  <c r="F33" i="20"/>
  <c r="D30" i="20"/>
  <c r="D31" i="20"/>
  <c r="E38" i="20"/>
  <c r="F38" i="20"/>
  <c r="F37" i="20"/>
  <c r="D38" i="20"/>
  <c r="D37" i="20"/>
  <c r="D44" i="20"/>
  <c r="D43" i="20"/>
  <c r="D33" i="20"/>
  <c r="F40" i="20" s="1"/>
  <c r="D41" i="20"/>
  <c r="D39" i="20"/>
  <c r="D40" i="20"/>
  <c r="D36" i="20"/>
  <c r="D32" i="20"/>
  <c r="C39" i="20"/>
  <c r="E39" i="20" s="1"/>
  <c r="C38" i="20"/>
  <c r="C36" i="20"/>
  <c r="E36" i="20" s="1"/>
  <c r="B37" i="20"/>
  <c r="B38" i="20"/>
  <c r="B39" i="20"/>
  <c r="B40" i="20"/>
  <c r="B36" i="20"/>
  <c r="E37" i="20"/>
  <c r="E40" i="20"/>
  <c r="C33" i="20"/>
  <c r="C32" i="20"/>
  <c r="C31" i="20"/>
  <c r="C30" i="20"/>
  <c r="C29" i="20"/>
  <c r="C37" i="20"/>
  <c r="C40" i="20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D7" i="17"/>
  <c r="P34" i="17"/>
  <c r="P33" i="17"/>
  <c r="M10" i="18"/>
  <c r="D8" i="17"/>
  <c r="C8" i="17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6" i="20"/>
  <c r="C25" i="20"/>
  <c r="H13" i="20"/>
  <c r="K20" i="20"/>
  <c r="I9" i="20"/>
  <c r="I8" i="20"/>
  <c r="I7" i="20"/>
  <c r="I6" i="20"/>
  <c r="D5" i="20"/>
  <c r="I2" i="20"/>
  <c r="I3" i="20" s="1"/>
  <c r="E9" i="17" l="1"/>
  <c r="F39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B10" i="21" l="1"/>
  <c r="C10" i="21"/>
  <c r="L22" i="20"/>
  <c r="C27" i="20"/>
  <c r="G9" i="20" l="1"/>
  <c r="H9" i="20" s="1"/>
  <c r="J9" i="20" s="1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18" i="20" l="1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H11" i="20" l="1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N10" i="18"/>
  <c r="M15" i="18"/>
  <c r="M13" i="18"/>
  <c r="F5" i="18"/>
  <c r="F4" i="18"/>
  <c r="K9" i="18" s="1"/>
  <c r="F3" i="18"/>
  <c r="K18" i="18" s="1"/>
  <c r="L18" i="18" s="1"/>
  <c r="K8" i="18"/>
  <c r="K10" i="18" s="1"/>
  <c r="M6" i="18"/>
  <c r="K7" i="18" l="1"/>
  <c r="L7" i="18" s="1"/>
  <c r="F2" i="18"/>
  <c r="K5" i="18"/>
  <c r="L5" i="18" s="1"/>
  <c r="K6" i="18"/>
  <c r="L6" i="18" s="1"/>
  <c r="K4" i="18"/>
  <c r="L4" i="18" s="1"/>
  <c r="C2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N8" i="18" l="1"/>
  <c r="M20" i="18"/>
  <c r="N15" i="18"/>
  <c r="W11" i="17" l="1"/>
  <c r="N20" i="18"/>
  <c r="N22" i="18" s="1"/>
  <c r="M18" i="18"/>
  <c r="N18" i="18" s="1"/>
  <c r="F7" i="17" l="1"/>
  <c r="Q36" i="17"/>
  <c r="Q37" i="17" s="1"/>
  <c r="O18" i="18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L22" i="18"/>
  <c r="O22" i="18" s="1"/>
  <c r="R15" i="18" l="1"/>
  <c r="S10" i="18"/>
  <c r="P15" i="18"/>
  <c r="M4" i="18" s="1"/>
  <c r="M5" i="18" s="1"/>
  <c r="N4" i="18" l="1"/>
  <c r="W7" i="17" s="1"/>
  <c r="P4" i="18"/>
  <c r="N5" i="18"/>
  <c r="P5" i="18"/>
  <c r="R4" i="18" l="1"/>
  <c r="O4" i="18"/>
  <c r="W8" i="17"/>
  <c r="Q34" i="17" s="1"/>
  <c r="Q33" i="17" s="1"/>
  <c r="R5" i="18"/>
  <c r="O5" i="18"/>
  <c r="C7" i="17" l="1"/>
  <c r="G7" i="17" s="1"/>
  <c r="R10" i="18"/>
  <c r="D29" i="20"/>
  <c r="C9" i="17" s="1"/>
  <c r="G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<sst xmlns="http://schemas.openxmlformats.org/spreadsheetml/2006/main" count="4383" uniqueCount="1067">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</sst>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#,##0.00000"/>
    <numFmt numFmtId="168" formatCode="_(* #,##0.00000_);_(* \(#,##0.00000\);_(* &quot;-&quot;??_);_(@_)"/>
    <numFmt numFmtId="169" formatCode="_(* #,##0.0_);_(* \(#,##0.0\);_(* &quot;-&quot;??_);_(@_)"/>
    <numFmt numFmtId="170" formatCode="_(* #,##0.0000_);_(* \(#,##0.0000\);_(* &quot;-&quot;??_);_(@_)"/>
    <numFmt numFmtId="171" formatCode="0.0"/>
    <numFmt numFmtId="172" formatCode="_(* #,##0.000_);_(* \(#,##0.000\);_(* &quot;-&quot;??_);_(@_)"/>
    <numFmt numFmtId="173" formatCode="0.0%"/>
    <numFmt numFmtId="174" formatCode="0.000%"/>
    <numFmt numFmtId="175" formatCode="_(* #,##0.000000000000_);_(* \(#,##0.000000000000\);_(* &quot;-&quot;??_);_(@_)"/>
    <numFmt numFmtId="176" formatCode="0.000000"/>
    <numFmt numFmtId="177" formatCode="_(* #,##0.000000_);_(* \(#,##0.000000\);_(* &quot;-&quot;??_);_(@_)"/>
    <numFmt numFmtId="178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5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3" fontId="0" fillId="2" borderId="0" xfId="0" applyNumberFormat="1" applyFill="1"/>
    <xf numFmtId="167" fontId="0" fillId="0" borderId="0" xfId="0" applyNumberFormat="1"/>
    <xf numFmtId="0" fontId="18" fillId="0" borderId="0" xfId="0" applyFont="1"/>
    <xf numFmtId="164" fontId="0" fillId="0" borderId="0" xfId="1" applyFont="1"/>
    <xf numFmtId="0" fontId="0" fillId="0" borderId="1" xfId="0" applyBorder="1"/>
    <xf numFmtId="10" fontId="0" fillId="0" borderId="0" xfId="8" applyNumberFormat="1" applyFont="1"/>
    <xf numFmtId="168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9" fontId="0" fillId="0" borderId="0" xfId="1" applyNumberFormat="1" applyFont="1"/>
    <xf numFmtId="4" fontId="0" fillId="0" borderId="0" xfId="0" applyNumberFormat="1"/>
    <xf numFmtId="169" fontId="0" fillId="0" borderId="0" xfId="1" applyNumberFormat="1" applyFont="1" applyFill="1"/>
    <xf numFmtId="170" fontId="0" fillId="0" borderId="0" xfId="1" applyNumberFormat="1" applyFont="1" applyFill="1"/>
    <xf numFmtId="169" fontId="0" fillId="0" borderId="0" xfId="1" applyNumberFormat="1" applyFont="1" applyFill="1" applyBorder="1"/>
    <xf numFmtId="166" fontId="0" fillId="0" borderId="0" xfId="1" applyNumberFormat="1" applyFont="1" applyFill="1" applyBorder="1"/>
    <xf numFmtId="169" fontId="0" fillId="0" borderId="0" xfId="0" applyNumberFormat="1" applyAlignment="1">
      <alignment horizontal="right"/>
    </xf>
    <xf numFmtId="0" fontId="23" fillId="0" borderId="0" xfId="0" applyFont="1"/>
    <xf numFmtId="169" fontId="23" fillId="0" borderId="0" xfId="1" applyNumberFormat="1" applyFont="1" applyFill="1"/>
    <xf numFmtId="171" fontId="24" fillId="0" borderId="0" xfId="0" applyNumberFormat="1" applyFont="1"/>
    <xf numFmtId="171" fontId="0" fillId="0" borderId="0" xfId="0" applyNumberFormat="1"/>
    <xf numFmtId="168" fontId="0" fillId="0" borderId="0" xfId="1" applyNumberFormat="1" applyFont="1" applyFill="1"/>
    <xf numFmtId="3" fontId="0" fillId="0" borderId="0" xfId="0" quotePrefix="1" applyNumberFormat="1"/>
    <xf numFmtId="164" fontId="0" fillId="0" borderId="0" xfId="1" applyFont="1" applyFill="1"/>
    <xf numFmtId="164" fontId="0" fillId="0" borderId="0" xfId="0" applyNumberFormat="1"/>
    <xf numFmtId="3" fontId="23" fillId="0" borderId="0" xfId="0" applyNumberFormat="1" applyFont="1"/>
    <xf numFmtId="164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2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164" fontId="0" fillId="4" borderId="0" xfId="1" applyFont="1" applyFill="1"/>
    <xf numFmtId="164" fontId="0" fillId="4" borderId="0" xfId="0" applyNumberFormat="1" applyFill="1"/>
    <xf numFmtId="170" fontId="0" fillId="4" borderId="0" xfId="0" applyNumberFormat="1" applyFill="1"/>
    <xf numFmtId="166" fontId="0" fillId="4" borderId="0" xfId="1" applyNumberFormat="1" applyFont="1" applyFill="1"/>
    <xf numFmtId="9" fontId="0" fillId="0" borderId="0" xfId="8" applyFont="1"/>
    <xf numFmtId="0" fontId="26" fillId="0" borderId="0" xfId="0" applyFont="1"/>
    <xf numFmtId="164" fontId="26" fillId="0" borderId="0" xfId="1" applyFont="1"/>
    <xf numFmtId="166" fontId="26" fillId="0" borderId="0" xfId="1" applyNumberFormat="1" applyFont="1"/>
    <xf numFmtId="166" fontId="26" fillId="0" borderId="0" xfId="0" applyNumberFormat="1" applyFont="1"/>
    <xf numFmtId="172" fontId="26" fillId="0" borderId="0" xfId="1" applyNumberFormat="1" applyFont="1"/>
    <xf numFmtId="172" fontId="26" fillId="0" borderId="0" xfId="0" applyNumberFormat="1" applyFont="1"/>
    <xf numFmtId="164" fontId="26" fillId="0" borderId="0" xfId="0" applyNumberFormat="1" applyFont="1"/>
    <xf numFmtId="0" fontId="28" fillId="0" borderId="0" xfId="0" applyFont="1"/>
    <xf numFmtId="164" fontId="28" fillId="0" borderId="0" xfId="1" applyFont="1"/>
    <xf numFmtId="166" fontId="28" fillId="0" borderId="0" xfId="0" applyNumberFormat="1" applyFont="1"/>
    <xf numFmtId="166" fontId="28" fillId="0" borderId="0" xfId="1" applyNumberFormat="1" applyFont="1"/>
    <xf numFmtId="170" fontId="26" fillId="0" borderId="0" xfId="1" applyNumberFormat="1" applyFont="1"/>
    <xf numFmtId="164" fontId="26" fillId="0" borderId="0" xfId="1" applyFont="1" applyFill="1"/>
    <xf numFmtId="164" fontId="28" fillId="0" borderId="0" xfId="1" applyFont="1" applyFill="1"/>
    <xf numFmtId="166" fontId="26" fillId="0" borderId="0" xfId="1" applyNumberFormat="1" applyFont="1" applyFill="1"/>
    <xf numFmtId="170" fontId="26" fillId="0" borderId="0" xfId="1" applyNumberFormat="1" applyFont="1" applyFill="1"/>
    <xf numFmtId="172" fontId="26" fillId="0" borderId="0" xfId="1" applyNumberFormat="1" applyFont="1" applyFill="1"/>
    <xf numFmtId="166" fontId="28" fillId="0" borderId="0" xfId="1" applyNumberFormat="1" applyFont="1" applyFill="1"/>
    <xf numFmtId="164" fontId="28" fillId="0" borderId="0" xfId="0" applyNumberFormat="1" applyFont="1"/>
    <xf numFmtId="170" fontId="29" fillId="0" borderId="0" xfId="1" applyNumberFormat="1" applyFont="1"/>
    <xf numFmtId="0" fontId="30" fillId="0" borderId="0" xfId="9" applyFont="1"/>
    <xf numFmtId="173" fontId="0" fillId="0" borderId="0" xfId="8" applyNumberFormat="1" applyFont="1"/>
    <xf numFmtId="9" fontId="26" fillId="0" borderId="0" xfId="8" applyFont="1"/>
    <xf numFmtId="166" fontId="0" fillId="4" borderId="0" xfId="0" applyNumberFormat="1" applyFill="1"/>
    <xf numFmtId="174" fontId="0" fillId="0" borderId="0" xfId="8" applyNumberFormat="1" applyFont="1"/>
    <xf numFmtId="175" fontId="26" fillId="0" borderId="0" xfId="0" applyNumberFormat="1" applyFont="1"/>
    <xf numFmtId="176" fontId="28" fillId="0" borderId="0" xfId="1" applyNumberFormat="1" applyFont="1" applyFill="1"/>
    <xf numFmtId="170" fontId="26" fillId="0" borderId="0" xfId="0" applyNumberFormat="1" applyFont="1"/>
    <xf numFmtId="177" fontId="26" fillId="0" borderId="0" xfId="1" applyNumberFormat="1" applyFont="1"/>
    <xf numFmtId="164" fontId="31" fillId="0" borderId="0" xfId="1" applyFont="1"/>
    <xf numFmtId="178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164" fontId="26" fillId="0" borderId="0" xfId="1" applyFont="1" applyAlignment="1"/>
    <xf numFmtId="166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6" fontId="26" fillId="9" borderId="0" xfId="0" applyNumberFormat="1" applyFont="1" applyFill="1"/>
    <xf numFmtId="169" fontId="26" fillId="0" borderId="0" xfId="1" applyNumberFormat="1" applyFont="1" applyAlignment="1">
      <alignment horizontal="left"/>
    </xf>
    <xf numFmtId="168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6" fontId="36" fillId="0" borderId="0" xfId="0" applyNumberFormat="1" applyFont="1"/>
    <xf numFmtId="166" fontId="36" fillId="0" borderId="0" xfId="1" applyNumberFormat="1" applyFont="1"/>
    <xf numFmtId="1" fontId="36" fillId="0" borderId="0" xfId="0" applyNumberFormat="1" applyFont="1"/>
    <xf numFmtId="166" fontId="26" fillId="10" borderId="0" xfId="1" applyNumberFormat="1" applyFont="1" applyFill="1"/>
    <xf numFmtId="172" fontId="26" fillId="10" borderId="0" xfId="0" applyNumberFormat="1" applyFont="1" applyFill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43025"/>
          <a:ext cx="7787640" cy="19202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5" x14ac:dyDescent="0.25"/>
  <sheetData>
    <row r="1" spans="1:16" ht="18.75" x14ac:dyDescent="0.3">
      <c r="A1" s="1" t="str">
        <f>C21&amp;" Social Accounting Matrix for "&amp;C20</f>
        <v>2015 Social Accounting Matrix for Ghana</v>
      </c>
    </row>
    <row r="2" spans="1:16" x14ac:dyDescent="0.25">
      <c r="A2" t="s">
        <v>479</v>
      </c>
    </row>
    <row r="3" spans="1:16" ht="15.75" thickBot="1" x14ac:dyDescent="0.3"/>
    <row r="4" spans="1:16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25">
      <c r="B5" s="141" t="s">
        <v>480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1:16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25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25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25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25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25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25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25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25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25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25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.75" thickBot="1" x14ac:dyDescent="0.3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25">
      <c r="B20" s="2" t="s">
        <v>481</v>
      </c>
      <c r="C20" s="3" t="s">
        <v>482</v>
      </c>
    </row>
    <row r="21" spans="1:16" x14ac:dyDescent="0.25">
      <c r="B21" s="2" t="s">
        <v>483</v>
      </c>
      <c r="C21" s="3">
        <v>2015</v>
      </c>
    </row>
    <row r="22" spans="1:16" x14ac:dyDescent="0.25">
      <c r="B22" s="2" t="s">
        <v>484</v>
      </c>
      <c r="C22" s="3" t="s">
        <v>485</v>
      </c>
    </row>
    <row r="24" spans="1:16" x14ac:dyDescent="0.25">
      <c r="B24" s="2" t="s">
        <v>486</v>
      </c>
    </row>
    <row r="25" spans="1:16" x14ac:dyDescent="0.25">
      <c r="B25" s="2" t="s">
        <v>487</v>
      </c>
      <c r="C25" s="48" t="s">
        <v>488</v>
      </c>
    </row>
    <row r="27" spans="1:16" x14ac:dyDescent="0.25">
      <c r="B27" s="2" t="s">
        <v>489</v>
      </c>
    </row>
    <row r="28" spans="1:16" x14ac:dyDescent="0.25">
      <c r="B28" s="49" t="s">
        <v>490</v>
      </c>
      <c r="C28" t="s">
        <v>491</v>
      </c>
    </row>
    <row r="30" spans="1:16" ht="15.75" x14ac:dyDescent="0.25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25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25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25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25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25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25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25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25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25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25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25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25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25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25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25">
      <c r="A45" t="s">
        <v>586</v>
      </c>
      <c r="B45" t="s">
        <v>587</v>
      </c>
      <c r="I45" t="s">
        <v>588</v>
      </c>
      <c r="J45" t="s">
        <v>589</v>
      </c>
    </row>
    <row r="46" spans="1:14" x14ac:dyDescent="0.25">
      <c r="A46" t="s">
        <v>590</v>
      </c>
      <c r="B46" t="s">
        <v>591</v>
      </c>
      <c r="I46" t="s">
        <v>592</v>
      </c>
      <c r="J46" t="s">
        <v>593</v>
      </c>
    </row>
    <row r="47" spans="1:14" x14ac:dyDescent="0.25">
      <c r="A47" t="s">
        <v>594</v>
      </c>
      <c r="B47" t="s">
        <v>595</v>
      </c>
    </row>
    <row r="48" spans="1:14" x14ac:dyDescent="0.25">
      <c r="A48" t="s">
        <v>596</v>
      </c>
      <c r="B48" t="s">
        <v>597</v>
      </c>
    </row>
    <row r="49" spans="1:2" x14ac:dyDescent="0.25">
      <c r="A49" t="s">
        <v>598</v>
      </c>
      <c r="B49" t="s">
        <v>599</v>
      </c>
    </row>
    <row r="50" spans="1:2" x14ac:dyDescent="0.25">
      <c r="A50" t="s">
        <v>600</v>
      </c>
      <c r="B50" t="s">
        <v>601</v>
      </c>
    </row>
    <row r="51" spans="1:2" x14ac:dyDescent="0.25">
      <c r="A51" t="s">
        <v>602</v>
      </c>
      <c r="B51" t="s">
        <v>603</v>
      </c>
    </row>
    <row r="52" spans="1:2" x14ac:dyDescent="0.25">
      <c r="A52" t="s">
        <v>604</v>
      </c>
      <c r="B52" t="s">
        <v>605</v>
      </c>
    </row>
    <row r="53" spans="1:2" x14ac:dyDescent="0.25">
      <c r="A53" t="s">
        <v>606</v>
      </c>
      <c r="B53" t="s">
        <v>607</v>
      </c>
    </row>
    <row r="54" spans="1:2" x14ac:dyDescent="0.25">
      <c r="A54" t="s">
        <v>283</v>
      </c>
      <c r="B54" t="s">
        <v>359</v>
      </c>
    </row>
    <row r="55" spans="1:2" x14ac:dyDescent="0.25">
      <c r="A55" t="s">
        <v>608</v>
      </c>
      <c r="B55" t="s">
        <v>609</v>
      </c>
    </row>
    <row r="56" spans="1:2" x14ac:dyDescent="0.25">
      <c r="A56" t="s">
        <v>610</v>
      </c>
      <c r="B56" t="s">
        <v>611</v>
      </c>
    </row>
    <row r="57" spans="1:2" x14ac:dyDescent="0.25">
      <c r="A57" t="s">
        <v>284</v>
      </c>
      <c r="B57" t="s">
        <v>612</v>
      </c>
    </row>
    <row r="58" spans="1:2" x14ac:dyDescent="0.25">
      <c r="A58" t="s">
        <v>350</v>
      </c>
      <c r="B58" t="s">
        <v>613</v>
      </c>
    </row>
    <row r="59" spans="1:2" x14ac:dyDescent="0.25">
      <c r="A59" t="s">
        <v>614</v>
      </c>
      <c r="B59" t="s">
        <v>615</v>
      </c>
    </row>
    <row r="60" spans="1:2" x14ac:dyDescent="0.25">
      <c r="A60" t="s">
        <v>616</v>
      </c>
      <c r="B60" t="s">
        <v>617</v>
      </c>
    </row>
    <row r="61" spans="1:2" x14ac:dyDescent="0.25">
      <c r="A61" t="s">
        <v>618</v>
      </c>
      <c r="B61" t="s">
        <v>619</v>
      </c>
    </row>
    <row r="62" spans="1:2" x14ac:dyDescent="0.25">
      <c r="A62" t="s">
        <v>620</v>
      </c>
      <c r="B62" t="s">
        <v>621</v>
      </c>
    </row>
    <row r="63" spans="1:2" x14ac:dyDescent="0.25">
      <c r="A63" t="s">
        <v>285</v>
      </c>
      <c r="B63" t="s">
        <v>622</v>
      </c>
    </row>
    <row r="64" spans="1:2" x14ac:dyDescent="0.25">
      <c r="A64" t="s">
        <v>358</v>
      </c>
      <c r="B64" t="s">
        <v>349</v>
      </c>
    </row>
    <row r="65" spans="1:2" x14ac:dyDescent="0.25">
      <c r="A65" t="s">
        <v>623</v>
      </c>
      <c r="B65" t="s">
        <v>624</v>
      </c>
    </row>
    <row r="66" spans="1:2" x14ac:dyDescent="0.25">
      <c r="A66" t="s">
        <v>286</v>
      </c>
      <c r="B66" t="s">
        <v>625</v>
      </c>
    </row>
    <row r="67" spans="1:2" x14ac:dyDescent="0.25">
      <c r="A67" t="s">
        <v>626</v>
      </c>
      <c r="B67" t="s">
        <v>627</v>
      </c>
    </row>
    <row r="68" spans="1:2" x14ac:dyDescent="0.25">
      <c r="A68" t="s">
        <v>287</v>
      </c>
      <c r="B68" t="s">
        <v>628</v>
      </c>
    </row>
    <row r="69" spans="1:2" x14ac:dyDescent="0.25">
      <c r="A69" t="s">
        <v>288</v>
      </c>
      <c r="B69" t="s">
        <v>629</v>
      </c>
    </row>
    <row r="70" spans="1:2" x14ac:dyDescent="0.25">
      <c r="A70" t="s">
        <v>289</v>
      </c>
      <c r="B70" t="s">
        <v>630</v>
      </c>
    </row>
    <row r="71" spans="1:2" x14ac:dyDescent="0.25">
      <c r="A71" t="s">
        <v>290</v>
      </c>
      <c r="B71" t="s">
        <v>631</v>
      </c>
    </row>
    <row r="72" spans="1:2" x14ac:dyDescent="0.25">
      <c r="A72" t="s">
        <v>291</v>
      </c>
      <c r="B72" t="s">
        <v>632</v>
      </c>
    </row>
    <row r="73" spans="1:2" x14ac:dyDescent="0.25">
      <c r="A73" t="s">
        <v>633</v>
      </c>
      <c r="B73" t="s">
        <v>634</v>
      </c>
    </row>
    <row r="74" spans="1:2" x14ac:dyDescent="0.25">
      <c r="A74" t="s">
        <v>292</v>
      </c>
      <c r="B74" t="s">
        <v>635</v>
      </c>
    </row>
    <row r="75" spans="1:2" x14ac:dyDescent="0.25">
      <c r="A75" t="s">
        <v>293</v>
      </c>
      <c r="B75" t="s">
        <v>636</v>
      </c>
    </row>
    <row r="76" spans="1:2" x14ac:dyDescent="0.25">
      <c r="A76" t="s">
        <v>637</v>
      </c>
      <c r="B76" t="s">
        <v>638</v>
      </c>
    </row>
    <row r="77" spans="1:2" x14ac:dyDescent="0.25">
      <c r="A77" t="s">
        <v>639</v>
      </c>
      <c r="B77" t="s">
        <v>640</v>
      </c>
    </row>
    <row r="78" spans="1:2" x14ac:dyDescent="0.25">
      <c r="A78" t="s">
        <v>294</v>
      </c>
      <c r="B78" t="s">
        <v>45</v>
      </c>
    </row>
    <row r="79" spans="1:2" x14ac:dyDescent="0.25">
      <c r="A79" t="s">
        <v>352</v>
      </c>
      <c r="B79" t="s">
        <v>641</v>
      </c>
    </row>
    <row r="80" spans="1:2" x14ac:dyDescent="0.25">
      <c r="A80" t="s">
        <v>355</v>
      </c>
      <c r="B80" t="s">
        <v>642</v>
      </c>
    </row>
    <row r="81" spans="1:2" x14ac:dyDescent="0.25">
      <c r="A81" t="s">
        <v>643</v>
      </c>
      <c r="B81" t="s">
        <v>360</v>
      </c>
    </row>
    <row r="82" spans="1:2" x14ac:dyDescent="0.25">
      <c r="A82" t="s">
        <v>356</v>
      </c>
      <c r="B82" t="s">
        <v>644</v>
      </c>
    </row>
    <row r="83" spans="1:2" x14ac:dyDescent="0.25">
      <c r="A83" t="s">
        <v>361</v>
      </c>
      <c r="B83" t="s">
        <v>645</v>
      </c>
    </row>
    <row r="84" spans="1:2" x14ac:dyDescent="0.25">
      <c r="A84" t="s">
        <v>646</v>
      </c>
      <c r="B84" t="s">
        <v>647</v>
      </c>
    </row>
    <row r="85" spans="1:2" x14ac:dyDescent="0.25">
      <c r="A85" t="s">
        <v>357</v>
      </c>
      <c r="B85" t="s">
        <v>648</v>
      </c>
    </row>
    <row r="86" spans="1:2" x14ac:dyDescent="0.25">
      <c r="A86" t="s">
        <v>649</v>
      </c>
      <c r="B86" t="s">
        <v>211</v>
      </c>
    </row>
    <row r="87" spans="1:2" x14ac:dyDescent="0.25">
      <c r="A87" t="s">
        <v>353</v>
      </c>
      <c r="B87" t="s">
        <v>650</v>
      </c>
    </row>
    <row r="88" spans="1:2" x14ac:dyDescent="0.25">
      <c r="A88" t="s">
        <v>354</v>
      </c>
      <c r="B88" t="s">
        <v>651</v>
      </c>
    </row>
    <row r="89" spans="1:2" x14ac:dyDescent="0.25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topLeftCell="A3" workbookViewId="0">
      <selection activeCell="A3" sqref="A3"/>
    </sheetView>
  </sheetViews>
  <sheetFormatPr defaultRowHeight="15" x14ac:dyDescent="0.25"/>
  <cols>
    <col min="16" max="16" width="11.140625" bestFit="1" customWidth="1"/>
  </cols>
  <sheetData>
    <row r="1" spans="1:31" ht="18.75" x14ac:dyDescent="0.3">
      <c r="A1" s="5" t="s">
        <v>319</v>
      </c>
    </row>
    <row r="2" spans="1:31" x14ac:dyDescent="0.25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25">
      <c r="A3" s="2" t="s">
        <v>320</v>
      </c>
      <c r="F3" t="s">
        <v>476</v>
      </c>
    </row>
    <row r="4" spans="1:31" x14ac:dyDescent="0.25">
      <c r="A4" s="9" t="s">
        <v>321</v>
      </c>
      <c r="F4" s="2" t="s">
        <v>322</v>
      </c>
      <c r="U4" s="2" t="s">
        <v>323</v>
      </c>
    </row>
    <row r="5" spans="1:31" x14ac:dyDescent="0.25">
      <c r="A5" s="9" t="s">
        <v>324</v>
      </c>
      <c r="F5" s="9" t="s">
        <v>325</v>
      </c>
      <c r="U5" s="9" t="s">
        <v>326</v>
      </c>
    </row>
    <row r="6" spans="1:31" x14ac:dyDescent="0.25">
      <c r="A6" s="9" t="s">
        <v>327</v>
      </c>
      <c r="F6" s="9" t="s">
        <v>260</v>
      </c>
      <c r="U6" s="9" t="s">
        <v>262</v>
      </c>
    </row>
    <row r="7" spans="1:31" x14ac:dyDescent="0.25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25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25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25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25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25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25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25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25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25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25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25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25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25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25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25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25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25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25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25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25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25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25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25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25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25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25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25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25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25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25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25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25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25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25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25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25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25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25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25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25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25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25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25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25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25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25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25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25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25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25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25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25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25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25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25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25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25">
      <c r="F64" s="11"/>
      <c r="U64" s="11"/>
    </row>
    <row r="65" spans="6:21" x14ac:dyDescent="0.25">
      <c r="F65" s="11"/>
      <c r="U65" s="11"/>
    </row>
    <row r="66" spans="6:21" x14ac:dyDescent="0.25">
      <c r="F66" s="11"/>
      <c r="U66" s="11"/>
    </row>
    <row r="67" spans="6:21" x14ac:dyDescent="0.25">
      <c r="F67" s="11"/>
      <c r="U67" s="11"/>
    </row>
    <row r="68" spans="6:21" x14ac:dyDescent="0.25">
      <c r="F68" s="11"/>
      <c r="U68" s="11"/>
    </row>
    <row r="69" spans="6:21" x14ac:dyDescent="0.25">
      <c r="F69" s="11"/>
      <c r="U69" s="11"/>
    </row>
    <row r="70" spans="6:21" x14ac:dyDescent="0.25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5" x14ac:dyDescent="0.25"/>
  <sheetData>
    <row r="1" spans="1:28" x14ac:dyDescent="0.25">
      <c r="A1" t="s">
        <v>888</v>
      </c>
    </row>
    <row r="2" spans="1:28" ht="18.75" x14ac:dyDescent="0.3">
      <c r="E2" s="5" t="s">
        <v>795</v>
      </c>
    </row>
    <row r="3" spans="1:28" x14ac:dyDescent="0.25">
      <c r="A3" t="s">
        <v>831</v>
      </c>
      <c r="B3" t="s">
        <v>363</v>
      </c>
      <c r="C3" s="66"/>
      <c r="E3" s="14" t="s">
        <v>796</v>
      </c>
      <c r="F3" s="24" t="s">
        <v>797</v>
      </c>
    </row>
    <row r="4" spans="1:28" x14ac:dyDescent="0.25">
      <c r="A4" t="s">
        <v>831</v>
      </c>
      <c r="B4" t="s">
        <v>364</v>
      </c>
      <c r="C4" s="66"/>
    </row>
    <row r="5" spans="1:28" x14ac:dyDescent="0.25">
      <c r="A5" t="s">
        <v>831</v>
      </c>
      <c r="B5" t="s">
        <v>365</v>
      </c>
      <c r="C5" s="66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25">
      <c r="A6" t="s">
        <v>832</v>
      </c>
      <c r="B6" t="s">
        <v>366</v>
      </c>
      <c r="C6" s="66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25">
      <c r="A7" t="s">
        <v>833</v>
      </c>
      <c r="B7" t="s">
        <v>367</v>
      </c>
      <c r="C7" s="66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25">
      <c r="A8" t="s">
        <v>833</v>
      </c>
      <c r="B8" t="s">
        <v>368</v>
      </c>
      <c r="C8" s="66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25">
      <c r="A9" t="s">
        <v>834</v>
      </c>
      <c r="B9" t="s">
        <v>369</v>
      </c>
      <c r="C9" s="66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25">
      <c r="A10" t="s">
        <v>834</v>
      </c>
      <c r="B10" t="s">
        <v>370</v>
      </c>
      <c r="C10" s="66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25">
      <c r="A11" t="s">
        <v>835</v>
      </c>
      <c r="B11" t="s">
        <v>346</v>
      </c>
      <c r="C11" s="66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25">
      <c r="A12" t="s">
        <v>837</v>
      </c>
      <c r="B12" t="s">
        <v>371</v>
      </c>
      <c r="C12" s="66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25">
      <c r="A13" t="s">
        <v>837</v>
      </c>
      <c r="B13" t="s">
        <v>348</v>
      </c>
      <c r="C13" s="66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25">
      <c r="A14" t="s">
        <v>837</v>
      </c>
      <c r="B14" t="s">
        <v>372</v>
      </c>
      <c r="C14" s="66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25">
      <c r="A15" t="s">
        <v>836</v>
      </c>
      <c r="B15" t="s">
        <v>347</v>
      </c>
      <c r="C15" s="66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25">
      <c r="A16" t="s">
        <v>837</v>
      </c>
      <c r="B16" t="s">
        <v>373</v>
      </c>
      <c r="C16" s="66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25">
      <c r="A17" t="s">
        <v>838</v>
      </c>
      <c r="B17" t="s">
        <v>375</v>
      </c>
      <c r="C17" s="66"/>
    </row>
    <row r="18" spans="1:30" x14ac:dyDescent="0.25">
      <c r="A18" t="s">
        <v>839</v>
      </c>
      <c r="B18" t="s">
        <v>376</v>
      </c>
      <c r="C18" s="66"/>
    </row>
    <row r="19" spans="1:30" x14ac:dyDescent="0.25">
      <c r="A19" t="s">
        <v>839</v>
      </c>
      <c r="B19" t="s">
        <v>377</v>
      </c>
      <c r="C19" s="66"/>
    </row>
    <row r="20" spans="1:30" x14ac:dyDescent="0.25">
      <c r="A20" t="s">
        <v>839</v>
      </c>
      <c r="B20" t="s">
        <v>378</v>
      </c>
      <c r="C20" s="66"/>
    </row>
    <row r="21" spans="1:30" x14ac:dyDescent="0.25">
      <c r="A21" t="s">
        <v>841</v>
      </c>
      <c r="B21" t="s">
        <v>6</v>
      </c>
      <c r="C21" s="66"/>
      <c r="H21" s="112" t="s">
        <v>828</v>
      </c>
      <c r="I21" s="113"/>
      <c r="J21" s="113"/>
      <c r="K21" s="113"/>
      <c r="L21" s="113"/>
      <c r="M21" s="113"/>
      <c r="N21" s="113"/>
      <c r="O21" s="113"/>
      <c r="P21" s="113"/>
      <c r="V21" s="2" t="s">
        <v>829</v>
      </c>
    </row>
    <row r="22" spans="1:30" x14ac:dyDescent="0.25">
      <c r="A22" t="s">
        <v>842</v>
      </c>
      <c r="B22" t="s">
        <v>10</v>
      </c>
      <c r="C22" s="66"/>
      <c r="H22" s="114"/>
      <c r="I22" s="114" t="s">
        <v>440</v>
      </c>
      <c r="J22" s="114" t="s">
        <v>441</v>
      </c>
      <c r="K22" s="114" t="s">
        <v>442</v>
      </c>
      <c r="L22" s="114" t="s">
        <v>443</v>
      </c>
      <c r="M22" s="114" t="s">
        <v>444</v>
      </c>
      <c r="N22" s="114" t="s">
        <v>445</v>
      </c>
      <c r="O22" s="114" t="s">
        <v>446</v>
      </c>
      <c r="P22" s="114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25">
      <c r="A23" t="s">
        <v>843</v>
      </c>
      <c r="B23" t="s">
        <v>379</v>
      </c>
      <c r="C23" s="66"/>
      <c r="E23" s="19" t="s">
        <v>808</v>
      </c>
      <c r="F23" s="23">
        <v>1.0013052701465923</v>
      </c>
      <c r="G23" s="52">
        <v>1.0013052701465923</v>
      </c>
      <c r="H23" s="113" t="s">
        <v>830</v>
      </c>
      <c r="I23" s="114">
        <v>4.3033296266063887</v>
      </c>
      <c r="J23" s="114">
        <v>3.8618521080387676</v>
      </c>
      <c r="K23" s="114">
        <v>8.2807555541622317</v>
      </c>
      <c r="L23" s="114">
        <v>11.418017042308243</v>
      </c>
      <c r="M23" s="114">
        <v>4.3033296266063887</v>
      </c>
      <c r="N23" s="114">
        <v>3.8618521080387676</v>
      </c>
      <c r="O23" s="114">
        <v>8.2807555541622317</v>
      </c>
      <c r="P23" s="114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25">
      <c r="A24" t="s">
        <v>843</v>
      </c>
      <c r="B24" t="s">
        <v>21</v>
      </c>
      <c r="C24" s="66"/>
      <c r="E24" s="19" t="s">
        <v>808</v>
      </c>
      <c r="F24" s="23">
        <v>1.0013052701465923</v>
      </c>
      <c r="G24" s="52">
        <v>1.0013052701465923</v>
      </c>
      <c r="H24" s="113" t="s">
        <v>831</v>
      </c>
      <c r="I24" s="114">
        <v>4.3033296266063887</v>
      </c>
      <c r="J24" s="114">
        <v>3.8618521080387676</v>
      </c>
      <c r="K24" s="114">
        <v>8.2807555541622317</v>
      </c>
      <c r="L24" s="114">
        <v>11.418017042308243</v>
      </c>
      <c r="M24" s="114">
        <v>4.3033296266063887</v>
      </c>
      <c r="N24" s="114">
        <v>3.8618521080387676</v>
      </c>
      <c r="O24" s="114">
        <v>8.2807555541622317</v>
      </c>
      <c r="P24" s="114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25">
      <c r="A25" t="s">
        <v>844</v>
      </c>
      <c r="B25" t="s">
        <v>208</v>
      </c>
      <c r="C25" s="66"/>
      <c r="E25" s="19" t="s">
        <v>808</v>
      </c>
      <c r="F25" s="23">
        <v>1.0013052701465923</v>
      </c>
      <c r="G25" s="52">
        <v>1.0013052701465923</v>
      </c>
      <c r="H25" s="113" t="s">
        <v>832</v>
      </c>
      <c r="I25" s="114">
        <v>4.3033296266063887</v>
      </c>
      <c r="J25" s="114">
        <v>3.8618521080387671</v>
      </c>
      <c r="K25" s="114">
        <v>8.2807555541622317</v>
      </c>
      <c r="L25" s="114">
        <v>11.418017042308243</v>
      </c>
      <c r="M25" s="114">
        <v>4.3033296266063887</v>
      </c>
      <c r="N25" s="114">
        <v>3.8618521080387671</v>
      </c>
      <c r="O25" s="114">
        <v>8.2807555541622317</v>
      </c>
      <c r="P25" s="114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25">
      <c r="A26" t="s">
        <v>844</v>
      </c>
      <c r="B26" s="66" t="s">
        <v>380</v>
      </c>
      <c r="C26" s="66"/>
      <c r="E26" s="19" t="s">
        <v>808</v>
      </c>
      <c r="F26" s="23">
        <v>1.0013052701465923</v>
      </c>
      <c r="G26" s="52">
        <v>1.0013052701465923</v>
      </c>
      <c r="H26" s="113" t="s">
        <v>833</v>
      </c>
      <c r="I26" s="114">
        <v>4.3033296266063887</v>
      </c>
      <c r="J26" s="114">
        <v>3.8618521080387671</v>
      </c>
      <c r="K26" s="114">
        <v>8.28075555416223</v>
      </c>
      <c r="L26" s="114">
        <v>11.418017042308243</v>
      </c>
      <c r="M26" s="114">
        <v>4.3033296266063887</v>
      </c>
      <c r="N26" s="114">
        <v>3.8618521080387671</v>
      </c>
      <c r="O26" s="114">
        <v>8.28075555416223</v>
      </c>
      <c r="P26" s="114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25">
      <c r="A27" t="s">
        <v>844</v>
      </c>
      <c r="B27" t="s">
        <v>381</v>
      </c>
      <c r="C27" s="66"/>
      <c r="E27" s="19" t="s">
        <v>808</v>
      </c>
      <c r="F27" s="23">
        <v>1.0013052701465923</v>
      </c>
      <c r="G27" s="52">
        <v>1.0013052701465923</v>
      </c>
      <c r="H27" s="113" t="s">
        <v>834</v>
      </c>
      <c r="I27" s="114">
        <v>4.3033296266063887</v>
      </c>
      <c r="J27" s="114">
        <v>3.8618521080387671</v>
      </c>
      <c r="K27" s="114">
        <v>8.2807555541622317</v>
      </c>
      <c r="L27" s="114">
        <v>11.418017042308243</v>
      </c>
      <c r="M27" s="114">
        <v>4.3033296266063887</v>
      </c>
      <c r="N27" s="114">
        <v>3.8618521080387671</v>
      </c>
      <c r="O27" s="114">
        <v>8.2807555541622317</v>
      </c>
      <c r="P27" s="114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25">
      <c r="A28" t="s">
        <v>844</v>
      </c>
      <c r="B28" t="s">
        <v>382</v>
      </c>
      <c r="C28" s="66"/>
      <c r="E28" s="19" t="s">
        <v>808</v>
      </c>
      <c r="F28" s="23">
        <v>1.0013052701465923</v>
      </c>
      <c r="G28" s="52">
        <v>1.0013052701465923</v>
      </c>
      <c r="H28" s="113" t="s">
        <v>835</v>
      </c>
      <c r="I28" s="114">
        <v>4.3033296266063887</v>
      </c>
      <c r="J28" s="114">
        <v>3.8618521080387671</v>
      </c>
      <c r="K28" s="114">
        <v>8.2807555541622317</v>
      </c>
      <c r="L28" s="114">
        <v>11.418017042308243</v>
      </c>
      <c r="M28" s="114">
        <v>4.3033296266063887</v>
      </c>
      <c r="N28" s="114">
        <v>3.8618521080387671</v>
      </c>
      <c r="O28" s="114">
        <v>8.2807555541622317</v>
      </c>
      <c r="P28" s="114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25">
      <c r="A29" t="s">
        <v>844</v>
      </c>
      <c r="B29" t="s">
        <v>383</v>
      </c>
      <c r="C29" s="66"/>
      <c r="E29" s="19" t="s">
        <v>808</v>
      </c>
      <c r="F29" s="23">
        <v>1.0013052701465923</v>
      </c>
      <c r="G29" s="52">
        <v>1.0013052701465923</v>
      </c>
      <c r="H29" s="113" t="s">
        <v>836</v>
      </c>
      <c r="I29" s="114">
        <v>4.3033296266063887</v>
      </c>
      <c r="J29" s="114">
        <v>3.8618521080387676</v>
      </c>
      <c r="K29" s="114">
        <v>8.2807555541622317</v>
      </c>
      <c r="L29" s="114">
        <v>11.418017042308243</v>
      </c>
      <c r="M29" s="114">
        <v>4.3033296266063887</v>
      </c>
      <c r="N29" s="114">
        <v>3.8618521080387676</v>
      </c>
      <c r="O29" s="114">
        <v>8.2807555541622317</v>
      </c>
      <c r="P29" s="114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25">
      <c r="A30" t="s">
        <v>844</v>
      </c>
      <c r="B30" t="s">
        <v>25</v>
      </c>
      <c r="C30" s="66"/>
      <c r="E30" s="19" t="s">
        <v>808</v>
      </c>
      <c r="F30" s="23">
        <v>1.0013052701465923</v>
      </c>
      <c r="G30" s="52">
        <v>1.0013052701465923</v>
      </c>
      <c r="H30" s="113" t="s">
        <v>837</v>
      </c>
      <c r="I30" s="114">
        <v>4.3033296266063896</v>
      </c>
      <c r="J30" s="114">
        <v>3.8618521080387667</v>
      </c>
      <c r="K30" s="114">
        <v>8.2807555541622317</v>
      </c>
      <c r="L30" s="114">
        <v>11.418017042308243</v>
      </c>
      <c r="M30" s="114">
        <v>4.3033296266063896</v>
      </c>
      <c r="N30" s="114">
        <v>3.8618521080387667</v>
      </c>
      <c r="O30" s="114">
        <v>8.2807555541622317</v>
      </c>
      <c r="P30" s="114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25">
      <c r="A31" t="s">
        <v>844</v>
      </c>
      <c r="B31" t="s">
        <v>384</v>
      </c>
      <c r="C31" s="66"/>
      <c r="E31" s="19" t="s">
        <v>808</v>
      </c>
      <c r="F31" s="23">
        <v>1.0013052701465923</v>
      </c>
      <c r="G31" s="52">
        <v>1.0013052701465923</v>
      </c>
      <c r="H31" s="113" t="s">
        <v>838</v>
      </c>
      <c r="I31" s="114">
        <v>4.3033296266063887</v>
      </c>
      <c r="J31" s="114">
        <v>3.8618521080387671</v>
      </c>
      <c r="K31" s="114">
        <v>8.2807555541622317</v>
      </c>
      <c r="L31" s="114">
        <v>11.418017042308245</v>
      </c>
      <c r="M31" s="114">
        <v>4.3033296266063887</v>
      </c>
      <c r="N31" s="114">
        <v>3.8618521080387671</v>
      </c>
      <c r="O31" s="114">
        <v>8.2807555541622317</v>
      </c>
      <c r="P31" s="114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25">
      <c r="A32" t="s">
        <v>846</v>
      </c>
      <c r="B32" t="s">
        <v>385</v>
      </c>
      <c r="C32" s="66"/>
      <c r="E32" s="19" t="s">
        <v>808</v>
      </c>
      <c r="F32" s="23">
        <v>1.0013052701465923</v>
      </c>
      <c r="G32" s="52">
        <v>1.0013052701465923</v>
      </c>
      <c r="H32" s="113" t="s">
        <v>839</v>
      </c>
      <c r="I32" s="114">
        <v>3.6412789148207905</v>
      </c>
      <c r="J32" s="114">
        <v>3.0343123706018891</v>
      </c>
      <c r="K32" s="114">
        <v>8.2807555541622317</v>
      </c>
      <c r="L32" s="114">
        <v>11.418017042308245</v>
      </c>
      <c r="M32" s="114">
        <v>3.6412789148207905</v>
      </c>
      <c r="N32" s="114">
        <v>3.0343123706018891</v>
      </c>
      <c r="O32" s="114">
        <v>8.2807555541622317</v>
      </c>
      <c r="P32" s="114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25">
      <c r="A33" t="s">
        <v>847</v>
      </c>
      <c r="B33" t="s">
        <v>386</v>
      </c>
      <c r="C33" s="66"/>
      <c r="E33" s="19" t="s">
        <v>808</v>
      </c>
      <c r="F33" s="23">
        <v>1.0013052701465923</v>
      </c>
      <c r="G33" s="52">
        <v>1.0013052701465923</v>
      </c>
      <c r="H33" s="113" t="s">
        <v>840</v>
      </c>
      <c r="I33" s="114">
        <v>4.3033296266063887</v>
      </c>
      <c r="J33" s="114">
        <v>3.8618521080387667</v>
      </c>
      <c r="K33" s="114">
        <v>10.764982220410905</v>
      </c>
      <c r="L33" s="114">
        <v>11.418017042308243</v>
      </c>
      <c r="M33" s="114">
        <v>4.3033296266063887</v>
      </c>
      <c r="N33" s="114">
        <v>3.8618521080387667</v>
      </c>
      <c r="O33" s="114">
        <v>10.764982220410905</v>
      </c>
      <c r="P33" s="114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25">
      <c r="A34" t="s">
        <v>847</v>
      </c>
      <c r="B34" t="s">
        <v>387</v>
      </c>
      <c r="C34" s="66"/>
      <c r="E34" s="19" t="s">
        <v>808</v>
      </c>
      <c r="F34" s="23">
        <v>1.0013052701465923</v>
      </c>
      <c r="G34" s="52">
        <v>1.0013052701465923</v>
      </c>
      <c r="H34" s="113" t="s">
        <v>841</v>
      </c>
      <c r="I34" s="114">
        <v>4.3033296266063887</v>
      </c>
      <c r="J34" s="114">
        <v>3.8618521080387667</v>
      </c>
      <c r="K34" s="114">
        <v>10.764982220410905</v>
      </c>
      <c r="L34" s="114">
        <v>11.418017042308243</v>
      </c>
      <c r="M34" s="114">
        <v>4.3033296266063887</v>
      </c>
      <c r="N34" s="114">
        <v>3.8618521080387667</v>
      </c>
      <c r="O34" s="114">
        <v>10.764982220410905</v>
      </c>
      <c r="P34" s="114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25">
      <c r="A35" t="s">
        <v>847</v>
      </c>
      <c r="B35" t="s">
        <v>32</v>
      </c>
      <c r="C35" s="66"/>
      <c r="E35" s="19" t="s">
        <v>808</v>
      </c>
      <c r="F35" s="23">
        <v>1.0013052701465923</v>
      </c>
      <c r="G35" s="52">
        <v>1.0013052701465923</v>
      </c>
      <c r="H35" s="113" t="s">
        <v>842</v>
      </c>
      <c r="I35" s="114">
        <v>4.3033296266063887</v>
      </c>
      <c r="J35" s="114">
        <v>3.8618521080387671</v>
      </c>
      <c r="K35" s="114">
        <v>10.764982220410905</v>
      </c>
      <c r="L35" s="114">
        <v>11.418017042308243</v>
      </c>
      <c r="M35" s="114">
        <v>4.3033296266063887</v>
      </c>
      <c r="N35" s="114">
        <v>3.8618521080387671</v>
      </c>
      <c r="O35" s="114">
        <v>10.764982220410905</v>
      </c>
      <c r="P35" s="114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25">
      <c r="A36" t="s">
        <v>848</v>
      </c>
      <c r="B36" t="s">
        <v>35</v>
      </c>
      <c r="C36" s="66"/>
      <c r="E36" s="19" t="s">
        <v>810</v>
      </c>
      <c r="F36" s="23">
        <v>1.0115152973611488</v>
      </c>
      <c r="G36" s="52">
        <v>1.0115152973611488</v>
      </c>
      <c r="H36" s="113" t="s">
        <v>843</v>
      </c>
      <c r="I36" s="114">
        <v>26.573460442930482</v>
      </c>
      <c r="J36" s="114">
        <v>21.940434397524747</v>
      </c>
      <c r="K36" s="114">
        <v>38.232878902265512</v>
      </c>
      <c r="L36" s="114">
        <v>54.05136171020127</v>
      </c>
      <c r="M36" s="114">
        <v>26.573460442930482</v>
      </c>
      <c r="N36" s="114">
        <v>21.940434397524747</v>
      </c>
      <c r="O36" s="114">
        <v>38.232878902265512</v>
      </c>
      <c r="P36" s="114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25">
      <c r="A37" t="s">
        <v>849</v>
      </c>
      <c r="B37" t="s">
        <v>41</v>
      </c>
      <c r="C37" s="66"/>
      <c r="E37" s="19" t="s">
        <v>813</v>
      </c>
      <c r="F37" s="23">
        <v>0.91269533916708079</v>
      </c>
      <c r="G37" s="52">
        <v>0.91269533916708079</v>
      </c>
      <c r="H37" s="113" t="s">
        <v>844</v>
      </c>
      <c r="I37" s="114">
        <v>5.0112564938223549</v>
      </c>
      <c r="J37" s="114">
        <v>4.5885832117296594</v>
      </c>
      <c r="K37" s="114">
        <v>8.7093243563989038</v>
      </c>
      <c r="L37" s="114">
        <v>12.312451853118045</v>
      </c>
      <c r="M37" s="114">
        <v>5.0112564938223549</v>
      </c>
      <c r="N37" s="114">
        <v>4.5885832117296594</v>
      </c>
      <c r="O37" s="114">
        <v>8.7093243563989038</v>
      </c>
      <c r="P37" s="114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25">
      <c r="A38" t="s">
        <v>849</v>
      </c>
      <c r="B38" t="s">
        <v>388</v>
      </c>
      <c r="C38" s="66"/>
      <c r="E38" s="19" t="s">
        <v>813</v>
      </c>
      <c r="F38" s="23">
        <v>0.91269533916708079</v>
      </c>
      <c r="G38" s="52">
        <v>0.91269533916708079</v>
      </c>
      <c r="H38" s="113" t="s">
        <v>845</v>
      </c>
      <c r="I38" s="114">
        <v>5.0112564938223549</v>
      </c>
      <c r="J38" s="114">
        <v>4.5885832117296594</v>
      </c>
      <c r="K38" s="114">
        <v>8.7093243563989038</v>
      </c>
      <c r="L38" s="114">
        <v>12.312451853118045</v>
      </c>
      <c r="M38" s="114">
        <v>5.0112564938223549</v>
      </c>
      <c r="N38" s="114">
        <v>4.5885832117296594</v>
      </c>
      <c r="O38" s="114">
        <v>8.7093243563989038</v>
      </c>
      <c r="P38" s="114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25">
      <c r="A39" t="s">
        <v>850</v>
      </c>
      <c r="B39" t="s">
        <v>389</v>
      </c>
      <c r="C39" s="66"/>
      <c r="E39" s="19" t="s">
        <v>813</v>
      </c>
      <c r="F39" s="23">
        <v>0.91269533916708079</v>
      </c>
      <c r="G39" s="52">
        <v>0.91269533916708079</v>
      </c>
      <c r="H39" s="113" t="s">
        <v>846</v>
      </c>
      <c r="I39" s="114">
        <v>5.0112564938223549</v>
      </c>
      <c r="J39" s="114">
        <v>4.5885832117296594</v>
      </c>
      <c r="K39" s="114">
        <v>8.7093243563989038</v>
      </c>
      <c r="L39" s="114">
        <v>12.312451853118045</v>
      </c>
      <c r="M39" s="114">
        <v>5.0112564938223549</v>
      </c>
      <c r="N39" s="114">
        <v>4.5885832117296594</v>
      </c>
      <c r="O39" s="114">
        <v>8.7093243563989038</v>
      </c>
      <c r="P39" s="114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25">
      <c r="A40" t="s">
        <v>851</v>
      </c>
      <c r="B40" t="s">
        <v>390</v>
      </c>
      <c r="C40" s="66"/>
      <c r="E40" s="19" t="s">
        <v>813</v>
      </c>
      <c r="F40" s="23">
        <v>0.91269533916708079</v>
      </c>
      <c r="G40" s="52">
        <v>0.91269533916708079</v>
      </c>
      <c r="H40" s="113" t="s">
        <v>847</v>
      </c>
      <c r="I40" s="114">
        <v>6.2763891240476095</v>
      </c>
      <c r="J40" s="114">
        <v>5.8914898805729745</v>
      </c>
      <c r="K40" s="114">
        <v>9.6797203575725472</v>
      </c>
      <c r="L40" s="114">
        <v>13.684610767559803</v>
      </c>
      <c r="M40" s="114">
        <v>6.2763891240476095</v>
      </c>
      <c r="N40" s="114">
        <v>5.8914898805729745</v>
      </c>
      <c r="O40" s="114">
        <v>9.6797203575725472</v>
      </c>
      <c r="P40" s="114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25">
      <c r="A41" t="s">
        <v>851</v>
      </c>
      <c r="B41" t="s">
        <v>341</v>
      </c>
      <c r="C41" s="66"/>
      <c r="E41" s="19" t="s">
        <v>813</v>
      </c>
      <c r="F41" s="23">
        <v>0.91269533916708079</v>
      </c>
      <c r="G41" s="52">
        <v>0.91269533916708079</v>
      </c>
      <c r="H41" s="113" t="s">
        <v>848</v>
      </c>
      <c r="I41" s="114">
        <v>7.8984363260566317</v>
      </c>
      <c r="J41" s="114">
        <v>8.8077700969478556</v>
      </c>
      <c r="K41" s="114">
        <v>10.266087034139346</v>
      </c>
      <c r="L41" s="114">
        <v>17.416297162946602</v>
      </c>
      <c r="M41" s="114">
        <v>7.8984363260566317</v>
      </c>
      <c r="N41" s="114">
        <v>8.8077700969478556</v>
      </c>
      <c r="O41" s="114">
        <v>10.266087034139346</v>
      </c>
      <c r="P41" s="114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25">
      <c r="A42" t="s">
        <v>852</v>
      </c>
      <c r="B42" t="s">
        <v>391</v>
      </c>
      <c r="C42" s="66"/>
      <c r="E42" s="19" t="s">
        <v>813</v>
      </c>
      <c r="F42" s="23">
        <v>0.91269533916708079</v>
      </c>
      <c r="G42" s="52">
        <v>0.91269533916708079</v>
      </c>
      <c r="H42" s="113" t="s">
        <v>849</v>
      </c>
      <c r="I42" s="114">
        <v>5.824285330002053</v>
      </c>
      <c r="J42" s="114">
        <v>5.7065575874421688</v>
      </c>
      <c r="K42" s="114">
        <v>10.003496341969356</v>
      </c>
      <c r="L42" s="114">
        <v>18.856461233402662</v>
      </c>
      <c r="M42" s="114">
        <v>5.824285330002053</v>
      </c>
      <c r="N42" s="114">
        <v>5.7065575874421688</v>
      </c>
      <c r="O42" s="114">
        <v>10.003496341969356</v>
      </c>
      <c r="P42" s="114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25">
      <c r="A43" t="s">
        <v>853</v>
      </c>
      <c r="B43" t="s">
        <v>392</v>
      </c>
      <c r="C43" s="66"/>
      <c r="E43" s="19" t="s">
        <v>813</v>
      </c>
      <c r="F43" s="23">
        <v>0.91269533916708079</v>
      </c>
      <c r="G43" s="52">
        <v>0.91269533916708079</v>
      </c>
      <c r="H43" s="113" t="s">
        <v>850</v>
      </c>
      <c r="I43" s="114">
        <v>4.4823912956197276</v>
      </c>
      <c r="J43" s="114">
        <v>3.97446107805504</v>
      </c>
      <c r="K43" s="114">
        <v>9.8940018588425467</v>
      </c>
      <c r="L43" s="114">
        <v>13.987549161567669</v>
      </c>
      <c r="M43" s="114">
        <v>4.4823912956197276</v>
      </c>
      <c r="N43" s="114">
        <v>3.97446107805504</v>
      </c>
      <c r="O43" s="114">
        <v>9.8940018588425467</v>
      </c>
      <c r="P43" s="114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25">
      <c r="A44" t="s">
        <v>853</v>
      </c>
      <c r="B44" t="s">
        <v>43</v>
      </c>
      <c r="C44" s="66"/>
      <c r="E44" s="19" t="s">
        <v>813</v>
      </c>
      <c r="F44" s="23">
        <v>0.91269533916708079</v>
      </c>
      <c r="G44" s="52">
        <v>0.91269533916708079</v>
      </c>
      <c r="H44" s="113" t="s">
        <v>851</v>
      </c>
      <c r="I44" s="114">
        <v>6.1432800408741466</v>
      </c>
      <c r="J44" s="114">
        <v>3.8813898029118654</v>
      </c>
      <c r="K44" s="114">
        <v>9.828421688794327</v>
      </c>
      <c r="L44" s="114">
        <v>18.808965533018061</v>
      </c>
      <c r="M44" s="114">
        <v>6.1432800408741466</v>
      </c>
      <c r="N44" s="114">
        <v>3.8813898029118654</v>
      </c>
      <c r="O44" s="114">
        <v>9.828421688794327</v>
      </c>
      <c r="P44" s="114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25">
      <c r="A45" t="s">
        <v>854</v>
      </c>
      <c r="B45" t="s">
        <v>393</v>
      </c>
      <c r="C45" s="66"/>
      <c r="E45" s="19" t="s">
        <v>813</v>
      </c>
      <c r="F45" s="23">
        <v>0.91269533916708079</v>
      </c>
      <c r="G45" s="52">
        <v>0.91269533916708079</v>
      </c>
      <c r="H45" s="113" t="s">
        <v>852</v>
      </c>
      <c r="I45" s="114">
        <v>4.0952351112856933</v>
      </c>
      <c r="J45" s="114">
        <v>3.9752465492804525</v>
      </c>
      <c r="K45" s="114">
        <v>7.2785593813045155</v>
      </c>
      <c r="L45" s="114">
        <v>10.289992727300403</v>
      </c>
      <c r="M45" s="114">
        <v>4.0952351112856933</v>
      </c>
      <c r="N45" s="114">
        <v>3.9752465492804525</v>
      </c>
      <c r="O45" s="114">
        <v>7.2785593813045155</v>
      </c>
      <c r="P45" s="114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25">
      <c r="A46" t="s">
        <v>4</v>
      </c>
      <c r="B46" t="s">
        <v>46</v>
      </c>
      <c r="C46" s="66"/>
      <c r="E46" s="19" t="s">
        <v>816</v>
      </c>
      <c r="F46" s="23">
        <v>1.0668282266543636</v>
      </c>
      <c r="G46" s="52">
        <v>1.0668282266543636</v>
      </c>
      <c r="H46" s="113" t="s">
        <v>853</v>
      </c>
      <c r="I46" s="114">
        <v>9.2998034557404079</v>
      </c>
      <c r="J46" s="114">
        <v>9.9475823597273294</v>
      </c>
      <c r="K46" s="114">
        <v>12.124775295390402</v>
      </c>
      <c r="L46" s="114">
        <v>17.38679979497833</v>
      </c>
      <c r="M46" s="114">
        <v>9.2998034557404079</v>
      </c>
      <c r="N46" s="114">
        <v>9.9475823597273294</v>
      </c>
      <c r="O46" s="114">
        <v>12.124775295390402</v>
      </c>
      <c r="P46" s="114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25">
      <c r="A47" t="s">
        <v>855</v>
      </c>
      <c r="B47" t="s">
        <v>394</v>
      </c>
      <c r="C47" s="66"/>
      <c r="E47" s="19" t="s">
        <v>393</v>
      </c>
      <c r="F47" s="23">
        <v>1.0148400765095613</v>
      </c>
      <c r="G47" s="52">
        <v>1.0148400765095613</v>
      </c>
      <c r="H47" s="113" t="s">
        <v>854</v>
      </c>
      <c r="I47" s="114">
        <v>6.7646163523916005</v>
      </c>
      <c r="J47" s="114">
        <v>7.2229266732530446</v>
      </c>
      <c r="K47" s="114">
        <v>20.67793953756911</v>
      </c>
      <c r="L47" s="114">
        <v>29.401037087085548</v>
      </c>
      <c r="M47" s="114">
        <v>6.7646163523916005</v>
      </c>
      <c r="N47" s="114">
        <v>7.2229266732530446</v>
      </c>
      <c r="O47" s="114">
        <v>20.67793953756911</v>
      </c>
      <c r="P47" s="114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25">
      <c r="A48" t="s">
        <v>856</v>
      </c>
      <c r="B48" t="s">
        <v>395</v>
      </c>
      <c r="C48" s="66"/>
      <c r="E48" s="19" t="s">
        <v>46</v>
      </c>
      <c r="F48" s="23">
        <v>1.0481673409891203</v>
      </c>
      <c r="G48" s="52">
        <v>1.0481673409891203</v>
      </c>
      <c r="H48" s="113" t="s">
        <v>4</v>
      </c>
      <c r="I48" s="114">
        <v>3.9479927646749946</v>
      </c>
      <c r="J48" s="114">
        <v>5.9207327521636222</v>
      </c>
      <c r="K48" s="114">
        <v>9.795672551845275</v>
      </c>
      <c r="L48" s="114">
        <v>11.985716244152201</v>
      </c>
      <c r="M48" s="114">
        <v>3.9479927646749946</v>
      </c>
      <c r="N48" s="114">
        <v>5.9207327521636222</v>
      </c>
      <c r="O48" s="114">
        <v>9.795672551845275</v>
      </c>
      <c r="P48" s="114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25">
      <c r="A49" t="s">
        <v>857</v>
      </c>
      <c r="B49" t="s">
        <v>396</v>
      </c>
      <c r="C49" s="66"/>
      <c r="E49" s="19" t="s">
        <v>394</v>
      </c>
      <c r="F49" s="23">
        <v>1.018897259623289</v>
      </c>
      <c r="G49" s="52">
        <v>1.018897259623289</v>
      </c>
      <c r="H49" s="113" t="s">
        <v>855</v>
      </c>
      <c r="I49" s="114">
        <v>3.6178833605592091</v>
      </c>
      <c r="J49" s="114">
        <v>5.2715047858273341</v>
      </c>
      <c r="K49" s="114">
        <v>9.2995466574114012</v>
      </c>
      <c r="L49" s="114">
        <v>11.867316407728326</v>
      </c>
      <c r="M49" s="114">
        <v>3.6178833605592091</v>
      </c>
      <c r="N49" s="114">
        <v>5.2715047858273341</v>
      </c>
      <c r="O49" s="114">
        <v>9.2995466574114012</v>
      </c>
      <c r="P49" s="114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25">
      <c r="A50" t="s">
        <v>858</v>
      </c>
      <c r="B50" t="s">
        <v>397</v>
      </c>
      <c r="C50" s="66"/>
      <c r="E50" s="19" t="s">
        <v>46</v>
      </c>
      <c r="F50" s="23">
        <v>1.0481673409891203</v>
      </c>
      <c r="G50" s="52">
        <v>1.0481673409891203</v>
      </c>
      <c r="H50" s="113" t="s">
        <v>856</v>
      </c>
      <c r="I50" s="114">
        <v>5.9436720533445699</v>
      </c>
      <c r="J50" s="114">
        <v>6.4713907886384368</v>
      </c>
      <c r="K50" s="114">
        <v>10.763377615729652</v>
      </c>
      <c r="L50" s="114">
        <v>12.032439415511012</v>
      </c>
      <c r="M50" s="114">
        <v>5.9436720533445699</v>
      </c>
      <c r="N50" s="114">
        <v>6.4713907886384368</v>
      </c>
      <c r="O50" s="114">
        <v>10.763377615729652</v>
      </c>
      <c r="P50" s="114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25">
      <c r="A51" t="s">
        <v>859</v>
      </c>
      <c r="B51" t="s">
        <v>199</v>
      </c>
      <c r="C51" s="66"/>
      <c r="E51" s="19" t="s">
        <v>394</v>
      </c>
      <c r="F51" s="23">
        <v>1.018897259623289</v>
      </c>
      <c r="G51" s="52">
        <v>1.018897259623289</v>
      </c>
      <c r="H51" s="113" t="s">
        <v>857</v>
      </c>
      <c r="I51" s="114">
        <v>5.1672805496633352</v>
      </c>
      <c r="J51" s="114">
        <v>6.402369232449594</v>
      </c>
      <c r="K51" s="114">
        <v>9.745599479963337</v>
      </c>
      <c r="L51" s="114">
        <v>14.782795427471155</v>
      </c>
      <c r="M51" s="114">
        <v>5.1672805496633352</v>
      </c>
      <c r="N51" s="114">
        <v>6.402369232449594</v>
      </c>
      <c r="O51" s="114">
        <v>9.745599479963337</v>
      </c>
      <c r="P51" s="114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25">
      <c r="A52" t="s">
        <v>858</v>
      </c>
      <c r="B52" t="s">
        <v>398</v>
      </c>
      <c r="C52" s="66"/>
      <c r="E52" s="19" t="s">
        <v>48</v>
      </c>
      <c r="F52" s="23">
        <v>1.0420080998605381</v>
      </c>
      <c r="G52" s="52">
        <v>1.0420080998605381</v>
      </c>
      <c r="H52" s="113" t="s">
        <v>858</v>
      </c>
      <c r="I52" s="114">
        <v>5.9604202755722717</v>
      </c>
      <c r="J52" s="114">
        <v>8.7566768801258554</v>
      </c>
      <c r="K52" s="114">
        <v>14.110498570812933</v>
      </c>
      <c r="L52" s="114">
        <v>18.533819106990862</v>
      </c>
      <c r="M52" s="114">
        <v>5.9604202755722717</v>
      </c>
      <c r="N52" s="114">
        <v>8.7566768801258554</v>
      </c>
      <c r="O52" s="114">
        <v>14.110498570812933</v>
      </c>
      <c r="P52" s="114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25">
      <c r="A53" t="s">
        <v>860</v>
      </c>
      <c r="B53" t="s">
        <v>399</v>
      </c>
      <c r="C53" s="66"/>
      <c r="E53" s="19" t="s">
        <v>48</v>
      </c>
      <c r="F53" s="23">
        <v>1.0420080998605381</v>
      </c>
      <c r="G53" s="52">
        <v>1.0420080998605381</v>
      </c>
      <c r="H53" s="113" t="s">
        <v>859</v>
      </c>
      <c r="I53" s="114">
        <v>29.017161562438186</v>
      </c>
      <c r="J53" s="114">
        <v>29.912077834709343</v>
      </c>
      <c r="K53" s="114">
        <v>60.449382880765178</v>
      </c>
      <c r="L53" s="114">
        <v>81.632767052930049</v>
      </c>
      <c r="M53" s="114">
        <v>29.017161562438186</v>
      </c>
      <c r="N53" s="114">
        <v>29.912077834709343</v>
      </c>
      <c r="O53" s="114">
        <v>60.449382880765178</v>
      </c>
      <c r="P53" s="114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25">
      <c r="A54" t="s">
        <v>861</v>
      </c>
      <c r="B54" t="s">
        <v>200</v>
      </c>
      <c r="C54" s="66"/>
      <c r="E54" s="19" t="s">
        <v>824</v>
      </c>
      <c r="F54" s="23">
        <v>1.0972162049561627</v>
      </c>
      <c r="G54" s="52">
        <v>1.0972162049561627</v>
      </c>
      <c r="H54" s="113" t="s">
        <v>860</v>
      </c>
      <c r="I54" s="114">
        <v>7.6127562209588975</v>
      </c>
      <c r="J54" s="114">
        <v>11.917944721552733</v>
      </c>
      <c r="K54" s="114">
        <v>20.405579227991211</v>
      </c>
      <c r="L54" s="114">
        <v>46.107925768326169</v>
      </c>
      <c r="M54" s="114">
        <v>7.6127562209588975</v>
      </c>
      <c r="N54" s="114">
        <v>11.917944721552733</v>
      </c>
      <c r="O54" s="114">
        <v>20.405579227991211</v>
      </c>
      <c r="P54" s="114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25">
      <c r="A55" t="s">
        <v>862</v>
      </c>
      <c r="B55" t="s">
        <v>201</v>
      </c>
      <c r="C55" s="66"/>
      <c r="E55" s="19" t="s">
        <v>824</v>
      </c>
      <c r="F55" s="23">
        <v>1.0972162049561627</v>
      </c>
      <c r="G55" s="52">
        <v>1.0972162049561627</v>
      </c>
      <c r="H55" s="113" t="s">
        <v>861</v>
      </c>
      <c r="I55" s="114">
        <v>7.1334382716249269</v>
      </c>
      <c r="J55" s="114">
        <v>7.1843448468989681</v>
      </c>
      <c r="K55" s="114">
        <v>16.942496729729289</v>
      </c>
      <c r="L55" s="114">
        <v>26.994168634821143</v>
      </c>
      <c r="M55" s="114">
        <v>7.1334382716249269</v>
      </c>
      <c r="N55" s="114">
        <v>7.1843448468989681</v>
      </c>
      <c r="O55" s="114">
        <v>16.942496729729289</v>
      </c>
      <c r="P55" s="114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25">
      <c r="A56" t="s">
        <v>863</v>
      </c>
      <c r="B56" t="s">
        <v>48</v>
      </c>
      <c r="C56" s="66"/>
      <c r="E56" s="19" t="s">
        <v>824</v>
      </c>
      <c r="F56" s="23">
        <v>1.0972162049561627</v>
      </c>
      <c r="G56" s="52">
        <v>1.0972162049561627</v>
      </c>
      <c r="H56" s="113" t="s">
        <v>862</v>
      </c>
      <c r="I56" s="114">
        <v>8.5132946652279724</v>
      </c>
      <c r="J56" s="114">
        <v>9.7643150961106748</v>
      </c>
      <c r="K56" s="114">
        <v>22.291823571132582</v>
      </c>
      <c r="L56" s="114">
        <v>43.388597793145557</v>
      </c>
      <c r="M56" s="114">
        <v>8.5132946652279724</v>
      </c>
      <c r="N56" s="114">
        <v>9.7643150961106748</v>
      </c>
      <c r="O56" s="114">
        <v>22.291823571132582</v>
      </c>
      <c r="P56" s="114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25">
      <c r="E57" s="19" t="s">
        <v>48</v>
      </c>
      <c r="F57" s="23">
        <v>1.0420080998605381</v>
      </c>
      <c r="G57" s="52">
        <v>1.0420080998605381</v>
      </c>
      <c r="H57" s="113" t="s">
        <v>863</v>
      </c>
      <c r="I57" s="114">
        <v>4.2955788754988653</v>
      </c>
      <c r="J57" s="114">
        <v>7.2033154836522337</v>
      </c>
      <c r="K57" s="114">
        <v>8.5930593435733478</v>
      </c>
      <c r="L57" s="114">
        <v>23.035442009206147</v>
      </c>
      <c r="M57" s="114">
        <v>4.2955788754988653</v>
      </c>
      <c r="N57" s="114">
        <v>7.2033154836522337</v>
      </c>
      <c r="O57" s="114">
        <v>8.5930593435733478</v>
      </c>
      <c r="P57" s="114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25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25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3"/>
      <c r="W63" s="113" t="s">
        <v>867</v>
      </c>
      <c r="X63" s="113" t="s">
        <v>3</v>
      </c>
      <c r="Y63" s="113" t="s">
        <v>8</v>
      </c>
      <c r="Z63" s="113" t="s">
        <v>12</v>
      </c>
      <c r="AA63" s="113" t="s">
        <v>867</v>
      </c>
      <c r="AB63" s="113" t="s">
        <v>3</v>
      </c>
      <c r="AC63" s="113" t="s">
        <v>8</v>
      </c>
      <c r="AD63" s="113" t="s">
        <v>12</v>
      </c>
      <c r="AE63" s="113" t="s">
        <v>196</v>
      </c>
      <c r="AF63" s="113" t="s">
        <v>867</v>
      </c>
      <c r="AG63" s="113" t="s">
        <v>3</v>
      </c>
      <c r="AH63" s="113" t="s">
        <v>8</v>
      </c>
      <c r="AI63" s="113" t="s">
        <v>12</v>
      </c>
      <c r="AJ63" s="113" t="s">
        <v>196</v>
      </c>
    </row>
    <row r="64" spans="1:36" x14ac:dyDescent="0.25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3" t="s">
        <v>363</v>
      </c>
      <c r="W64" s="114">
        <v>4.2977199410688973</v>
      </c>
      <c r="X64" s="114">
        <v>3.856817918748582</v>
      </c>
      <c r="Y64" s="114">
        <v>8.2699610209281325</v>
      </c>
      <c r="Z64" s="114">
        <v>11.40313287339098</v>
      </c>
      <c r="AA64" s="114">
        <v>2020.7222036723449</v>
      </c>
      <c r="AB64" s="114">
        <v>171.66474839074013</v>
      </c>
      <c r="AC64" s="114">
        <v>1.4838342578709149</v>
      </c>
      <c r="AD64" s="114">
        <v>0.20571718431978336</v>
      </c>
      <c r="AE64" s="114">
        <v>2194.0765035052759</v>
      </c>
      <c r="AF64" s="114">
        <v>8684.4981100833229</v>
      </c>
      <c r="AG64" s="114">
        <v>662.07967761087332</v>
      </c>
      <c r="AH64" s="114">
        <v>12.27125147411029</v>
      </c>
      <c r="AI64" s="114">
        <v>2.3458203871383532</v>
      </c>
      <c r="AJ64" s="114">
        <v>9361.1948595554441</v>
      </c>
    </row>
    <row r="65" spans="8:36" x14ac:dyDescent="0.25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3" t="s">
        <v>364</v>
      </c>
      <c r="W65" s="114">
        <v>4.2977199410688973</v>
      </c>
      <c r="X65" s="114">
        <v>3.856817918748582</v>
      </c>
      <c r="Y65" s="114">
        <v>8.2699610209281325</v>
      </c>
      <c r="Z65" s="114">
        <v>11.40313287339098</v>
      </c>
      <c r="AA65" s="114">
        <v>2606.9902455421729</v>
      </c>
      <c r="AB65" s="114">
        <v>221.8407908330251</v>
      </c>
      <c r="AC65" s="114">
        <v>1.3461118267020387</v>
      </c>
      <c r="AD65" s="114">
        <v>0.52759333436174261</v>
      </c>
      <c r="AE65" s="114">
        <v>2830.7047415362617</v>
      </c>
      <c r="AF65" s="114">
        <v>11204.113964438699</v>
      </c>
      <c r="AG65" s="114">
        <v>855.5995371941674</v>
      </c>
      <c r="AH65" s="114">
        <v>11.132292336636224</v>
      </c>
      <c r="AI65" s="114">
        <v>6.016216894842346</v>
      </c>
      <c r="AJ65" s="114">
        <v>12076.862010864346</v>
      </c>
    </row>
    <row r="66" spans="8:36" x14ac:dyDescent="0.25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3" t="s">
        <v>365</v>
      </c>
      <c r="W66" s="114">
        <v>4.2977199410688973</v>
      </c>
      <c r="X66" s="114">
        <v>3.856817918748582</v>
      </c>
      <c r="Y66" s="114">
        <v>8.2699610209281325</v>
      </c>
      <c r="Z66" s="114">
        <v>11.40313287339098</v>
      </c>
      <c r="AA66" s="114">
        <v>57.908290972623817</v>
      </c>
      <c r="AB66" s="114">
        <v>4.9352390125974175</v>
      </c>
      <c r="AC66" s="114">
        <v>3.6506004797019945E-2</v>
      </c>
      <c r="AD66" s="114">
        <v>1.7055088179173675E-2</v>
      </c>
      <c r="AE66" s="114">
        <v>62.897091078197434</v>
      </c>
      <c r="AF66" s="114">
        <v>248.87361686626539</v>
      </c>
      <c r="AG66" s="114">
        <v>19.034318257092778</v>
      </c>
      <c r="AH66" s="114">
        <v>0.30190323670117036</v>
      </c>
      <c r="AI66" s="114">
        <v>0.19448143667451726</v>
      </c>
      <c r="AJ66" s="114">
        <v>268.40431979673383</v>
      </c>
    </row>
    <row r="67" spans="8:36" x14ac:dyDescent="0.25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3" t="s">
        <v>868</v>
      </c>
      <c r="W67" s="114">
        <v>4.2977199410688973</v>
      </c>
      <c r="X67" s="114">
        <v>3.856817918748582</v>
      </c>
      <c r="Y67" s="114">
        <v>8.2699610209281325</v>
      </c>
      <c r="Z67" s="114">
        <v>11.40313287339098</v>
      </c>
      <c r="AA67" s="114">
        <v>2037.4067051879929</v>
      </c>
      <c r="AB67" s="114">
        <v>173.95770025957148</v>
      </c>
      <c r="AC67" s="114">
        <v>2.1356047351167353</v>
      </c>
      <c r="AD67" s="114">
        <v>0.8256993409226997</v>
      </c>
      <c r="AE67" s="114">
        <v>2214.325709523604</v>
      </c>
      <c r="AF67" s="114">
        <v>8756.2034249539174</v>
      </c>
      <c r="AG67" s="114">
        <v>670.92317546541017</v>
      </c>
      <c r="AH67" s="114">
        <v>17.661367915524949</v>
      </c>
      <c r="AI67" s="114">
        <v>9.4155592980129033</v>
      </c>
      <c r="AJ67" s="114">
        <v>9454.2035276328661</v>
      </c>
    </row>
    <row r="68" spans="8:36" x14ac:dyDescent="0.25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3" t="s">
        <v>869</v>
      </c>
      <c r="W68" s="114">
        <v>4.2977199410688973</v>
      </c>
      <c r="X68" s="114">
        <v>3.856817918748582</v>
      </c>
      <c r="Y68" s="114">
        <v>8.2699610209281325</v>
      </c>
      <c r="Z68" s="114">
        <v>11.40313287339098</v>
      </c>
      <c r="AA68" s="114">
        <v>1095.7768541112976</v>
      </c>
      <c r="AB68" s="114">
        <v>92.930653421705941</v>
      </c>
      <c r="AC68" s="114">
        <v>0.60034223717542068</v>
      </c>
      <c r="AD68" s="114">
        <v>0</v>
      </c>
      <c r="AE68" s="114">
        <v>1189.307849770179</v>
      </c>
      <c r="AF68" s="114">
        <v>4709.3420368758671</v>
      </c>
      <c r="AG68" s="114">
        <v>358.41660931784969</v>
      </c>
      <c r="AH68" s="114">
        <v>4.9648069006575213</v>
      </c>
      <c r="AI68" s="114">
        <v>0</v>
      </c>
      <c r="AJ68" s="114">
        <v>5072.7234530943742</v>
      </c>
    </row>
    <row r="69" spans="8:36" x14ac:dyDescent="0.25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3" t="s">
        <v>870</v>
      </c>
      <c r="W69" s="114">
        <v>4.2977199410688973</v>
      </c>
      <c r="X69" s="114">
        <v>3.856817918748582</v>
      </c>
      <c r="Y69" s="114">
        <v>8.2699610209281325</v>
      </c>
      <c r="Z69" s="114">
        <v>11.40313287339098</v>
      </c>
      <c r="AA69" s="114">
        <v>1694.2429794736988</v>
      </c>
      <c r="AB69" s="114">
        <v>144.14618315699229</v>
      </c>
      <c r="AC69" s="114">
        <v>1.2859079673579665</v>
      </c>
      <c r="AD69" s="114">
        <v>0.32540134413817551</v>
      </c>
      <c r="AE69" s="114">
        <v>1840.0004719421872</v>
      </c>
      <c r="AF69" s="114">
        <v>7281.3818379000977</v>
      </c>
      <c r="AG69" s="114">
        <v>555.94558211910294</v>
      </c>
      <c r="AH69" s="114">
        <v>10.634408766551308</v>
      </c>
      <c r="AI69" s="114">
        <v>3.7105947643876407</v>
      </c>
      <c r="AJ69" s="114">
        <v>7851.6724235501397</v>
      </c>
    </row>
    <row r="70" spans="8:36" x14ac:dyDescent="0.25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3" t="s">
        <v>366</v>
      </c>
      <c r="W70" s="114">
        <v>4.2977199410688973</v>
      </c>
      <c r="X70" s="114">
        <v>3.856817918748582</v>
      </c>
      <c r="Y70" s="114">
        <v>8.2699610209281325</v>
      </c>
      <c r="Z70" s="114">
        <v>11.40313287339098</v>
      </c>
      <c r="AA70" s="114">
        <v>1634.6933752317568</v>
      </c>
      <c r="AB70" s="114">
        <v>138.89406751541483</v>
      </c>
      <c r="AC70" s="114">
        <v>1.0701817362789943</v>
      </c>
      <c r="AD70" s="114">
        <v>0.18287706259394448</v>
      </c>
      <c r="AE70" s="114">
        <v>1774.8405015460446</v>
      </c>
      <c r="AF70" s="114">
        <v>7025.4543162667424</v>
      </c>
      <c r="AG70" s="114">
        <v>535.68912840132725</v>
      </c>
      <c r="AH70" s="114">
        <v>8.8503612443364723</v>
      </c>
      <c r="AI70" s="114">
        <v>2.0853714442541884</v>
      </c>
      <c r="AJ70" s="114">
        <v>7572.0791773566607</v>
      </c>
    </row>
    <row r="71" spans="8:36" x14ac:dyDescent="0.25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3" t="s">
        <v>367</v>
      </c>
      <c r="W71" s="114">
        <v>4.2977199410688973</v>
      </c>
      <c r="X71" s="114">
        <v>3.856817918748582</v>
      </c>
      <c r="Y71" s="114">
        <v>8.2699610209281325</v>
      </c>
      <c r="Z71" s="114">
        <v>11.40313287339098</v>
      </c>
      <c r="AA71" s="114">
        <v>36.419250862351923</v>
      </c>
      <c r="AB71" s="114">
        <v>3.0886441587710642</v>
      </c>
      <c r="AC71" s="114">
        <v>1.0589162217075154E-2</v>
      </c>
      <c r="AD71" s="114">
        <v>0</v>
      </c>
      <c r="AE71" s="114">
        <v>39.518484183340064</v>
      </c>
      <c r="AF71" s="114">
        <v>156.51974066992051</v>
      </c>
      <c r="AG71" s="114">
        <v>11.912338136186381</v>
      </c>
      <c r="AH71" s="114">
        <v>8.7571958779496445E-2</v>
      </c>
      <c r="AI71" s="114">
        <v>0</v>
      </c>
      <c r="AJ71" s="114">
        <v>168.51965076488639</v>
      </c>
    </row>
    <row r="72" spans="8:36" x14ac:dyDescent="0.25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3" t="s">
        <v>368</v>
      </c>
      <c r="W72" s="114">
        <v>4.2977199410688973</v>
      </c>
      <c r="X72" s="114">
        <v>3.856817918748582</v>
      </c>
      <c r="Y72" s="114">
        <v>8.2699610209281325</v>
      </c>
      <c r="Z72" s="114">
        <v>11.40313287339098</v>
      </c>
      <c r="AA72" s="114">
        <v>437.1491071606784</v>
      </c>
      <c r="AB72" s="114">
        <v>37.121529694022826</v>
      </c>
      <c r="AC72" s="114">
        <v>0.26631714350932162</v>
      </c>
      <c r="AD72" s="114">
        <v>3.3742937903709254E-2</v>
      </c>
      <c r="AE72" s="114">
        <v>474.57069693611425</v>
      </c>
      <c r="AF72" s="114">
        <v>1878.7444350649118</v>
      </c>
      <c r="AG72" s="114">
        <v>143.17098089526479</v>
      </c>
      <c r="AH72" s="114">
        <v>2.2024323960270134</v>
      </c>
      <c r="AI72" s="114">
        <v>0.38477520445457752</v>
      </c>
      <c r="AJ72" s="114">
        <v>2024.5026235606583</v>
      </c>
    </row>
    <row r="73" spans="8:36" x14ac:dyDescent="0.25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3" t="s">
        <v>369</v>
      </c>
      <c r="W73" s="114">
        <v>4.2977199410688973</v>
      </c>
      <c r="X73" s="114">
        <v>3.856817918748582</v>
      </c>
      <c r="Y73" s="114">
        <v>8.2699610209281325</v>
      </c>
      <c r="Z73" s="114">
        <v>11.40313287339098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</row>
    <row r="74" spans="8:36" x14ac:dyDescent="0.25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3" t="s">
        <v>370</v>
      </c>
      <c r="W74" s="114">
        <v>4.2977199410688973</v>
      </c>
      <c r="X74" s="114">
        <v>3.856817918748582</v>
      </c>
      <c r="Y74" s="114">
        <v>8.2699610209281325</v>
      </c>
      <c r="Z74" s="114">
        <v>11.40313287339098</v>
      </c>
      <c r="AA74" s="114">
        <v>454.12914805914232</v>
      </c>
      <c r="AB74" s="114">
        <v>38.615217723002992</v>
      </c>
      <c r="AC74" s="114">
        <v>0.24146867461742061</v>
      </c>
      <c r="AD74" s="114">
        <v>7.1624162147304021E-2</v>
      </c>
      <c r="AE74" s="114">
        <v>493.05745861891006</v>
      </c>
      <c r="AF74" s="114">
        <v>1951.7198954344058</v>
      </c>
      <c r="AG74" s="114">
        <v>148.93186365045577</v>
      </c>
      <c r="AH74" s="114">
        <v>1.9969365268612467</v>
      </c>
      <c r="AI74" s="114">
        <v>0.81673983791100835</v>
      </c>
      <c r="AJ74" s="114">
        <v>2103.4654354496338</v>
      </c>
    </row>
    <row r="75" spans="8:36" x14ac:dyDescent="0.25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3" t="s">
        <v>346</v>
      </c>
      <c r="W75" s="114">
        <v>4.2977199410688973</v>
      </c>
      <c r="X75" s="114">
        <v>3.856817918748582</v>
      </c>
      <c r="Y75" s="114">
        <v>8.2699610209281325</v>
      </c>
      <c r="Z75" s="114">
        <v>11.40313287339098</v>
      </c>
      <c r="AA75" s="114">
        <v>2060.0625640573107</v>
      </c>
      <c r="AB75" s="114">
        <v>175.10764679552156</v>
      </c>
      <c r="AC75" s="114">
        <v>1.6158812545342389</v>
      </c>
      <c r="AD75" s="114">
        <v>0.28093704763922961</v>
      </c>
      <c r="AE75" s="114">
        <v>2237.0670291550059</v>
      </c>
      <c r="AF75" s="114">
        <v>8853.5719613986275</v>
      </c>
      <c r="AG75" s="114">
        <v>675.35830987086524</v>
      </c>
      <c r="AH75" s="114">
        <v>13.363274989446605</v>
      </c>
      <c r="AI75" s="114">
        <v>3.203562483288307</v>
      </c>
      <c r="AJ75" s="114">
        <v>9545.4971087422273</v>
      </c>
    </row>
    <row r="76" spans="8:36" x14ac:dyDescent="0.25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3" t="s">
        <v>371</v>
      </c>
      <c r="W76" s="114">
        <v>4.2977199410688973</v>
      </c>
      <c r="X76" s="114">
        <v>3.856817918748582</v>
      </c>
      <c r="Y76" s="114">
        <v>8.2699610209281325</v>
      </c>
      <c r="Z76" s="114">
        <v>11.40313287339098</v>
      </c>
      <c r="AA76" s="114">
        <v>76.385240361857299</v>
      </c>
      <c r="AB76" s="114">
        <v>6.4780801601787354</v>
      </c>
      <c r="AC76" s="114">
        <v>4.5976463457021811E-2</v>
      </c>
      <c r="AD76" s="114">
        <v>0</v>
      </c>
      <c r="AE76" s="114">
        <v>82.909296985493057</v>
      </c>
      <c r="AF76" s="114">
        <v>328.28237070649493</v>
      </c>
      <c r="AG76" s="114">
        <v>24.984775640867031</v>
      </c>
      <c r="AH76" s="114">
        <v>0.38022356066969709</v>
      </c>
      <c r="AI76" s="114">
        <v>0</v>
      </c>
      <c r="AJ76" s="114">
        <v>353.64736990803169</v>
      </c>
    </row>
    <row r="77" spans="8:36" x14ac:dyDescent="0.25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3" t="s">
        <v>348</v>
      </c>
      <c r="W77" s="114">
        <v>4.2977199410688973</v>
      </c>
      <c r="X77" s="114">
        <v>3.856817918748582</v>
      </c>
      <c r="Y77" s="114">
        <v>8.2699610209281325</v>
      </c>
      <c r="Z77" s="114">
        <v>11.40313287339098</v>
      </c>
      <c r="AA77" s="114">
        <v>7.1185216267710096</v>
      </c>
      <c r="AB77" s="114">
        <v>0.60370764694504486</v>
      </c>
      <c r="AC77" s="114">
        <v>3.4132455570358511E-3</v>
      </c>
      <c r="AD77" s="114">
        <v>0</v>
      </c>
      <c r="AE77" s="114">
        <v>7.7256425192730909</v>
      </c>
      <c r="AF77" s="114">
        <v>30.593412346303975</v>
      </c>
      <c r="AG77" s="114">
        <v>2.3283904704231917</v>
      </c>
      <c r="AH77" s="114">
        <v>2.8227407711542619E-2</v>
      </c>
      <c r="AI77" s="114">
        <v>0</v>
      </c>
      <c r="AJ77" s="114">
        <v>32.950030224438706</v>
      </c>
    </row>
    <row r="78" spans="8:36" x14ac:dyDescent="0.25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3" t="s">
        <v>372</v>
      </c>
      <c r="W78" s="114">
        <v>4.2977199410688973</v>
      </c>
      <c r="X78" s="114">
        <v>3.856817918748582</v>
      </c>
      <c r="Y78" s="114">
        <v>8.2699610209281325</v>
      </c>
      <c r="Z78" s="114">
        <v>11.40313287339098</v>
      </c>
      <c r="AA78" s="114">
        <v>77.445908895816288</v>
      </c>
      <c r="AB78" s="114">
        <v>6.5680333468652661</v>
      </c>
      <c r="AC78" s="114">
        <v>1.7237843115339643E-2</v>
      </c>
      <c r="AD78" s="114">
        <v>0</v>
      </c>
      <c r="AE78" s="114">
        <v>84.03118008579689</v>
      </c>
      <c r="AF78" s="114">
        <v>332.84082701575477</v>
      </c>
      <c r="AG78" s="114">
        <v>25.331708703128179</v>
      </c>
      <c r="AH78" s="114">
        <v>0.14255629064873321</v>
      </c>
      <c r="AI78" s="114">
        <v>0</v>
      </c>
      <c r="AJ78" s="114">
        <v>358.31509200953167</v>
      </c>
    </row>
    <row r="79" spans="8:36" x14ac:dyDescent="0.25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3" t="s">
        <v>347</v>
      </c>
      <c r="W79" s="114">
        <v>4.2977199410688973</v>
      </c>
      <c r="X79" s="114">
        <v>3.856817918748582</v>
      </c>
      <c r="Y79" s="114">
        <v>8.2699610209281325</v>
      </c>
      <c r="Z79" s="114">
        <v>11.40313287339098</v>
      </c>
      <c r="AA79" s="114">
        <v>137.68864270166259</v>
      </c>
      <c r="AB79" s="114">
        <v>11.78773267952643</v>
      </c>
      <c r="AC79" s="114">
        <v>0.16352016230982089</v>
      </c>
      <c r="AD79" s="114">
        <v>7.8123739140782258E-2</v>
      </c>
      <c r="AE79" s="114">
        <v>149.71801928263963</v>
      </c>
      <c r="AF79" s="114">
        <v>591.74722539764582</v>
      </c>
      <c r="AG79" s="114">
        <v>45.463138619815773</v>
      </c>
      <c r="AH79" s="114">
        <v>1.3523053684380604</v>
      </c>
      <c r="AI79" s="114">
        <v>0.89085537798847581</v>
      </c>
      <c r="AJ79" s="114">
        <v>639.45352476388814</v>
      </c>
    </row>
    <row r="80" spans="8:36" x14ac:dyDescent="0.25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3" t="s">
        <v>871</v>
      </c>
      <c r="W80" s="114">
        <v>4.2977199410688973</v>
      </c>
      <c r="X80" s="114">
        <v>3.856817918748582</v>
      </c>
      <c r="Y80" s="114">
        <v>8.2699610209281325</v>
      </c>
      <c r="Z80" s="114">
        <v>11.40313287339098</v>
      </c>
      <c r="AA80" s="114">
        <v>946.90860822863999</v>
      </c>
      <c r="AB80" s="114">
        <v>80.427464163383846</v>
      </c>
      <c r="AC80" s="114">
        <v>0.74784103212311137</v>
      </c>
      <c r="AD80" s="114">
        <v>8.6171951675406935E-2</v>
      </c>
      <c r="AE80" s="114">
        <v>1028.1700853758223</v>
      </c>
      <c r="AF80" s="114">
        <v>4069.5480079540221</v>
      </c>
      <c r="AG80" s="114">
        <v>310.19408494484827</v>
      </c>
      <c r="AH80" s="114">
        <v>6.1846161855087942</v>
      </c>
      <c r="AI80" s="114">
        <v>0.98263021491409175</v>
      </c>
      <c r="AJ80" s="114">
        <v>4386.9093392992936</v>
      </c>
    </row>
    <row r="81" spans="8:36" x14ac:dyDescent="0.25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3" t="s">
        <v>373</v>
      </c>
      <c r="W81" s="114">
        <v>4.2977199410688973</v>
      </c>
      <c r="X81" s="114">
        <v>3.856817918748582</v>
      </c>
      <c r="Y81" s="114">
        <v>8.2699610209281325</v>
      </c>
      <c r="Z81" s="114">
        <v>11.40313287339098</v>
      </c>
      <c r="AA81" s="114">
        <v>0</v>
      </c>
      <c r="AB81" s="114">
        <v>0</v>
      </c>
      <c r="AC81" s="114">
        <v>0</v>
      </c>
      <c r="AD81" s="114">
        <v>0</v>
      </c>
      <c r="AE81" s="114">
        <v>0</v>
      </c>
      <c r="AF81" s="114">
        <v>0</v>
      </c>
      <c r="AG81" s="114">
        <v>0</v>
      </c>
      <c r="AH81" s="114">
        <v>0</v>
      </c>
      <c r="AI81" s="114">
        <v>0</v>
      </c>
      <c r="AJ81" s="114">
        <v>0</v>
      </c>
    </row>
    <row r="82" spans="8:36" x14ac:dyDescent="0.25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3" t="s">
        <v>374</v>
      </c>
      <c r="W82" s="114">
        <v>4.2977199410688973</v>
      </c>
      <c r="X82" s="114">
        <v>3.856817918748582</v>
      </c>
      <c r="Y82" s="114">
        <v>8.2699610209281325</v>
      </c>
      <c r="Z82" s="114">
        <v>11.40313287339098</v>
      </c>
      <c r="AA82" s="114">
        <v>1216.5865084182697</v>
      </c>
      <c r="AB82" s="114">
        <v>103.17627968427443</v>
      </c>
      <c r="AC82" s="114">
        <v>0.79399812554187854</v>
      </c>
      <c r="AD82" s="114">
        <v>0</v>
      </c>
      <c r="AE82" s="114">
        <v>1320.5567862280861</v>
      </c>
      <c r="AF82" s="114">
        <v>5228.5480972645819</v>
      </c>
      <c r="AG82" s="114">
        <v>397.93212427612491</v>
      </c>
      <c r="AH82" s="114">
        <v>6.566333548921337</v>
      </c>
      <c r="AI82" s="114">
        <v>0</v>
      </c>
      <c r="AJ82" s="114">
        <v>5633.0465550896288</v>
      </c>
    </row>
    <row r="83" spans="8:36" x14ac:dyDescent="0.25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3" t="s">
        <v>872</v>
      </c>
      <c r="W83" s="114">
        <v>4.2977199410688973</v>
      </c>
      <c r="X83" s="114">
        <v>3.856817918748582</v>
      </c>
      <c r="Y83" s="114">
        <v>8.2699610209281325</v>
      </c>
      <c r="Z83" s="114">
        <v>11.40313287339098</v>
      </c>
      <c r="AA83" s="114">
        <v>36.12134291012125</v>
      </c>
      <c r="AB83" s="114">
        <v>3.0633791784455111</v>
      </c>
      <c r="AC83" s="114">
        <v>2.3259448654050073E-2</v>
      </c>
      <c r="AD83" s="114">
        <v>0</v>
      </c>
      <c r="AE83" s="114">
        <v>39.20798153722081</v>
      </c>
      <c r="AF83" s="114">
        <v>155.23941572301572</v>
      </c>
      <c r="AG83" s="114">
        <v>11.814895707349958</v>
      </c>
      <c r="AH83" s="114">
        <v>0.19235473373727341</v>
      </c>
      <c r="AI83" s="114">
        <v>0</v>
      </c>
      <c r="AJ83" s="114">
        <v>167.24666616410295</v>
      </c>
    </row>
    <row r="84" spans="8:36" x14ac:dyDescent="0.25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3" t="s">
        <v>873</v>
      </c>
      <c r="W84" s="114">
        <v>4.2977199410688973</v>
      </c>
      <c r="X84" s="114">
        <v>3.856817918748582</v>
      </c>
      <c r="Y84" s="114">
        <v>8.2699610209281325</v>
      </c>
      <c r="Z84" s="114">
        <v>11.40313287339098</v>
      </c>
      <c r="AA84" s="114">
        <v>533.36244787139753</v>
      </c>
      <c r="AB84" s="114">
        <v>45.233407335920226</v>
      </c>
      <c r="AC84" s="114">
        <v>0.1839799364300248</v>
      </c>
      <c r="AD84" s="114">
        <v>0</v>
      </c>
      <c r="AE84" s="114">
        <v>578.77983514374773</v>
      </c>
      <c r="AF84" s="114">
        <v>2292.2424280342252</v>
      </c>
      <c r="AG84" s="114">
        <v>174.4570159392307</v>
      </c>
      <c r="AH84" s="114">
        <v>1.5215069029091408</v>
      </c>
      <c r="AI84" s="114">
        <v>0</v>
      </c>
      <c r="AJ84" s="114">
        <v>2468.2209508763649</v>
      </c>
    </row>
    <row r="85" spans="8:36" x14ac:dyDescent="0.25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3" t="s">
        <v>874</v>
      </c>
      <c r="W85" s="114">
        <v>4.2977199410688973</v>
      </c>
      <c r="X85" s="114">
        <v>3.856817918748582</v>
      </c>
      <c r="Y85" s="114">
        <v>8.2699610209281325</v>
      </c>
      <c r="Z85" s="114">
        <v>11.40313287339098</v>
      </c>
      <c r="AA85" s="114">
        <v>338.79328845165378</v>
      </c>
      <c r="AB85" s="114">
        <v>28.732384292087669</v>
      </c>
      <c r="AC85" s="114">
        <v>0.17638773561709015</v>
      </c>
      <c r="AD85" s="114">
        <v>0</v>
      </c>
      <c r="AE85" s="114">
        <v>367.70206047935852</v>
      </c>
      <c r="AF85" s="114">
        <v>1456.0386716789794</v>
      </c>
      <c r="AG85" s="114">
        <v>110.81557458609402</v>
      </c>
      <c r="AH85" s="114">
        <v>1.4587196981231123</v>
      </c>
      <c r="AI85" s="114">
        <v>0</v>
      </c>
      <c r="AJ85" s="114">
        <v>1568.3129659631966</v>
      </c>
    </row>
    <row r="86" spans="8:36" x14ac:dyDescent="0.25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3" t="s">
        <v>375</v>
      </c>
      <c r="W86" s="114">
        <v>4.2977199410688973</v>
      </c>
      <c r="X86" s="114">
        <v>3.856817918748582</v>
      </c>
      <c r="Y86" s="114">
        <v>8.2699610209281325</v>
      </c>
      <c r="Z86" s="114">
        <v>11.40313287339098</v>
      </c>
      <c r="AA86" s="114">
        <v>442.7190864948339</v>
      </c>
      <c r="AB86" s="114">
        <v>37.621643816032162</v>
      </c>
      <c r="AC86" s="114">
        <v>0.29075781866145634</v>
      </c>
      <c r="AD86" s="114">
        <v>5.3328253497839075E-2</v>
      </c>
      <c r="AE86" s="114">
        <v>480.68481638302541</v>
      </c>
      <c r="AF86" s="114">
        <v>1902.6826463206537</v>
      </c>
      <c r="AG86" s="114">
        <v>145.09983000244964</v>
      </c>
      <c r="AH86" s="114">
        <v>2.4045558268603342</v>
      </c>
      <c r="AI86" s="114">
        <v>0.60810916054173625</v>
      </c>
      <c r="AJ86" s="114">
        <v>2050.7951413105052</v>
      </c>
    </row>
    <row r="87" spans="8:36" x14ac:dyDescent="0.25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3" t="s">
        <v>376</v>
      </c>
      <c r="W87" s="114">
        <v>3.6365322578275281</v>
      </c>
      <c r="X87" s="114">
        <v>3.0303569361596003</v>
      </c>
      <c r="Y87" s="114">
        <v>8.2699610209281325</v>
      </c>
      <c r="Z87" s="114">
        <v>11.40313287339098</v>
      </c>
      <c r="AA87" s="114">
        <v>1128.2824100275077</v>
      </c>
      <c r="AB87" s="114">
        <v>23.006825560063024</v>
      </c>
      <c r="AC87" s="114">
        <v>5.0275441291926937</v>
      </c>
      <c r="AD87" s="114">
        <v>0.68795557759744619</v>
      </c>
      <c r="AE87" s="114">
        <v>1157.0047352943609</v>
      </c>
      <c r="AF87" s="114">
        <v>4103.0353800044177</v>
      </c>
      <c r="AG87" s="114">
        <v>69.718893414950969</v>
      </c>
      <c r="AH87" s="114">
        <v>41.577593979419646</v>
      </c>
      <c r="AI87" s="114">
        <v>7.8448488623341177</v>
      </c>
      <c r="AJ87" s="114">
        <v>4222.1767162611222</v>
      </c>
    </row>
    <row r="88" spans="8:36" x14ac:dyDescent="0.25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3" t="s">
        <v>875</v>
      </c>
      <c r="W88" s="114">
        <v>3.6365322578275281</v>
      </c>
      <c r="X88" s="114">
        <v>3.0303569361596003</v>
      </c>
      <c r="Y88" s="114">
        <v>8.2699610209281325</v>
      </c>
      <c r="Z88" s="114">
        <v>11.40313287339098</v>
      </c>
      <c r="AA88" s="114">
        <v>305.14270002163636</v>
      </c>
      <c r="AB88" s="114">
        <v>4.0594601695916808</v>
      </c>
      <c r="AC88" s="114">
        <v>1.2186747201142503</v>
      </c>
      <c r="AD88" s="114">
        <v>7.1080893566627404E-2</v>
      </c>
      <c r="AE88" s="114">
        <v>310.49191580490884</v>
      </c>
      <c r="AF88" s="114">
        <v>1109.6612718692693</v>
      </c>
      <c r="AG88" s="114">
        <v>12.301613281985777</v>
      </c>
      <c r="AH88" s="114">
        <v>10.078392432535351</v>
      </c>
      <c r="AI88" s="114">
        <v>0.8105448740996144</v>
      </c>
      <c r="AJ88" s="114">
        <v>1132.85182245789</v>
      </c>
    </row>
    <row r="89" spans="8:36" x14ac:dyDescent="0.25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3" t="s">
        <v>377</v>
      </c>
      <c r="W89" s="114">
        <v>3.6365322578275281</v>
      </c>
      <c r="X89" s="114">
        <v>3.0303569361596003</v>
      </c>
      <c r="Y89" s="114">
        <v>8.2699610209281325</v>
      </c>
      <c r="Z89" s="114">
        <v>11.40313287339098</v>
      </c>
      <c r="AA89" s="114">
        <v>246.46580798596563</v>
      </c>
      <c r="AB89" s="114">
        <v>5.7367994985568211</v>
      </c>
      <c r="AC89" s="114">
        <v>1.1215113463442585</v>
      </c>
      <c r="AD89" s="114">
        <v>0.18808405624075777</v>
      </c>
      <c r="AE89" s="114">
        <v>253.51220288710746</v>
      </c>
      <c r="AF89" s="114">
        <v>896.28086119248962</v>
      </c>
      <c r="AG89" s="114">
        <v>17.384550151808579</v>
      </c>
      <c r="AH89" s="114">
        <v>9.2748551187956494</v>
      </c>
      <c r="AI89" s="114">
        <v>2.1447474846797028</v>
      </c>
      <c r="AJ89" s="114">
        <v>925.08501394777352</v>
      </c>
    </row>
    <row r="90" spans="8:36" x14ac:dyDescent="0.25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3" t="s">
        <v>876</v>
      </c>
      <c r="W90" s="114">
        <v>3.6365322578275281</v>
      </c>
      <c r="X90" s="114">
        <v>3.0303569361596003</v>
      </c>
      <c r="Y90" s="114">
        <v>8.2699610209281325</v>
      </c>
      <c r="Z90" s="114">
        <v>11.40313287339098</v>
      </c>
      <c r="AA90" s="114">
        <v>743.68138267591314</v>
      </c>
      <c r="AB90" s="114">
        <v>55.973884569464808</v>
      </c>
      <c r="AC90" s="114">
        <v>7.5280326192015705</v>
      </c>
      <c r="AD90" s="114">
        <v>2.6229994273410182</v>
      </c>
      <c r="AE90" s="114">
        <v>809.80629929192048</v>
      </c>
      <c r="AF90" s="114">
        <v>2704.4213376467364</v>
      </c>
      <c r="AG90" s="114">
        <v>169.62084934887451</v>
      </c>
      <c r="AH90" s="114">
        <v>62.256536325072503</v>
      </c>
      <c r="AI90" s="114">
        <v>29.910410996798081</v>
      </c>
      <c r="AJ90" s="114">
        <v>2966.2091343174811</v>
      </c>
    </row>
    <row r="91" spans="8:36" x14ac:dyDescent="0.25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3" t="s">
        <v>877</v>
      </c>
      <c r="W91" s="114">
        <v>3.6365322578275281</v>
      </c>
      <c r="X91" s="114">
        <v>3.0303569361596003</v>
      </c>
      <c r="Y91" s="114">
        <v>8.2699610209281325</v>
      </c>
      <c r="Z91" s="114">
        <v>11.40313287339098</v>
      </c>
      <c r="AA91" s="114">
        <v>653.3609240346758</v>
      </c>
      <c r="AB91" s="114">
        <v>80.902165409542576</v>
      </c>
      <c r="AC91" s="114">
        <v>6.9242664886981959</v>
      </c>
      <c r="AD91" s="114">
        <v>3.9910987855629609</v>
      </c>
      <c r="AE91" s="114">
        <v>745.17845471847954</v>
      </c>
      <c r="AF91" s="114">
        <v>2375.9680762560997</v>
      </c>
      <c r="AG91" s="114">
        <v>245.16243809913863</v>
      </c>
      <c r="AH91" s="114">
        <v>57.263413960052986</v>
      </c>
      <c r="AI91" s="114">
        <v>45.511029762603819</v>
      </c>
      <c r="AJ91" s="114">
        <v>2723.9049580778951</v>
      </c>
    </row>
    <row r="92" spans="8:36" x14ac:dyDescent="0.25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3" t="s">
        <v>878</v>
      </c>
      <c r="W92" s="114">
        <v>3.6365322578275281</v>
      </c>
      <c r="X92" s="114">
        <v>3.0303569361596003</v>
      </c>
      <c r="Y92" s="114">
        <v>8.2699610209281325</v>
      </c>
      <c r="Z92" s="114">
        <v>11.40313287339098</v>
      </c>
      <c r="AA92" s="114">
        <v>428.54588069401859</v>
      </c>
      <c r="AB92" s="114">
        <v>3.8233985254060316</v>
      </c>
      <c r="AC92" s="114">
        <v>0.66603620203917235</v>
      </c>
      <c r="AD92" s="114">
        <v>0</v>
      </c>
      <c r="AE92" s="114">
        <v>433.03531542146379</v>
      </c>
      <c r="AF92" s="114">
        <v>1558.4209191029058</v>
      </c>
      <c r="AG92" s="114">
        <v>11.586262241166557</v>
      </c>
      <c r="AH92" s="114">
        <v>5.5080934293909696</v>
      </c>
      <c r="AI92" s="114">
        <v>0</v>
      </c>
      <c r="AJ92" s="114">
        <v>1575.5152747734635</v>
      </c>
    </row>
    <row r="93" spans="8:36" x14ac:dyDescent="0.25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3" t="s">
        <v>378</v>
      </c>
      <c r="W93" s="114">
        <v>3.6365322578275281</v>
      </c>
      <c r="X93" s="114">
        <v>3.0303569361596003</v>
      </c>
      <c r="Y93" s="114">
        <v>8.2699610209281325</v>
      </c>
      <c r="Z93" s="114">
        <v>11.40313287339098</v>
      </c>
      <c r="AA93" s="114">
        <v>530.25604331734564</v>
      </c>
      <c r="AB93" s="114">
        <v>6.7785019099425794</v>
      </c>
      <c r="AC93" s="114">
        <v>2.0755795299103439</v>
      </c>
      <c r="AD93" s="114">
        <v>0.10885986283570014</v>
      </c>
      <c r="AE93" s="114">
        <v>539.21898462003435</v>
      </c>
      <c r="AF93" s="114">
        <v>1928.2932064315185</v>
      </c>
      <c r="AG93" s="114">
        <v>20.541280279565594</v>
      </c>
      <c r="AH93" s="114">
        <v>17.164961808194882</v>
      </c>
      <c r="AI93" s="114">
        <v>1.2413434804946053</v>
      </c>
      <c r="AJ93" s="114">
        <v>1967.2407919997736</v>
      </c>
    </row>
    <row r="94" spans="8:36" x14ac:dyDescent="0.25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3" t="s">
        <v>6</v>
      </c>
      <c r="W94" s="114">
        <v>4.2977199410688973</v>
      </c>
      <c r="X94" s="114">
        <v>3.856817918748582</v>
      </c>
      <c r="Y94" s="114">
        <v>10.750949327206575</v>
      </c>
      <c r="Z94" s="114">
        <v>11.40313287339098</v>
      </c>
      <c r="AA94" s="114">
        <v>2860.0895327580765</v>
      </c>
      <c r="AB94" s="114">
        <v>300.34358876813184</v>
      </c>
      <c r="AC94" s="114">
        <v>21.750582704788503</v>
      </c>
      <c r="AD94" s="114">
        <v>34.660012721882637</v>
      </c>
      <c r="AE94" s="114">
        <v>3216.8437169528793</v>
      </c>
      <c r="AF94" s="114">
        <v>12291.863818176811</v>
      </c>
      <c r="AG94" s="114">
        <v>1158.3705349421862</v>
      </c>
      <c r="AH94" s="114">
        <v>233.83941249639693</v>
      </c>
      <c r="AI94" s="114">
        <v>395.23273046104947</v>
      </c>
      <c r="AJ94" s="114">
        <v>14079.306496076444</v>
      </c>
    </row>
    <row r="95" spans="8:36" x14ac:dyDescent="0.25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3" t="s">
        <v>10</v>
      </c>
      <c r="W95" s="114">
        <v>4.2977199410688973</v>
      </c>
      <c r="X95" s="114">
        <v>3.856817918748582</v>
      </c>
      <c r="Y95" s="114">
        <v>10.750949327206575</v>
      </c>
      <c r="Z95" s="114">
        <v>11.40313287339098</v>
      </c>
      <c r="AA95" s="114">
        <v>5.1271078321531824</v>
      </c>
      <c r="AB95" s="114">
        <v>27.086358416878994</v>
      </c>
      <c r="AC95" s="114">
        <v>0.3546483069400847</v>
      </c>
      <c r="AD95" s="114">
        <v>3.9334011358346204</v>
      </c>
      <c r="AE95" s="114">
        <v>36.501515691806887</v>
      </c>
      <c r="AF95" s="114">
        <v>22.034873570255257</v>
      </c>
      <c r="AG95" s="114">
        <v>104.46715249586538</v>
      </c>
      <c r="AH95" s="114">
        <v>3.8128059768924545</v>
      </c>
      <c r="AI95" s="114">
        <v>44.85309579626918</v>
      </c>
      <c r="AJ95" s="114">
        <v>175.16792783928227</v>
      </c>
    </row>
    <row r="96" spans="8:36" x14ac:dyDescent="0.25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3" t="s">
        <v>879</v>
      </c>
      <c r="W96" s="114">
        <v>26.270942725488776</v>
      </c>
      <c r="X96" s="114">
        <v>21.690659997691753</v>
      </c>
      <c r="Y96" s="114">
        <v>37.797627976569238</v>
      </c>
      <c r="Z96" s="114">
        <v>53.436029935692524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</row>
    <row r="97" spans="8:36" x14ac:dyDescent="0.25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3" t="s">
        <v>379</v>
      </c>
      <c r="W97" s="114">
        <v>26.270942725488776</v>
      </c>
      <c r="X97" s="114">
        <v>21.690659997691753</v>
      </c>
      <c r="Y97" s="114">
        <v>37.797627976569238</v>
      </c>
      <c r="Z97" s="114">
        <v>53.436029935692524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114">
        <v>0</v>
      </c>
    </row>
    <row r="98" spans="8:36" x14ac:dyDescent="0.25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3" t="s">
        <v>880</v>
      </c>
      <c r="W98" s="114">
        <v>26.270942725488776</v>
      </c>
      <c r="X98" s="114">
        <v>21.690659997691753</v>
      </c>
      <c r="Y98" s="114">
        <v>37.797627976569238</v>
      </c>
      <c r="Z98" s="114">
        <v>53.436029935692524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</row>
    <row r="99" spans="8:36" x14ac:dyDescent="0.25">
      <c r="T99" s="19" t="s">
        <v>812</v>
      </c>
      <c r="U99" s="19" t="s">
        <v>843</v>
      </c>
      <c r="V99" s="113" t="s">
        <v>21</v>
      </c>
      <c r="W99" s="114">
        <v>26.270942725488776</v>
      </c>
      <c r="X99" s="114">
        <v>21.690659997691753</v>
      </c>
      <c r="Y99" s="114">
        <v>37.797627976569238</v>
      </c>
      <c r="Z99" s="114">
        <v>53.436029935692524</v>
      </c>
      <c r="AA99" s="114">
        <v>164.8390663135267</v>
      </c>
      <c r="AB99" s="114">
        <v>4.8968323359628032</v>
      </c>
      <c r="AC99" s="114">
        <v>3.337313418376628</v>
      </c>
      <c r="AD99" s="114">
        <v>1.2744691359570686</v>
      </c>
      <c r="AE99" s="114">
        <v>174.34768120382321</v>
      </c>
      <c r="AF99" s="114">
        <v>4330.477670045706</v>
      </c>
      <c r="AG99" s="114">
        <v>106.21552526507185</v>
      </c>
      <c r="AH99" s="114">
        <v>126.14253102901235</v>
      </c>
      <c r="AI99" s="114">
        <v>68.102570901118099</v>
      </c>
      <c r="AJ99" s="114">
        <v>4630.9382972409085</v>
      </c>
    </row>
    <row r="100" spans="8:36" x14ac:dyDescent="0.25">
      <c r="T100" s="19" t="s">
        <v>815</v>
      </c>
      <c r="U100" s="19" t="s">
        <v>844</v>
      </c>
      <c r="V100" s="113" t="s">
        <v>208</v>
      </c>
      <c r="W100" s="114">
        <v>4.6527760287423918</v>
      </c>
      <c r="X100" s="114">
        <v>4.4407958974720554</v>
      </c>
      <c r="Y100" s="114">
        <v>9.5080956340283578</v>
      </c>
      <c r="Z100" s="114">
        <v>13.441977979314535</v>
      </c>
      <c r="AA100" s="114">
        <v>14.564692768996432</v>
      </c>
      <c r="AB100" s="114">
        <v>7.6805869918648479</v>
      </c>
      <c r="AC100" s="114">
        <v>0.50386363597525263</v>
      </c>
      <c r="AD100" s="114">
        <v>0.39919705395427751</v>
      </c>
      <c r="AE100" s="114">
        <v>23.148340450790812</v>
      </c>
      <c r="AF100" s="114">
        <v>67.766253381584249</v>
      </c>
      <c r="AG100" s="114">
        <v>34.107919203650653</v>
      </c>
      <c r="AH100" s="114">
        <v>4.7907836373619537</v>
      </c>
      <c r="AI100" s="114">
        <v>5.3659980086606343</v>
      </c>
      <c r="AJ100" s="114">
        <v>112.0309542312575</v>
      </c>
    </row>
    <row r="101" spans="8:36" x14ac:dyDescent="0.25">
      <c r="T101" s="19" t="s">
        <v>815</v>
      </c>
      <c r="U101" s="19" t="s">
        <v>844</v>
      </c>
      <c r="V101" s="113" t="s">
        <v>881</v>
      </c>
      <c r="W101" s="114">
        <v>4.6527760287423918</v>
      </c>
      <c r="X101" s="114">
        <v>4.4407958974720554</v>
      </c>
      <c r="Y101" s="114">
        <v>9.5080956340283578</v>
      </c>
      <c r="Z101" s="114">
        <v>13.441977979314535</v>
      </c>
      <c r="AA101" s="114">
        <v>3.0512420411959411</v>
      </c>
      <c r="AB101" s="114">
        <v>1.6090507573580273</v>
      </c>
      <c r="AC101" s="114">
        <v>9.9450907236823677E-2</v>
      </c>
      <c r="AD101" s="114">
        <v>8.3630108308201848E-2</v>
      </c>
      <c r="AE101" s="114">
        <v>4.8433738140989933</v>
      </c>
      <c r="AF101" s="114">
        <v>14.196745827167481</v>
      </c>
      <c r="AG101" s="114">
        <v>7.1454660020998313</v>
      </c>
      <c r="AH101" s="114">
        <v>0.94558873689860246</v>
      </c>
      <c r="AI101" s="114">
        <v>1.1241540742865388</v>
      </c>
      <c r="AJ101" s="114">
        <v>23.411954640452457</v>
      </c>
    </row>
    <row r="102" spans="8:36" x14ac:dyDescent="0.25">
      <c r="T102" s="19" t="s">
        <v>815</v>
      </c>
      <c r="U102" s="19" t="s">
        <v>844</v>
      </c>
      <c r="V102" s="113" t="s">
        <v>882</v>
      </c>
      <c r="W102" s="114">
        <v>4.6527760287423918</v>
      </c>
      <c r="X102" s="114">
        <v>4.4407958974720554</v>
      </c>
      <c r="Y102" s="114">
        <v>9.5080956340283578</v>
      </c>
      <c r="Z102" s="114">
        <v>13.441977979314535</v>
      </c>
      <c r="AA102" s="114">
        <v>8.9022784745830368</v>
      </c>
      <c r="AB102" s="114">
        <v>4.8339934217705585</v>
      </c>
      <c r="AC102" s="114">
        <v>0.32110088859781416</v>
      </c>
      <c r="AD102" s="114">
        <v>0.22026671289199062</v>
      </c>
      <c r="AE102" s="114">
        <v>14.277639497843401</v>
      </c>
      <c r="AF102" s="114">
        <v>41.420307887729336</v>
      </c>
      <c r="AG102" s="114">
        <v>21.466778155805599</v>
      </c>
      <c r="AH102" s="114">
        <v>3.0530579569595031</v>
      </c>
      <c r="AI102" s="114">
        <v>2.9608203042701349</v>
      </c>
      <c r="AJ102" s="114">
        <v>68.900964304764571</v>
      </c>
    </row>
    <row r="103" spans="8:36" x14ac:dyDescent="0.25">
      <c r="T103" s="19" t="s">
        <v>815</v>
      </c>
      <c r="U103" s="19" t="s">
        <v>844</v>
      </c>
      <c r="V103" s="113" t="s">
        <v>380</v>
      </c>
      <c r="W103" s="114">
        <v>4.6527760287423918</v>
      </c>
      <c r="X103" s="114">
        <v>4.4407958974720554</v>
      </c>
      <c r="Y103" s="114">
        <v>9.5080956340283578</v>
      </c>
      <c r="Z103" s="114">
        <v>13.441977979314535</v>
      </c>
      <c r="AA103" s="114">
        <v>2.3730117166150779</v>
      </c>
      <c r="AB103" s="114">
        <v>1.2716171012803492</v>
      </c>
      <c r="AC103" s="114">
        <v>0.11072401957931441</v>
      </c>
      <c r="AD103" s="114">
        <v>6.1598425178766937E-2</v>
      </c>
      <c r="AE103" s="114">
        <v>3.8169512626535083</v>
      </c>
      <c r="AF103" s="114">
        <v>11.041092030991468</v>
      </c>
      <c r="AG103" s="114">
        <v>5.6469920065210824</v>
      </c>
      <c r="AH103" s="114">
        <v>1.0527745671441497</v>
      </c>
      <c r="AI103" s="114">
        <v>0.8280046748134392</v>
      </c>
      <c r="AJ103" s="114">
        <v>18.56886327947014</v>
      </c>
    </row>
    <row r="104" spans="8:36" x14ac:dyDescent="0.25">
      <c r="T104" s="19" t="s">
        <v>815</v>
      </c>
      <c r="U104" s="19" t="s">
        <v>844</v>
      </c>
      <c r="V104" s="113" t="s">
        <v>381</v>
      </c>
      <c r="W104" s="114">
        <v>4.6527760287423918</v>
      </c>
      <c r="X104" s="114">
        <v>4.4407958974720554</v>
      </c>
      <c r="Y104" s="114">
        <v>9.5080956340283578</v>
      </c>
      <c r="Z104" s="114">
        <v>13.441977979314535</v>
      </c>
      <c r="AA104" s="114">
        <v>9.4768115673894329</v>
      </c>
      <c r="AB104" s="114">
        <v>4.9975290796237637</v>
      </c>
      <c r="AC104" s="114">
        <v>0.44951762266577716</v>
      </c>
      <c r="AD104" s="114">
        <v>0.25974562722220423</v>
      </c>
      <c r="AE104" s="114">
        <v>15.183603896901177</v>
      </c>
      <c r="AF104" s="114">
        <v>44.093481689658169</v>
      </c>
      <c r="AG104" s="114">
        <v>22.193006634290505</v>
      </c>
      <c r="AH104" s="114">
        <v>4.2740565454872828</v>
      </c>
      <c r="AI104" s="114">
        <v>3.4914950013441115</v>
      </c>
      <c r="AJ104" s="114">
        <v>74.052039870780064</v>
      </c>
    </row>
    <row r="105" spans="8:36" x14ac:dyDescent="0.25">
      <c r="T105" s="19" t="s">
        <v>815</v>
      </c>
      <c r="U105" s="19" t="s">
        <v>844</v>
      </c>
      <c r="V105" s="113" t="s">
        <v>382</v>
      </c>
      <c r="W105" s="114">
        <v>4.6527760287423918</v>
      </c>
      <c r="X105" s="114">
        <v>4.4407958974720554</v>
      </c>
      <c r="Y105" s="114">
        <v>9.5080956340283578</v>
      </c>
      <c r="Z105" s="114">
        <v>13.441977979314535</v>
      </c>
      <c r="AA105" s="114">
        <v>14.36217112331299</v>
      </c>
      <c r="AB105" s="114">
        <v>7.7428246538737637</v>
      </c>
      <c r="AC105" s="114">
        <v>0.63147649706662179</v>
      </c>
      <c r="AD105" s="114">
        <v>0.36487743777681203</v>
      </c>
      <c r="AE105" s="114">
        <v>23.101349712030188</v>
      </c>
      <c r="AF105" s="114">
        <v>66.823965523246869</v>
      </c>
      <c r="AG105" s="114">
        <v>34.384303957768097</v>
      </c>
      <c r="AH105" s="114">
        <v>6.0041389247506673</v>
      </c>
      <c r="AI105" s="114">
        <v>4.9046744837446168</v>
      </c>
      <c r="AJ105" s="114">
        <v>112.11708288951024</v>
      </c>
    </row>
    <row r="106" spans="8:36" x14ac:dyDescent="0.25">
      <c r="T106" s="19" t="s">
        <v>815</v>
      </c>
      <c r="U106" s="19" t="s">
        <v>844</v>
      </c>
      <c r="V106" s="113" t="s">
        <v>383</v>
      </c>
      <c r="W106" s="114">
        <v>4.6527760287423918</v>
      </c>
      <c r="X106" s="114">
        <v>4.4407958974720554</v>
      </c>
      <c r="Y106" s="114">
        <v>9.5080956340283578</v>
      </c>
      <c r="Z106" s="114">
        <v>13.441977979314535</v>
      </c>
      <c r="AA106" s="114">
        <v>19.611790172192823</v>
      </c>
      <c r="AB106" s="114">
        <v>13.500492093436151</v>
      </c>
      <c r="AC106" s="114">
        <v>0.10978771703991859</v>
      </c>
      <c r="AD106" s="114">
        <v>0</v>
      </c>
      <c r="AE106" s="114">
        <v>33.222069982668899</v>
      </c>
      <c r="AF106" s="114">
        <v>91.249267193904387</v>
      </c>
      <c r="AG106" s="114">
        <v>59.952929902385179</v>
      </c>
      <c r="AH106" s="114">
        <v>1.0438721130571906</v>
      </c>
      <c r="AI106" s="114">
        <v>0</v>
      </c>
      <c r="AJ106" s="114">
        <v>152.24606920934679</v>
      </c>
    </row>
    <row r="107" spans="8:36" x14ac:dyDescent="0.25">
      <c r="T107" s="19" t="s">
        <v>815</v>
      </c>
      <c r="U107" s="19" t="s">
        <v>844</v>
      </c>
      <c r="V107" s="113" t="s">
        <v>883</v>
      </c>
      <c r="W107" s="114">
        <v>4.6527760287423918</v>
      </c>
      <c r="X107" s="114">
        <v>4.4407958974720554</v>
      </c>
      <c r="Y107" s="114">
        <v>9.5080956340283578</v>
      </c>
      <c r="Z107" s="114">
        <v>13.441977979314535</v>
      </c>
      <c r="AA107" s="114">
        <v>22.439541837468653</v>
      </c>
      <c r="AB107" s="114">
        <v>15.447078236978845</v>
      </c>
      <c r="AC107" s="114">
        <v>0.1221968327293589</v>
      </c>
      <c r="AD107" s="114">
        <v>0</v>
      </c>
      <c r="AE107" s="114">
        <v>38.008816907176858</v>
      </c>
      <c r="AF107" s="114">
        <v>104.40616235733616</v>
      </c>
      <c r="AG107" s="114">
        <v>68.597321662705525</v>
      </c>
      <c r="AH107" s="114">
        <v>1.1618591717661109</v>
      </c>
      <c r="AI107" s="114">
        <v>0</v>
      </c>
      <c r="AJ107" s="114">
        <v>174.16534319180781</v>
      </c>
    </row>
    <row r="108" spans="8:36" x14ac:dyDescent="0.25">
      <c r="T108" s="19" t="s">
        <v>815</v>
      </c>
      <c r="U108" s="19" t="s">
        <v>844</v>
      </c>
      <c r="V108" s="113" t="s">
        <v>25</v>
      </c>
      <c r="W108" s="114">
        <v>4.6527760287423918</v>
      </c>
      <c r="X108" s="114">
        <v>4.4407958974720554</v>
      </c>
      <c r="Y108" s="114">
        <v>9.5080956340283578</v>
      </c>
      <c r="Z108" s="114">
        <v>13.441977979314535</v>
      </c>
      <c r="AA108" s="114">
        <v>16.990154673940978</v>
      </c>
      <c r="AB108" s="114">
        <v>9.9107168858012429</v>
      </c>
      <c r="AC108" s="114">
        <v>0.603122069379458</v>
      </c>
      <c r="AD108" s="114">
        <v>0.30380804518006338</v>
      </c>
      <c r="AE108" s="114">
        <v>27.807801674301743</v>
      </c>
      <c r="AF108" s="114">
        <v>79.051384391538093</v>
      </c>
      <c r="AG108" s="114">
        <v>44.011470887473187</v>
      </c>
      <c r="AH108" s="114">
        <v>5.7345423146529733</v>
      </c>
      <c r="AI108" s="114">
        <v>4.0837810532490071</v>
      </c>
      <c r="AJ108" s="114">
        <v>132.88117864691324</v>
      </c>
    </row>
    <row r="109" spans="8:36" x14ac:dyDescent="0.25">
      <c r="T109" s="19" t="s">
        <v>815</v>
      </c>
      <c r="U109" s="19" t="s">
        <v>844</v>
      </c>
      <c r="V109" s="113" t="s">
        <v>384</v>
      </c>
      <c r="W109" s="114">
        <v>7.297040762051207</v>
      </c>
      <c r="X109" s="114">
        <v>6.5593685660581151</v>
      </c>
      <c r="Y109" s="114">
        <v>9.5604398698978912</v>
      </c>
      <c r="Z109" s="114">
        <v>13.515979135064818</v>
      </c>
      <c r="AA109" s="114">
        <v>50.991693536375237</v>
      </c>
      <c r="AB109" s="114">
        <v>25.176224397152723</v>
      </c>
      <c r="AC109" s="114">
        <v>5.4978033782920601</v>
      </c>
      <c r="AD109" s="114">
        <v>3.1064567585536076</v>
      </c>
      <c r="AE109" s="114">
        <v>84.772178070373627</v>
      </c>
      <c r="AF109" s="114">
        <v>372.08846626095317</v>
      </c>
      <c r="AG109" s="114">
        <v>165.140134922709</v>
      </c>
      <c r="AH109" s="114">
        <v>52.561418614682729</v>
      </c>
      <c r="AI109" s="114">
        <v>41.986804732591644</v>
      </c>
      <c r="AJ109" s="114">
        <v>631.77682453093644</v>
      </c>
    </row>
    <row r="110" spans="8:36" x14ac:dyDescent="0.25">
      <c r="T110" s="19" t="s">
        <v>815</v>
      </c>
      <c r="U110" s="19" t="s">
        <v>844</v>
      </c>
      <c r="V110" s="113" t="s">
        <v>385</v>
      </c>
      <c r="W110" s="114">
        <v>7.297040762051207</v>
      </c>
      <c r="X110" s="114">
        <v>6.5593685660581151</v>
      </c>
      <c r="Y110" s="114">
        <v>9.5604398698978912</v>
      </c>
      <c r="Z110" s="114">
        <v>13.515979135064818</v>
      </c>
      <c r="AA110" s="114">
        <v>0.84895465888923682</v>
      </c>
      <c r="AB110" s="114">
        <v>0.48285702548750375</v>
      </c>
      <c r="AC110" s="114">
        <v>0.12483195758227709</v>
      </c>
      <c r="AD110" s="114">
        <v>6.2570530087967771E-2</v>
      </c>
      <c r="AE110" s="114">
        <v>1.5192141720469856</v>
      </c>
      <c r="AF110" s="114">
        <v>6.1948567510480395</v>
      </c>
      <c r="AG110" s="114">
        <v>3.1672371948830542</v>
      </c>
      <c r="AH110" s="114">
        <v>1.1934484243070043</v>
      </c>
      <c r="AI110" s="114">
        <v>0.84570197913891776</v>
      </c>
      <c r="AJ110" s="114">
        <v>11.401244349377015</v>
      </c>
    </row>
    <row r="111" spans="8:36" x14ac:dyDescent="0.25">
      <c r="T111" s="19" t="s">
        <v>815</v>
      </c>
      <c r="U111" s="19" t="s">
        <v>847</v>
      </c>
      <c r="V111" s="113" t="s">
        <v>386</v>
      </c>
      <c r="W111" s="114">
        <v>6.8767625457311938</v>
      </c>
      <c r="X111" s="114">
        <v>6.4550454327393689</v>
      </c>
      <c r="Y111" s="114">
        <v>10.605642367371122</v>
      </c>
      <c r="Z111" s="114">
        <v>14.9936240279788</v>
      </c>
      <c r="AA111" s="114">
        <v>8.6239525966350143</v>
      </c>
      <c r="AB111" s="114">
        <v>4.7537063584024351</v>
      </c>
      <c r="AC111" s="114">
        <v>0.92125239423084171</v>
      </c>
      <c r="AD111" s="114">
        <v>0.35696856418072886</v>
      </c>
      <c r="AE111" s="114">
        <v>14.65587991344902</v>
      </c>
      <c r="AF111" s="114">
        <v>59.304874212700938</v>
      </c>
      <c r="AG111" s="114">
        <v>30.685390517389735</v>
      </c>
      <c r="AH111" s="114">
        <v>9.7704734232966981</v>
      </c>
      <c r="AI111" s="114">
        <v>5.3522524411332686</v>
      </c>
      <c r="AJ111" s="114">
        <v>105.11299059452064</v>
      </c>
    </row>
    <row r="112" spans="8:36" x14ac:dyDescent="0.25">
      <c r="T112" s="19" t="s">
        <v>815</v>
      </c>
      <c r="U112" s="19" t="s">
        <v>847</v>
      </c>
      <c r="V112" s="113" t="s">
        <v>387</v>
      </c>
      <c r="W112" s="114">
        <v>6.8767625457311938</v>
      </c>
      <c r="X112" s="114">
        <v>6.4550454327393689</v>
      </c>
      <c r="Y112" s="114">
        <v>10.605642367371122</v>
      </c>
      <c r="Z112" s="114">
        <v>14.9936240279788</v>
      </c>
      <c r="AA112" s="114">
        <v>3.255546138849942</v>
      </c>
      <c r="AB112" s="114">
        <v>2.388478847620473</v>
      </c>
      <c r="AC112" s="114">
        <v>0.49329059679665771</v>
      </c>
      <c r="AD112" s="114">
        <v>0.19793039480152885</v>
      </c>
      <c r="AE112" s="114">
        <v>6.3352459780686008</v>
      </c>
      <c r="AF112" s="114">
        <v>22.387617753543086</v>
      </c>
      <c r="AG112" s="114">
        <v>15.417739476527126</v>
      </c>
      <c r="AH112" s="114">
        <v>5.2316636528124185</v>
      </c>
      <c r="AI112" s="114">
        <v>2.9676939233635333</v>
      </c>
      <c r="AJ112" s="114">
        <v>46.004714806246163</v>
      </c>
    </row>
    <row r="113" spans="20:36" x14ac:dyDescent="0.25">
      <c r="T113" s="19" t="s">
        <v>815</v>
      </c>
      <c r="U113" s="19" t="s">
        <v>847</v>
      </c>
      <c r="V113" s="113" t="s">
        <v>32</v>
      </c>
      <c r="W113" s="114">
        <v>6.8767625457311938</v>
      </c>
      <c r="X113" s="114">
        <v>6.4550454327393689</v>
      </c>
      <c r="Y113" s="114">
        <v>10.605642367371122</v>
      </c>
      <c r="Z113" s="114">
        <v>14.9936240279788</v>
      </c>
      <c r="AA113" s="114">
        <v>13.75368256594594</v>
      </c>
      <c r="AB113" s="114">
        <v>9.7319994762672763</v>
      </c>
      <c r="AC113" s="114">
        <v>1.9926662980330527</v>
      </c>
      <c r="AD113" s="114">
        <v>0.79805439392323607</v>
      </c>
      <c r="AE113" s="114">
        <v>26.276402734169508</v>
      </c>
      <c r="AF113" s="114">
        <v>94.580809135373144</v>
      </c>
      <c r="AG113" s="114">
        <v>62.820498770701015</v>
      </c>
      <c r="AH113" s="114">
        <v>21.133506114451915</v>
      </c>
      <c r="AI113" s="114">
        <v>11.965727536361491</v>
      </c>
      <c r="AJ113" s="114">
        <v>190.50054155688755</v>
      </c>
    </row>
    <row r="114" spans="20:36" x14ac:dyDescent="0.25">
      <c r="T114" s="19" t="s">
        <v>815</v>
      </c>
      <c r="U114" s="19" t="s">
        <v>848</v>
      </c>
      <c r="V114" s="113" t="s">
        <v>35</v>
      </c>
      <c r="W114" s="114">
        <v>8.6539680735793922</v>
      </c>
      <c r="X114" s="114">
        <v>9.6502849515872011</v>
      </c>
      <c r="Y114" s="114">
        <v>11.24809845474625</v>
      </c>
      <c r="Z114" s="114">
        <v>19.082268108042044</v>
      </c>
      <c r="AA114" s="114">
        <v>2.505786747424215</v>
      </c>
      <c r="AB114" s="114">
        <v>1.0941122542357067</v>
      </c>
      <c r="AC114" s="114">
        <v>0.85211324650603526</v>
      </c>
      <c r="AD114" s="114">
        <v>9.3310354889371241E-2</v>
      </c>
      <c r="AE114" s="114">
        <v>4.545322603055328</v>
      </c>
      <c r="AF114" s="114">
        <v>21.684998511407507</v>
      </c>
      <c r="AG114" s="114">
        <v>10.55849502239799</v>
      </c>
      <c r="AH114" s="114">
        <v>9.5846536912933455</v>
      </c>
      <c r="AI114" s="114">
        <v>1.7805732092555338</v>
      </c>
      <c r="AJ114" s="114">
        <v>43.608720434354382</v>
      </c>
    </row>
    <row r="115" spans="20:36" x14ac:dyDescent="0.25">
      <c r="T115" s="19" t="s">
        <v>815</v>
      </c>
      <c r="U115" s="19" t="s">
        <v>848</v>
      </c>
      <c r="V115" s="113" t="s">
        <v>884</v>
      </c>
      <c r="W115" s="114">
        <v>8.6539680735793922</v>
      </c>
      <c r="X115" s="114">
        <v>9.6502849515872011</v>
      </c>
      <c r="Y115" s="114">
        <v>11.24809845474625</v>
      </c>
      <c r="Z115" s="114">
        <v>19.082268108042044</v>
      </c>
      <c r="AA115" s="114">
        <v>8.5357308456809875</v>
      </c>
      <c r="AB115" s="114">
        <v>3.4909935513735633</v>
      </c>
      <c r="AC115" s="114">
        <v>2.4733796889138566</v>
      </c>
      <c r="AD115" s="114">
        <v>0.29041648625506389</v>
      </c>
      <c r="AE115" s="114">
        <v>14.790520572223471</v>
      </c>
      <c r="AF115" s="114">
        <v>73.867942223190099</v>
      </c>
      <c r="AG115" s="114">
        <v>33.689082534908259</v>
      </c>
      <c r="AH115" s="114">
        <v>27.820818256872712</v>
      </c>
      <c r="AI115" s="114">
        <v>5.5418052537146361</v>
      </c>
      <c r="AJ115" s="114">
        <v>140.91964826868571</v>
      </c>
    </row>
    <row r="116" spans="20:36" x14ac:dyDescent="0.25">
      <c r="T116" s="19" t="s">
        <v>815</v>
      </c>
      <c r="U116" s="19" t="s">
        <v>849</v>
      </c>
      <c r="V116" s="113" t="s">
        <v>41</v>
      </c>
      <c r="W116" s="114">
        <v>6.3814123728485939</v>
      </c>
      <c r="X116" s="114">
        <v>6.2524232814094702</v>
      </c>
      <c r="Y116" s="114">
        <v>10.960389423154583</v>
      </c>
      <c r="Z116" s="114">
        <v>20.660192316322043</v>
      </c>
      <c r="AA116" s="114">
        <v>0</v>
      </c>
      <c r="AB116" s="114">
        <v>0</v>
      </c>
      <c r="AC116" s="114">
        <v>0</v>
      </c>
      <c r="AD116" s="114">
        <v>0</v>
      </c>
      <c r="AE116" s="114">
        <v>0</v>
      </c>
      <c r="AF116" s="114">
        <v>0</v>
      </c>
      <c r="AG116" s="114">
        <v>0</v>
      </c>
      <c r="AH116" s="114">
        <v>0</v>
      </c>
      <c r="AI116" s="114">
        <v>0</v>
      </c>
      <c r="AJ116" s="114">
        <v>0</v>
      </c>
    </row>
    <row r="117" spans="20:36" x14ac:dyDescent="0.25">
      <c r="T117" s="19" t="s">
        <v>815</v>
      </c>
      <c r="U117" s="19" t="s">
        <v>849</v>
      </c>
      <c r="V117" s="113" t="s">
        <v>388</v>
      </c>
      <c r="W117" s="114">
        <v>6.3814123728485939</v>
      </c>
      <c r="X117" s="114">
        <v>6.2524232814094702</v>
      </c>
      <c r="Y117" s="114">
        <v>10.960389423154583</v>
      </c>
      <c r="Z117" s="114">
        <v>20.660192316322043</v>
      </c>
      <c r="AA117" s="114">
        <v>26.225146944890184</v>
      </c>
      <c r="AB117" s="114">
        <v>11.885262329831129</v>
      </c>
      <c r="AC117" s="114">
        <v>1.773860349247754</v>
      </c>
      <c r="AD117" s="114">
        <v>1.7889855783445656</v>
      </c>
      <c r="AE117" s="114">
        <v>41.673255202313634</v>
      </c>
      <c r="AF117" s="114">
        <v>167.35347719389472</v>
      </c>
      <c r="AG117" s="114">
        <v>74.311690896695112</v>
      </c>
      <c r="AH117" s="114">
        <v>19.442200210048377</v>
      </c>
      <c r="AI117" s="114">
        <v>36.96078609972534</v>
      </c>
      <c r="AJ117" s="114">
        <v>298.06815440036354</v>
      </c>
    </row>
    <row r="118" spans="20:36" x14ac:dyDescent="0.25">
      <c r="T118" s="19" t="s">
        <v>815</v>
      </c>
      <c r="U118" s="19" t="s">
        <v>849</v>
      </c>
      <c r="V118" s="113" t="s">
        <v>885</v>
      </c>
      <c r="W118" s="114">
        <v>6.3814123728485939</v>
      </c>
      <c r="X118" s="114">
        <v>6.2524232814094702</v>
      </c>
      <c r="Y118" s="114">
        <v>10.960389423154583</v>
      </c>
      <c r="Z118" s="114">
        <v>20.660192316322043</v>
      </c>
      <c r="AA118" s="114">
        <v>0</v>
      </c>
      <c r="AB118" s="114">
        <v>0</v>
      </c>
      <c r="AC118" s="114">
        <v>0</v>
      </c>
      <c r="AD118" s="114">
        <v>0</v>
      </c>
      <c r="AE118" s="114">
        <v>0</v>
      </c>
      <c r="AF118" s="114">
        <v>0</v>
      </c>
      <c r="AG118" s="114">
        <v>0</v>
      </c>
      <c r="AH118" s="114">
        <v>0</v>
      </c>
      <c r="AI118" s="114">
        <v>0</v>
      </c>
      <c r="AJ118" s="114">
        <v>0</v>
      </c>
    </row>
    <row r="119" spans="20:36" x14ac:dyDescent="0.25">
      <c r="T119" s="19" t="s">
        <v>815</v>
      </c>
      <c r="U119" s="19" t="s">
        <v>850</v>
      </c>
      <c r="V119" s="113" t="s">
        <v>389</v>
      </c>
      <c r="W119" s="114">
        <v>4.911158305804789</v>
      </c>
      <c r="X119" s="114">
        <v>4.3546415846520095</v>
      </c>
      <c r="Y119" s="114">
        <v>10.840421150689497</v>
      </c>
      <c r="Z119" s="114">
        <v>15.325540255670207</v>
      </c>
      <c r="AA119" s="114">
        <v>28.488093908134452</v>
      </c>
      <c r="AB119" s="114">
        <v>16.182730164752954</v>
      </c>
      <c r="AC119" s="114">
        <v>1.2578197311024297</v>
      </c>
      <c r="AD119" s="114">
        <v>0.50647140543656255</v>
      </c>
      <c r="AE119" s="114">
        <v>46.435115209426399</v>
      </c>
      <c r="AF119" s="114">
        <v>139.90953901348132</v>
      </c>
      <c r="AG119" s="114">
        <v>70.469989728635682</v>
      </c>
      <c r="AH119" s="114">
        <v>13.635295616797356</v>
      </c>
      <c r="AI119" s="114">
        <v>7.7619479123639055</v>
      </c>
      <c r="AJ119" s="114">
        <v>231.77677227127825</v>
      </c>
    </row>
    <row r="120" spans="20:36" x14ac:dyDescent="0.25">
      <c r="T120" s="19" t="s">
        <v>815</v>
      </c>
      <c r="U120" s="19" t="s">
        <v>851</v>
      </c>
      <c r="V120" s="113" t="s">
        <v>390</v>
      </c>
      <c r="W120" s="114">
        <v>8.2512023609893834</v>
      </c>
      <c r="X120" s="114">
        <v>4.3730581291807962</v>
      </c>
      <c r="Y120" s="114">
        <v>10.886267196788012</v>
      </c>
      <c r="Z120" s="114">
        <v>21.286543900839444</v>
      </c>
      <c r="AA120" s="114">
        <v>13.405403624187164</v>
      </c>
      <c r="AB120" s="114">
        <v>6.9246374000919522</v>
      </c>
      <c r="AC120" s="114">
        <v>2.5879057097761105</v>
      </c>
      <c r="AD120" s="114">
        <v>0.62663929513307415</v>
      </c>
      <c r="AE120" s="114">
        <v>23.544586029188299</v>
      </c>
      <c r="AF120" s="114">
        <v>110.61069803390876</v>
      </c>
      <c r="AG120" s="114">
        <v>30.281841874101485</v>
      </c>
      <c r="AH120" s="114">
        <v>28.172633036716068</v>
      </c>
      <c r="AI120" s="114">
        <v>13.338984865841267</v>
      </c>
      <c r="AJ120" s="114">
        <v>182.40415781056757</v>
      </c>
    </row>
    <row r="121" spans="20:36" x14ac:dyDescent="0.25">
      <c r="T121" s="19" t="s">
        <v>815</v>
      </c>
      <c r="U121" s="19" t="s">
        <v>851</v>
      </c>
      <c r="V121" s="113" t="s">
        <v>341</v>
      </c>
      <c r="W121" s="114">
        <v>4.8244530179338252</v>
      </c>
      <c r="X121" s="114">
        <v>3.6609154021518377</v>
      </c>
      <c r="Y121" s="114">
        <v>9.5906300622060048</v>
      </c>
      <c r="Z121" s="114">
        <v>16.100573316540004</v>
      </c>
      <c r="AA121" s="114">
        <v>1.1055515897007471</v>
      </c>
      <c r="AB121" s="114">
        <v>0.29828347080202716</v>
      </c>
      <c r="AC121" s="114">
        <v>6.5949462722933186E-2</v>
      </c>
      <c r="AD121" s="114">
        <v>2.3398381921308827E-2</v>
      </c>
      <c r="AE121" s="114">
        <v>1.4931829051470162</v>
      </c>
      <c r="AF121" s="114">
        <v>5.3336817034133075</v>
      </c>
      <c r="AG121" s="114">
        <v>1.0919905524664493</v>
      </c>
      <c r="AH121" s="114">
        <v>0.63249689977689727</v>
      </c>
      <c r="AI121" s="114">
        <v>0.37672736361243692</v>
      </c>
      <c r="AJ121" s="114">
        <v>7.434896519269091</v>
      </c>
    </row>
    <row r="122" spans="20:36" x14ac:dyDescent="0.25">
      <c r="T122" s="19" t="s">
        <v>815</v>
      </c>
      <c r="U122" s="19" t="s">
        <v>851</v>
      </c>
      <c r="V122" s="113" t="s">
        <v>886</v>
      </c>
      <c r="W122" s="114">
        <v>4.8244530179338252</v>
      </c>
      <c r="X122" s="114">
        <v>3.6609154021518377</v>
      </c>
      <c r="Y122" s="114">
        <v>9.5906300622060048</v>
      </c>
      <c r="Z122" s="114">
        <v>16.100573316540004</v>
      </c>
      <c r="AA122" s="114">
        <v>1.1189622968528985</v>
      </c>
      <c r="AB122" s="114">
        <v>0.29031590114305772</v>
      </c>
      <c r="AC122" s="114">
        <v>6.4485794345062145E-2</v>
      </c>
      <c r="AD122" s="114">
        <v>2.2646147859973285E-2</v>
      </c>
      <c r="AE122" s="114">
        <v>1.4964101402009915</v>
      </c>
      <c r="AF122" s="114">
        <v>5.3983810300061306</v>
      </c>
      <c r="AG122" s="114">
        <v>1.0628219539842103</v>
      </c>
      <c r="AH122" s="114">
        <v>0.61845939783098702</v>
      </c>
      <c r="AI122" s="114">
        <v>0.36461596395670537</v>
      </c>
      <c r="AJ122" s="114">
        <v>7.4442783457780335</v>
      </c>
    </row>
    <row r="123" spans="20:36" x14ac:dyDescent="0.25">
      <c r="T123" s="19" t="s">
        <v>815</v>
      </c>
      <c r="U123" s="19" t="s">
        <v>851</v>
      </c>
      <c r="V123" s="113" t="s">
        <v>887</v>
      </c>
      <c r="W123" s="114">
        <v>4.8244530179338252</v>
      </c>
      <c r="X123" s="114">
        <v>3.6609154021518377</v>
      </c>
      <c r="Y123" s="114">
        <v>9.5906300622060048</v>
      </c>
      <c r="Z123" s="114">
        <v>16.100573316540004</v>
      </c>
      <c r="AA123" s="114">
        <v>8.4654060696726265</v>
      </c>
      <c r="AB123" s="114">
        <v>0.82020253548546151</v>
      </c>
      <c r="AC123" s="114">
        <v>0.12814784184700506</v>
      </c>
      <c r="AD123" s="114">
        <v>4.8264646397408593E-2</v>
      </c>
      <c r="AE123" s="114">
        <v>9.4620210934025017</v>
      </c>
      <c r="AF123" s="114">
        <v>40.840953860867423</v>
      </c>
      <c r="AG123" s="114">
        <v>3.0026920950427152</v>
      </c>
      <c r="AH123" s="114">
        <v>1.2290185444247075</v>
      </c>
      <c r="AI123" s="114">
        <v>0.77708847791835545</v>
      </c>
      <c r="AJ123" s="114">
        <v>45.8497529782532</v>
      </c>
    </row>
    <row r="124" spans="20:36" x14ac:dyDescent="0.25">
      <c r="T124" s="19" t="s">
        <v>815</v>
      </c>
      <c r="U124" s="19" t="s">
        <v>852</v>
      </c>
      <c r="V124" s="113" t="s">
        <v>391</v>
      </c>
      <c r="W124" s="114">
        <v>4.4869683623266612</v>
      </c>
      <c r="X124" s="114">
        <v>4.3555021908057885</v>
      </c>
      <c r="Y124" s="114">
        <v>7.9747962643776358</v>
      </c>
      <c r="Z124" s="114">
        <v>11.274290867630569</v>
      </c>
      <c r="AA124" s="114">
        <v>4.7160928613537045</v>
      </c>
      <c r="AB124" s="114">
        <v>8.191975073649628</v>
      </c>
      <c r="AC124" s="114">
        <v>0.68537728676067911</v>
      </c>
      <c r="AD124" s="114">
        <v>0.1977417392658597</v>
      </c>
      <c r="AE124" s="114">
        <v>13.791186961029871</v>
      </c>
      <c r="AF124" s="114">
        <v>21.160959462688691</v>
      </c>
      <c r="AG124" s="114">
        <v>35.680165380307365</v>
      </c>
      <c r="AH124" s="114">
        <v>5.4657442261483435</v>
      </c>
      <c r="AI124" s="114">
        <v>2.2293978851544671</v>
      </c>
      <c r="AJ124" s="114">
        <v>64.536266954298867</v>
      </c>
    </row>
    <row r="125" spans="20:36" x14ac:dyDescent="0.25">
      <c r="T125" s="19" t="s">
        <v>818</v>
      </c>
      <c r="U125" s="19" t="s">
        <v>853</v>
      </c>
      <c r="V125" s="113" t="s">
        <v>392</v>
      </c>
      <c r="W125" s="114">
        <v>8.717245404075161</v>
      </c>
      <c r="X125" s="114">
        <v>9.3244461584256495</v>
      </c>
      <c r="Y125" s="114">
        <v>11.365255429559092</v>
      </c>
      <c r="Z125" s="114">
        <v>16.297656324209161</v>
      </c>
      <c r="AA125" s="114">
        <v>10.07006571992749</v>
      </c>
      <c r="AB125" s="114">
        <v>6.4657358490730417</v>
      </c>
      <c r="AC125" s="114">
        <v>5.9021434812007456</v>
      </c>
      <c r="AD125" s="114">
        <v>8.6776797217123978</v>
      </c>
      <c r="AE125" s="114">
        <v>31.115624771913676</v>
      </c>
      <c r="AF125" s="114">
        <v>87.783234115772743</v>
      </c>
      <c r="AG125" s="114">
        <v>60.289405799284125</v>
      </c>
      <c r="AH125" s="114">
        <v>67.079368245753571</v>
      </c>
      <c r="AI125" s="114">
        <v>141.42584179602764</v>
      </c>
      <c r="AJ125" s="114">
        <v>356.57784995683812</v>
      </c>
    </row>
    <row r="126" spans="20:36" x14ac:dyDescent="0.25">
      <c r="T126" s="19" t="s">
        <v>818</v>
      </c>
      <c r="U126" s="19" t="s">
        <v>853</v>
      </c>
      <c r="V126" s="113" t="s">
        <v>43</v>
      </c>
      <c r="W126" s="114">
        <v>8.717245404075161</v>
      </c>
      <c r="X126" s="114">
        <v>9.3244461584256495</v>
      </c>
      <c r="Y126" s="114">
        <v>11.365255429559092</v>
      </c>
      <c r="Z126" s="114">
        <v>16.297656324209161</v>
      </c>
      <c r="AA126" s="114">
        <v>10.719310800305676</v>
      </c>
      <c r="AB126" s="114">
        <v>6.8687996706922227</v>
      </c>
      <c r="AC126" s="114">
        <v>5.7221811953367192</v>
      </c>
      <c r="AD126" s="114">
        <v>9.2233856808509689</v>
      </c>
      <c r="AE126" s="114">
        <v>32.533677347185588</v>
      </c>
      <c r="AF126" s="114">
        <v>93.442862808817893</v>
      </c>
      <c r="AG126" s="114">
        <v>64.047752702381459</v>
      </c>
      <c r="AH126" s="114">
        <v>65.034050899221583</v>
      </c>
      <c r="AI126" s="114">
        <v>150.31956997214101</v>
      </c>
      <c r="AJ126" s="114">
        <v>372.84423638256192</v>
      </c>
    </row>
    <row r="127" spans="20:36" x14ac:dyDescent="0.25">
      <c r="T127" s="19" t="s">
        <v>819</v>
      </c>
      <c r="U127" s="19" t="s">
        <v>854</v>
      </c>
      <c r="V127" s="113" t="s">
        <v>393</v>
      </c>
      <c r="W127" s="114">
        <v>6.6656969004001168</v>
      </c>
      <c r="X127" s="114">
        <v>7.1173053177950587</v>
      </c>
      <c r="Y127" s="114">
        <v>20.375564599979899</v>
      </c>
      <c r="Z127" s="114">
        <v>28.971103691733784</v>
      </c>
      <c r="AA127" s="114">
        <v>311.11425528398172</v>
      </c>
      <c r="AB127" s="114">
        <v>203.54722062648241</v>
      </c>
      <c r="AC127" s="114">
        <v>21.231104663945448</v>
      </c>
      <c r="AD127" s="114">
        <v>17.408780990131167</v>
      </c>
      <c r="AE127" s="114">
        <v>553.30136156454068</v>
      </c>
      <c r="AF127" s="114">
        <v>2073.7933271167276</v>
      </c>
      <c r="AG127" s="114">
        <v>1448.7077157872673</v>
      </c>
      <c r="AH127" s="114">
        <v>432.59574460915502</v>
      </c>
      <c r="AI127" s="114">
        <v>504.35159921177399</v>
      </c>
      <c r="AJ127" s="114">
        <v>4459.4483867249237</v>
      </c>
    </row>
    <row r="128" spans="20:36" x14ac:dyDescent="0.25">
      <c r="T128" s="19" t="s">
        <v>821</v>
      </c>
      <c r="U128" s="19" t="s">
        <v>4</v>
      </c>
      <c r="V128" s="113" t="s">
        <v>46</v>
      </c>
      <c r="W128" s="114">
        <v>3.7665672362481799</v>
      </c>
      <c r="X128" s="114">
        <v>5.648652195723276</v>
      </c>
      <c r="Y128" s="114">
        <v>9.3455235331043873</v>
      </c>
      <c r="Z128" s="114">
        <v>11.434926252178094</v>
      </c>
      <c r="AA128" s="114">
        <v>2151.7107670908426</v>
      </c>
      <c r="AB128" s="114">
        <v>224.95291355090347</v>
      </c>
      <c r="AC128" s="114">
        <v>48.08902092108292</v>
      </c>
      <c r="AD128" s="114">
        <v>21.070955200839919</v>
      </c>
      <c r="AE128" s="114">
        <v>2445.8236567636686</v>
      </c>
      <c r="AF128" s="114">
        <v>8104.5632772068066</v>
      </c>
      <c r="AG128" s="114">
        <v>1270.6807690636592</v>
      </c>
      <c r="AH128" s="114">
        <v>449.41707670192966</v>
      </c>
      <c r="AI128" s="114">
        <v>240.94481878455292</v>
      </c>
      <c r="AJ128" s="114">
        <v>10065.605941756949</v>
      </c>
    </row>
    <row r="129" spans="20:36" x14ac:dyDescent="0.25">
      <c r="T129" s="19" t="s">
        <v>823</v>
      </c>
      <c r="U129" s="19" t="s">
        <v>855</v>
      </c>
      <c r="V129" s="113" t="s">
        <v>394</v>
      </c>
      <c r="W129" s="114">
        <v>3.5507832869202418</v>
      </c>
      <c r="X129" s="114">
        <v>5.1737353654050819</v>
      </c>
      <c r="Y129" s="114">
        <v>9.127070045167919</v>
      </c>
      <c r="Z129" s="114">
        <v>11.647215944143339</v>
      </c>
      <c r="AA129" s="114">
        <v>509.53089817385285</v>
      </c>
      <c r="AB129" s="114">
        <v>255.79224794788271</v>
      </c>
      <c r="AC129" s="114">
        <v>50.578276786016254</v>
      </c>
      <c r="AD129" s="114">
        <v>23.819594360709353</v>
      </c>
      <c r="AE129" s="114">
        <v>839.7210172684612</v>
      </c>
      <c r="AF129" s="114">
        <v>1809.2337974051763</v>
      </c>
      <c r="AG129" s="114">
        <v>1323.4013994044262</v>
      </c>
      <c r="AH129" s="114">
        <v>461.63147498986086</v>
      </c>
      <c r="AI129" s="114">
        <v>277.43195922108072</v>
      </c>
      <c r="AJ129" s="114">
        <v>3871.6986310205443</v>
      </c>
    </row>
    <row r="130" spans="20:36" x14ac:dyDescent="0.25">
      <c r="T130" s="19" t="s">
        <v>821</v>
      </c>
      <c r="U130" s="19" t="s">
        <v>856</v>
      </c>
      <c r="V130" s="113" t="s">
        <v>395</v>
      </c>
      <c r="W130" s="114">
        <v>5.6705373473435321</v>
      </c>
      <c r="X130" s="114">
        <v>6.174005366864038</v>
      </c>
      <c r="Y130" s="114">
        <v>10.26875880865799</v>
      </c>
      <c r="Z130" s="114">
        <v>11.479502313205449</v>
      </c>
      <c r="AA130" s="114">
        <v>72.517645441975546</v>
      </c>
      <c r="AB130" s="114">
        <v>542.16096232402106</v>
      </c>
      <c r="AC130" s="114">
        <v>151.06350562276685</v>
      </c>
      <c r="AD130" s="114">
        <v>75.916182390455916</v>
      </c>
      <c r="AE130" s="114">
        <v>841.65829577921943</v>
      </c>
      <c r="AF130" s="114">
        <v>411.2140168201388</v>
      </c>
      <c r="AG130" s="114">
        <v>3347.3046910926773</v>
      </c>
      <c r="AH130" s="114">
        <v>1551.2347040305431</v>
      </c>
      <c r="AI130" s="114">
        <v>871.47999136096553</v>
      </c>
      <c r="AJ130" s="114">
        <v>6181.2334033043253</v>
      </c>
    </row>
    <row r="131" spans="20:36" x14ac:dyDescent="0.25">
      <c r="T131" s="19" t="s">
        <v>823</v>
      </c>
      <c r="U131" s="19" t="s">
        <v>857</v>
      </c>
      <c r="V131" s="113" t="s">
        <v>396</v>
      </c>
      <c r="W131" s="114">
        <v>5.0714441528420675</v>
      </c>
      <c r="X131" s="114">
        <v>6.2836259220254504</v>
      </c>
      <c r="Y131" s="114">
        <v>9.5648500257685658</v>
      </c>
      <c r="Z131" s="114">
        <v>14.508622226481121</v>
      </c>
      <c r="AA131" s="114">
        <v>550.09890943950529</v>
      </c>
      <c r="AB131" s="114">
        <v>164.70210933662386</v>
      </c>
      <c r="AC131" s="114">
        <v>52.673935213794095</v>
      </c>
      <c r="AD131" s="114">
        <v>40.641386897626901</v>
      </c>
      <c r="AE131" s="114">
        <v>808.11634088755022</v>
      </c>
      <c r="AF131" s="114">
        <v>2789.7958977617773</v>
      </c>
      <c r="AG131" s="114">
        <v>1034.9264436398796</v>
      </c>
      <c r="AH131" s="114">
        <v>503.8182905869902</v>
      </c>
      <c r="AI131" s="114">
        <v>589.65052925792827</v>
      </c>
      <c r="AJ131" s="114">
        <v>4918.1911612465756</v>
      </c>
    </row>
    <row r="132" spans="20:36" x14ac:dyDescent="0.25">
      <c r="T132" s="19" t="s">
        <v>827</v>
      </c>
      <c r="U132" s="19" t="s">
        <v>858</v>
      </c>
      <c r="V132" s="113" t="s">
        <v>397</v>
      </c>
      <c r="W132" s="114">
        <v>5.0041568884716581</v>
      </c>
      <c r="X132" s="114">
        <v>9.6969652737477929</v>
      </c>
      <c r="Y132" s="114">
        <v>15.485651095090038</v>
      </c>
      <c r="Z132" s="114">
        <v>24.974549341643772</v>
      </c>
      <c r="AA132" s="114">
        <v>10.151518430291013</v>
      </c>
      <c r="AB132" s="114">
        <v>24.194629633068139</v>
      </c>
      <c r="AC132" s="114">
        <v>35.523018111758162</v>
      </c>
      <c r="AD132" s="114">
        <v>41.497472367682619</v>
      </c>
      <c r="AE132" s="114">
        <v>111.36663854279993</v>
      </c>
      <c r="AF132" s="114">
        <v>50.799790881387764</v>
      </c>
      <c r="AG132" s="114">
        <v>234.61448336305105</v>
      </c>
      <c r="AH132" s="114">
        <v>550.09706432325106</v>
      </c>
      <c r="AI132" s="114">
        <v>1036.3806712001885</v>
      </c>
      <c r="AJ132" s="114">
        <v>1871.8920097678783</v>
      </c>
    </row>
    <row r="133" spans="20:36" x14ac:dyDescent="0.25">
      <c r="T133" s="19" t="s">
        <v>827</v>
      </c>
      <c r="U133" s="19" t="s">
        <v>859</v>
      </c>
      <c r="V133" s="113" t="s">
        <v>199</v>
      </c>
      <c r="W133" s="114">
        <v>27.847347411523799</v>
      </c>
      <c r="X133" s="114">
        <v>28.706185526497119</v>
      </c>
      <c r="Y133" s="114">
        <v>58.012392503336294</v>
      </c>
      <c r="Z133" s="114">
        <v>78.341777826732582</v>
      </c>
      <c r="AA133" s="114">
        <v>10.236085121736592</v>
      </c>
      <c r="AB133" s="114">
        <v>6.5021519920798223</v>
      </c>
      <c r="AC133" s="114">
        <v>12.808113885985476</v>
      </c>
      <c r="AD133" s="114">
        <v>11.626333741714381</v>
      </c>
      <c r="AE133" s="114">
        <v>41.172684741516271</v>
      </c>
      <c r="AF133" s="114">
        <v>285.04781851892875</v>
      </c>
      <c r="AG133" s="114">
        <v>186.6519814061262</v>
      </c>
      <c r="AH133" s="114">
        <v>743.02932998122128</v>
      </c>
      <c r="AI133" s="114">
        <v>910.82765493283262</v>
      </c>
      <c r="AJ133" s="114">
        <v>2125.5567848391088</v>
      </c>
    </row>
    <row r="134" spans="20:36" x14ac:dyDescent="0.25">
      <c r="T134" s="19" t="s">
        <v>827</v>
      </c>
      <c r="U134" s="19" t="s">
        <v>858</v>
      </c>
      <c r="V134" s="113" t="s">
        <v>398</v>
      </c>
      <c r="W134" s="114">
        <v>5.9929712467751326</v>
      </c>
      <c r="X134" s="114">
        <v>6.5896002791125747</v>
      </c>
      <c r="Y134" s="114">
        <v>11.531269350142979</v>
      </c>
      <c r="Z134" s="114">
        <v>12.771980733207714</v>
      </c>
      <c r="AA134" s="114">
        <v>26.638790041703906</v>
      </c>
      <c r="AB134" s="114">
        <v>17.249287308938246</v>
      </c>
      <c r="AC134" s="114">
        <v>34.35045223226696</v>
      </c>
      <c r="AD134" s="114">
        <v>59.481696715321036</v>
      </c>
      <c r="AE134" s="114">
        <v>137.72022629823016</v>
      </c>
      <c r="AF134" s="114">
        <v>159.64550276881124</v>
      </c>
      <c r="AG134" s="114">
        <v>113.66590846547246</v>
      </c>
      <c r="AH134" s="114">
        <v>396.10431698949048</v>
      </c>
      <c r="AI134" s="114">
        <v>759.69908442658482</v>
      </c>
      <c r="AJ134" s="114">
        <v>1429.114812650359</v>
      </c>
    </row>
    <row r="135" spans="20:36" x14ac:dyDescent="0.25">
      <c r="T135" s="19" t="s">
        <v>826</v>
      </c>
      <c r="U135" s="19" t="s">
        <v>860</v>
      </c>
      <c r="V135" s="113" t="s">
        <v>399</v>
      </c>
      <c r="W135" s="114">
        <v>6.9382462513512104</v>
      </c>
      <c r="X135" s="114">
        <v>10.861983871290793</v>
      </c>
      <c r="Y135" s="114">
        <v>18.597591920187217</v>
      </c>
      <c r="Z135" s="114">
        <v>42.022643814459819</v>
      </c>
      <c r="AA135" s="114">
        <v>185.13860555630023</v>
      </c>
      <c r="AB135" s="114">
        <v>81.341537441186276</v>
      </c>
      <c r="AC135" s="114">
        <v>49.281905032041259</v>
      </c>
      <c r="AD135" s="114">
        <v>36.28946806240166</v>
      </c>
      <c r="AE135" s="114">
        <v>352.05151609192944</v>
      </c>
      <c r="AF135" s="114">
        <v>1284.5372359813905</v>
      </c>
      <c r="AG135" s="114">
        <v>883.53046775216148</v>
      </c>
      <c r="AH135" s="114">
        <v>916.52475883532429</v>
      </c>
      <c r="AI135" s="114">
        <v>1524.9793906025202</v>
      </c>
      <c r="AJ135" s="114">
        <v>4609.5718531713956</v>
      </c>
    </row>
    <row r="136" spans="20:36" x14ac:dyDescent="0.25">
      <c r="T136" s="19" t="s">
        <v>826</v>
      </c>
      <c r="U136" s="19" t="s">
        <v>861</v>
      </c>
      <c r="V136" s="113" t="s">
        <v>200</v>
      </c>
      <c r="W136" s="114">
        <v>6.5013971169974933</v>
      </c>
      <c r="X136" s="114">
        <v>6.5477932375105654</v>
      </c>
      <c r="Y136" s="114">
        <v>15.44134752403351</v>
      </c>
      <c r="Z136" s="114">
        <v>24.602415196647272</v>
      </c>
      <c r="AA136" s="114">
        <v>85.305738215291754</v>
      </c>
      <c r="AB136" s="114">
        <v>88.386839151458176</v>
      </c>
      <c r="AC136" s="114">
        <v>113.87182254607714</v>
      </c>
      <c r="AD136" s="114">
        <v>90.310891418837798</v>
      </c>
      <c r="AE136" s="114">
        <v>377.87529133166487</v>
      </c>
      <c r="AF136" s="114">
        <v>554.60648049624069</v>
      </c>
      <c r="AG136" s="114">
        <v>578.73874768085193</v>
      </c>
      <c r="AH136" s="114">
        <v>1758.3343851290515</v>
      </c>
      <c r="AI136" s="114">
        <v>2221.8660474655767</v>
      </c>
      <c r="AJ136" s="114">
        <v>5113.5456607717206</v>
      </c>
    </row>
    <row r="137" spans="20:36" x14ac:dyDescent="0.25">
      <c r="T137" s="19" t="s">
        <v>826</v>
      </c>
      <c r="U137" s="19" t="s">
        <v>862</v>
      </c>
      <c r="V137" s="113" t="s">
        <v>201</v>
      </c>
      <c r="W137" s="114">
        <v>7.7589946509841301</v>
      </c>
      <c r="X137" s="114">
        <v>8.8991714231023327</v>
      </c>
      <c r="Y137" s="114">
        <v>20.316710116419774</v>
      </c>
      <c r="Z137" s="114">
        <v>39.544255359297281</v>
      </c>
      <c r="AA137" s="114">
        <v>74.739129681588139</v>
      </c>
      <c r="AB137" s="114">
        <v>13.87052317780465</v>
      </c>
      <c r="AC137" s="114">
        <v>35.252836521224566</v>
      </c>
      <c r="AD137" s="114">
        <v>22.843918360278398</v>
      </c>
      <c r="AE137" s="114">
        <v>146.70640774089574</v>
      </c>
      <c r="AF137" s="114">
        <v>579.90050741865161</v>
      </c>
      <c r="AG137" s="114">
        <v>123.43616348739769</v>
      </c>
      <c r="AH137" s="114">
        <v>716.22166038325565</v>
      </c>
      <c r="AI137" s="114">
        <v>903.3457410457886</v>
      </c>
      <c r="AJ137" s="114">
        <v>2322.9040723350936</v>
      </c>
    </row>
    <row r="138" spans="20:36" x14ac:dyDescent="0.25">
      <c r="T138" s="19" t="s">
        <v>827</v>
      </c>
      <c r="U138" s="19" t="s">
        <v>863</v>
      </c>
      <c r="V138" s="113" t="s">
        <v>48</v>
      </c>
      <c r="W138" s="114">
        <v>4.1224044957748252</v>
      </c>
      <c r="X138" s="114">
        <v>6.9129169769566303</v>
      </c>
      <c r="Y138" s="114">
        <v>8.2466339222540004</v>
      </c>
      <c r="Z138" s="114">
        <v>22.106778260446536</v>
      </c>
      <c r="AA138" s="114">
        <v>619.81092857524766</v>
      </c>
      <c r="AB138" s="114">
        <v>91.747275444950645</v>
      </c>
      <c r="AC138" s="114">
        <v>27.520128701352096</v>
      </c>
      <c r="AD138" s="114">
        <v>19.332893877489177</v>
      </c>
      <c r="AE138" s="114">
        <v>758.41122659903954</v>
      </c>
      <c r="AF138" s="114">
        <v>2555.1113584889699</v>
      </c>
      <c r="AG138" s="114">
        <v>634.24129801291554</v>
      </c>
      <c r="AH138" s="114">
        <v>226.94842689336613</v>
      </c>
      <c r="AI138" s="114">
        <v>427.38799808239764</v>
      </c>
      <c r="AJ138" s="114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5" x14ac:dyDescent="0.25"/>
  <sheetData>
    <row r="1" spans="1:2" ht="18.75" x14ac:dyDescent="0.3">
      <c r="A1" s="5" t="s">
        <v>330</v>
      </c>
    </row>
    <row r="4" spans="1:2" x14ac:dyDescent="0.25">
      <c r="A4" s="2" t="s">
        <v>331</v>
      </c>
    </row>
    <row r="5" spans="1:2" x14ac:dyDescent="0.25">
      <c r="A5" s="9" t="s">
        <v>332</v>
      </c>
    </row>
    <row r="6" spans="1:2" x14ac:dyDescent="0.25">
      <c r="B6" s="9" t="s">
        <v>333</v>
      </c>
    </row>
    <row r="7" spans="1:2" x14ac:dyDescent="0.25">
      <c r="B7" t="s">
        <v>96</v>
      </c>
    </row>
    <row r="8" spans="1:2" x14ac:dyDescent="0.25">
      <c r="A8" s="11" t="s">
        <v>440</v>
      </c>
      <c r="B8">
        <v>1</v>
      </c>
    </row>
    <row r="9" spans="1:2" x14ac:dyDescent="0.25">
      <c r="A9" s="11" t="s">
        <v>441</v>
      </c>
      <c r="B9">
        <v>1</v>
      </c>
    </row>
    <row r="10" spans="1:2" x14ac:dyDescent="0.25">
      <c r="A10" s="11" t="s">
        <v>442</v>
      </c>
      <c r="B10">
        <v>1</v>
      </c>
    </row>
    <row r="11" spans="1:2" x14ac:dyDescent="0.25">
      <c r="A11" s="11" t="s">
        <v>443</v>
      </c>
      <c r="B11">
        <v>1</v>
      </c>
    </row>
    <row r="12" spans="1:2" x14ac:dyDescent="0.25">
      <c r="A12" s="11" t="s">
        <v>444</v>
      </c>
      <c r="B12">
        <v>1</v>
      </c>
    </row>
    <row r="13" spans="1:2" x14ac:dyDescent="0.25">
      <c r="A13" s="11" t="s">
        <v>445</v>
      </c>
      <c r="B13">
        <v>1</v>
      </c>
    </row>
    <row r="14" spans="1:2" x14ac:dyDescent="0.25">
      <c r="A14" s="11" t="s">
        <v>446</v>
      </c>
      <c r="B14">
        <v>1</v>
      </c>
    </row>
    <row r="15" spans="1:2" x14ac:dyDescent="0.25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5" x14ac:dyDescent="0.25"/>
  <sheetData>
    <row r="1" spans="1:2" ht="18.75" x14ac:dyDescent="0.3">
      <c r="A1" s="5" t="s">
        <v>334</v>
      </c>
    </row>
    <row r="6" spans="1:2" x14ac:dyDescent="0.25">
      <c r="A6" s="2" t="s">
        <v>335</v>
      </c>
    </row>
    <row r="7" spans="1:2" x14ac:dyDescent="0.25">
      <c r="B7" t="s">
        <v>336</v>
      </c>
    </row>
    <row r="8" spans="1:2" x14ac:dyDescent="0.25">
      <c r="A8" t="s">
        <v>453</v>
      </c>
      <c r="B8" s="11">
        <v>2024.6432209910752</v>
      </c>
    </row>
    <row r="9" spans="1:2" x14ac:dyDescent="0.25">
      <c r="A9" t="s">
        <v>454</v>
      </c>
      <c r="B9" s="11">
        <v>2646.7482793071185</v>
      </c>
    </row>
    <row r="10" spans="1:2" x14ac:dyDescent="0.25">
      <c r="A10" t="s">
        <v>455</v>
      </c>
      <c r="B10" s="11">
        <v>2403.2673990808889</v>
      </c>
    </row>
    <row r="11" spans="1:2" x14ac:dyDescent="0.25">
      <c r="A11" t="s">
        <v>456</v>
      </c>
      <c r="B11" s="11">
        <v>1848.5924093164913</v>
      </c>
    </row>
    <row r="12" spans="1:2" x14ac:dyDescent="0.25">
      <c r="A12" t="s">
        <v>457</v>
      </c>
      <c r="B12" s="11">
        <v>1048.3954531483173</v>
      </c>
    </row>
    <row r="13" spans="1:2" x14ac:dyDescent="0.25">
      <c r="A13" t="s">
        <v>458</v>
      </c>
      <c r="B13" s="11">
        <v>690.26850447096422</v>
      </c>
    </row>
    <row r="14" spans="1:2" x14ac:dyDescent="0.25">
      <c r="A14" t="s">
        <v>459</v>
      </c>
      <c r="B14" s="11">
        <v>856.21845323105083</v>
      </c>
    </row>
    <row r="15" spans="1:2" x14ac:dyDescent="0.25">
      <c r="A15" t="s">
        <v>460</v>
      </c>
      <c r="B15" s="11">
        <v>801.24202079481131</v>
      </c>
    </row>
    <row r="16" spans="1:2" x14ac:dyDescent="0.25">
      <c r="A16" t="s">
        <v>461</v>
      </c>
      <c r="B16" s="11">
        <v>688.50499014241166</v>
      </c>
    </row>
    <row r="17" spans="1:2" x14ac:dyDescent="0.25">
      <c r="A17" t="s">
        <v>462</v>
      </c>
      <c r="B17" s="11">
        <v>665.30899365149094</v>
      </c>
    </row>
    <row r="18" spans="1:2" x14ac:dyDescent="0.25">
      <c r="A18" t="s">
        <v>463</v>
      </c>
      <c r="B18" s="11">
        <v>479.38711459720474</v>
      </c>
    </row>
    <row r="19" spans="1:2" x14ac:dyDescent="0.25">
      <c r="A19" t="s">
        <v>464</v>
      </c>
      <c r="B19" s="11">
        <v>1632.2846348139833</v>
      </c>
    </row>
    <row r="20" spans="1:2" x14ac:dyDescent="0.25">
      <c r="A20" t="s">
        <v>465</v>
      </c>
      <c r="B20" s="11">
        <v>2589.4011760211711</v>
      </c>
    </row>
    <row r="21" spans="1:2" x14ac:dyDescent="0.25">
      <c r="A21" t="s">
        <v>466</v>
      </c>
      <c r="B21" s="11">
        <v>3613.5911678996085</v>
      </c>
    </row>
    <row r="22" spans="1:2" x14ac:dyDescent="0.25">
      <c r="A22" t="s">
        <v>467</v>
      </c>
      <c r="B22" s="11">
        <v>5422.0391825334091</v>
      </c>
    </row>
    <row r="23" spans="1:2" x14ac:dyDescent="0.25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5" x14ac:dyDescent="0.25"/>
  <cols>
    <col min="2" max="2" width="10.42578125" bestFit="1" customWidth="1"/>
    <col min="3" max="3" width="10.140625" bestFit="1" customWidth="1"/>
    <col min="16" max="16" width="24" bestFit="1" customWidth="1"/>
    <col min="17" max="17" width="14.285156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5546875" bestFit="1" customWidth="1"/>
    <col min="28" max="28" width="8.85546875" style="34"/>
    <col min="45" max="45" width="42.140625" bestFit="1" customWidth="1"/>
    <col min="46" max="46" width="15.7109375" bestFit="1" customWidth="1"/>
    <col min="47" max="47" width="10.42578125" bestFit="1" customWidth="1"/>
    <col min="48" max="48" width="16.42578125" bestFit="1" customWidth="1"/>
    <col min="49" max="49" width="8" bestFit="1" customWidth="1"/>
    <col min="50" max="51" width="8" customWidth="1"/>
    <col min="52" max="53" width="11.28515625" bestFit="1" customWidth="1"/>
    <col min="56" max="57" width="12.7109375" bestFit="1" customWidth="1"/>
    <col min="59" max="59" width="16.5703125" customWidth="1"/>
  </cols>
  <sheetData>
    <row r="1" spans="1:28" x14ac:dyDescent="0.25">
      <c r="A1" t="s">
        <v>751</v>
      </c>
      <c r="P1" s="115" t="s">
        <v>889</v>
      </c>
      <c r="Q1" t="s">
        <v>890</v>
      </c>
    </row>
    <row r="2" spans="1:28" x14ac:dyDescent="0.25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25">
      <c r="P3" s="115" t="s">
        <v>891</v>
      </c>
      <c r="Q3" s="115" t="s">
        <v>892</v>
      </c>
      <c r="Y3" t="s">
        <v>949</v>
      </c>
      <c r="AA3" t="s">
        <v>950</v>
      </c>
    </row>
    <row r="4" spans="1:28" x14ac:dyDescent="0.25">
      <c r="H4" s="53" t="s">
        <v>896</v>
      </c>
      <c r="P4" s="115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25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2">
        <f>S5/$S$2</f>
        <v>2.1637608553094444E-4</v>
      </c>
      <c r="U5" s="102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2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25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2">
        <f t="shared" ref="T6:T59" si="4">S6/$S$2</f>
        <v>2.1511008139497036E-3</v>
      </c>
      <c r="U6" s="102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2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25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80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2">
        <f t="shared" si="4"/>
        <v>4.9447909116734235E-3</v>
      </c>
      <c r="U7" s="102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2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25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80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2">
        <f t="shared" si="4"/>
        <v>5.9811935208514081E-4</v>
      </c>
      <c r="U8" s="102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2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25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80"/>
      <c r="O9" t="s">
        <v>586</v>
      </c>
      <c r="P9" s="3" t="s">
        <v>901</v>
      </c>
      <c r="T9" s="102">
        <f t="shared" si="4"/>
        <v>0</v>
      </c>
      <c r="U9" s="102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2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25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80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2">
        <f t="shared" si="4"/>
        <v>1.229130229101025E-3</v>
      </c>
      <c r="U10" s="102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2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25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80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2">
        <f t="shared" si="4"/>
        <v>0.42313437451480085</v>
      </c>
      <c r="U11" s="102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2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25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80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2">
        <f t="shared" si="4"/>
        <v>2.7152470065024922E-3</v>
      </c>
      <c r="U12" s="102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2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25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80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2">
        <f t="shared" si="4"/>
        <v>3.008910800839309E-3</v>
      </c>
      <c r="U13" s="102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2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25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80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2">
        <f t="shared" si="4"/>
        <v>2.1109574206672643E-2</v>
      </c>
      <c r="U14" s="102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2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25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80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2">
        <f t="shared" si="4"/>
        <v>9.3507311309089583E-3</v>
      </c>
      <c r="U15" s="102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2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25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80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2">
        <f t="shared" si="4"/>
        <v>1.8092796972367087E-5</v>
      </c>
      <c r="U16" s="102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2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25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80"/>
      <c r="P17" s="3" t="s">
        <v>908</v>
      </c>
      <c r="S17">
        <v>39985</v>
      </c>
      <c r="T17" s="102">
        <f t="shared" si="4"/>
        <v>9.8293544421208974E-4</v>
      </c>
      <c r="U17" s="102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2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25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80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2">
        <f t="shared" si="4"/>
        <v>4.9981351636164077E-3</v>
      </c>
      <c r="U18" s="102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2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25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80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2">
        <f t="shared" si="4"/>
        <v>3.294069013990747E-6</v>
      </c>
      <c r="U19" s="102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2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25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80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2">
        <f t="shared" si="4"/>
        <v>1.260423884733937E-3</v>
      </c>
      <c r="U20" s="102"/>
    </row>
    <row r="21" spans="1:28" x14ac:dyDescent="0.25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80"/>
      <c r="O21" t="s">
        <v>586</v>
      </c>
      <c r="P21" s="3" t="s">
        <v>912</v>
      </c>
      <c r="T21" s="102">
        <f t="shared" si="4"/>
        <v>0</v>
      </c>
      <c r="U21" s="102"/>
      <c r="Y21" s="29"/>
      <c r="Z21" s="80"/>
      <c r="AA21" s="29"/>
    </row>
    <row r="22" spans="1:28" x14ac:dyDescent="0.25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2">
        <f t="shared" si="4"/>
        <v>1.6674134861938686E-3</v>
      </c>
      <c r="U22" s="102"/>
    </row>
    <row r="23" spans="1:28" x14ac:dyDescent="0.25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2">
        <f t="shared" si="4"/>
        <v>2.3107648307099268E-6</v>
      </c>
      <c r="U23" s="102"/>
    </row>
    <row r="24" spans="1:28" x14ac:dyDescent="0.25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2">
        <f t="shared" si="4"/>
        <v>1.025583804901437E-2</v>
      </c>
      <c r="U24" s="102"/>
    </row>
    <row r="25" spans="1:28" x14ac:dyDescent="0.25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2">
        <f t="shared" si="4"/>
        <v>8.4318333716330309E-4</v>
      </c>
      <c r="U25" s="102"/>
    </row>
    <row r="26" spans="1:28" x14ac:dyDescent="0.25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2">
        <f t="shared" si="4"/>
        <v>5.9229327479920187E-4</v>
      </c>
      <c r="U26" s="102"/>
    </row>
    <row r="27" spans="1:28" x14ac:dyDescent="0.25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2">
        <f t="shared" si="4"/>
        <v>1.1473684862612248E-3</v>
      </c>
      <c r="U27" s="102"/>
    </row>
    <row r="28" spans="1:28" x14ac:dyDescent="0.25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2">
        <f t="shared" si="4"/>
        <v>4.1585015545547485E-2</v>
      </c>
      <c r="U28" s="102"/>
    </row>
    <row r="29" spans="1:28" x14ac:dyDescent="0.25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2">
        <f t="shared" si="4"/>
        <v>2.4424784260603928E-3</v>
      </c>
      <c r="U29" s="102"/>
    </row>
    <row r="30" spans="1:28" x14ac:dyDescent="0.25">
      <c r="O30" t="s">
        <v>586</v>
      </c>
      <c r="P30" s="3" t="s">
        <v>920</v>
      </c>
      <c r="T30" s="102">
        <f t="shared" si="4"/>
        <v>0</v>
      </c>
      <c r="U30" s="102"/>
    </row>
    <row r="31" spans="1:28" x14ac:dyDescent="0.25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2">
        <f t="shared" si="4"/>
        <v>3.8685399004679839E-3</v>
      </c>
      <c r="U31" s="102"/>
    </row>
    <row r="32" spans="1:28" x14ac:dyDescent="0.25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2">
        <f t="shared" si="4"/>
        <v>3.7095150314268936E-5</v>
      </c>
      <c r="U32" s="102"/>
    </row>
    <row r="33" spans="15:21" x14ac:dyDescent="0.25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2">
        <f t="shared" si="4"/>
        <v>9.0955636953475843E-7</v>
      </c>
      <c r="U33" s="102"/>
    </row>
    <row r="34" spans="15:21" x14ac:dyDescent="0.25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2">
        <f t="shared" si="4"/>
        <v>6.0055302993876077E-2</v>
      </c>
      <c r="U34" s="102"/>
    </row>
    <row r="35" spans="15:21" x14ac:dyDescent="0.25">
      <c r="P35" s="3" t="s">
        <v>925</v>
      </c>
      <c r="S35">
        <v>208</v>
      </c>
      <c r="T35" s="102">
        <f t="shared" si="4"/>
        <v>5.1131817530602636E-6</v>
      </c>
      <c r="U35" s="102"/>
    </row>
    <row r="36" spans="15:21" x14ac:dyDescent="0.25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2">
        <f t="shared" si="4"/>
        <v>1.6313016400628802E-3</v>
      </c>
      <c r="U36" s="102"/>
    </row>
    <row r="37" spans="15:21" x14ac:dyDescent="0.25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2">
        <f t="shared" si="4"/>
        <v>3.5394525729284757E-3</v>
      </c>
      <c r="U37" s="102"/>
    </row>
    <row r="38" spans="15:21" x14ac:dyDescent="0.25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2">
        <f t="shared" si="4"/>
        <v>1.6965192900189809E-2</v>
      </c>
      <c r="U38" s="102"/>
    </row>
    <row r="39" spans="15:21" x14ac:dyDescent="0.25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2">
        <f t="shared" si="4"/>
        <v>1.3670386408061599E-4</v>
      </c>
      <c r="U39" s="102"/>
    </row>
    <row r="40" spans="15:21" x14ac:dyDescent="0.25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2">
        <f t="shared" si="4"/>
        <v>9.4815105872853066E-5</v>
      </c>
      <c r="U40" s="102"/>
    </row>
    <row r="41" spans="15:21" x14ac:dyDescent="0.25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2">
        <f t="shared" si="4"/>
        <v>1.626139293100656E-2</v>
      </c>
      <c r="U41" s="102"/>
    </row>
    <row r="42" spans="15:21" x14ac:dyDescent="0.25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2">
        <f t="shared" si="4"/>
        <v>9.716080258467405E-2</v>
      </c>
      <c r="U42" s="102"/>
    </row>
    <row r="43" spans="15:21" x14ac:dyDescent="0.25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2">
        <f t="shared" si="4"/>
        <v>6.4563752674218645E-4</v>
      </c>
      <c r="U43" s="102"/>
    </row>
    <row r="44" spans="15:21" x14ac:dyDescent="0.25">
      <c r="O44" t="s">
        <v>586</v>
      </c>
      <c r="P44" s="3" t="s">
        <v>934</v>
      </c>
      <c r="T44" s="102">
        <f t="shared" si="4"/>
        <v>0</v>
      </c>
      <c r="U44" s="102"/>
    </row>
    <row r="45" spans="15:21" x14ac:dyDescent="0.25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2">
        <f t="shared" si="4"/>
        <v>1.5769544178529493E-2</v>
      </c>
      <c r="U45" s="102"/>
    </row>
    <row r="46" spans="15:21" x14ac:dyDescent="0.25">
      <c r="P46" s="3" t="s">
        <v>936</v>
      </c>
      <c r="S46">
        <v>427875</v>
      </c>
      <c r="T46" s="102">
        <f t="shared" si="4"/>
        <v>1.0518281935532021E-2</v>
      </c>
      <c r="U46" s="102"/>
    </row>
    <row r="47" spans="15:21" x14ac:dyDescent="0.25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2">
        <f t="shared" si="4"/>
        <v>4.4248688247636902E-6</v>
      </c>
      <c r="U47" s="102"/>
    </row>
    <row r="48" spans="15:21" x14ac:dyDescent="0.25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2">
        <f t="shared" si="4"/>
        <v>5.5131407296097376E-4</v>
      </c>
      <c r="U48" s="102"/>
    </row>
    <row r="49" spans="15:21" x14ac:dyDescent="0.25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2">
        <f t="shared" si="4"/>
        <v>6.88312928296574E-4</v>
      </c>
      <c r="U49" s="102"/>
    </row>
    <row r="50" spans="15:21" x14ac:dyDescent="0.25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2">
        <f t="shared" si="4"/>
        <v>6.4566702586768485E-3</v>
      </c>
      <c r="U50" s="102"/>
    </row>
    <row r="51" spans="15:21" x14ac:dyDescent="0.25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2">
        <f t="shared" si="4"/>
        <v>3.4995795882964381E-3</v>
      </c>
      <c r="U51" s="102"/>
    </row>
    <row r="52" spans="15:21" x14ac:dyDescent="0.25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2">
        <f t="shared" si="4"/>
        <v>3.6774593150519386E-3</v>
      </c>
      <c r="U52" s="102"/>
    </row>
    <row r="53" spans="15:21" x14ac:dyDescent="0.25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2">
        <f t="shared" si="4"/>
        <v>3.4814376261149073E-3</v>
      </c>
      <c r="U53" s="102"/>
    </row>
    <row r="54" spans="15:21" x14ac:dyDescent="0.25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2">
        <f t="shared" si="4"/>
        <v>3.1986418012638018E-2</v>
      </c>
      <c r="U54" s="102"/>
    </row>
    <row r="55" spans="15:21" x14ac:dyDescent="0.25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2">
        <f t="shared" si="4"/>
        <v>5.8752424951028992E-5</v>
      </c>
      <c r="U55" s="102"/>
    </row>
    <row r="56" spans="15:21" x14ac:dyDescent="0.25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2">
        <f t="shared" si="4"/>
        <v>9.0162110477568225E-3</v>
      </c>
      <c r="U56" s="102"/>
    </row>
    <row r="57" spans="15:21" x14ac:dyDescent="0.25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2">
        <f t="shared" si="4"/>
        <v>2.7382563243912635E-4</v>
      </c>
      <c r="U57" s="102"/>
    </row>
    <row r="58" spans="15:21" x14ac:dyDescent="0.25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2">
        <f t="shared" si="4"/>
        <v>0.17935837042110886</v>
      </c>
      <c r="U58" s="102"/>
    </row>
    <row r="59" spans="15:21" x14ac:dyDescent="0.25">
      <c r="P59" s="3" t="s">
        <v>948</v>
      </c>
      <c r="Q59">
        <v>7059918</v>
      </c>
      <c r="R59">
        <v>3686118</v>
      </c>
      <c r="S59">
        <v>40679172</v>
      </c>
      <c r="T59" s="102">
        <f t="shared" si="4"/>
        <v>1</v>
      </c>
      <c r="U59" s="10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R82"/>
  <sheetViews>
    <sheetView workbookViewId="0">
      <selection activeCell="O10" sqref="O10"/>
    </sheetView>
  </sheetViews>
  <sheetFormatPr defaultColWidth="8.85546875" defaultRowHeight="12" x14ac:dyDescent="0.2"/>
  <cols>
    <col min="1" max="1" width="8.42578125" style="81" bestFit="1" customWidth="1"/>
    <col min="2" max="2" width="5.7109375" style="81" bestFit="1" customWidth="1"/>
    <col min="3" max="3" width="8" style="82" bestFit="1" customWidth="1"/>
    <col min="4" max="4" width="8.85546875" style="81"/>
    <col min="5" max="5" width="6.28515625" style="81" bestFit="1" customWidth="1"/>
    <col min="6" max="6" width="8" style="82" bestFit="1" customWidth="1"/>
    <col min="7" max="7" width="6.7109375" style="82" bestFit="1" customWidth="1"/>
    <col min="8" max="8" width="4.85546875" style="82" bestFit="1" customWidth="1"/>
    <col min="9" max="9" width="4.85546875" style="81" bestFit="1" customWidth="1"/>
    <col min="10" max="10" width="10" style="81" bestFit="1" customWidth="1"/>
    <col min="11" max="11" width="8" style="81" bestFit="1" customWidth="1"/>
    <col min="12" max="12" width="8" style="88" bestFit="1" customWidth="1"/>
    <col min="13" max="13" width="9.140625" style="81" bestFit="1" customWidth="1"/>
    <col min="14" max="15" width="6.7109375" style="81" bestFit="1" customWidth="1"/>
    <col min="16" max="16" width="7.42578125" style="81" bestFit="1" customWidth="1"/>
    <col min="17" max="17" width="7.85546875" style="81" customWidth="1"/>
    <col min="18" max="18" width="9.28515625" style="81" bestFit="1" customWidth="1"/>
    <col min="19" max="19" width="11.140625" style="81" customWidth="1"/>
    <col min="20" max="21" width="8.85546875" style="81"/>
    <col min="22" max="22" width="8.7109375" style="81" bestFit="1" customWidth="1"/>
    <col min="23" max="23" width="5.28515625" style="81" bestFit="1" customWidth="1"/>
    <col min="24" max="24" width="4.42578125" style="81" bestFit="1" customWidth="1"/>
    <col min="25" max="25" width="8.85546875" style="81"/>
    <col min="26" max="26" width="6.28515625" style="81" bestFit="1" customWidth="1"/>
    <col min="27" max="27" width="9.140625" style="81" customWidth="1"/>
    <col min="28" max="28" width="10.42578125" style="81" customWidth="1"/>
    <col min="29" max="29" width="13.7109375" style="81" customWidth="1"/>
    <col min="30" max="30" width="5.42578125" style="81" bestFit="1" customWidth="1"/>
    <col min="31" max="31" width="13.5703125" style="81" bestFit="1" customWidth="1"/>
    <col min="32" max="34" width="8.85546875" style="81"/>
    <col min="35" max="36" width="5.28515625" style="81" bestFit="1" customWidth="1"/>
    <col min="37" max="16384" width="8.85546875" style="81"/>
  </cols>
  <sheetData>
    <row r="1" spans="1:29" x14ac:dyDescent="0.2">
      <c r="A1" s="144" t="s">
        <v>783</v>
      </c>
      <c r="B1" s="144"/>
      <c r="C1" s="144"/>
      <c r="D1" s="144"/>
      <c r="E1" s="144"/>
      <c r="F1" s="144"/>
      <c r="J1" s="82"/>
      <c r="K1" s="87"/>
      <c r="L1" s="88" t="s">
        <v>793</v>
      </c>
      <c r="M1" s="88">
        <v>6</v>
      </c>
    </row>
    <row r="2" spans="1:29" x14ac:dyDescent="0.2">
      <c r="A2" s="81" t="s">
        <v>752</v>
      </c>
      <c r="C2" s="82">
        <f>SUM(C4:C75)</f>
        <v>8525.9681160749114</v>
      </c>
      <c r="E2" s="81" t="s">
        <v>753</v>
      </c>
      <c r="F2" s="82">
        <f>SUM(F3:F5)</f>
        <v>8248.0326473952791</v>
      </c>
      <c r="K2" s="81" t="s">
        <v>754</v>
      </c>
      <c r="M2" s="81" t="s">
        <v>755</v>
      </c>
      <c r="N2" s="81" t="s">
        <v>756</v>
      </c>
      <c r="P2" s="81" t="s">
        <v>785</v>
      </c>
      <c r="AB2" s="81" t="s">
        <v>757</v>
      </c>
    </row>
    <row r="3" spans="1:29" x14ac:dyDescent="0.2">
      <c r="E3" s="81" t="s">
        <v>758</v>
      </c>
      <c r="F3" s="82">
        <f>F11</f>
        <v>8248.0059626100592</v>
      </c>
      <c r="K3" s="81" t="s">
        <v>759</v>
      </c>
      <c r="M3" s="81" t="s">
        <v>784</v>
      </c>
      <c r="N3" s="81">
        <v>3.6</v>
      </c>
      <c r="Q3" s="101" t="s">
        <v>789</v>
      </c>
      <c r="AB3" s="81" t="s">
        <v>760</v>
      </c>
      <c r="AC3" s="81" t="s">
        <v>761</v>
      </c>
    </row>
    <row r="4" spans="1:29" x14ac:dyDescent="0.2">
      <c r="A4" s="81" t="s">
        <v>764</v>
      </c>
      <c r="B4" s="81" t="s">
        <v>363</v>
      </c>
      <c r="C4" s="82">
        <f>HLOOKUP($B4,$A$81:$ER$82,2,)</f>
        <v>0</v>
      </c>
      <c r="E4" s="81" t="s">
        <v>763</v>
      </c>
      <c r="F4" s="82">
        <f>F12</f>
        <v>1.10872135599906E-4</v>
      </c>
      <c r="J4" s="81" t="s">
        <v>764</v>
      </c>
      <c r="K4" s="82">
        <f ca="1">SUMIF($A$4:$A$75,$J4,$C$4:$C$59)</f>
        <v>228.70971682760401</v>
      </c>
      <c r="L4" s="89">
        <f ca="1">K4</f>
        <v>228.70971682760401</v>
      </c>
      <c r="M4" s="83">
        <f ca="1">L4/(P15/100)</f>
        <v>294.62256041007834</v>
      </c>
      <c r="N4" s="83">
        <f t="shared" ref="N4:N7" ca="1" si="0">M4*$N$3</f>
        <v>1060.641217476282</v>
      </c>
      <c r="O4" s="92">
        <f ca="1">L4/N4</f>
        <v>0.21563344235461829</v>
      </c>
      <c r="P4" s="82">
        <f ca="1">(K4/M4)*100</f>
        <v>77.628039247662585</v>
      </c>
      <c r="Q4" s="100" t="s">
        <v>788</v>
      </c>
      <c r="R4" s="82">
        <f ca="1">(N4*$O$13)-L4</f>
        <v>1.4784436493755493E-3</v>
      </c>
      <c r="S4" s="82"/>
      <c r="T4" s="103"/>
      <c r="V4" s="81" t="s">
        <v>765</v>
      </c>
      <c r="W4" s="81">
        <v>6647</v>
      </c>
      <c r="AB4" s="81">
        <v>2016</v>
      </c>
      <c r="AC4" s="81" t="s">
        <v>766</v>
      </c>
    </row>
    <row r="5" spans="1:29" x14ac:dyDescent="0.2">
      <c r="A5" s="81" t="s">
        <v>764</v>
      </c>
      <c r="B5" s="81" t="s">
        <v>364</v>
      </c>
      <c r="C5" s="82">
        <f t="shared" ref="C5:C68" si="1">HLOOKUP($B5,$A$81:$ER$82,2,)</f>
        <v>0</v>
      </c>
      <c r="E5" s="81" t="s">
        <v>116</v>
      </c>
      <c r="F5" s="82">
        <f>F13</f>
        <v>2.6573913083999801E-2</v>
      </c>
      <c r="J5" s="81" t="s">
        <v>762</v>
      </c>
      <c r="K5" s="82">
        <f ca="1">SUMIF($A$4:$A$75,$J5,$C$4:$C$59)</f>
        <v>1798.4491339200374</v>
      </c>
      <c r="L5" s="89">
        <f t="shared" ref="L5:L7" ca="1" si="2">K5</f>
        <v>1798.4491339200374</v>
      </c>
      <c r="M5" s="83">
        <f ca="1">4185-(M4-M1)</f>
        <v>3896.3774395899218</v>
      </c>
      <c r="N5" s="83">
        <f t="shared" ca="1" si="0"/>
        <v>14026.958782523719</v>
      </c>
      <c r="O5" s="92">
        <f t="shared" ref="O5" ca="1" si="3">L5/N5</f>
        <v>0.12821376050243599</v>
      </c>
      <c r="P5" s="82">
        <f t="shared" ref="P5" ca="1" si="4">(K5/M5)*100</f>
        <v>46.156953780876961</v>
      </c>
      <c r="Q5" s="100" t="s">
        <v>790</v>
      </c>
      <c r="R5" s="82">
        <f ca="1">(N5*$O$13)-L5</f>
        <v>1226.2518265094448</v>
      </c>
      <c r="S5" s="82"/>
      <c r="T5" s="103"/>
      <c r="V5" s="81" t="s">
        <v>767</v>
      </c>
      <c r="W5" s="81">
        <v>11491</v>
      </c>
      <c r="AA5" s="81" t="s">
        <v>762</v>
      </c>
      <c r="AB5" s="81">
        <v>257</v>
      </c>
      <c r="AC5" s="81">
        <v>4185</v>
      </c>
    </row>
    <row r="6" spans="1:29" x14ac:dyDescent="0.2">
      <c r="A6" s="81" t="s">
        <v>764</v>
      </c>
      <c r="B6" s="81" t="s">
        <v>365</v>
      </c>
      <c r="C6" s="82">
        <f t="shared" si="1"/>
        <v>0</v>
      </c>
      <c r="J6" s="81" t="s">
        <v>770</v>
      </c>
      <c r="K6" s="82">
        <f ca="1">SUMIF($A$4:$A$75,$J6,$C$4:$C$59)</f>
        <v>2793.3639076371865</v>
      </c>
      <c r="L6" s="89">
        <f t="shared" ca="1" si="2"/>
        <v>2793.3639076371865</v>
      </c>
      <c r="M6" s="83">
        <f>1381+5</f>
        <v>1386</v>
      </c>
      <c r="N6" s="83">
        <f t="shared" si="0"/>
        <v>4989.6000000000004</v>
      </c>
      <c r="O6" s="92">
        <f ca="1">L6/N6</f>
        <v>0.55983724299286242</v>
      </c>
      <c r="P6" s="82">
        <f ca="1">(K6/M6)*100</f>
        <v>201.54140747743048</v>
      </c>
      <c r="Q6" s="100" t="s">
        <v>791</v>
      </c>
      <c r="R6" s="82">
        <f ca="1">(N6*$O$13)-L6</f>
        <v>-1717.4323285865496</v>
      </c>
      <c r="S6" s="93"/>
      <c r="T6" s="103"/>
      <c r="V6" s="81" t="s">
        <v>768</v>
      </c>
      <c r="W6" s="81">
        <v>4844</v>
      </c>
      <c r="AA6" s="81" t="s">
        <v>764</v>
      </c>
      <c r="AB6" s="81">
        <v>0.3</v>
      </c>
      <c r="AC6" s="81">
        <v>6</v>
      </c>
    </row>
    <row r="7" spans="1:29" x14ac:dyDescent="0.2">
      <c r="A7" s="81" t="s">
        <v>764</v>
      </c>
      <c r="B7" s="81" t="s">
        <v>366</v>
      </c>
      <c r="C7" s="82">
        <f t="shared" si="1"/>
        <v>0</v>
      </c>
      <c r="J7" s="81" t="s">
        <v>772</v>
      </c>
      <c r="K7" s="82">
        <f ca="1">SUMIF($A$4:$A$75,$J7,$C$4:$C$59)</f>
        <v>3427.5097289261503</v>
      </c>
      <c r="L7" s="89">
        <f t="shared" ca="1" si="2"/>
        <v>3427.5097289261503</v>
      </c>
      <c r="M7" s="83">
        <v>5048</v>
      </c>
      <c r="N7" s="83">
        <f t="shared" si="0"/>
        <v>18172.8</v>
      </c>
      <c r="O7" s="92">
        <f ca="1">L7/N7</f>
        <v>0.18860658395658073</v>
      </c>
      <c r="P7" s="82">
        <f ca="1">(K7/M7)*100</f>
        <v>67.89837022436906</v>
      </c>
      <c r="Q7" s="100" t="s">
        <v>792</v>
      </c>
      <c r="R7" s="82">
        <f ca="1">(N7*$O$13)-L7</f>
        <v>491.17902363345593</v>
      </c>
      <c r="S7" s="82"/>
      <c r="T7" s="103"/>
      <c r="V7" s="81" t="s">
        <v>771</v>
      </c>
      <c r="W7" s="81">
        <v>10625</v>
      </c>
      <c r="X7" s="81">
        <v>3978</v>
      </c>
      <c r="AA7" s="81" t="s">
        <v>770</v>
      </c>
      <c r="AB7" s="81">
        <v>221</v>
      </c>
      <c r="AC7" s="81">
        <v>1381</v>
      </c>
    </row>
    <row r="8" spans="1:29" x14ac:dyDescent="0.2">
      <c r="A8" s="81" t="s">
        <v>764</v>
      </c>
      <c r="B8" s="81" t="s">
        <v>367</v>
      </c>
      <c r="C8" s="82">
        <f t="shared" si="1"/>
        <v>0</v>
      </c>
      <c r="G8" s="82">
        <v>160.08427873797507</v>
      </c>
      <c r="H8" s="82">
        <v>1.6008427873797506E-4</v>
      </c>
      <c r="I8" s="82">
        <v>4.954378784002729E-2</v>
      </c>
      <c r="J8" s="81" t="s">
        <v>115</v>
      </c>
      <c r="K8" s="92">
        <f ca="1">SUMIF($A$4:$A$75,$J8,$C$4:$C$59)</f>
        <v>1.6008427873797501E-4</v>
      </c>
      <c r="L8" s="89">
        <f ca="1">K20</f>
        <v>183.17656434871475</v>
      </c>
      <c r="M8" s="83">
        <v>235.96548621738157</v>
      </c>
      <c r="N8" s="83">
        <f>M8*$N$3</f>
        <v>849.47575038257366</v>
      </c>
      <c r="O8" s="92">
        <f ca="1">L8/N8</f>
        <v>0.21563483626956806</v>
      </c>
      <c r="P8" s="82">
        <f ca="1">(L8/M8)*100</f>
        <v>77.628541057044515</v>
      </c>
      <c r="Q8" s="100" t="s">
        <v>788</v>
      </c>
      <c r="R8" s="110"/>
      <c r="S8" s="82"/>
      <c r="T8" s="103"/>
      <c r="V8" s="81" t="s">
        <v>773</v>
      </c>
      <c r="W8" s="81">
        <v>5048</v>
      </c>
      <c r="AA8" s="81" t="s">
        <v>772</v>
      </c>
      <c r="AB8" s="81">
        <v>503.2</v>
      </c>
      <c r="AC8" s="81">
        <v>5048</v>
      </c>
    </row>
    <row r="9" spans="1:29" x14ac:dyDescent="0.2">
      <c r="A9" s="81" t="s">
        <v>764</v>
      </c>
      <c r="B9" s="81" t="s">
        <v>368</v>
      </c>
      <c r="C9" s="82">
        <f t="shared" si="1"/>
        <v>0</v>
      </c>
      <c r="J9" s="81" t="s">
        <v>116</v>
      </c>
      <c r="K9" s="82">
        <f>F4+F5</f>
        <v>2.6684785219599706E-2</v>
      </c>
      <c r="L9" s="89">
        <f ca="1">K19</f>
        <v>183.20335689462502</v>
      </c>
      <c r="M9" s="83">
        <v>236</v>
      </c>
      <c r="N9" s="83">
        <f>M9*$N$3</f>
        <v>849.6</v>
      </c>
      <c r="O9" s="92">
        <f ca="1">L9/N9</f>
        <v>0.21563483626956806</v>
      </c>
      <c r="P9" s="82">
        <f ca="1">(L9/M9)*100</f>
        <v>77.628541057044501</v>
      </c>
      <c r="Q9" s="100" t="s">
        <v>788</v>
      </c>
      <c r="R9" s="82"/>
      <c r="S9" s="82"/>
      <c r="T9" s="103"/>
      <c r="V9" s="81" t="s">
        <v>774</v>
      </c>
      <c r="W9" s="81">
        <v>4185</v>
      </c>
      <c r="AA9" s="81" t="s">
        <v>775</v>
      </c>
      <c r="AB9" s="81">
        <v>0.5</v>
      </c>
      <c r="AC9" s="81">
        <v>5</v>
      </c>
    </row>
    <row r="10" spans="1:29" x14ac:dyDescent="0.2">
      <c r="A10" s="81" t="s">
        <v>764</v>
      </c>
      <c r="B10" s="81" t="s">
        <v>369</v>
      </c>
      <c r="C10" s="82">
        <f t="shared" si="1"/>
        <v>0</v>
      </c>
      <c r="F10" s="82" t="s">
        <v>432</v>
      </c>
      <c r="J10" s="81" t="s">
        <v>1057</v>
      </c>
      <c r="K10" s="92">
        <f ca="1">K8-K9</f>
        <v>-2.6524700940861731E-2</v>
      </c>
      <c r="L10" s="89">
        <f ca="1">L9-L8</f>
        <v>2.6792545910268473E-2</v>
      </c>
      <c r="M10" s="89">
        <f>M9-M8</f>
        <v>3.4513782618432742E-2</v>
      </c>
      <c r="N10" s="82">
        <f t="shared" ref="N10" si="5">M10*$N$3</f>
        <v>0.12424961742635787</v>
      </c>
      <c r="O10" s="92">
        <f ca="1">L10/N10</f>
        <v>0.21563483626940164</v>
      </c>
      <c r="P10" s="82">
        <f ca="1">(L10/M10)*100</f>
        <v>77.628541056984588</v>
      </c>
      <c r="R10" s="109">
        <f ca="1">SUM(R4:R7)</f>
        <v>4.5474735088646412E-13</v>
      </c>
      <c r="S10" s="132">
        <f ca="1">K10/O15</f>
        <v>-0.12300828967540546</v>
      </c>
      <c r="V10" s="81" t="s">
        <v>776</v>
      </c>
      <c r="W10" s="81">
        <v>1381</v>
      </c>
      <c r="AA10" s="81" t="s">
        <v>115</v>
      </c>
      <c r="AB10" s="81">
        <v>16.100000000000001</v>
      </c>
      <c r="AC10" s="81">
        <v>581</v>
      </c>
    </row>
    <row r="11" spans="1:29" x14ac:dyDescent="0.2">
      <c r="A11" s="81" t="s">
        <v>764</v>
      </c>
      <c r="B11" s="81" t="s">
        <v>370</v>
      </c>
      <c r="C11" s="82">
        <f t="shared" si="1"/>
        <v>0</v>
      </c>
      <c r="E11" s="81" t="s">
        <v>392</v>
      </c>
      <c r="F11" s="82">
        <v>8248.0059626100592</v>
      </c>
      <c r="S11" s="82"/>
      <c r="V11" s="81" t="s">
        <v>764</v>
      </c>
      <c r="W11" s="81">
        <v>6</v>
      </c>
      <c r="AA11" s="81" t="s">
        <v>116</v>
      </c>
      <c r="AB11" s="81">
        <v>43.9</v>
      </c>
      <c r="AC11" s="81">
        <v>236</v>
      </c>
    </row>
    <row r="12" spans="1:29" x14ac:dyDescent="0.2">
      <c r="A12" s="81" t="s">
        <v>764</v>
      </c>
      <c r="B12" s="81" t="s">
        <v>346</v>
      </c>
      <c r="C12" s="82">
        <f t="shared" si="1"/>
        <v>0</v>
      </c>
      <c r="E12" s="81" t="s">
        <v>20</v>
      </c>
      <c r="F12" s="82">
        <v>1.10872135599906E-4</v>
      </c>
      <c r="K12" s="82"/>
      <c r="L12" s="82"/>
      <c r="V12" s="81" t="s">
        <v>775</v>
      </c>
      <c r="W12" s="81">
        <v>5</v>
      </c>
      <c r="AA12" s="81" t="s">
        <v>758</v>
      </c>
      <c r="AB12" s="81">
        <v>1119.9000000000001</v>
      </c>
    </row>
    <row r="13" spans="1:29" x14ac:dyDescent="0.2">
      <c r="A13" s="81" t="s">
        <v>764</v>
      </c>
      <c r="B13" s="81" t="s">
        <v>371</v>
      </c>
      <c r="C13" s="82">
        <f t="shared" si="1"/>
        <v>0.31299891350980802</v>
      </c>
      <c r="E13" s="81" t="s">
        <v>30</v>
      </c>
      <c r="F13" s="82">
        <v>2.6573913083999801E-2</v>
      </c>
      <c r="J13" s="81" t="s">
        <v>777</v>
      </c>
      <c r="K13" s="84"/>
      <c r="L13" s="90">
        <f ca="1">SUM(L4:L7)</f>
        <v>8248.0324873109785</v>
      </c>
      <c r="M13" s="84">
        <f>SUM(AC5:AC9)</f>
        <v>10625</v>
      </c>
      <c r="N13" s="83">
        <f>M13*$N$3</f>
        <v>38250</v>
      </c>
      <c r="O13" s="92">
        <f ca="1">L13/N13</f>
        <v>0.21563483626956806</v>
      </c>
      <c r="P13" s="82">
        <f ca="1">(L13/M13)*100</f>
        <v>77.628541057044501</v>
      </c>
      <c r="Q13" s="85"/>
      <c r="Z13" s="81">
        <v>83.736000000000004</v>
      </c>
      <c r="AA13" s="81" t="s">
        <v>778</v>
      </c>
      <c r="AB13" s="81">
        <v>7.2</v>
      </c>
    </row>
    <row r="14" spans="1:29" x14ac:dyDescent="0.2">
      <c r="A14" s="81" t="s">
        <v>764</v>
      </c>
      <c r="B14" s="81" t="s">
        <v>348</v>
      </c>
      <c r="C14" s="82">
        <f t="shared" si="1"/>
        <v>0</v>
      </c>
      <c r="K14" s="82"/>
      <c r="L14" s="89"/>
      <c r="O14" s="108"/>
      <c r="Q14" s="86"/>
      <c r="AA14" s="81" t="s">
        <v>769</v>
      </c>
      <c r="AB14" s="81">
        <v>158.69999999999999</v>
      </c>
      <c r="AC14" s="81">
        <v>443</v>
      </c>
    </row>
    <row r="15" spans="1:29" x14ac:dyDescent="0.2">
      <c r="A15" s="81" t="s">
        <v>764</v>
      </c>
      <c r="B15" s="81" t="s">
        <v>372</v>
      </c>
      <c r="C15" s="82">
        <f t="shared" si="1"/>
        <v>0</v>
      </c>
      <c r="J15" s="81" t="s">
        <v>753</v>
      </c>
      <c r="K15" s="83"/>
      <c r="L15" s="91">
        <f ca="1">L18-L10</f>
        <v>8247.979170064149</v>
      </c>
      <c r="M15" s="83">
        <f>M13</f>
        <v>10625</v>
      </c>
      <c r="N15" s="83">
        <f>M15*$N$3</f>
        <v>38250</v>
      </c>
      <c r="O15" s="92">
        <f ca="1">L15/N15</f>
        <v>0.21563344235461829</v>
      </c>
      <c r="P15" s="82">
        <f ca="1">(L15/M15)*100</f>
        <v>77.628039247662585</v>
      </c>
      <c r="Q15" s="85"/>
      <c r="R15" s="87">
        <f ca="1">O13-O15</f>
        <v>1.3939149497710357E-6</v>
      </c>
      <c r="AA15" s="81" t="s">
        <v>779</v>
      </c>
      <c r="AC15" s="81">
        <v>11692</v>
      </c>
    </row>
    <row r="16" spans="1:29" x14ac:dyDescent="0.2">
      <c r="A16" s="81" t="s">
        <v>764</v>
      </c>
      <c r="B16" s="81" t="s">
        <v>347</v>
      </c>
      <c r="C16" s="82">
        <f t="shared" si="1"/>
        <v>0</v>
      </c>
      <c r="K16" s="82"/>
      <c r="L16" s="89"/>
      <c r="AA16" s="81" t="s">
        <v>780</v>
      </c>
      <c r="AC16" s="81">
        <v>11491</v>
      </c>
    </row>
    <row r="17" spans="1:29" x14ac:dyDescent="0.2">
      <c r="A17" s="81" t="s">
        <v>764</v>
      </c>
      <c r="B17" s="81" t="s">
        <v>373</v>
      </c>
      <c r="C17" s="82">
        <f t="shared" si="1"/>
        <v>0</v>
      </c>
      <c r="K17" s="82"/>
      <c r="L17" s="89"/>
    </row>
    <row r="18" spans="1:29" x14ac:dyDescent="0.2">
      <c r="A18" s="81" t="s">
        <v>764</v>
      </c>
      <c r="B18" s="81" t="s">
        <v>374</v>
      </c>
      <c r="J18" s="81" t="s">
        <v>780</v>
      </c>
      <c r="K18" s="82">
        <f>F3</f>
        <v>8248.0059626100592</v>
      </c>
      <c r="L18" s="89">
        <f>K18</f>
        <v>8248.0059626100592</v>
      </c>
      <c r="M18" s="84">
        <f>M15+M20-M19</f>
        <v>10624.965486217381</v>
      </c>
      <c r="N18" s="83">
        <f>M18*$N$3</f>
        <v>38249.875750382576</v>
      </c>
      <c r="O18" s="92">
        <f>K18/N18</f>
        <v>0.21563484327207422</v>
      </c>
      <c r="Q18" s="85"/>
      <c r="AA18" s="81" t="s">
        <v>781</v>
      </c>
      <c r="AC18" s="81">
        <v>10546</v>
      </c>
    </row>
    <row r="19" spans="1:29" x14ac:dyDescent="0.2">
      <c r="A19" s="81" t="s">
        <v>764</v>
      </c>
      <c r="B19" s="81" t="s">
        <v>375</v>
      </c>
      <c r="C19" s="82">
        <f t="shared" si="1"/>
        <v>2.2920723046801301</v>
      </c>
      <c r="K19" s="82">
        <f ca="1">N9*$O$13</f>
        <v>183.20335689462502</v>
      </c>
      <c r="L19" s="89">
        <f ca="1">K19</f>
        <v>183.20335689462502</v>
      </c>
      <c r="M19" s="84">
        <f>M9</f>
        <v>236</v>
      </c>
      <c r="N19" s="83">
        <f>M19*$N$3</f>
        <v>849.6</v>
      </c>
      <c r="O19" s="92">
        <f ca="1">L19/N19</f>
        <v>0.21563483626956806</v>
      </c>
      <c r="P19" s="85"/>
      <c r="Q19" s="85"/>
      <c r="AA19" s="81" t="s">
        <v>765</v>
      </c>
      <c r="AC19" s="81">
        <v>7977</v>
      </c>
    </row>
    <row r="20" spans="1:29" x14ac:dyDescent="0.2">
      <c r="A20" s="81" t="s">
        <v>764</v>
      </c>
      <c r="B20" s="81" t="s">
        <v>376</v>
      </c>
      <c r="C20" s="82">
        <f t="shared" si="1"/>
        <v>21.275313129717301</v>
      </c>
      <c r="K20" s="82">
        <f ca="1">N8*$O$13</f>
        <v>183.17656434871475</v>
      </c>
      <c r="L20" s="89">
        <f ca="1">K20</f>
        <v>183.17656434871475</v>
      </c>
      <c r="M20" s="84">
        <f>M8</f>
        <v>235.96548621738157</v>
      </c>
      <c r="N20" s="83">
        <f>M20*$N$3</f>
        <v>849.47575038257366</v>
      </c>
      <c r="O20" s="92">
        <f ca="1">L20/N20</f>
        <v>0.21563483626956806</v>
      </c>
      <c r="Q20" s="85"/>
      <c r="AA20" s="81" t="s">
        <v>768</v>
      </c>
      <c r="AC20" s="81">
        <v>2568</v>
      </c>
    </row>
    <row r="21" spans="1:29" x14ac:dyDescent="0.2">
      <c r="A21" s="81" t="s">
        <v>764</v>
      </c>
      <c r="B21" s="81" t="s">
        <v>377</v>
      </c>
      <c r="C21" s="82">
        <f t="shared" si="1"/>
        <v>61.1086370401949</v>
      </c>
    </row>
    <row r="22" spans="1:29" x14ac:dyDescent="0.2">
      <c r="A22" s="81" t="s">
        <v>764</v>
      </c>
      <c r="B22" s="81" t="s">
        <v>378</v>
      </c>
      <c r="C22" s="82">
        <f t="shared" si="1"/>
        <v>0</v>
      </c>
      <c r="K22" s="87"/>
      <c r="L22" s="87">
        <f ca="1">L20-L19</f>
        <v>-2.6792545910268473E-2</v>
      </c>
      <c r="N22" s="84">
        <f>N20-N19</f>
        <v>-0.12424961742635787</v>
      </c>
      <c r="O22" s="81">
        <f ca="1">L22/N22</f>
        <v>0.21563483626940164</v>
      </c>
      <c r="AA22" s="81" t="s">
        <v>771</v>
      </c>
      <c r="AC22" s="81">
        <v>10625</v>
      </c>
    </row>
    <row r="23" spans="1:29" x14ac:dyDescent="0.2">
      <c r="A23" s="81" t="s">
        <v>764</v>
      </c>
      <c r="B23" s="81" t="s">
        <v>6</v>
      </c>
      <c r="C23" s="82">
        <f t="shared" si="1"/>
        <v>138.85645589950499</v>
      </c>
      <c r="AA23" s="81" t="s">
        <v>782</v>
      </c>
      <c r="AC23" s="81">
        <v>11146</v>
      </c>
    </row>
    <row r="24" spans="1:29" x14ac:dyDescent="0.2">
      <c r="A24" s="81" t="s">
        <v>764</v>
      </c>
      <c r="B24" s="81" t="s">
        <v>10</v>
      </c>
      <c r="C24" s="82">
        <f t="shared" si="1"/>
        <v>4.8642395399968699</v>
      </c>
      <c r="K24" s="87"/>
    </row>
    <row r="25" spans="1:29" x14ac:dyDescent="0.2">
      <c r="A25" s="81" t="s">
        <v>762</v>
      </c>
      <c r="B25" s="81" t="s">
        <v>379</v>
      </c>
      <c r="C25" s="82">
        <f t="shared" si="1"/>
        <v>193.52156422566</v>
      </c>
      <c r="K25" s="87"/>
    </row>
    <row r="26" spans="1:29" x14ac:dyDescent="0.2">
      <c r="A26" s="81" t="s">
        <v>762</v>
      </c>
      <c r="B26" s="81" t="s">
        <v>880</v>
      </c>
      <c r="C26" s="82">
        <f t="shared" si="1"/>
        <v>16.9700499857558</v>
      </c>
      <c r="K26" s="88" t="s">
        <v>432</v>
      </c>
      <c r="L26" s="81">
        <v>-2.0999999999999999E-5</v>
      </c>
    </row>
    <row r="27" spans="1:29" x14ac:dyDescent="0.2">
      <c r="A27" s="81" t="s">
        <v>762</v>
      </c>
      <c r="B27" s="81" t="s">
        <v>21</v>
      </c>
      <c r="C27" s="82">
        <f t="shared" si="1"/>
        <v>1192.8578462072501</v>
      </c>
      <c r="K27" s="88"/>
      <c r="L27" s="87">
        <f ca="1">L8+L26</f>
        <v>183.17654334871474</v>
      </c>
      <c r="M27" s="82">
        <f ca="1">L27/O13</f>
        <v>849.47565299571193</v>
      </c>
      <c r="N27" s="87"/>
      <c r="O27" s="86"/>
    </row>
    <row r="28" spans="1:29" x14ac:dyDescent="0.2">
      <c r="A28" s="81" t="s">
        <v>762</v>
      </c>
      <c r="B28" s="81" t="s">
        <v>208</v>
      </c>
      <c r="C28" s="82">
        <f t="shared" si="1"/>
        <v>1.08057058366412</v>
      </c>
      <c r="M28" s="87">
        <f ca="1">M27/N3</f>
        <v>235.96545916547552</v>
      </c>
    </row>
    <row r="29" spans="1:29" x14ac:dyDescent="0.2">
      <c r="A29" s="81" t="s">
        <v>762</v>
      </c>
      <c r="B29" s="81" t="s">
        <v>380</v>
      </c>
      <c r="C29" s="82">
        <f t="shared" si="1"/>
        <v>1.5079646017830399</v>
      </c>
      <c r="K29" s="93"/>
      <c r="L29" s="94"/>
      <c r="N29" s="95"/>
      <c r="O29" s="96"/>
      <c r="Q29" s="96"/>
      <c r="R29" s="93"/>
    </row>
    <row r="30" spans="1:29" x14ac:dyDescent="0.2">
      <c r="A30" s="81" t="s">
        <v>762</v>
      </c>
      <c r="B30" s="81" t="s">
        <v>381</v>
      </c>
      <c r="C30" s="82">
        <f t="shared" si="1"/>
        <v>3.5082250776968</v>
      </c>
      <c r="K30" s="93"/>
      <c r="L30" s="107"/>
      <c r="M30" s="106"/>
      <c r="N30" s="95"/>
      <c r="O30" s="96"/>
      <c r="Q30" s="96"/>
      <c r="R30" s="93"/>
    </row>
    <row r="31" spans="1:29" x14ac:dyDescent="0.2">
      <c r="A31" s="81" t="s">
        <v>762</v>
      </c>
      <c r="B31" s="81" t="s">
        <v>382</v>
      </c>
      <c r="C31" s="82">
        <f t="shared" si="1"/>
        <v>38.241219195573599</v>
      </c>
      <c r="K31" s="93"/>
      <c r="L31" s="94"/>
      <c r="M31" s="95"/>
      <c r="N31" s="95"/>
      <c r="O31" s="96"/>
      <c r="Q31" s="96"/>
      <c r="R31" s="93"/>
    </row>
    <row r="32" spans="1:29" x14ac:dyDescent="0.2">
      <c r="A32" s="81" t="s">
        <v>762</v>
      </c>
      <c r="B32" s="81" t="s">
        <v>383</v>
      </c>
      <c r="C32" s="82">
        <f t="shared" si="1"/>
        <v>0.54189996227945603</v>
      </c>
      <c r="K32" s="93"/>
      <c r="L32" s="94"/>
      <c r="M32" s="95"/>
      <c r="N32" s="95"/>
      <c r="O32" s="96"/>
      <c r="Q32" s="96"/>
      <c r="R32" s="93"/>
    </row>
    <row r="33" spans="1:18" x14ac:dyDescent="0.2">
      <c r="A33" s="81" t="s">
        <v>762</v>
      </c>
      <c r="B33" s="81" t="s">
        <v>25</v>
      </c>
      <c r="C33" s="82">
        <f t="shared" si="1"/>
        <v>10.3145852945693</v>
      </c>
      <c r="K33" s="93" t="s">
        <v>30</v>
      </c>
      <c r="L33" s="94"/>
      <c r="M33" s="95"/>
      <c r="N33" s="95"/>
      <c r="O33" s="96"/>
      <c r="Q33" s="96"/>
      <c r="R33" s="93"/>
    </row>
    <row r="34" spans="1:18" x14ac:dyDescent="0.2">
      <c r="A34" s="81" t="s">
        <v>762</v>
      </c>
      <c r="B34" s="81" t="s">
        <v>384</v>
      </c>
      <c r="C34" s="82">
        <f t="shared" si="1"/>
        <v>7.7336378382896003</v>
      </c>
      <c r="J34" s="81" t="s">
        <v>432</v>
      </c>
      <c r="K34" s="93">
        <v>1.6008427873797501E-4</v>
      </c>
      <c r="L34" s="94"/>
      <c r="M34" s="95"/>
      <c r="N34" s="95"/>
      <c r="O34" s="96"/>
      <c r="Q34" s="96"/>
      <c r="R34" s="93"/>
    </row>
    <row r="35" spans="1:18" x14ac:dyDescent="0.2">
      <c r="A35" s="81" t="s">
        <v>762</v>
      </c>
      <c r="B35" s="81" t="s">
        <v>385</v>
      </c>
      <c r="C35" s="82">
        <f t="shared" si="1"/>
        <v>3.1934544594778E-2</v>
      </c>
      <c r="K35" s="93" t="s">
        <v>432</v>
      </c>
      <c r="L35" s="94"/>
      <c r="M35" s="95"/>
      <c r="N35" s="95"/>
      <c r="O35" s="96"/>
      <c r="Q35" s="96"/>
      <c r="R35" s="93"/>
    </row>
    <row r="36" spans="1:18" x14ac:dyDescent="0.2">
      <c r="A36" s="81" t="s">
        <v>762</v>
      </c>
      <c r="B36" s="81" t="s">
        <v>386</v>
      </c>
      <c r="C36" s="82">
        <f t="shared" si="1"/>
        <v>22.1312069822261</v>
      </c>
      <c r="J36" s="81" t="s">
        <v>30</v>
      </c>
      <c r="K36" s="93">
        <v>2.6573913083999801E-2</v>
      </c>
      <c r="L36" s="94"/>
      <c r="R36" s="93"/>
    </row>
    <row r="37" spans="1:18" x14ac:dyDescent="0.2">
      <c r="A37" s="81" t="s">
        <v>762</v>
      </c>
      <c r="B37" s="81" t="s">
        <v>387</v>
      </c>
      <c r="C37" s="82">
        <f t="shared" si="1"/>
        <v>50.617480570266402</v>
      </c>
      <c r="K37" s="93"/>
      <c r="L37" s="93"/>
    </row>
    <row r="38" spans="1:18" x14ac:dyDescent="0.2">
      <c r="A38" s="81" t="s">
        <v>762</v>
      </c>
      <c r="B38" s="81" t="s">
        <v>32</v>
      </c>
      <c r="C38" s="82">
        <f t="shared" si="1"/>
        <v>0.40306582826442999</v>
      </c>
      <c r="K38" s="84"/>
      <c r="L38" s="90"/>
      <c r="M38" s="84"/>
      <c r="N38" s="95"/>
      <c r="O38" s="97"/>
      <c r="Q38" s="97"/>
    </row>
    <row r="39" spans="1:18" x14ac:dyDescent="0.2">
      <c r="A39" s="81" t="s">
        <v>762</v>
      </c>
      <c r="B39" s="81" t="s">
        <v>35</v>
      </c>
      <c r="C39" s="82">
        <f t="shared" si="1"/>
        <v>74.198142565424504</v>
      </c>
      <c r="K39" s="93"/>
      <c r="L39" s="94"/>
      <c r="O39" s="86"/>
      <c r="Q39" s="86"/>
    </row>
    <row r="40" spans="1:18" x14ac:dyDescent="0.2">
      <c r="A40" s="81" t="s">
        <v>762</v>
      </c>
      <c r="B40" s="81" t="s">
        <v>41</v>
      </c>
      <c r="C40" s="82">
        <f t="shared" si="1"/>
        <v>16.5872452020146</v>
      </c>
      <c r="K40" s="93"/>
      <c r="L40" s="94"/>
      <c r="O40" s="86"/>
      <c r="Q40" s="86"/>
    </row>
    <row r="41" spans="1:18" x14ac:dyDescent="0.2">
      <c r="A41" s="81" t="s">
        <v>762</v>
      </c>
      <c r="B41" s="81" t="s">
        <v>388</v>
      </c>
      <c r="C41" s="82">
        <f t="shared" si="1"/>
        <v>45.911568346620498</v>
      </c>
      <c r="K41" s="95"/>
      <c r="L41" s="98"/>
      <c r="M41" s="95"/>
      <c r="N41" s="95"/>
      <c r="O41" s="97"/>
      <c r="Q41" s="97"/>
    </row>
    <row r="42" spans="1:18" x14ac:dyDescent="0.2">
      <c r="A42" s="81" t="s">
        <v>762</v>
      </c>
      <c r="B42" s="81" t="s">
        <v>389</v>
      </c>
      <c r="C42" s="82">
        <f t="shared" si="1"/>
        <v>49.772354548902896</v>
      </c>
      <c r="K42" s="93"/>
      <c r="L42" s="94"/>
    </row>
    <row r="43" spans="1:18" x14ac:dyDescent="0.2">
      <c r="A43" s="81" t="s">
        <v>762</v>
      </c>
      <c r="B43" s="81" t="s">
        <v>390</v>
      </c>
      <c r="C43" s="82">
        <f t="shared" si="1"/>
        <v>66.802968100592693</v>
      </c>
      <c r="K43" s="93"/>
      <c r="L43" s="94"/>
    </row>
    <row r="44" spans="1:18" x14ac:dyDescent="0.2">
      <c r="A44" s="81" t="s">
        <v>762</v>
      </c>
      <c r="B44" s="81" t="s">
        <v>341</v>
      </c>
      <c r="C44" s="82">
        <f t="shared" si="1"/>
        <v>1.70951365715396</v>
      </c>
      <c r="K44" s="93"/>
      <c r="L44" s="94"/>
      <c r="N44" s="95"/>
      <c r="O44" s="97"/>
      <c r="Q44" s="97"/>
    </row>
    <row r="45" spans="1:18" x14ac:dyDescent="0.2">
      <c r="A45" s="81" t="s">
        <v>762</v>
      </c>
      <c r="B45" s="81" t="s">
        <v>391</v>
      </c>
      <c r="C45" s="82">
        <f t="shared" si="1"/>
        <v>4.0060906014546802</v>
      </c>
      <c r="K45" s="93"/>
      <c r="L45" s="94"/>
      <c r="M45" s="84"/>
      <c r="N45" s="95"/>
      <c r="O45" s="97"/>
      <c r="Q45" s="97"/>
    </row>
    <row r="46" spans="1:18" x14ac:dyDescent="0.2">
      <c r="A46" s="81" t="s">
        <v>705</v>
      </c>
      <c r="B46" s="81" t="s">
        <v>392</v>
      </c>
      <c r="C46" s="82">
        <f t="shared" si="1"/>
        <v>277.93546867965603</v>
      </c>
      <c r="E46" s="87"/>
      <c r="K46" s="93"/>
      <c r="L46" s="94"/>
      <c r="M46" s="84"/>
      <c r="N46" s="95"/>
      <c r="O46" s="97"/>
      <c r="Q46" s="97"/>
    </row>
    <row r="47" spans="1:18" x14ac:dyDescent="0.2">
      <c r="A47" s="81" t="s">
        <v>770</v>
      </c>
      <c r="B47" s="81" t="s">
        <v>43</v>
      </c>
      <c r="C47" s="82">
        <f t="shared" si="1"/>
        <v>409.180722578153</v>
      </c>
      <c r="E47" s="87"/>
    </row>
    <row r="48" spans="1:18" x14ac:dyDescent="0.2">
      <c r="A48" s="81" t="s">
        <v>770</v>
      </c>
      <c r="B48" s="81" t="s">
        <v>393</v>
      </c>
      <c r="C48" s="82">
        <f t="shared" si="1"/>
        <v>0</v>
      </c>
      <c r="E48" s="87"/>
      <c r="K48" s="87"/>
      <c r="L48" s="99"/>
    </row>
    <row r="49" spans="1:5" x14ac:dyDescent="0.2">
      <c r="A49" s="81" t="s">
        <v>770</v>
      </c>
      <c r="B49" s="81" t="s">
        <v>46</v>
      </c>
      <c r="C49" s="82">
        <f t="shared" si="1"/>
        <v>537.08540745836297</v>
      </c>
      <c r="E49" s="87"/>
    </row>
    <row r="50" spans="1:5" x14ac:dyDescent="0.2">
      <c r="A50" s="81" t="s">
        <v>770</v>
      </c>
      <c r="B50" s="81" t="s">
        <v>394</v>
      </c>
      <c r="C50" s="82">
        <f t="shared" si="1"/>
        <v>41.105494651302699</v>
      </c>
      <c r="E50" s="87"/>
    </row>
    <row r="51" spans="1:5" x14ac:dyDescent="0.2">
      <c r="A51" s="81" t="s">
        <v>770</v>
      </c>
      <c r="B51" s="81" t="s">
        <v>395</v>
      </c>
      <c r="C51" s="82">
        <f t="shared" si="1"/>
        <v>0</v>
      </c>
      <c r="E51" s="87"/>
    </row>
    <row r="52" spans="1:5" x14ac:dyDescent="0.2">
      <c r="A52" s="81" t="s">
        <v>770</v>
      </c>
      <c r="B52" s="81" t="s">
        <v>396</v>
      </c>
      <c r="C52" s="82">
        <f t="shared" si="1"/>
        <v>105.53206156198701</v>
      </c>
      <c r="E52" s="87"/>
    </row>
    <row r="53" spans="1:5" x14ac:dyDescent="0.2">
      <c r="A53" s="81" t="s">
        <v>770</v>
      </c>
      <c r="B53" s="81" t="s">
        <v>397</v>
      </c>
      <c r="C53" s="82">
        <f t="shared" si="1"/>
        <v>13.5962249004199</v>
      </c>
      <c r="E53" s="87"/>
    </row>
    <row r="54" spans="1:5" x14ac:dyDescent="0.2">
      <c r="A54" s="81" t="s">
        <v>770</v>
      </c>
      <c r="B54" s="81" t="s">
        <v>199</v>
      </c>
      <c r="C54" s="82">
        <f t="shared" si="1"/>
        <v>425.15258192126601</v>
      </c>
      <c r="E54" s="87"/>
    </row>
    <row r="55" spans="1:5" x14ac:dyDescent="0.2">
      <c r="A55" s="81" t="s">
        <v>770</v>
      </c>
      <c r="B55" s="81" t="s">
        <v>398</v>
      </c>
      <c r="C55" s="82">
        <f t="shared" si="1"/>
        <v>450.41156174800898</v>
      </c>
      <c r="E55" s="87"/>
    </row>
    <row r="56" spans="1:5" x14ac:dyDescent="0.2">
      <c r="A56" s="81" t="s">
        <v>770</v>
      </c>
      <c r="B56" s="81" t="s">
        <v>399</v>
      </c>
      <c r="C56" s="82">
        <f t="shared" si="1"/>
        <v>377.80166471700898</v>
      </c>
      <c r="E56" s="87"/>
    </row>
    <row r="57" spans="1:5" x14ac:dyDescent="0.2">
      <c r="A57" s="81" t="s">
        <v>770</v>
      </c>
      <c r="B57" s="81" t="s">
        <v>200</v>
      </c>
      <c r="C57" s="82">
        <f t="shared" si="1"/>
        <v>176.42011455421499</v>
      </c>
      <c r="E57" s="87"/>
    </row>
    <row r="58" spans="1:5" x14ac:dyDescent="0.2">
      <c r="A58" s="81" t="s">
        <v>770</v>
      </c>
      <c r="B58" s="81" t="s">
        <v>201</v>
      </c>
      <c r="C58" s="82">
        <f t="shared" si="1"/>
        <v>106.768993550913</v>
      </c>
      <c r="E58" s="87"/>
    </row>
    <row r="59" spans="1:5" x14ac:dyDescent="0.2">
      <c r="A59" s="81" t="s">
        <v>770</v>
      </c>
      <c r="B59" s="81" t="s">
        <v>48</v>
      </c>
      <c r="C59" s="82">
        <f t="shared" si="1"/>
        <v>150.30907999554901</v>
      </c>
    </row>
    <row r="60" spans="1:5" x14ac:dyDescent="0.2">
      <c r="A60" s="81" t="s">
        <v>772</v>
      </c>
      <c r="B60" s="81" t="s">
        <v>453</v>
      </c>
      <c r="C60" s="82">
        <f t="shared" si="1"/>
        <v>39.603726847490499</v>
      </c>
    </row>
    <row r="61" spans="1:5" x14ac:dyDescent="0.2">
      <c r="A61" s="81" t="s">
        <v>772</v>
      </c>
      <c r="B61" s="81" t="s">
        <v>454</v>
      </c>
      <c r="C61" s="82">
        <f t="shared" si="1"/>
        <v>54.072056229080097</v>
      </c>
    </row>
    <row r="62" spans="1:5" x14ac:dyDescent="0.2">
      <c r="A62" s="81" t="s">
        <v>772</v>
      </c>
      <c r="B62" s="81" t="s">
        <v>455</v>
      </c>
      <c r="C62" s="82">
        <f t="shared" si="1"/>
        <v>52.7717979265</v>
      </c>
    </row>
    <row r="63" spans="1:5" x14ac:dyDescent="0.2">
      <c r="A63" s="81" t="s">
        <v>772</v>
      </c>
      <c r="B63" s="81" t="s">
        <v>456</v>
      </c>
      <c r="C63" s="82">
        <f t="shared" si="1"/>
        <v>58.234999908908698</v>
      </c>
    </row>
    <row r="64" spans="1:5" x14ac:dyDescent="0.2">
      <c r="A64" s="81" t="s">
        <v>772</v>
      </c>
      <c r="B64" s="81" t="s">
        <v>457</v>
      </c>
      <c r="C64" s="82">
        <f t="shared" si="1"/>
        <v>60.844308433788903</v>
      </c>
    </row>
    <row r="65" spans="1:3" x14ac:dyDescent="0.2">
      <c r="A65" s="81" t="s">
        <v>772</v>
      </c>
      <c r="B65" s="81" t="s">
        <v>458</v>
      </c>
      <c r="C65" s="82">
        <f t="shared" si="1"/>
        <v>20.915784954011301</v>
      </c>
    </row>
    <row r="66" spans="1:3" x14ac:dyDescent="0.2">
      <c r="A66" s="81" t="s">
        <v>772</v>
      </c>
      <c r="B66" s="81" t="s">
        <v>459</v>
      </c>
      <c r="C66" s="82">
        <f t="shared" si="1"/>
        <v>32.702752026818096</v>
      </c>
    </row>
    <row r="67" spans="1:3" x14ac:dyDescent="0.2">
      <c r="A67" s="81" t="s">
        <v>772</v>
      </c>
      <c r="B67" s="81" t="s">
        <v>460</v>
      </c>
      <c r="C67" s="82">
        <f t="shared" si="1"/>
        <v>40.237415279470902</v>
      </c>
    </row>
    <row r="68" spans="1:3" x14ac:dyDescent="0.2">
      <c r="A68" s="81" t="s">
        <v>772</v>
      </c>
      <c r="B68" s="81" t="s">
        <v>461</v>
      </c>
      <c r="C68" s="82">
        <f t="shared" si="1"/>
        <v>59.610862564651399</v>
      </c>
    </row>
    <row r="69" spans="1:3" x14ac:dyDescent="0.2">
      <c r="A69" s="81" t="s">
        <v>772</v>
      </c>
      <c r="B69" s="81" t="s">
        <v>462</v>
      </c>
      <c r="C69" s="82">
        <f t="shared" ref="C69:C75" si="6">HLOOKUP($B69,$A$81:$ER$82,2,)</f>
        <v>115.014460260654</v>
      </c>
    </row>
    <row r="70" spans="1:3" x14ac:dyDescent="0.2">
      <c r="A70" s="81" t="s">
        <v>772</v>
      </c>
      <c r="B70" s="81" t="s">
        <v>463</v>
      </c>
      <c r="C70" s="82">
        <f t="shared" si="6"/>
        <v>130.64441257866699</v>
      </c>
    </row>
    <row r="71" spans="1:3" x14ac:dyDescent="0.2">
      <c r="A71" s="81" t="s">
        <v>772</v>
      </c>
      <c r="B71" s="81" t="s">
        <v>464</v>
      </c>
      <c r="C71" s="82">
        <f t="shared" si="6"/>
        <v>194.27612601528099</v>
      </c>
    </row>
    <row r="72" spans="1:3" x14ac:dyDescent="0.2">
      <c r="A72" s="81" t="s">
        <v>772</v>
      </c>
      <c r="B72" s="81" t="s">
        <v>465</v>
      </c>
      <c r="C72" s="82">
        <f t="shared" si="6"/>
        <v>403.17052813933901</v>
      </c>
    </row>
    <row r="73" spans="1:3" x14ac:dyDescent="0.2">
      <c r="A73" s="81" t="s">
        <v>772</v>
      </c>
      <c r="B73" s="81" t="s">
        <v>466</v>
      </c>
      <c r="C73" s="82">
        <f t="shared" si="6"/>
        <v>697.90410499172901</v>
      </c>
    </row>
    <row r="74" spans="1:3" x14ac:dyDescent="0.2">
      <c r="A74" s="81" t="s">
        <v>772</v>
      </c>
      <c r="B74" s="81" t="s">
        <v>467</v>
      </c>
      <c r="C74" s="82">
        <f t="shared" si="6"/>
        <v>1467.5063927697599</v>
      </c>
    </row>
    <row r="75" spans="1:3" x14ac:dyDescent="0.2">
      <c r="A75" s="81" t="s">
        <v>115</v>
      </c>
      <c r="B75" s="81" t="s">
        <v>30</v>
      </c>
      <c r="C75" s="82">
        <f t="shared" si="6"/>
        <v>1.6008427873797501E-4</v>
      </c>
    </row>
    <row r="81" spans="1:148" x14ac:dyDescent="0.2">
      <c r="B81" s="81" t="s">
        <v>363</v>
      </c>
      <c r="C81" s="82" t="s">
        <v>364</v>
      </c>
      <c r="D81" s="81" t="s">
        <v>365</v>
      </c>
      <c r="E81" s="81" t="s">
        <v>366</v>
      </c>
      <c r="F81" s="82" t="s">
        <v>367</v>
      </c>
      <c r="G81" s="82" t="s">
        <v>368</v>
      </c>
      <c r="H81" s="82" t="s">
        <v>369</v>
      </c>
      <c r="I81" s="81" t="s">
        <v>370</v>
      </c>
      <c r="J81" s="81" t="s">
        <v>346</v>
      </c>
      <c r="K81" s="81" t="s">
        <v>371</v>
      </c>
      <c r="L81" s="88" t="s">
        <v>348</v>
      </c>
      <c r="M81" s="81" t="s">
        <v>372</v>
      </c>
      <c r="N81" s="81" t="s">
        <v>347</v>
      </c>
      <c r="O81" s="81" t="s">
        <v>373</v>
      </c>
      <c r="P81" s="81" t="s">
        <v>375</v>
      </c>
      <c r="Q81" s="81" t="s">
        <v>376</v>
      </c>
      <c r="R81" s="81" t="s">
        <v>377</v>
      </c>
      <c r="S81" s="81" t="s">
        <v>378</v>
      </c>
      <c r="T81" s="81" t="s">
        <v>6</v>
      </c>
      <c r="U81" s="81" t="s">
        <v>10</v>
      </c>
      <c r="V81" s="81" t="s">
        <v>379</v>
      </c>
      <c r="W81" s="81" t="s">
        <v>880</v>
      </c>
      <c r="X81" s="81" t="s">
        <v>21</v>
      </c>
      <c r="Y81" s="81" t="s">
        <v>208</v>
      </c>
      <c r="Z81" s="81" t="s">
        <v>380</v>
      </c>
      <c r="AA81" s="81" t="s">
        <v>381</v>
      </c>
      <c r="AB81" s="81" t="s">
        <v>382</v>
      </c>
      <c r="AC81" s="81" t="s">
        <v>383</v>
      </c>
      <c r="AD81" s="81" t="s">
        <v>25</v>
      </c>
      <c r="AE81" s="81" t="s">
        <v>384</v>
      </c>
      <c r="AF81" s="81" t="s">
        <v>385</v>
      </c>
      <c r="AG81" s="81" t="s">
        <v>386</v>
      </c>
      <c r="AH81" s="81" t="s">
        <v>387</v>
      </c>
      <c r="AI81" s="81" t="s">
        <v>32</v>
      </c>
      <c r="AJ81" s="81" t="s">
        <v>35</v>
      </c>
      <c r="AK81" s="81" t="s">
        <v>41</v>
      </c>
      <c r="AL81" s="81" t="s">
        <v>388</v>
      </c>
      <c r="AM81" s="81" t="s">
        <v>389</v>
      </c>
      <c r="AN81" s="81" t="s">
        <v>390</v>
      </c>
      <c r="AO81" s="81" t="s">
        <v>341</v>
      </c>
      <c r="AP81" s="81" t="s">
        <v>391</v>
      </c>
      <c r="AQ81" s="81" t="s">
        <v>392</v>
      </c>
      <c r="AR81" s="81" t="s">
        <v>43</v>
      </c>
      <c r="AS81" s="81" t="s">
        <v>393</v>
      </c>
      <c r="AT81" s="81" t="s">
        <v>46</v>
      </c>
      <c r="AU81" s="81" t="s">
        <v>394</v>
      </c>
      <c r="AV81" s="81" t="s">
        <v>395</v>
      </c>
      <c r="AW81" s="81" t="s">
        <v>396</v>
      </c>
      <c r="AX81" s="81" t="s">
        <v>397</v>
      </c>
      <c r="AY81" s="81" t="s">
        <v>199</v>
      </c>
      <c r="AZ81" s="81" t="s">
        <v>398</v>
      </c>
      <c r="BA81" s="81" t="s">
        <v>399</v>
      </c>
      <c r="BB81" s="81" t="s">
        <v>200</v>
      </c>
      <c r="BC81" s="81" t="s">
        <v>201</v>
      </c>
      <c r="BD81" s="81" t="s">
        <v>48</v>
      </c>
      <c r="BE81" s="81" t="s">
        <v>400</v>
      </c>
      <c r="BF81" s="81" t="s">
        <v>401</v>
      </c>
      <c r="BG81" s="81" t="s">
        <v>402</v>
      </c>
      <c r="BH81" s="81" t="s">
        <v>403</v>
      </c>
      <c r="BI81" s="81" t="s">
        <v>404</v>
      </c>
      <c r="BJ81" s="81" t="s">
        <v>405</v>
      </c>
      <c r="BK81" s="81" t="s">
        <v>406</v>
      </c>
      <c r="BL81" s="81" t="s">
        <v>407</v>
      </c>
      <c r="BM81" s="81" t="s">
        <v>408</v>
      </c>
      <c r="BN81" s="81" t="s">
        <v>342</v>
      </c>
      <c r="BO81" s="81" t="s">
        <v>409</v>
      </c>
      <c r="BP81" s="81" t="s">
        <v>344</v>
      </c>
      <c r="BQ81" s="81" t="s">
        <v>410</v>
      </c>
      <c r="BR81" s="81" t="s">
        <v>343</v>
      </c>
      <c r="BS81" s="81" t="s">
        <v>411</v>
      </c>
      <c r="BT81" s="81" t="s">
        <v>413</v>
      </c>
      <c r="BU81" s="81" t="s">
        <v>414</v>
      </c>
      <c r="BV81" s="81" t="s">
        <v>415</v>
      </c>
      <c r="BW81" s="81" t="s">
        <v>416</v>
      </c>
      <c r="BX81" s="81" t="s">
        <v>7</v>
      </c>
      <c r="BY81" s="81" t="s">
        <v>11</v>
      </c>
      <c r="BZ81" s="81" t="s">
        <v>417</v>
      </c>
      <c r="CA81" s="81" t="s">
        <v>660</v>
      </c>
      <c r="CB81" s="81" t="s">
        <v>22</v>
      </c>
      <c r="CC81" s="81" t="s">
        <v>202</v>
      </c>
      <c r="CD81" s="81" t="s">
        <v>418</v>
      </c>
      <c r="CE81" s="81" t="s">
        <v>419</v>
      </c>
      <c r="CF81" s="81" t="s">
        <v>420</v>
      </c>
      <c r="CG81" s="81" t="s">
        <v>421</v>
      </c>
      <c r="CH81" s="81" t="s">
        <v>422</v>
      </c>
      <c r="CI81" s="81" t="s">
        <v>423</v>
      </c>
      <c r="CJ81" s="81" t="s">
        <v>424</v>
      </c>
      <c r="CK81" s="81" t="s">
        <v>425</v>
      </c>
      <c r="CL81" s="81" t="s">
        <v>426</v>
      </c>
      <c r="CM81" s="81" t="s">
        <v>33</v>
      </c>
      <c r="CN81" s="81" t="s">
        <v>36</v>
      </c>
      <c r="CO81" s="81" t="s">
        <v>42</v>
      </c>
      <c r="CP81" s="81" t="s">
        <v>427</v>
      </c>
      <c r="CQ81" s="81" t="s">
        <v>428</v>
      </c>
      <c r="CR81" s="81" t="s">
        <v>429</v>
      </c>
      <c r="CS81" s="81" t="s">
        <v>430</v>
      </c>
      <c r="CT81" s="81" t="s">
        <v>431</v>
      </c>
      <c r="CU81" s="81" t="s">
        <v>432</v>
      </c>
      <c r="CV81" s="81" t="s">
        <v>44</v>
      </c>
      <c r="CW81" s="81" t="s">
        <v>433</v>
      </c>
      <c r="CX81" s="81" t="s">
        <v>47</v>
      </c>
      <c r="CY81" s="81" t="s">
        <v>434</v>
      </c>
      <c r="CZ81" s="81" t="s">
        <v>435</v>
      </c>
      <c r="DA81" s="81" t="s">
        <v>436</v>
      </c>
      <c r="DB81" s="81" t="s">
        <v>437</v>
      </c>
      <c r="DC81" s="81" t="s">
        <v>205</v>
      </c>
      <c r="DD81" s="81" t="s">
        <v>438</v>
      </c>
      <c r="DE81" s="81" t="s">
        <v>439</v>
      </c>
      <c r="DF81" s="81" t="s">
        <v>206</v>
      </c>
      <c r="DG81" s="81" t="s">
        <v>207</v>
      </c>
      <c r="DH81" s="81" t="s">
        <v>49</v>
      </c>
      <c r="DI81" s="81" t="s">
        <v>168</v>
      </c>
      <c r="DJ81" s="81" t="s">
        <v>440</v>
      </c>
      <c r="DK81" s="81" t="s">
        <v>441</v>
      </c>
      <c r="DL81" s="81" t="s">
        <v>442</v>
      </c>
      <c r="DM81" s="81" t="s">
        <v>443</v>
      </c>
      <c r="DN81" s="81" t="s">
        <v>444</v>
      </c>
      <c r="DO81" s="81" t="s">
        <v>445</v>
      </c>
      <c r="DP81" s="81" t="s">
        <v>446</v>
      </c>
      <c r="DQ81" s="81" t="s">
        <v>447</v>
      </c>
      <c r="DR81" s="81" t="s">
        <v>448</v>
      </c>
      <c r="DS81" s="81" t="s">
        <v>16</v>
      </c>
      <c r="DT81" s="81" t="s">
        <v>13</v>
      </c>
      <c r="DU81" s="81" t="s">
        <v>453</v>
      </c>
      <c r="DV81" s="81" t="s">
        <v>454</v>
      </c>
      <c r="DW81" s="81" t="s">
        <v>455</v>
      </c>
      <c r="DX81" s="81" t="s">
        <v>456</v>
      </c>
      <c r="DY81" s="81" t="s">
        <v>457</v>
      </c>
      <c r="DZ81" s="81" t="s">
        <v>458</v>
      </c>
      <c r="EA81" s="81" t="s">
        <v>459</v>
      </c>
      <c r="EB81" s="81" t="s">
        <v>460</v>
      </c>
      <c r="EC81" s="81" t="s">
        <v>461</v>
      </c>
      <c r="ED81" s="81" t="s">
        <v>462</v>
      </c>
      <c r="EE81" s="81" t="s">
        <v>463</v>
      </c>
      <c r="EF81" s="81" t="s">
        <v>464</v>
      </c>
      <c r="EG81" s="81" t="s">
        <v>465</v>
      </c>
      <c r="EH81" s="81" t="s">
        <v>466</v>
      </c>
      <c r="EI81" s="81" t="s">
        <v>467</v>
      </c>
      <c r="EJ81" s="81" t="s">
        <v>26</v>
      </c>
      <c r="EK81" s="81" t="s">
        <v>19</v>
      </c>
      <c r="EL81" s="81" t="s">
        <v>468</v>
      </c>
      <c r="EM81" s="81" t="s">
        <v>20</v>
      </c>
      <c r="EN81" s="81" t="s">
        <v>24</v>
      </c>
      <c r="EO81" s="81" t="s">
        <v>28</v>
      </c>
      <c r="EP81" s="81" t="s">
        <v>29</v>
      </c>
      <c r="EQ81" s="81" t="s">
        <v>30</v>
      </c>
      <c r="ER81" s="81" t="s">
        <v>196</v>
      </c>
    </row>
    <row r="82" spans="1:148" x14ac:dyDescent="0.2">
      <c r="A82" s="81" t="s">
        <v>432</v>
      </c>
      <c r="K82" s="81">
        <v>0.31299891350980802</v>
      </c>
      <c r="P82" s="81">
        <v>2.2920723046801301</v>
      </c>
      <c r="Q82" s="81">
        <v>21.275313129717301</v>
      </c>
      <c r="R82" s="81">
        <v>61.1086370401949</v>
      </c>
      <c r="T82" s="81">
        <v>138.85645589950499</v>
      </c>
      <c r="U82" s="81">
        <v>4.8642395399968699</v>
      </c>
      <c r="V82" s="81">
        <v>193.52156422566</v>
      </c>
      <c r="W82" s="81">
        <v>16.9700499857558</v>
      </c>
      <c r="X82" s="81">
        <v>1192.8578462072501</v>
      </c>
      <c r="Y82" s="81">
        <v>1.08057058366412</v>
      </c>
      <c r="Z82" s="81">
        <v>1.5079646017830399</v>
      </c>
      <c r="AA82" s="81">
        <v>3.5082250776968</v>
      </c>
      <c r="AB82" s="81">
        <v>38.241219195573599</v>
      </c>
      <c r="AC82" s="81">
        <v>0.54189996227945603</v>
      </c>
      <c r="AD82" s="81">
        <v>10.3145852945693</v>
      </c>
      <c r="AE82" s="81">
        <v>7.7336378382896003</v>
      </c>
      <c r="AF82" s="81">
        <v>3.1934544594778E-2</v>
      </c>
      <c r="AG82" s="81">
        <v>22.1312069822261</v>
      </c>
      <c r="AH82" s="81">
        <v>50.617480570266402</v>
      </c>
      <c r="AI82" s="81">
        <v>0.40306582826442999</v>
      </c>
      <c r="AJ82" s="81">
        <v>74.198142565424504</v>
      </c>
      <c r="AK82" s="81">
        <v>16.5872452020146</v>
      </c>
      <c r="AL82" s="81">
        <v>45.911568346620498</v>
      </c>
      <c r="AM82" s="81">
        <v>49.772354548902896</v>
      </c>
      <c r="AN82" s="81">
        <v>66.802968100592693</v>
      </c>
      <c r="AO82" s="81">
        <v>1.70951365715396</v>
      </c>
      <c r="AP82" s="81">
        <v>4.0060906014546802</v>
      </c>
      <c r="AQ82" s="81">
        <v>277.93546867965603</v>
      </c>
      <c r="AR82" s="81">
        <v>409.180722578153</v>
      </c>
      <c r="AT82" s="81">
        <v>537.08540745836297</v>
      </c>
      <c r="AU82" s="81">
        <v>41.105494651302699</v>
      </c>
      <c r="AW82" s="81">
        <v>105.53206156198701</v>
      </c>
      <c r="AX82" s="81">
        <v>13.5962249004199</v>
      </c>
      <c r="AY82" s="81">
        <v>425.15258192126601</v>
      </c>
      <c r="AZ82" s="81">
        <v>450.41156174800898</v>
      </c>
      <c r="BA82" s="81">
        <v>377.80166471700898</v>
      </c>
      <c r="BB82" s="81">
        <v>176.42011455421499</v>
      </c>
      <c r="BC82" s="81">
        <v>106.768993550913</v>
      </c>
      <c r="BD82" s="81">
        <v>150.30907999554901</v>
      </c>
      <c r="DU82" s="81">
        <v>39.603726847490499</v>
      </c>
      <c r="DV82" s="81">
        <v>54.072056229080097</v>
      </c>
      <c r="DW82" s="81">
        <v>52.7717979265</v>
      </c>
      <c r="DX82" s="81">
        <v>58.234999908908698</v>
      </c>
      <c r="DY82" s="81">
        <v>60.844308433788903</v>
      </c>
      <c r="DZ82" s="81">
        <v>20.915784954011301</v>
      </c>
      <c r="EA82" s="81">
        <v>32.702752026818096</v>
      </c>
      <c r="EB82" s="81">
        <v>40.237415279470902</v>
      </c>
      <c r="EC82" s="81">
        <v>59.610862564651399</v>
      </c>
      <c r="ED82" s="81">
        <v>115.014460260654</v>
      </c>
      <c r="EE82" s="81">
        <v>130.64441257866699</v>
      </c>
      <c r="EF82" s="81">
        <v>194.27612601528099</v>
      </c>
      <c r="EG82" s="81">
        <v>403.17052813933901</v>
      </c>
      <c r="EH82" s="81">
        <v>697.90410499172901</v>
      </c>
      <c r="EI82" s="81">
        <v>1467.5063927697599</v>
      </c>
      <c r="EQ82" s="81">
        <v>1.6008427873797501E-4</v>
      </c>
      <c r="ER82" s="81">
        <v>8525.9681160749296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7"/>
  <sheetViews>
    <sheetView zoomScale="74" zoomScaleNormal="60" workbookViewId="0">
      <selection activeCell="E21" sqref="E21"/>
    </sheetView>
  </sheetViews>
  <sheetFormatPr defaultColWidth="8.85546875" defaultRowHeight="15" x14ac:dyDescent="0.25"/>
  <cols>
    <col min="2" max="2" width="23.85546875" bestFit="1" customWidth="1"/>
    <col min="3" max="3" width="11.7109375" bestFit="1" customWidth="1"/>
    <col min="4" max="4" width="10" bestFit="1" customWidth="1"/>
    <col min="5" max="5" width="11.7109375" bestFit="1" customWidth="1"/>
    <col min="6" max="6" width="9.7109375" bestFit="1" customWidth="1"/>
    <col min="7" max="7" width="9.5703125" bestFit="1" customWidth="1"/>
    <col min="8" max="9" width="9" bestFit="1" customWidth="1"/>
    <col min="12" max="12" width="12.140625" bestFit="1" customWidth="1"/>
    <col min="13" max="13" width="10.5703125" bestFit="1" customWidth="1"/>
    <col min="14" max="14" width="11.7109375" bestFit="1" customWidth="1"/>
    <col min="16" max="16" width="10.42578125" bestFit="1" customWidth="1"/>
    <col min="17" max="17" width="12.140625" bestFit="1" customWidth="1"/>
    <col min="18" max="18" width="11" bestFit="1" customWidth="1"/>
    <col min="19" max="22" width="8.85546875" style="75"/>
    <col min="23" max="23" width="10.28515625" style="75" bestFit="1" customWidth="1"/>
    <col min="24" max="29" width="8.85546875" style="75"/>
  </cols>
  <sheetData>
    <row r="2" spans="1:28" x14ac:dyDescent="0.25">
      <c r="C2" s="11"/>
      <c r="D2" s="11"/>
      <c r="E2" s="11"/>
      <c r="F2" s="11"/>
      <c r="G2" s="11"/>
      <c r="H2" s="15"/>
      <c r="I2" s="11"/>
    </row>
    <row r="3" spans="1:28" x14ac:dyDescent="0.25">
      <c r="C3" s="71"/>
      <c r="D3" s="71"/>
      <c r="I3" s="11"/>
      <c r="S3" s="75" t="s">
        <v>735</v>
      </c>
    </row>
    <row r="4" spans="1:28" x14ac:dyDescent="0.25">
      <c r="B4" s="2" t="s">
        <v>722</v>
      </c>
      <c r="AA4" s="75" t="s">
        <v>741</v>
      </c>
    </row>
    <row r="5" spans="1:28" x14ac:dyDescent="0.25">
      <c r="B5" t="s">
        <v>723</v>
      </c>
      <c r="H5" t="s">
        <v>724</v>
      </c>
      <c r="Y5" s="75" t="s">
        <v>228</v>
      </c>
      <c r="AB5" s="75" t="s">
        <v>742</v>
      </c>
    </row>
    <row r="6" spans="1:28" x14ac:dyDescent="0.25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5" t="s">
        <v>734</v>
      </c>
      <c r="W6" s="75" t="s">
        <v>736</v>
      </c>
      <c r="Y6" s="75" t="s">
        <v>740</v>
      </c>
      <c r="AA6" s="75" t="s">
        <v>80</v>
      </c>
      <c r="AB6" s="75" t="s">
        <v>78</v>
      </c>
    </row>
    <row r="7" spans="1:28" x14ac:dyDescent="0.25">
      <c r="A7" s="60"/>
      <c r="B7" t="s">
        <v>392</v>
      </c>
      <c r="C7" s="56">
        <f ca="1">Q33/1000</f>
        <v>38.25</v>
      </c>
      <c r="D7" s="56">
        <f>'Energy calc'!N10</f>
        <v>0.12424961742635787</v>
      </c>
      <c r="E7" s="56"/>
      <c r="F7" s="56">
        <f>-E7</f>
        <v>0</v>
      </c>
      <c r="G7" s="56">
        <f t="shared" ref="G7:G8" ca="1" si="0">C7+D7-E7-F7</f>
        <v>38.374249617426358</v>
      </c>
      <c r="H7" s="56"/>
      <c r="I7" s="56"/>
      <c r="S7" s="75" t="s">
        <v>432</v>
      </c>
      <c r="T7" s="76">
        <f ca="1">'Energy calc'!O13</f>
        <v>0.21563483626956806</v>
      </c>
      <c r="V7" s="75" t="s">
        <v>737</v>
      </c>
      <c r="W7" s="79">
        <f ca="1">'Energy calc'!N4</f>
        <v>1060.641217476282</v>
      </c>
      <c r="Y7" s="75" t="s">
        <v>737</v>
      </c>
      <c r="AA7" s="75" t="s">
        <v>737</v>
      </c>
      <c r="AB7" s="75" t="s">
        <v>363</v>
      </c>
    </row>
    <row r="8" spans="1:28" x14ac:dyDescent="0.25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V8" s="75" t="s">
        <v>738</v>
      </c>
      <c r="W8" s="79">
        <f ca="1">'Energy calc'!N5</f>
        <v>14026.958782523719</v>
      </c>
      <c r="Y8" s="75" t="s">
        <v>738</v>
      </c>
      <c r="AA8" s="75" t="s">
        <v>737</v>
      </c>
      <c r="AB8" s="75" t="s">
        <v>364</v>
      </c>
    </row>
    <row r="9" spans="1:28" x14ac:dyDescent="0.25">
      <c r="A9" s="25"/>
      <c r="B9" s="61" t="s">
        <v>379</v>
      </c>
      <c r="C9" s="62">
        <f>Natgas!D29/1000</f>
        <v>81.566029641118334</v>
      </c>
      <c r="D9" s="62">
        <f>Natgas!D31/1000</f>
        <v>4.2631627439177695</v>
      </c>
      <c r="E9" s="62">
        <f>Natgas!D30/1000</f>
        <v>43.940312826206849</v>
      </c>
      <c r="F9" s="62"/>
      <c r="G9" s="56">
        <f>C9+D9-E9-F9</f>
        <v>41.88887955882926</v>
      </c>
      <c r="H9" s="62"/>
      <c r="I9" s="62"/>
      <c r="L9" s="61"/>
      <c r="V9" s="75" t="s">
        <v>356</v>
      </c>
      <c r="W9" s="79">
        <f>'Energy calc'!N6</f>
        <v>4989.6000000000004</v>
      </c>
      <c r="Y9" s="75" t="s">
        <v>356</v>
      </c>
      <c r="AA9" s="75" t="s">
        <v>737</v>
      </c>
      <c r="AB9" s="75" t="s">
        <v>365</v>
      </c>
    </row>
    <row r="10" spans="1:28" x14ac:dyDescent="0.25">
      <c r="A10" s="4"/>
      <c r="C10" s="56">
        <v>81.599999999999994</v>
      </c>
      <c r="D10" s="56">
        <v>4.3</v>
      </c>
      <c r="E10" s="56">
        <v>28.6</v>
      </c>
      <c r="F10" s="56"/>
      <c r="G10" s="56"/>
      <c r="H10" s="56"/>
      <c r="I10" s="56"/>
      <c r="L10" s="61"/>
      <c r="V10" s="75" t="s">
        <v>739</v>
      </c>
      <c r="W10" s="79">
        <f>'Energy calc'!N7</f>
        <v>18172.8</v>
      </c>
      <c r="Y10" s="75" t="s">
        <v>739</v>
      </c>
      <c r="AA10" s="75" t="s">
        <v>737</v>
      </c>
      <c r="AB10" s="75" t="s">
        <v>366</v>
      </c>
    </row>
    <row r="11" spans="1:28" x14ac:dyDescent="0.25">
      <c r="A11" s="4"/>
      <c r="C11" s="56"/>
      <c r="D11" s="56"/>
      <c r="E11" s="65"/>
      <c r="F11" s="56"/>
      <c r="G11" s="56"/>
      <c r="H11" s="56"/>
      <c r="I11" s="56"/>
      <c r="O11" s="64"/>
      <c r="P11" s="63"/>
      <c r="V11" s="75" t="s">
        <v>786</v>
      </c>
      <c r="W11" s="104">
        <f>'Energy calc'!N8</f>
        <v>849.47575038257366</v>
      </c>
      <c r="Y11" s="75" t="s">
        <v>786</v>
      </c>
      <c r="AA11" s="75" t="s">
        <v>737</v>
      </c>
      <c r="AB11" s="75" t="s">
        <v>367</v>
      </c>
    </row>
    <row r="12" spans="1:28" x14ac:dyDescent="0.25">
      <c r="A12" s="4"/>
      <c r="C12" s="56"/>
      <c r="D12" s="56"/>
      <c r="E12" s="56"/>
      <c r="F12" s="56"/>
      <c r="G12" s="56"/>
      <c r="H12" s="56"/>
      <c r="I12" s="56"/>
      <c r="O12" s="64"/>
      <c r="V12" s="75" t="s">
        <v>787</v>
      </c>
      <c r="W12" s="104">
        <f>'Energy calc'!N9</f>
        <v>849.6</v>
      </c>
      <c r="Y12" s="75" t="s">
        <v>787</v>
      </c>
      <c r="AA12" s="75" t="s">
        <v>737</v>
      </c>
      <c r="AB12" s="75" t="s">
        <v>368</v>
      </c>
    </row>
    <row r="13" spans="1:28" x14ac:dyDescent="0.25">
      <c r="A13" s="4"/>
      <c r="C13" s="56"/>
      <c r="D13" s="56"/>
      <c r="E13" s="56"/>
      <c r="F13" s="56"/>
      <c r="G13" s="56"/>
      <c r="H13" s="56"/>
      <c r="I13" s="56"/>
      <c r="L13" s="66"/>
      <c r="M13" s="67"/>
      <c r="N13" s="67"/>
      <c r="O13" s="64"/>
      <c r="AA13" s="75" t="s">
        <v>737</v>
      </c>
      <c r="AB13" s="75" t="s">
        <v>369</v>
      </c>
    </row>
    <row r="14" spans="1:28" x14ac:dyDescent="0.25">
      <c r="A14" s="4"/>
      <c r="C14" s="56"/>
      <c r="D14" s="56"/>
      <c r="E14" s="56"/>
      <c r="F14" s="56"/>
      <c r="G14" s="56"/>
      <c r="H14" s="56"/>
      <c r="I14" s="56"/>
      <c r="AA14" s="75" t="s">
        <v>737</v>
      </c>
      <c r="AB14" s="75" t="s">
        <v>370</v>
      </c>
    </row>
    <row r="15" spans="1:28" x14ac:dyDescent="0.25">
      <c r="A15" s="4"/>
      <c r="C15" s="56"/>
      <c r="D15" s="56"/>
      <c r="E15" s="56"/>
      <c r="F15" s="56"/>
      <c r="G15" s="56"/>
      <c r="H15" s="56"/>
      <c r="I15" s="56"/>
      <c r="AA15" s="75" t="s">
        <v>737</v>
      </c>
      <c r="AB15" s="75" t="s">
        <v>346</v>
      </c>
    </row>
    <row r="16" spans="1:28" x14ac:dyDescent="0.25">
      <c r="A16" s="4"/>
      <c r="C16" s="56"/>
      <c r="D16" s="56"/>
      <c r="E16" s="56"/>
      <c r="F16" s="56"/>
      <c r="G16" s="56"/>
      <c r="H16" s="56"/>
      <c r="I16" s="56"/>
      <c r="AA16" s="75" t="s">
        <v>737</v>
      </c>
      <c r="AB16" s="75" t="s">
        <v>371</v>
      </c>
    </row>
    <row r="17" spans="1:28" x14ac:dyDescent="0.25">
      <c r="A17" s="4"/>
      <c r="C17" s="56"/>
      <c r="D17" s="56"/>
      <c r="E17" s="56"/>
      <c r="F17" s="56"/>
      <c r="G17" s="56"/>
      <c r="H17" s="56"/>
      <c r="I17" s="56"/>
      <c r="AA17" s="75" t="s">
        <v>737</v>
      </c>
      <c r="AB17" s="75" t="s">
        <v>348</v>
      </c>
    </row>
    <row r="18" spans="1:28" x14ac:dyDescent="0.25">
      <c r="A18" s="4"/>
      <c r="C18" s="56"/>
      <c r="D18" s="56"/>
      <c r="E18" s="56"/>
      <c r="F18" s="56"/>
      <c r="G18" s="56"/>
      <c r="H18" s="56"/>
      <c r="I18" s="56"/>
      <c r="AA18" s="75" t="s">
        <v>737</v>
      </c>
      <c r="AB18" s="75" t="s">
        <v>372</v>
      </c>
    </row>
    <row r="19" spans="1:28" x14ac:dyDescent="0.25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8"/>
      <c r="S19" s="77"/>
      <c r="T19" s="77"/>
      <c r="AA19" s="75" t="s">
        <v>737</v>
      </c>
      <c r="AB19" s="75" t="s">
        <v>347</v>
      </c>
    </row>
    <row r="20" spans="1:28" x14ac:dyDescent="0.25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8"/>
      <c r="S20" s="77"/>
      <c r="T20" s="77"/>
      <c r="AA20" s="75" t="s">
        <v>737</v>
      </c>
      <c r="AB20" s="75" t="s">
        <v>373</v>
      </c>
    </row>
    <row r="21" spans="1:28" x14ac:dyDescent="0.25">
      <c r="A21" s="4"/>
      <c r="C21" s="56"/>
      <c r="D21" s="56"/>
      <c r="E21" s="56"/>
      <c r="F21" s="56"/>
      <c r="G21" s="56"/>
      <c r="H21" s="56"/>
      <c r="I21" s="56"/>
      <c r="M21" s="67"/>
      <c r="N21" s="59"/>
      <c r="R21" s="68"/>
      <c r="S21" s="77"/>
      <c r="T21" s="77"/>
      <c r="AA21" s="75" t="s">
        <v>737</v>
      </c>
      <c r="AB21" s="75" t="s">
        <v>374</v>
      </c>
    </row>
    <row r="22" spans="1:28" x14ac:dyDescent="0.25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8"/>
      <c r="S22" s="78"/>
      <c r="T22" s="77"/>
      <c r="AA22" s="75" t="s">
        <v>737</v>
      </c>
      <c r="AB22" s="75" t="s">
        <v>375</v>
      </c>
    </row>
    <row r="23" spans="1:28" x14ac:dyDescent="0.25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6"/>
      <c r="R23" s="68"/>
      <c r="S23" s="77"/>
      <c r="T23" s="77"/>
      <c r="X23" s="77"/>
      <c r="Y23" s="77"/>
      <c r="AA23" s="75" t="s">
        <v>737</v>
      </c>
      <c r="AB23" s="75" t="s">
        <v>376</v>
      </c>
    </row>
    <row r="24" spans="1:28" x14ac:dyDescent="0.25">
      <c r="A24" s="4"/>
      <c r="B24" s="66"/>
      <c r="C24" s="56"/>
      <c r="D24" s="56"/>
      <c r="E24" s="56"/>
      <c r="F24" s="56"/>
      <c r="G24" s="56"/>
      <c r="H24" s="56"/>
      <c r="I24" s="56"/>
      <c r="M24" s="56"/>
      <c r="N24" s="59"/>
      <c r="Q24" s="66"/>
      <c r="R24" s="68"/>
      <c r="S24" s="77"/>
      <c r="T24" s="77"/>
      <c r="AA24" s="75" t="s">
        <v>737</v>
      </c>
      <c r="AB24" s="75" t="s">
        <v>377</v>
      </c>
    </row>
    <row r="25" spans="1:28" x14ac:dyDescent="0.25">
      <c r="A25" s="4"/>
      <c r="B25" s="66"/>
      <c r="C25" s="56"/>
      <c r="D25" s="56"/>
      <c r="E25" s="67"/>
      <c r="F25" s="56"/>
      <c r="G25" s="56"/>
      <c r="H25" s="56"/>
      <c r="I25" s="56"/>
      <c r="M25" s="58"/>
      <c r="N25" s="59"/>
      <c r="Q25" s="66"/>
      <c r="R25" s="68"/>
      <c r="S25" s="77"/>
      <c r="T25" s="77"/>
      <c r="AA25" s="75" t="s">
        <v>737</v>
      </c>
      <c r="AB25" s="75" t="s">
        <v>378</v>
      </c>
    </row>
    <row r="26" spans="1:28" x14ac:dyDescent="0.25">
      <c r="A26" s="4"/>
      <c r="B26" s="66"/>
      <c r="C26" s="56"/>
      <c r="D26" s="56"/>
      <c r="E26" s="67"/>
      <c r="F26" s="56"/>
      <c r="G26" s="56"/>
      <c r="H26" s="56"/>
      <c r="I26" s="56"/>
      <c r="J26" s="11"/>
      <c r="M26" s="56"/>
      <c r="N26" s="59"/>
      <c r="Q26" s="66"/>
      <c r="R26" s="68"/>
      <c r="S26" s="77"/>
      <c r="T26" s="77"/>
      <c r="AA26" s="75" t="s">
        <v>737</v>
      </c>
      <c r="AB26" s="75" t="s">
        <v>6</v>
      </c>
    </row>
    <row r="27" spans="1:28" x14ac:dyDescent="0.25">
      <c r="A27" s="4"/>
      <c r="B27" s="66"/>
      <c r="C27" s="56"/>
      <c r="D27" s="67"/>
      <c r="E27" s="56"/>
      <c r="F27" s="56"/>
      <c r="G27" s="56"/>
      <c r="H27" s="56"/>
      <c r="I27" s="56"/>
      <c r="J27" s="11"/>
      <c r="K27" s="11"/>
      <c r="M27" s="58"/>
      <c r="N27" s="59"/>
      <c r="Q27" s="66"/>
      <c r="R27" s="68"/>
      <c r="S27" s="77"/>
      <c r="T27" s="77"/>
      <c r="AA27" s="75" t="s">
        <v>737</v>
      </c>
      <c r="AB27" s="75" t="s">
        <v>10</v>
      </c>
    </row>
    <row r="28" spans="1:28" x14ac:dyDescent="0.25">
      <c r="A28" s="4"/>
      <c r="B28" s="66"/>
      <c r="C28" s="56"/>
      <c r="D28" s="67"/>
      <c r="E28" s="56"/>
      <c r="F28" s="56"/>
      <c r="G28" s="56"/>
      <c r="H28" s="56"/>
      <c r="I28" s="56"/>
      <c r="J28" s="11"/>
      <c r="K28" s="11"/>
      <c r="M28" s="56"/>
      <c r="N28" s="59"/>
      <c r="Q28" s="69"/>
      <c r="R28" s="68"/>
      <c r="S28" s="77"/>
      <c r="T28" s="77"/>
      <c r="U28" s="77"/>
      <c r="V28" s="77"/>
      <c r="AA28" s="75" t="s">
        <v>738</v>
      </c>
      <c r="AB28" s="75" t="s">
        <v>379</v>
      </c>
    </row>
    <row r="29" spans="1:28" x14ac:dyDescent="0.25">
      <c r="A29" s="4"/>
      <c r="B29" s="66"/>
      <c r="C29" s="56"/>
      <c r="D29" s="67"/>
      <c r="E29" s="56"/>
      <c r="F29" s="56"/>
      <c r="G29" s="56"/>
      <c r="H29" s="56"/>
      <c r="I29" s="56"/>
      <c r="N29" s="59"/>
      <c r="Q29" s="69"/>
      <c r="R29" s="68"/>
      <c r="S29" s="77"/>
      <c r="T29" s="77"/>
      <c r="AA29" s="75" t="s">
        <v>738</v>
      </c>
      <c r="AB29" s="75" t="s">
        <v>880</v>
      </c>
    </row>
    <row r="30" spans="1:28" x14ac:dyDescent="0.25">
      <c r="A30" s="4"/>
      <c r="B30" s="69"/>
      <c r="C30" s="70"/>
      <c r="D30" s="67"/>
      <c r="E30" s="70"/>
      <c r="F30" s="62"/>
      <c r="G30" s="62"/>
      <c r="H30" s="56"/>
      <c r="I30" s="56"/>
      <c r="AA30" s="75" t="s">
        <v>738</v>
      </c>
      <c r="AB30" s="75" t="s">
        <v>21</v>
      </c>
    </row>
    <row r="31" spans="1:28" x14ac:dyDescent="0.25">
      <c r="A31" s="4"/>
      <c r="C31" s="11"/>
      <c r="D31" s="71"/>
      <c r="E31" s="71"/>
      <c r="F31" s="71"/>
      <c r="G31" s="71"/>
      <c r="H31" s="15"/>
      <c r="I31" s="11"/>
      <c r="R31" s="68"/>
      <c r="AA31" s="75" t="s">
        <v>738</v>
      </c>
      <c r="AB31" s="75" t="s">
        <v>208</v>
      </c>
    </row>
    <row r="32" spans="1:28" x14ac:dyDescent="0.25">
      <c r="AA32" s="75" t="s">
        <v>738</v>
      </c>
      <c r="AB32" s="75" t="s">
        <v>380</v>
      </c>
    </row>
    <row r="33" spans="3:28" x14ac:dyDescent="0.25">
      <c r="O33" t="s">
        <v>782</v>
      </c>
      <c r="P33" s="11">
        <f>SAMB!CU49</f>
        <v>8248.0059626100629</v>
      </c>
      <c r="Q33" s="111">
        <f ca="1">Q34+Q36+Q37</f>
        <v>38250</v>
      </c>
      <c r="AA33" s="75" t="s">
        <v>738</v>
      </c>
      <c r="AB33" s="75" t="s">
        <v>381</v>
      </c>
    </row>
    <row r="34" spans="3:28" x14ac:dyDescent="0.25">
      <c r="O34" t="s">
        <v>771</v>
      </c>
      <c r="P34" s="11">
        <f>SUM(SAMB!B105:ET105)</f>
        <v>16496.064974621957</v>
      </c>
      <c r="Q34" s="30">
        <f ca="1">SUM(W7:W10)</f>
        <v>38250</v>
      </c>
      <c r="AA34" s="75" t="s">
        <v>738</v>
      </c>
      <c r="AB34" s="75" t="s">
        <v>382</v>
      </c>
    </row>
    <row r="35" spans="3:28" x14ac:dyDescent="0.25">
      <c r="C35" s="71"/>
      <c r="D35" s="71"/>
      <c r="E35" s="15"/>
      <c r="F35" s="72"/>
      <c r="G35" s="71"/>
      <c r="O35" t="s">
        <v>748</v>
      </c>
      <c r="P35" s="11">
        <f>SUM(SAMB!B149:EP149)</f>
        <v>360.59316112872659</v>
      </c>
      <c r="Q35" s="63"/>
      <c r="AA35" s="75" t="s">
        <v>738</v>
      </c>
      <c r="AB35" s="75" t="s">
        <v>383</v>
      </c>
    </row>
    <row r="36" spans="3:28" x14ac:dyDescent="0.25">
      <c r="C36" s="71"/>
      <c r="D36" s="73"/>
      <c r="E36" s="11"/>
      <c r="F36" s="71"/>
      <c r="O36" t="s">
        <v>794</v>
      </c>
      <c r="P36" s="64">
        <f>SAMB!EP103</f>
        <v>0</v>
      </c>
      <c r="Q36" s="63">
        <f>W11-W12</f>
        <v>-0.12424961742635787</v>
      </c>
      <c r="AA36" s="75" t="s">
        <v>738</v>
      </c>
      <c r="AB36" s="75" t="s">
        <v>25</v>
      </c>
    </row>
    <row r="37" spans="3:28" x14ac:dyDescent="0.25">
      <c r="C37" s="71"/>
      <c r="D37" s="73"/>
      <c r="E37" s="11"/>
      <c r="F37" s="71"/>
      <c r="G37" s="71"/>
      <c r="O37" t="s">
        <v>29</v>
      </c>
      <c r="P37" s="64">
        <f>SAMB!EO103</f>
        <v>0</v>
      </c>
      <c r="Q37" s="63">
        <f>-Q36</f>
        <v>0.12424961742635787</v>
      </c>
      <c r="AA37" s="75" t="s">
        <v>738</v>
      </c>
      <c r="AB37" s="75" t="s">
        <v>384</v>
      </c>
    </row>
    <row r="38" spans="3:28" x14ac:dyDescent="0.25">
      <c r="C38" s="67"/>
      <c r="D38" s="73"/>
      <c r="E38" s="11"/>
      <c r="F38" s="68"/>
      <c r="G38" s="74"/>
      <c r="AA38" s="75" t="s">
        <v>738</v>
      </c>
      <c r="AB38" s="75" t="s">
        <v>385</v>
      </c>
    </row>
    <row r="39" spans="3:28" x14ac:dyDescent="0.25">
      <c r="D39" s="68"/>
      <c r="AA39" s="75" t="s">
        <v>738</v>
      </c>
      <c r="AB39" s="75" t="s">
        <v>386</v>
      </c>
    </row>
    <row r="40" spans="3:28" x14ac:dyDescent="0.25">
      <c r="AA40" s="75" t="s">
        <v>738</v>
      </c>
      <c r="AB40" s="75" t="s">
        <v>387</v>
      </c>
    </row>
    <row r="41" spans="3:28" x14ac:dyDescent="0.25">
      <c r="AA41" s="75" t="s">
        <v>738</v>
      </c>
      <c r="AB41" s="75" t="s">
        <v>32</v>
      </c>
    </row>
    <row r="42" spans="3:28" x14ac:dyDescent="0.25">
      <c r="AA42" s="75" t="s">
        <v>738</v>
      </c>
      <c r="AB42" s="75" t="s">
        <v>35</v>
      </c>
    </row>
    <row r="43" spans="3:28" x14ac:dyDescent="0.25">
      <c r="AA43" s="75" t="s">
        <v>738</v>
      </c>
      <c r="AB43" s="75" t="s">
        <v>41</v>
      </c>
    </row>
    <row r="44" spans="3:28" x14ac:dyDescent="0.25">
      <c r="AA44" s="75" t="s">
        <v>738</v>
      </c>
      <c r="AB44" s="75" t="s">
        <v>388</v>
      </c>
    </row>
    <row r="45" spans="3:28" x14ac:dyDescent="0.25">
      <c r="C45" s="11"/>
      <c r="AA45" s="75" t="s">
        <v>738</v>
      </c>
      <c r="AB45" s="75" t="s">
        <v>389</v>
      </c>
    </row>
    <row r="46" spans="3:28" x14ac:dyDescent="0.25">
      <c r="AA46" s="75" t="s">
        <v>738</v>
      </c>
      <c r="AB46" s="75" t="s">
        <v>390</v>
      </c>
    </row>
    <row r="47" spans="3:28" x14ac:dyDescent="0.25">
      <c r="AA47" s="75" t="s">
        <v>738</v>
      </c>
      <c r="AB47" s="75" t="s">
        <v>341</v>
      </c>
    </row>
    <row r="48" spans="3:28" x14ac:dyDescent="0.25">
      <c r="AA48" s="75" t="s">
        <v>738</v>
      </c>
      <c r="AB48" s="75" t="s">
        <v>391</v>
      </c>
    </row>
    <row r="49" spans="27:28" x14ac:dyDescent="0.25">
      <c r="AA49" s="75" t="s">
        <v>738</v>
      </c>
      <c r="AB49" s="75" t="s">
        <v>392</v>
      </c>
    </row>
    <row r="50" spans="27:28" x14ac:dyDescent="0.25">
      <c r="AA50" s="75" t="s">
        <v>356</v>
      </c>
      <c r="AB50" s="75" t="s">
        <v>43</v>
      </c>
    </row>
    <row r="51" spans="27:28" x14ac:dyDescent="0.25">
      <c r="AA51" s="75" t="s">
        <v>738</v>
      </c>
      <c r="AB51" s="75" t="s">
        <v>393</v>
      </c>
    </row>
    <row r="52" spans="27:28" x14ac:dyDescent="0.25">
      <c r="AA52" s="75" t="s">
        <v>356</v>
      </c>
      <c r="AB52" s="75" t="s">
        <v>46</v>
      </c>
    </row>
    <row r="53" spans="27:28" x14ac:dyDescent="0.25">
      <c r="AA53" s="75" t="s">
        <v>356</v>
      </c>
      <c r="AB53" s="75" t="s">
        <v>394</v>
      </c>
    </row>
    <row r="54" spans="27:28" x14ac:dyDescent="0.25">
      <c r="AA54" s="75" t="s">
        <v>356</v>
      </c>
      <c r="AB54" s="75" t="s">
        <v>395</v>
      </c>
    </row>
    <row r="55" spans="27:28" x14ac:dyDescent="0.25">
      <c r="AA55" s="75" t="s">
        <v>356</v>
      </c>
      <c r="AB55" s="75" t="s">
        <v>396</v>
      </c>
    </row>
    <row r="56" spans="27:28" x14ac:dyDescent="0.25">
      <c r="AA56" s="75" t="s">
        <v>356</v>
      </c>
      <c r="AB56" s="75" t="s">
        <v>397</v>
      </c>
    </row>
    <row r="57" spans="27:28" x14ac:dyDescent="0.25">
      <c r="AA57" s="75" t="s">
        <v>356</v>
      </c>
      <c r="AB57" s="75" t="s">
        <v>199</v>
      </c>
    </row>
    <row r="58" spans="27:28" x14ac:dyDescent="0.25">
      <c r="AA58" s="75" t="s">
        <v>356</v>
      </c>
      <c r="AB58" s="75" t="s">
        <v>398</v>
      </c>
    </row>
    <row r="59" spans="27:28" x14ac:dyDescent="0.25">
      <c r="AA59" s="75" t="s">
        <v>356</v>
      </c>
      <c r="AB59" s="75" t="s">
        <v>399</v>
      </c>
    </row>
    <row r="60" spans="27:28" x14ac:dyDescent="0.25">
      <c r="AA60" s="75" t="s">
        <v>356</v>
      </c>
      <c r="AB60" s="75" t="s">
        <v>200</v>
      </c>
    </row>
    <row r="61" spans="27:28" x14ac:dyDescent="0.25">
      <c r="AA61" s="75" t="s">
        <v>356</v>
      </c>
      <c r="AB61" s="75" t="s">
        <v>201</v>
      </c>
    </row>
    <row r="62" spans="27:28" x14ac:dyDescent="0.25">
      <c r="AA62" s="75" t="s">
        <v>356</v>
      </c>
      <c r="AB62" s="75" t="s">
        <v>48</v>
      </c>
    </row>
    <row r="63" spans="27:28" x14ac:dyDescent="0.25">
      <c r="AA63" s="75" t="s">
        <v>739</v>
      </c>
      <c r="AB63" s="75" t="s">
        <v>453</v>
      </c>
    </row>
    <row r="64" spans="27:28" x14ac:dyDescent="0.25">
      <c r="AA64" s="75" t="s">
        <v>739</v>
      </c>
      <c r="AB64" s="75" t="s">
        <v>454</v>
      </c>
    </row>
    <row r="65" spans="27:28" x14ac:dyDescent="0.25">
      <c r="AA65" s="75" t="s">
        <v>739</v>
      </c>
      <c r="AB65" s="75" t="s">
        <v>455</v>
      </c>
    </row>
    <row r="66" spans="27:28" x14ac:dyDescent="0.25">
      <c r="AA66" s="75" t="s">
        <v>739</v>
      </c>
      <c r="AB66" s="75" t="s">
        <v>456</v>
      </c>
    </row>
    <row r="67" spans="27:28" x14ac:dyDescent="0.25">
      <c r="AA67" s="75" t="s">
        <v>739</v>
      </c>
      <c r="AB67" s="75" t="s">
        <v>457</v>
      </c>
    </row>
    <row r="68" spans="27:28" x14ac:dyDescent="0.25">
      <c r="AA68" s="75" t="s">
        <v>739</v>
      </c>
      <c r="AB68" s="75" t="s">
        <v>458</v>
      </c>
    </row>
    <row r="69" spans="27:28" x14ac:dyDescent="0.25">
      <c r="AA69" s="75" t="s">
        <v>739</v>
      </c>
      <c r="AB69" s="75" t="s">
        <v>459</v>
      </c>
    </row>
    <row r="70" spans="27:28" x14ac:dyDescent="0.25">
      <c r="AA70" s="75" t="s">
        <v>739</v>
      </c>
      <c r="AB70" s="75" t="s">
        <v>460</v>
      </c>
    </row>
    <row r="71" spans="27:28" x14ac:dyDescent="0.25">
      <c r="AA71" s="75" t="s">
        <v>739</v>
      </c>
      <c r="AB71" s="75" t="s">
        <v>461</v>
      </c>
    </row>
    <row r="72" spans="27:28" x14ac:dyDescent="0.25">
      <c r="AA72" s="75" t="s">
        <v>739</v>
      </c>
      <c r="AB72" s="75" t="s">
        <v>462</v>
      </c>
    </row>
    <row r="73" spans="27:28" x14ac:dyDescent="0.25">
      <c r="AA73" s="75" t="s">
        <v>739</v>
      </c>
      <c r="AB73" s="75" t="s">
        <v>463</v>
      </c>
    </row>
    <row r="74" spans="27:28" x14ac:dyDescent="0.25">
      <c r="AA74" s="75" t="s">
        <v>739</v>
      </c>
      <c r="AB74" s="75" t="s">
        <v>464</v>
      </c>
    </row>
    <row r="75" spans="27:28" x14ac:dyDescent="0.25">
      <c r="AA75" s="75" t="s">
        <v>739</v>
      </c>
      <c r="AB75" s="75" t="s">
        <v>465</v>
      </c>
    </row>
    <row r="76" spans="27:28" x14ac:dyDescent="0.25">
      <c r="AA76" s="75" t="s">
        <v>739</v>
      </c>
      <c r="AB76" s="75" t="s">
        <v>466</v>
      </c>
    </row>
    <row r="77" spans="27:28" x14ac:dyDescent="0.25">
      <c r="AA77" s="75" t="s">
        <v>739</v>
      </c>
      <c r="AB77" s="75" t="s">
        <v>467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topLeftCell="A11" workbookViewId="0">
      <selection activeCell="B32" sqref="B32"/>
    </sheetView>
  </sheetViews>
  <sheetFormatPr defaultColWidth="8.85546875" defaultRowHeight="12" x14ac:dyDescent="0.2"/>
  <cols>
    <col min="1" max="1" width="18.7109375" style="81" bestFit="1" customWidth="1"/>
    <col min="2" max="2" width="7.85546875" style="81" bestFit="1" customWidth="1"/>
    <col min="3" max="3" width="6.5703125" style="81" bestFit="1" customWidth="1"/>
    <col min="4" max="5" width="8.7109375" style="81" bestFit="1" customWidth="1"/>
    <col min="6" max="6" width="9.42578125" style="81" bestFit="1" customWidth="1"/>
    <col min="7" max="7" width="6.140625" style="81" bestFit="1" customWidth="1"/>
    <col min="8" max="8" width="7.85546875" style="81" bestFit="1" customWidth="1"/>
    <col min="9" max="9" width="10.5703125" style="81" bestFit="1" customWidth="1"/>
    <col min="10" max="10" width="7.85546875" style="81" bestFit="1" customWidth="1"/>
    <col min="11" max="12" width="8.7109375" style="81" bestFit="1" customWidth="1"/>
    <col min="13" max="14" width="4.28515625" style="81" bestFit="1" customWidth="1"/>
    <col min="15" max="15" width="19" style="81" bestFit="1" customWidth="1"/>
    <col min="16" max="17" width="8.85546875" style="81"/>
    <col min="18" max="18" width="22.140625" style="81" customWidth="1"/>
    <col min="19" max="19" width="4.28515625" style="81" bestFit="1" customWidth="1"/>
    <col min="20" max="20" width="7.85546875" style="81" bestFit="1" customWidth="1"/>
    <col min="21" max="21" width="10.42578125" style="81" bestFit="1" customWidth="1"/>
    <col min="22" max="22" width="9.7109375" style="81" bestFit="1" customWidth="1"/>
    <col min="23" max="23" width="6.85546875" style="81" bestFit="1" customWidth="1"/>
    <col min="24" max="24" width="6.140625" style="81" bestFit="1" customWidth="1"/>
    <col min="25" max="25" width="13.7109375" style="81" bestFit="1" customWidth="1"/>
    <col min="26" max="26" width="15.42578125" style="81" bestFit="1" customWidth="1"/>
    <col min="27" max="27" width="8.5703125" style="81" bestFit="1" customWidth="1"/>
    <col min="28" max="28" width="4.5703125" style="81" bestFit="1" customWidth="1"/>
    <col min="29" max="29" width="7" style="81" bestFit="1" customWidth="1"/>
    <col min="30" max="16384" width="8.85546875" style="81"/>
  </cols>
  <sheetData>
    <row r="1" spans="1:29" x14ac:dyDescent="0.2">
      <c r="A1" s="116" t="s">
        <v>952</v>
      </c>
      <c r="F1" s="81">
        <v>3.8</v>
      </c>
      <c r="G1" s="81" t="s">
        <v>1045</v>
      </c>
      <c r="R1" s="81" t="s">
        <v>1033</v>
      </c>
    </row>
    <row r="2" spans="1:29" x14ac:dyDescent="0.2">
      <c r="A2" s="81" t="s">
        <v>954</v>
      </c>
      <c r="F2" s="126">
        <v>158.98729499999999</v>
      </c>
      <c r="G2" s="81" t="s">
        <v>1043</v>
      </c>
      <c r="I2" s="87">
        <f>B5/F2</f>
        <v>0.33519449882247931</v>
      </c>
    </row>
    <row r="3" spans="1:29" ht="12.75" thickBot="1" x14ac:dyDescent="0.25">
      <c r="A3" s="116" t="s">
        <v>953</v>
      </c>
      <c r="F3" s="81">
        <v>38</v>
      </c>
      <c r="G3" s="81" t="s">
        <v>1044</v>
      </c>
      <c r="I3" s="87">
        <f>I2*F3</f>
        <v>12.737390955254213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29" ht="12.75" thickBot="1" x14ac:dyDescent="0.25">
      <c r="A4" s="81">
        <v>2015</v>
      </c>
      <c r="B4" s="81" t="s">
        <v>1034</v>
      </c>
      <c r="D4" s="81" t="s">
        <v>1048</v>
      </c>
      <c r="S4" s="118" t="s">
        <v>683</v>
      </c>
      <c r="T4" s="118" t="s">
        <v>609</v>
      </c>
      <c r="U4" s="118" t="s">
        <v>956</v>
      </c>
      <c r="V4" s="118" t="s">
        <v>611</v>
      </c>
      <c r="W4" s="118" t="s">
        <v>957</v>
      </c>
      <c r="X4" s="118" t="s">
        <v>958</v>
      </c>
      <c r="Y4" s="118" t="s">
        <v>959</v>
      </c>
      <c r="Z4" s="118" t="s">
        <v>960</v>
      </c>
      <c r="AA4" s="118" t="s">
        <v>705</v>
      </c>
      <c r="AB4" s="118" t="s">
        <v>961</v>
      </c>
      <c r="AC4" s="118" t="s">
        <v>585</v>
      </c>
    </row>
    <row r="5" spans="1:29" ht="12.75" thickBot="1" x14ac:dyDescent="0.25">
      <c r="A5" s="131" t="s">
        <v>1040</v>
      </c>
      <c r="B5" s="81">
        <v>53.291666666666664</v>
      </c>
      <c r="D5" s="87">
        <f>B5*165*F1</f>
        <v>33413.875</v>
      </c>
      <c r="G5" s="81" t="s">
        <v>756</v>
      </c>
      <c r="H5" s="81" t="s">
        <v>1046</v>
      </c>
      <c r="I5" s="81" t="s">
        <v>230</v>
      </c>
      <c r="J5" s="81" t="s">
        <v>1047</v>
      </c>
      <c r="R5" s="119"/>
      <c r="S5" s="119" t="s">
        <v>756</v>
      </c>
      <c r="T5" s="119" t="s">
        <v>756</v>
      </c>
      <c r="U5" s="119" t="s">
        <v>756</v>
      </c>
      <c r="V5" s="119" t="s">
        <v>756</v>
      </c>
      <c r="W5" s="119" t="s">
        <v>756</v>
      </c>
      <c r="X5" s="119" t="s">
        <v>756</v>
      </c>
      <c r="Y5" s="119" t="s">
        <v>756</v>
      </c>
      <c r="Z5" s="119" t="s">
        <v>756</v>
      </c>
      <c r="AA5" s="119" t="s">
        <v>756</v>
      </c>
      <c r="AB5" s="119" t="s">
        <v>756</v>
      </c>
      <c r="AC5" s="119" t="s">
        <v>756</v>
      </c>
    </row>
    <row r="6" spans="1:29" ht="12.75" thickBot="1" x14ac:dyDescent="0.25">
      <c r="A6" s="81" t="s">
        <v>950</v>
      </c>
      <c r="B6" s="81">
        <v>228154</v>
      </c>
      <c r="C6" s="81" t="s">
        <v>756</v>
      </c>
      <c r="F6" s="81" t="str">
        <f>A6</f>
        <v>Production</v>
      </c>
      <c r="G6" s="81">
        <f>B6-B14</f>
        <v>226281</v>
      </c>
      <c r="H6" s="84">
        <f>(G6*$D$5)/1000000</f>
        <v>7560.9250488750004</v>
      </c>
      <c r="I6" s="127">
        <f>SAM!CA29</f>
        <v>10011.912558500602</v>
      </c>
      <c r="J6" s="84">
        <f>I6-H6</f>
        <v>2450.9875096256019</v>
      </c>
      <c r="R6" s="120" t="s">
        <v>950</v>
      </c>
      <c r="S6" s="121"/>
      <c r="T6" s="121" t="s">
        <v>962</v>
      </c>
      <c r="U6" s="121"/>
      <c r="V6" s="121" t="s">
        <v>963</v>
      </c>
      <c r="W6" s="121"/>
      <c r="X6" s="121" t="s">
        <v>964</v>
      </c>
      <c r="Y6" s="121">
        <v>11</v>
      </c>
      <c r="Z6" s="121" t="s">
        <v>965</v>
      </c>
      <c r="AA6" s="121"/>
      <c r="AB6" s="121"/>
      <c r="AC6" s="121" t="s">
        <v>966</v>
      </c>
    </row>
    <row r="7" spans="1:29" ht="12.75" thickBot="1" x14ac:dyDescent="0.25">
      <c r="A7" s="81" t="s">
        <v>116</v>
      </c>
      <c r="B7" s="81">
        <v>13255</v>
      </c>
      <c r="F7" s="81" t="s">
        <v>1041</v>
      </c>
      <c r="G7" s="81">
        <f>B8-B7</f>
        <v>208763</v>
      </c>
      <c r="H7" s="84">
        <f t="shared" ref="H7" si="0">(G7*$D$5)/1000000</f>
        <v>6975.5807866249997</v>
      </c>
      <c r="I7" s="127">
        <f>SAM!ET85-SAM!CA156</f>
        <v>2608.0791125042251</v>
      </c>
      <c r="J7" s="84">
        <f t="shared" ref="J7:J9" si="1">I7-H7</f>
        <v>-4367.5016741207746</v>
      </c>
      <c r="R7" s="120" t="s">
        <v>116</v>
      </c>
      <c r="S7" s="121"/>
      <c r="T7" s="121" t="s">
        <v>967</v>
      </c>
      <c r="U7" s="121" t="s">
        <v>968</v>
      </c>
      <c r="V7" s="121" t="s">
        <v>969</v>
      </c>
      <c r="W7" s="121"/>
      <c r="X7" s="121"/>
      <c r="Y7" s="121"/>
      <c r="Z7" s="121"/>
      <c r="AA7" s="121">
        <v>803</v>
      </c>
      <c r="AB7" s="121"/>
      <c r="AC7" s="121" t="s">
        <v>970</v>
      </c>
    </row>
    <row r="8" spans="1:29" ht="12.75" thickBot="1" x14ac:dyDescent="0.25">
      <c r="A8" s="81" t="s">
        <v>115</v>
      </c>
      <c r="B8" s="81">
        <v>222018</v>
      </c>
      <c r="F8" s="81" t="s">
        <v>1042</v>
      </c>
      <c r="G8" s="81">
        <f>B9+B11</f>
        <v>10997</v>
      </c>
      <c r="H8" s="84">
        <f>(G8*$D$5+$H$13*(G8/SUM($G$8:$G$9)))/1000000</f>
        <v>367.45317631649345</v>
      </c>
      <c r="I8" s="127">
        <f>SAM!AQ85</f>
        <v>2946.8119289825204</v>
      </c>
      <c r="J8" s="84">
        <f t="shared" si="1"/>
        <v>2579.3587526660267</v>
      </c>
      <c r="R8" s="120" t="s">
        <v>115</v>
      </c>
      <c r="S8" s="121"/>
      <c r="T8" s="121" t="s">
        <v>971</v>
      </c>
      <c r="U8" s="121">
        <v>-448</v>
      </c>
      <c r="V8" s="121"/>
      <c r="W8" s="121"/>
      <c r="X8" s="121"/>
      <c r="Y8" s="121"/>
      <c r="Z8" s="121"/>
      <c r="AA8" s="121" t="s">
        <v>972</v>
      </c>
      <c r="AB8" s="121"/>
      <c r="AC8" s="121" t="s">
        <v>973</v>
      </c>
    </row>
    <row r="9" spans="1:29" ht="12.75" thickBot="1" x14ac:dyDescent="0.25">
      <c r="A9" s="81" t="s">
        <v>1035</v>
      </c>
      <c r="B9" s="81">
        <v>10613</v>
      </c>
      <c r="F9" s="81" t="s">
        <v>998</v>
      </c>
      <c r="G9" s="81">
        <f>B10</f>
        <v>6521</v>
      </c>
      <c r="H9" s="84">
        <f>(G9*$D$5+$H$13*(G9/SUM($G$8:$G$9)))/1000000</f>
        <v>217.89234907337035</v>
      </c>
      <c r="I9" s="127">
        <f>SAM!AK85</f>
        <v>4481.490116390738</v>
      </c>
      <c r="J9" s="84">
        <f t="shared" si="1"/>
        <v>4263.5977673173675</v>
      </c>
      <c r="R9" s="120" t="s">
        <v>974</v>
      </c>
      <c r="S9" s="121"/>
      <c r="T9" s="121"/>
      <c r="U9" s="121">
        <v>-433</v>
      </c>
      <c r="V9" s="121"/>
      <c r="W9" s="121"/>
      <c r="X9" s="121"/>
      <c r="Y9" s="121"/>
      <c r="Z9" s="121"/>
      <c r="AA9" s="121"/>
      <c r="AB9" s="121"/>
      <c r="AC9" s="121">
        <v>-433</v>
      </c>
    </row>
    <row r="10" spans="1:29" ht="12.75" thickBot="1" x14ac:dyDescent="0.25">
      <c r="A10" s="81" t="s">
        <v>998</v>
      </c>
      <c r="B10" s="81">
        <v>6521</v>
      </c>
      <c r="R10" s="120" t="s">
        <v>975</v>
      </c>
      <c r="S10" s="121"/>
      <c r="T10" s="121"/>
      <c r="U10" s="121" t="s">
        <v>976</v>
      </c>
      <c r="V10" s="121"/>
      <c r="W10" s="121"/>
      <c r="X10" s="121"/>
      <c r="Y10" s="121"/>
      <c r="Z10" s="121"/>
      <c r="AA10" s="121"/>
      <c r="AB10" s="121"/>
      <c r="AC10" s="121" t="s">
        <v>976</v>
      </c>
    </row>
    <row r="11" spans="1:29" ht="12.75" thickBot="1" x14ac:dyDescent="0.25">
      <c r="A11" s="81" t="s">
        <v>1006</v>
      </c>
      <c r="B11" s="81">
        <v>384</v>
      </c>
      <c r="G11" s="81">
        <f>SUM(G7:G9)</f>
        <v>226281</v>
      </c>
      <c r="H11" s="124">
        <f>SUM(H7:H9)</f>
        <v>7560.9263120148635</v>
      </c>
      <c r="I11" s="124">
        <f>SUM(I7:I9)</f>
        <v>10036.381157877484</v>
      </c>
      <c r="R11" s="120" t="s">
        <v>977</v>
      </c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ht="12.75" thickBot="1" x14ac:dyDescent="0.25">
      <c r="A12" s="81" t="s">
        <v>753</v>
      </c>
      <c r="B12" s="81">
        <f>SUM(B6:B7)</f>
        <v>241409</v>
      </c>
      <c r="G12" s="125">
        <f>G11-G6</f>
        <v>0</v>
      </c>
      <c r="H12" s="125">
        <f>H11-H6</f>
        <v>1.2631398631128832E-3</v>
      </c>
      <c r="R12" s="120" t="s">
        <v>978</v>
      </c>
      <c r="S12" s="121"/>
      <c r="T12" s="121" t="s">
        <v>979</v>
      </c>
      <c r="U12" s="121" t="s">
        <v>980</v>
      </c>
      <c r="V12" s="121" t="s">
        <v>981</v>
      </c>
      <c r="W12" s="121"/>
      <c r="X12" s="121" t="s">
        <v>964</v>
      </c>
      <c r="Y12" s="121">
        <v>11</v>
      </c>
      <c r="Z12" s="121" t="s">
        <v>965</v>
      </c>
      <c r="AA12" s="121" t="s">
        <v>982</v>
      </c>
      <c r="AB12" s="121"/>
      <c r="AC12" s="121" t="s">
        <v>983</v>
      </c>
    </row>
    <row r="13" spans="1:29" ht="12.75" thickBot="1" x14ac:dyDescent="0.25">
      <c r="A13" s="81" t="s">
        <v>752</v>
      </c>
      <c r="B13" s="81">
        <f>SUM(B8:B11)</f>
        <v>239536</v>
      </c>
      <c r="F13" s="81" t="s">
        <v>168</v>
      </c>
      <c r="H13" s="127">
        <f>SAM!CA119</f>
        <v>1263.1398638395633</v>
      </c>
      <c r="R13" s="120" t="s">
        <v>984</v>
      </c>
      <c r="S13" s="121"/>
      <c r="T13" s="121">
        <v>-84</v>
      </c>
      <c r="U13" s="121">
        <v>95</v>
      </c>
      <c r="V13" s="121"/>
      <c r="W13" s="121"/>
      <c r="X13" s="121"/>
      <c r="Y13" s="121"/>
      <c r="Z13" s="121"/>
      <c r="AA13" s="121"/>
      <c r="AB13" s="121"/>
      <c r="AC13" s="121">
        <v>11</v>
      </c>
    </row>
    <row r="14" spans="1:29" ht="12.75" thickBot="1" x14ac:dyDescent="0.25">
      <c r="B14" s="81">
        <f>B12-B13</f>
        <v>1873</v>
      </c>
      <c r="R14" s="120" t="s">
        <v>985</v>
      </c>
      <c r="S14" s="121"/>
      <c r="T14" s="121" t="s">
        <v>986</v>
      </c>
      <c r="U14" s="121" t="s">
        <v>987</v>
      </c>
      <c r="V14" s="121"/>
      <c r="W14" s="121"/>
      <c r="X14" s="121"/>
      <c r="Y14" s="121"/>
      <c r="Z14" s="121"/>
      <c r="AA14" s="121">
        <v>-122</v>
      </c>
      <c r="AB14" s="121"/>
      <c r="AC14" s="121" t="s">
        <v>988</v>
      </c>
    </row>
    <row r="15" spans="1:29" ht="15.75" thickBot="1" x14ac:dyDescent="0.3">
      <c r="A15" s="128" t="s">
        <v>1049</v>
      </c>
      <c r="R15" s="120" t="s">
        <v>989</v>
      </c>
      <c r="S15" s="121"/>
      <c r="T15" s="121" t="s">
        <v>990</v>
      </c>
      <c r="U15" s="121">
        <v>-606</v>
      </c>
      <c r="V15" s="121" t="s">
        <v>991</v>
      </c>
      <c r="W15" s="121"/>
      <c r="X15" s="121" t="s">
        <v>992</v>
      </c>
      <c r="Y15" s="121">
        <v>-11</v>
      </c>
      <c r="Z15" s="121"/>
      <c r="AA15" s="121" t="s">
        <v>993</v>
      </c>
      <c r="AB15" s="121"/>
      <c r="AC15" s="121" t="s">
        <v>994</v>
      </c>
    </row>
    <row r="16" spans="1:29" ht="12.75" thickBot="1" x14ac:dyDescent="0.25">
      <c r="A16" s="116" t="s">
        <v>611</v>
      </c>
      <c r="F16" s="81">
        <v>1000000</v>
      </c>
      <c r="I16" s="125">
        <f>1/1.05</f>
        <v>0.95238095238095233</v>
      </c>
      <c r="K16" s="81">
        <f>1/1000</f>
        <v>1E-3</v>
      </c>
      <c r="L16" s="81" t="s">
        <v>955</v>
      </c>
      <c r="O16" s="81" t="s">
        <v>1051</v>
      </c>
      <c r="P16" s="81" t="s">
        <v>1052</v>
      </c>
      <c r="R16" s="120" t="s">
        <v>995</v>
      </c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spans="1:29" ht="12.75" thickBot="1" x14ac:dyDescent="0.25">
      <c r="A17" s="81" t="s">
        <v>1040</v>
      </c>
      <c r="B17" s="81">
        <f>8.9*F1</f>
        <v>33.82</v>
      </c>
      <c r="C17" s="81" t="s">
        <v>1038</v>
      </c>
      <c r="I17" s="125">
        <f>B17*I16</f>
        <v>32.209523809523809</v>
      </c>
      <c r="P17" s="81" t="s">
        <v>1050</v>
      </c>
      <c r="R17" s="120" t="s">
        <v>996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spans="1:29" ht="12.75" thickBot="1" x14ac:dyDescent="0.25">
      <c r="A18" s="81" t="s">
        <v>950</v>
      </c>
      <c r="B18" s="81">
        <v>26.4</v>
      </c>
      <c r="C18" s="81" t="s">
        <v>1036</v>
      </c>
      <c r="D18" s="81" t="s">
        <v>1037</v>
      </c>
      <c r="F18" s="81">
        <f>B18*F16</f>
        <v>26400000</v>
      </c>
      <c r="G18" s="81" t="s">
        <v>1038</v>
      </c>
      <c r="I18" s="124">
        <f>F18*I16</f>
        <v>25142857.142857142</v>
      </c>
      <c r="J18" s="81" t="s">
        <v>1039</v>
      </c>
      <c r="K18" s="126">
        <f>I18*$K$16</f>
        <v>25142.857142857141</v>
      </c>
      <c r="L18" s="126">
        <v>25060</v>
      </c>
      <c r="M18" s="81" t="s">
        <v>756</v>
      </c>
      <c r="O18" s="125">
        <f>J6/L18</f>
        <v>9.7804768939569103E-2</v>
      </c>
      <c r="P18" s="126">
        <f>((L18*1000)*$I$17)/1000000</f>
        <v>807.17066666666665</v>
      </c>
      <c r="R18" s="120" t="s">
        <v>997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spans="1:29" ht="12.75" thickBot="1" x14ac:dyDescent="0.25">
      <c r="A19" s="81" t="s">
        <v>116</v>
      </c>
      <c r="B19" s="81">
        <v>20.6</v>
      </c>
      <c r="C19" s="81" t="s">
        <v>1036</v>
      </c>
      <c r="F19" s="81">
        <f>B19*F16</f>
        <v>20600000</v>
      </c>
      <c r="I19" s="124">
        <f>F19*I16</f>
        <v>19619047.619047619</v>
      </c>
      <c r="K19" s="126">
        <f>I19*$K$16</f>
        <v>19619.047619047618</v>
      </c>
      <c r="L19" s="126">
        <v>19585</v>
      </c>
      <c r="O19" s="125">
        <f>-J7/L19</f>
        <v>0.22300238315653687</v>
      </c>
      <c r="P19" s="126">
        <f t="shared" ref="P19:P20" si="2">((L19*1000)*$I$17)/1000000</f>
        <v>630.82352380952386</v>
      </c>
      <c r="R19" s="120" t="s">
        <v>998</v>
      </c>
      <c r="S19" s="121"/>
      <c r="T19" s="121" t="s">
        <v>999</v>
      </c>
      <c r="U19" s="121" t="s">
        <v>1000</v>
      </c>
      <c r="V19" s="121"/>
      <c r="W19" s="121"/>
      <c r="X19" s="121"/>
      <c r="Y19" s="121"/>
      <c r="Z19" s="121"/>
      <c r="AA19" s="121"/>
      <c r="AB19" s="121"/>
      <c r="AC19" s="121" t="s">
        <v>1001</v>
      </c>
    </row>
    <row r="20" spans="1:29" ht="12.75" thickBot="1" x14ac:dyDescent="0.25">
      <c r="A20" s="81" t="s">
        <v>1035</v>
      </c>
      <c r="B20" s="81">
        <v>44645</v>
      </c>
      <c r="C20" s="81" t="s">
        <v>756</v>
      </c>
      <c r="K20" s="126">
        <f>B20</f>
        <v>44645</v>
      </c>
      <c r="L20" s="126">
        <f>K20</f>
        <v>44645</v>
      </c>
      <c r="O20" s="125">
        <f>J8/L20</f>
        <v>5.7774862866301416E-2</v>
      </c>
      <c r="P20" s="126">
        <f t="shared" si="2"/>
        <v>1437.9941904761904</v>
      </c>
      <c r="R20" s="120" t="s">
        <v>1002</v>
      </c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spans="1:29" ht="12.75" thickBot="1" x14ac:dyDescent="0.25">
      <c r="R21" s="120" t="s">
        <v>1003</v>
      </c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</row>
    <row r="22" spans="1:29" ht="12.75" thickBot="1" x14ac:dyDescent="0.25">
      <c r="K22" s="84">
        <f>SUM(K18:K19)-K20</f>
        <v>116.90476190476329</v>
      </c>
      <c r="L22" s="84">
        <f>SUM(L18:L19)-L20</f>
        <v>0</v>
      </c>
      <c r="R22" s="120" t="s">
        <v>1004</v>
      </c>
      <c r="S22" s="121"/>
      <c r="T22" s="121"/>
      <c r="U22" s="121"/>
      <c r="V22" s="121"/>
      <c r="W22" s="121"/>
      <c r="X22" s="121"/>
      <c r="Y22" s="121"/>
      <c r="Z22" s="121" t="s">
        <v>1005</v>
      </c>
      <c r="AA22" s="121"/>
      <c r="AB22" s="121"/>
      <c r="AC22" s="121" t="s">
        <v>1005</v>
      </c>
    </row>
    <row r="23" spans="1:29" ht="12.75" thickBot="1" x14ac:dyDescent="0.25">
      <c r="R23" s="120" t="s">
        <v>1006</v>
      </c>
      <c r="S23" s="121"/>
      <c r="T23" s="121">
        <v>-384</v>
      </c>
      <c r="U23" s="121">
        <v>-144</v>
      </c>
      <c r="V23" s="121"/>
      <c r="W23" s="121"/>
      <c r="X23" s="121"/>
      <c r="Y23" s="121"/>
      <c r="Z23" s="121"/>
      <c r="AA23" s="121">
        <v>-259</v>
      </c>
      <c r="AB23" s="121"/>
      <c r="AC23" s="121">
        <v>-787</v>
      </c>
    </row>
    <row r="24" spans="1:29" ht="12.75" thickBot="1" x14ac:dyDescent="0.25">
      <c r="A24" s="129"/>
      <c r="B24" s="129" t="s">
        <v>865</v>
      </c>
      <c r="C24" s="129" t="s">
        <v>1054</v>
      </c>
      <c r="R24" s="120" t="s">
        <v>769</v>
      </c>
      <c r="S24" s="121"/>
      <c r="T24" s="121"/>
      <c r="U24" s="121"/>
      <c r="V24" s="121"/>
      <c r="W24" s="121"/>
      <c r="X24" s="121"/>
      <c r="Y24" s="121"/>
      <c r="Z24" s="121"/>
      <c r="AA24" s="121" t="s">
        <v>1007</v>
      </c>
      <c r="AB24" s="121"/>
      <c r="AC24" s="121" t="s">
        <v>1007</v>
      </c>
    </row>
    <row r="25" spans="1:29" ht="12.75" thickBot="1" x14ac:dyDescent="0.25">
      <c r="A25" s="129" t="s">
        <v>950</v>
      </c>
      <c r="B25" s="130">
        <f>P18</f>
        <v>807.17066666666665</v>
      </c>
      <c r="C25" s="130">
        <f>L18</f>
        <v>25060</v>
      </c>
      <c r="R25" s="120" t="s">
        <v>1008</v>
      </c>
      <c r="S25" s="121"/>
      <c r="T25" s="121"/>
      <c r="U25" s="121" t="s">
        <v>1009</v>
      </c>
      <c r="V25" s="121"/>
      <c r="W25" s="121"/>
      <c r="X25" s="121"/>
      <c r="Y25" s="121"/>
      <c r="Z25" s="121" t="s">
        <v>1010</v>
      </c>
      <c r="AA25" s="121" t="s">
        <v>1011</v>
      </c>
      <c r="AB25" s="121"/>
      <c r="AC25" s="121" t="s">
        <v>1012</v>
      </c>
    </row>
    <row r="26" spans="1:29" ht="12.75" thickBot="1" x14ac:dyDescent="0.25">
      <c r="A26" s="129" t="s">
        <v>116</v>
      </c>
      <c r="B26" s="130">
        <f>P19</f>
        <v>630.82352380952386</v>
      </c>
      <c r="C26" s="130">
        <f>L19</f>
        <v>19585</v>
      </c>
      <c r="R26" s="120" t="s">
        <v>762</v>
      </c>
      <c r="S26" s="121"/>
      <c r="T26" s="121"/>
      <c r="U26" s="121" t="s">
        <v>1013</v>
      </c>
      <c r="V26" s="121"/>
      <c r="W26" s="121"/>
      <c r="X26" s="121"/>
      <c r="Y26" s="121"/>
      <c r="Z26" s="121" t="s">
        <v>1014</v>
      </c>
      <c r="AA26" s="121" t="s">
        <v>1015</v>
      </c>
      <c r="AB26" s="121"/>
      <c r="AC26" s="121" t="s">
        <v>1016</v>
      </c>
    </row>
    <row r="27" spans="1:29" ht="12.75" thickBot="1" x14ac:dyDescent="0.25">
      <c r="A27" s="129" t="s">
        <v>1053</v>
      </c>
      <c r="B27" s="130">
        <f>P20</f>
        <v>1437.9941904761904</v>
      </c>
      <c r="C27" s="130">
        <f>L20</f>
        <v>44645</v>
      </c>
      <c r="R27" s="120" t="s">
        <v>775</v>
      </c>
      <c r="S27" s="121"/>
      <c r="T27" s="121"/>
      <c r="U27" s="121" t="s">
        <v>1017</v>
      </c>
      <c r="V27" s="121"/>
      <c r="W27" s="121"/>
      <c r="X27" s="121"/>
      <c r="Y27" s="121"/>
      <c r="Z27" s="121"/>
      <c r="AA27" s="121"/>
      <c r="AB27" s="121"/>
      <c r="AC27" s="121" t="s">
        <v>1017</v>
      </c>
    </row>
    <row r="28" spans="1:29" ht="12.75" thickBot="1" x14ac:dyDescent="0.25">
      <c r="R28" s="120" t="s">
        <v>772</v>
      </c>
      <c r="S28" s="121"/>
      <c r="T28" s="121"/>
      <c r="U28" s="121" t="s">
        <v>1018</v>
      </c>
      <c r="V28" s="121"/>
      <c r="W28" s="121"/>
      <c r="X28" s="121"/>
      <c r="Y28" s="121"/>
      <c r="Z28" s="121" t="s">
        <v>1019</v>
      </c>
      <c r="AA28" s="121" t="s">
        <v>1020</v>
      </c>
      <c r="AB28" s="121"/>
      <c r="AC28" s="121" t="s">
        <v>1021</v>
      </c>
    </row>
    <row r="29" spans="1:29" ht="12.75" thickBot="1" x14ac:dyDescent="0.25">
      <c r="A29" s="81" t="s">
        <v>950</v>
      </c>
      <c r="B29" s="124">
        <f>'Crude oil'!G5</f>
        <v>7585.6160799250001</v>
      </c>
      <c r="C29" s="81">
        <f>'Crude oil'!F5</f>
        <v>227019.94545454546</v>
      </c>
      <c r="D29" s="139">
        <f>D36/F36</f>
        <v>81566.029641118337</v>
      </c>
      <c r="E29" s="83"/>
      <c r="F29" s="83"/>
      <c r="R29" s="120" t="s">
        <v>1022</v>
      </c>
      <c r="S29" s="121"/>
      <c r="T29" s="121"/>
      <c r="U29" s="121" t="s">
        <v>1023</v>
      </c>
      <c r="V29" s="121"/>
      <c r="W29" s="121"/>
      <c r="X29" s="121"/>
      <c r="Y29" s="121"/>
      <c r="Z29" s="121" t="s">
        <v>1024</v>
      </c>
      <c r="AA29" s="121" t="s">
        <v>1025</v>
      </c>
      <c r="AB29" s="121"/>
      <c r="AC29" s="121" t="s">
        <v>1026</v>
      </c>
    </row>
    <row r="30" spans="1:29" ht="12.75" thickBot="1" x14ac:dyDescent="0.25">
      <c r="A30" s="81" t="s">
        <v>115</v>
      </c>
      <c r="B30" s="124">
        <f>'Crude oil'!G6</f>
        <v>7383.4347975499995</v>
      </c>
      <c r="C30" s="81">
        <f>'Crude oil'!F6</f>
        <v>220969.12727272726</v>
      </c>
      <c r="D30" s="139">
        <f t="shared" ref="D30:D31" si="3">D37/F37</f>
        <v>43940.312826206849</v>
      </c>
      <c r="E30" s="83"/>
      <c r="F30" s="83"/>
      <c r="R30" s="120" t="s">
        <v>1027</v>
      </c>
      <c r="S30" s="121"/>
      <c r="T30" s="121"/>
      <c r="U30" s="121" t="s">
        <v>1028</v>
      </c>
      <c r="V30" s="121"/>
      <c r="W30" s="121"/>
      <c r="X30" s="121"/>
      <c r="Y30" s="121"/>
      <c r="Z30" s="121">
        <v>66</v>
      </c>
      <c r="AA30" s="121"/>
      <c r="AB30" s="121"/>
      <c r="AC30" s="121" t="s">
        <v>1029</v>
      </c>
    </row>
    <row r="31" spans="1:29" ht="12.75" thickBot="1" x14ac:dyDescent="0.25">
      <c r="A31" s="81" t="s">
        <v>116</v>
      </c>
      <c r="B31" s="124">
        <f>'Crude oil'!G7</f>
        <v>440.14831329709995</v>
      </c>
      <c r="C31" s="81">
        <f>'Crude oil'!F7</f>
        <v>13172.62105329298</v>
      </c>
      <c r="D31" s="139">
        <f t="shared" si="3"/>
        <v>4263.1627439177691</v>
      </c>
      <c r="R31" s="120" t="s">
        <v>607</v>
      </c>
      <c r="S31" s="121"/>
      <c r="T31" s="121"/>
      <c r="U31" s="121">
        <v>314</v>
      </c>
      <c r="V31" s="121"/>
      <c r="W31" s="121"/>
      <c r="X31" s="121"/>
      <c r="Y31" s="121"/>
      <c r="Z31" s="121"/>
      <c r="AA31" s="121"/>
      <c r="AB31" s="121"/>
      <c r="AC31" s="121">
        <v>314</v>
      </c>
    </row>
    <row r="32" spans="1:29" ht="12.75" thickBot="1" x14ac:dyDescent="0.25">
      <c r="A32" s="81" t="s">
        <v>1053</v>
      </c>
      <c r="B32" s="124">
        <f>'Crude oil'!G12</f>
        <v>352.54391470849839</v>
      </c>
      <c r="C32" s="81">
        <f>'Crude oil'!F12</f>
        <v>10550.824012734183</v>
      </c>
      <c r="D32" s="83">
        <f>C32</f>
        <v>10550.824012734183</v>
      </c>
      <c r="R32" s="120" t="s">
        <v>1030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spans="1:29" ht="12.75" thickBot="1" x14ac:dyDescent="0.25">
      <c r="A33" s="81" t="s">
        <v>1059</v>
      </c>
      <c r="B33" s="124">
        <f>'Crude oil'!G13</f>
        <v>289.78568096360181</v>
      </c>
      <c r="C33" s="124">
        <f>'Crude oil'!F13</f>
        <v>8672.6152223769859</v>
      </c>
      <c r="D33" s="83">
        <f>D40/F39</f>
        <v>31338.055171365508</v>
      </c>
      <c r="F33" s="140">
        <f>SUM(D32:D33)-(D29+D31-D30)</f>
        <v>-3.7472956319106743E-4</v>
      </c>
      <c r="R33" s="122" t="s">
        <v>1031</v>
      </c>
      <c r="S33" s="123"/>
      <c r="T33" s="123"/>
      <c r="U33" s="123" t="s">
        <v>1032</v>
      </c>
      <c r="V33" s="123"/>
      <c r="W33" s="123"/>
      <c r="X33" s="123"/>
      <c r="Y33" s="123"/>
      <c r="Z33" s="123"/>
      <c r="AA33" s="123"/>
      <c r="AB33" s="117"/>
      <c r="AC33" s="117"/>
    </row>
    <row r="34" spans="1:29" x14ac:dyDescent="0.2">
      <c r="D34" s="83"/>
    </row>
    <row r="35" spans="1:29" x14ac:dyDescent="0.2">
      <c r="B35" s="81" t="s">
        <v>1066</v>
      </c>
      <c r="C35" s="81" t="s">
        <v>230</v>
      </c>
      <c r="D35" s="83"/>
      <c r="F35" s="87"/>
    </row>
    <row r="36" spans="1:29" x14ac:dyDescent="0.2">
      <c r="A36" s="81" t="s">
        <v>950</v>
      </c>
      <c r="B36" s="83">
        <f>B29</f>
        <v>7585.6160799250001</v>
      </c>
      <c r="C36" s="127">
        <f>SAM!CA29-B25</f>
        <v>9204.7418918339354</v>
      </c>
      <c r="D36" s="83">
        <f>C36</f>
        <v>9204.7418918339354</v>
      </c>
      <c r="E36" s="85">
        <f>(C36)/C29</f>
        <v>4.0545961163914263E-2</v>
      </c>
      <c r="F36" s="85">
        <v>0.11285018937827181</v>
      </c>
      <c r="H36" s="87"/>
    </row>
    <row r="37" spans="1:29" x14ac:dyDescent="0.2">
      <c r="A37" s="81" t="s">
        <v>115</v>
      </c>
      <c r="B37" s="83">
        <f t="shared" ref="B37:B40" si="4">B30</f>
        <v>7383.4347975499995</v>
      </c>
      <c r="C37" s="127">
        <f>SAM!ET85+SAM!ES85</f>
        <v>4958.6726237779485</v>
      </c>
      <c r="D37" s="83">
        <f>C37</f>
        <v>4958.6726237779485</v>
      </c>
      <c r="E37" s="85">
        <f t="shared" ref="E37:E40" si="5">(C37)/C30</f>
        <v>2.2440567535291001E-2</v>
      </c>
      <c r="F37" s="85">
        <f>F36</f>
        <v>0.11285018937827181</v>
      </c>
      <c r="H37" s="87"/>
    </row>
    <row r="38" spans="1:29" x14ac:dyDescent="0.2">
      <c r="A38" s="81" t="s">
        <v>116</v>
      </c>
      <c r="B38" s="83">
        <f t="shared" si="4"/>
        <v>440.14831329709995</v>
      </c>
      <c r="C38" s="127">
        <f>SAM!CA152+SAM!CA156-B26</f>
        <v>481.09872300151312</v>
      </c>
      <c r="D38" s="83">
        <f>C38</f>
        <v>481.09872300151312</v>
      </c>
      <c r="E38" s="85">
        <f t="shared" si="5"/>
        <v>3.6522626822339574E-2</v>
      </c>
      <c r="F38" s="85">
        <f>F37</f>
        <v>0.11285018937827181</v>
      </c>
    </row>
    <row r="39" spans="1:29" x14ac:dyDescent="0.2">
      <c r="A39" s="81" t="s">
        <v>1053</v>
      </c>
      <c r="B39" s="83">
        <f t="shared" si="4"/>
        <v>352.54391470849839</v>
      </c>
      <c r="C39" s="127">
        <f>SAM!AQ85-B27</f>
        <v>1508.81773850633</v>
      </c>
      <c r="D39" s="83">
        <f t="shared" ref="D39:D40" si="6">C39</f>
        <v>1508.81773850633</v>
      </c>
      <c r="E39" s="85">
        <f t="shared" si="5"/>
        <v>0.14300472993249452</v>
      </c>
      <c r="F39" s="85">
        <f t="shared" ref="F39:F40" si="7">(D39)/D32</f>
        <v>0.14300472993249452</v>
      </c>
    </row>
    <row r="40" spans="1:29" x14ac:dyDescent="0.2">
      <c r="A40" s="81" t="s">
        <v>1059</v>
      </c>
      <c r="B40" s="83">
        <f t="shared" si="4"/>
        <v>289.78568096360181</v>
      </c>
      <c r="C40" s="127">
        <f>SAM!AK85</f>
        <v>4481.490116390738</v>
      </c>
      <c r="D40" s="83">
        <f t="shared" si="6"/>
        <v>4481.490116390738</v>
      </c>
      <c r="E40" s="85">
        <f t="shared" si="5"/>
        <v>0.51674033742759007</v>
      </c>
      <c r="F40" s="85">
        <f t="shared" si="7"/>
        <v>0.14300472993249452</v>
      </c>
    </row>
    <row r="41" spans="1:29" x14ac:dyDescent="0.2">
      <c r="D41" s="83">
        <f>SAM!CA119</f>
        <v>1263.1398638395633</v>
      </c>
      <c r="F41" s="87"/>
    </row>
    <row r="42" spans="1:29" x14ac:dyDescent="0.2">
      <c r="D42" s="83"/>
    </row>
    <row r="43" spans="1:29" x14ac:dyDescent="0.2">
      <c r="D43" s="83">
        <f>SUM(D39:D40)</f>
        <v>5990.307854897068</v>
      </c>
      <c r="F43" s="87"/>
    </row>
    <row r="44" spans="1:29" x14ac:dyDescent="0.2">
      <c r="D44" s="84">
        <f>SUM(D36,D38,D41)-D37</f>
        <v>5990.3078548970634</v>
      </c>
    </row>
    <row r="45" spans="1:29" x14ac:dyDescent="0.2">
      <c r="C45" s="82"/>
      <c r="D45" s="82"/>
      <c r="E45" s="82"/>
    </row>
    <row r="46" spans="1:29" x14ac:dyDescent="0.2">
      <c r="D46" s="84"/>
      <c r="E46" s="84"/>
      <c r="F46" s="87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ColWidth="8.85546875" defaultRowHeight="12" x14ac:dyDescent="0.2"/>
  <cols>
    <col min="1" max="1" width="9.85546875" style="133" bestFit="1" customWidth="1"/>
    <col min="2" max="2" width="13.7109375" style="133" bestFit="1" customWidth="1"/>
    <col min="3" max="3" width="9.140625" style="133" bestFit="1" customWidth="1"/>
    <col min="4" max="4" width="9.28515625" style="133" bestFit="1" customWidth="1"/>
    <col min="5" max="5" width="8.85546875" style="133"/>
    <col min="6" max="6" width="13.5703125" style="133" bestFit="1" customWidth="1"/>
    <col min="7" max="7" width="12" style="133" bestFit="1" customWidth="1"/>
    <col min="8" max="16384" width="8.85546875" style="133"/>
  </cols>
  <sheetData>
    <row r="1" spans="1:7" x14ac:dyDescent="0.2">
      <c r="B1" s="134">
        <v>37411661</v>
      </c>
      <c r="C1" s="135">
        <f>1-C2</f>
        <v>0.99875514875999016</v>
      </c>
      <c r="D1" s="133" t="s">
        <v>1060</v>
      </c>
    </row>
    <row r="2" spans="1:7" x14ac:dyDescent="0.2">
      <c r="B2" s="134">
        <v>46630</v>
      </c>
      <c r="C2" s="135">
        <f>B2/SUM(B1:B2)</f>
        <v>1.2448512400098552E-3</v>
      </c>
    </row>
    <row r="3" spans="1:7" x14ac:dyDescent="0.2">
      <c r="B3" s="134"/>
      <c r="F3" s="133">
        <v>165</v>
      </c>
      <c r="G3" s="136">
        <v>33413.875</v>
      </c>
    </row>
    <row r="4" spans="1:7" x14ac:dyDescent="0.2">
      <c r="B4" s="134" t="s">
        <v>1061</v>
      </c>
      <c r="C4" s="133" t="s">
        <v>1062</v>
      </c>
      <c r="F4" s="133" t="s">
        <v>756</v>
      </c>
    </row>
    <row r="5" spans="1:7" x14ac:dyDescent="0.2">
      <c r="A5" s="133" t="s">
        <v>1063</v>
      </c>
      <c r="B5" s="137">
        <f>SUM(B1:B2)</f>
        <v>37458291</v>
      </c>
      <c r="C5" s="137">
        <f>B5/D6</f>
        <v>5351.2275786613391</v>
      </c>
      <c r="D5" s="137"/>
      <c r="F5" s="136">
        <f>B5/$F$3</f>
        <v>227019.94545454546</v>
      </c>
      <c r="G5" s="138">
        <f>($G$3*F5)/1000000</f>
        <v>7585.6160799250001</v>
      </c>
    </row>
    <row r="6" spans="1:7" x14ac:dyDescent="0.2">
      <c r="A6" s="133" t="s">
        <v>794</v>
      </c>
      <c r="B6" s="137">
        <v>36459906</v>
      </c>
      <c r="C6" s="137">
        <v>5208.6000000000004</v>
      </c>
      <c r="D6" s="137">
        <f>B6/C6</f>
        <v>6999.9435548899892</v>
      </c>
      <c r="F6" s="136">
        <f t="shared" ref="F6:F7" si="0">B6/$F$3</f>
        <v>220969.12727272726</v>
      </c>
      <c r="G6" s="138">
        <f>($G$3*F6)/1000000</f>
        <v>7383.4347975499995</v>
      </c>
    </row>
    <row r="7" spans="1:7" x14ac:dyDescent="0.2">
      <c r="A7" s="133" t="s">
        <v>1064</v>
      </c>
      <c r="B7" s="136">
        <f>C7*D6</f>
        <v>2173482.4737933418</v>
      </c>
      <c r="C7" s="137">
        <v>310.5</v>
      </c>
      <c r="D7" s="137"/>
      <c r="F7" s="136">
        <f t="shared" si="0"/>
        <v>13172.62105329298</v>
      </c>
      <c r="G7" s="138">
        <f>($G$3*F7)/1000000</f>
        <v>440.14831329709995</v>
      </c>
    </row>
    <row r="8" spans="1:7" x14ac:dyDescent="0.2">
      <c r="C8" s="137"/>
      <c r="D8" s="137"/>
      <c r="G8" s="138"/>
    </row>
    <row r="9" spans="1:7" x14ac:dyDescent="0.2">
      <c r="A9" s="133" t="s">
        <v>782</v>
      </c>
      <c r="B9" s="136">
        <f>B7+B5-B6</f>
        <v>3171867.4737933427</v>
      </c>
      <c r="C9" s="137">
        <f>B9/D6</f>
        <v>453.12757866133848</v>
      </c>
      <c r="D9" s="137"/>
      <c r="G9" s="138"/>
    </row>
    <row r="10" spans="1:7" x14ac:dyDescent="0.2">
      <c r="A10" s="133" t="s">
        <v>771</v>
      </c>
      <c r="B10" s="136">
        <f>SUM(B12:B13)</f>
        <v>3171867.4737933427</v>
      </c>
      <c r="C10" s="136">
        <f>SUM(D12:D13)</f>
        <v>453.12757866133848</v>
      </c>
      <c r="D10" s="137"/>
      <c r="G10" s="138"/>
    </row>
    <row r="11" spans="1:7" x14ac:dyDescent="0.2">
      <c r="C11" s="137"/>
      <c r="D11" s="137"/>
      <c r="G11" s="138"/>
    </row>
    <row r="12" spans="1:7" x14ac:dyDescent="0.2">
      <c r="A12" s="133" t="s">
        <v>1058</v>
      </c>
      <c r="B12" s="137">
        <f>D12*D6</f>
        <v>1740885.9621011403</v>
      </c>
      <c r="C12" s="137">
        <v>248.7</v>
      </c>
      <c r="D12" s="137">
        <f>C12</f>
        <v>248.7</v>
      </c>
      <c r="F12" s="136">
        <f t="shared" ref="F12:F13" si="1">B12/$F$3</f>
        <v>10550.824012734183</v>
      </c>
      <c r="G12" s="138">
        <f>($G$3*F12)/1000000</f>
        <v>352.54391470849839</v>
      </c>
    </row>
    <row r="13" spans="1:7" x14ac:dyDescent="0.2">
      <c r="A13" s="133" t="s">
        <v>1065</v>
      </c>
      <c r="B13" s="137">
        <f>D13*D6</f>
        <v>1430981.5116922027</v>
      </c>
      <c r="C13" s="137">
        <v>61.8</v>
      </c>
      <c r="D13" s="137">
        <f>C9-SUM(C12)</f>
        <v>204.42757866133849</v>
      </c>
      <c r="F13" s="136">
        <f t="shared" si="1"/>
        <v>8672.6152223769859</v>
      </c>
      <c r="G13" s="138">
        <f>($G$3*F13)/1000000</f>
        <v>289.78568096360181</v>
      </c>
    </row>
    <row r="14" spans="1:7" x14ac:dyDescent="0.2">
      <c r="C14" s="137"/>
      <c r="D14" s="13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B13" sqref="B13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t="s">
        <v>218</v>
      </c>
      <c r="B52" t="s">
        <v>473</v>
      </c>
      <c r="C52" t="s">
        <v>474</v>
      </c>
      <c r="D52">
        <v>1</v>
      </c>
    </row>
    <row r="53" spans="1:5" x14ac:dyDescent="0.25">
      <c r="A53" t="s">
        <v>218</v>
      </c>
      <c r="B53" t="s">
        <v>472</v>
      </c>
      <c r="C53" t="s">
        <v>475</v>
      </c>
      <c r="D53">
        <v>1</v>
      </c>
    </row>
    <row r="54" spans="1:5" x14ac:dyDescent="0.25">
      <c r="A54" t="s">
        <v>216</v>
      </c>
      <c r="B54" t="s">
        <v>720</v>
      </c>
      <c r="C54" t="s">
        <v>721</v>
      </c>
      <c r="D54">
        <v>2</v>
      </c>
    </row>
    <row r="55" spans="1:5" x14ac:dyDescent="0.25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20" workbookViewId="0">
      <selection activeCell="C53" sqref="C53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25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25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25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25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80" spans="1:5" x14ac:dyDescent="0.25">
      <c r="A80" s="35"/>
      <c r="B80" s="35"/>
      <c r="C80" s="35"/>
      <c r="D80" s="35" t="s">
        <v>214</v>
      </c>
      <c r="E80" s="35" t="s">
        <v>215</v>
      </c>
    </row>
    <row r="81" spans="1:5" x14ac:dyDescent="0.25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abSelected="1" topLeftCell="A2" workbookViewId="0">
      <selection activeCell="J8" sqref="J8"/>
    </sheetView>
  </sheetViews>
  <sheetFormatPr defaultRowHeight="15" x14ac:dyDescent="0.25"/>
  <cols>
    <col min="3" max="3" width="3.5703125" customWidth="1"/>
  </cols>
  <sheetData>
    <row r="1" spans="1:46" ht="18.75" x14ac:dyDescent="0.3">
      <c r="A1" s="5" t="s">
        <v>50</v>
      </c>
    </row>
    <row r="2" spans="1:46" x14ac:dyDescent="0.25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25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25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25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25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25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25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25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25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25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25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25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25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25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25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25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25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25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25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25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25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25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25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25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25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25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25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25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25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25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25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25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25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25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25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25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25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25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25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25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25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25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25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25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25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25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25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25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25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25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25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25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25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25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25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25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25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25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25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25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25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25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25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25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25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25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25">
      <c r="A69" s="11" t="s">
        <v>406</v>
      </c>
      <c r="D69" s="11"/>
      <c r="E69" s="11"/>
      <c r="F69" s="11"/>
    </row>
    <row r="70" spans="1:36" x14ac:dyDescent="0.25">
      <c r="A70" s="11" t="s">
        <v>407</v>
      </c>
      <c r="F70" s="11"/>
    </row>
    <row r="71" spans="1:36" x14ac:dyDescent="0.25">
      <c r="A71" s="11" t="s">
        <v>408</v>
      </c>
      <c r="F71" s="11"/>
    </row>
    <row r="72" spans="1:36" x14ac:dyDescent="0.25">
      <c r="A72" s="11" t="s">
        <v>342</v>
      </c>
      <c r="F72" s="11"/>
    </row>
    <row r="73" spans="1:36" x14ac:dyDescent="0.25">
      <c r="A73" s="11" t="s">
        <v>409</v>
      </c>
      <c r="F73" s="11"/>
    </row>
    <row r="74" spans="1:36" x14ac:dyDescent="0.25">
      <c r="A74" s="11" t="s">
        <v>344</v>
      </c>
      <c r="F74" s="11"/>
    </row>
    <row r="75" spans="1:36" x14ac:dyDescent="0.25">
      <c r="A75" s="11" t="s">
        <v>410</v>
      </c>
      <c r="F75" s="11"/>
    </row>
    <row r="76" spans="1:36" x14ac:dyDescent="0.25">
      <c r="A76" s="11" t="s">
        <v>343</v>
      </c>
      <c r="F76" s="11"/>
    </row>
    <row r="77" spans="1:36" x14ac:dyDescent="0.25">
      <c r="A77" s="11" t="s">
        <v>411</v>
      </c>
      <c r="F77" s="11"/>
    </row>
    <row r="78" spans="1:36" x14ac:dyDescent="0.25">
      <c r="A78" s="11" t="s">
        <v>412</v>
      </c>
      <c r="F78" s="11"/>
    </row>
    <row r="79" spans="1:36" x14ac:dyDescent="0.25">
      <c r="A79" s="11" t="s">
        <v>413</v>
      </c>
      <c r="F79" s="11"/>
    </row>
    <row r="80" spans="1:36" x14ac:dyDescent="0.25">
      <c r="A80" s="11" t="s">
        <v>414</v>
      </c>
      <c r="F80" s="11"/>
    </row>
    <row r="81" spans="1:6" x14ac:dyDescent="0.25">
      <c r="A81" s="11" t="s">
        <v>415</v>
      </c>
      <c r="F81" s="11"/>
    </row>
    <row r="82" spans="1:6" x14ac:dyDescent="0.25">
      <c r="A82" s="11" t="s">
        <v>416</v>
      </c>
      <c r="F82" s="11"/>
    </row>
    <row r="83" spans="1:6" x14ac:dyDescent="0.25">
      <c r="A83" s="11" t="s">
        <v>7</v>
      </c>
      <c r="F83" s="11"/>
    </row>
    <row r="84" spans="1:6" x14ac:dyDescent="0.25">
      <c r="A84" s="11" t="s">
        <v>11</v>
      </c>
      <c r="F84" s="11"/>
    </row>
    <row r="85" spans="1:6" x14ac:dyDescent="0.25">
      <c r="A85" s="11" t="s">
        <v>417</v>
      </c>
      <c r="F85" s="11"/>
    </row>
    <row r="86" spans="1:6" x14ac:dyDescent="0.25">
      <c r="A86" s="11" t="s">
        <v>660</v>
      </c>
      <c r="F86" s="11"/>
    </row>
    <row r="87" spans="1:6" x14ac:dyDescent="0.25">
      <c r="A87" s="11" t="s">
        <v>22</v>
      </c>
      <c r="F87" s="11"/>
    </row>
    <row r="88" spans="1:6" x14ac:dyDescent="0.25">
      <c r="A88" s="11" t="s">
        <v>202</v>
      </c>
      <c r="F88" s="11"/>
    </row>
    <row r="89" spans="1:6" x14ac:dyDescent="0.25">
      <c r="A89" s="11" t="s">
        <v>418</v>
      </c>
      <c r="F89" s="11"/>
    </row>
    <row r="90" spans="1:6" x14ac:dyDescent="0.25">
      <c r="A90" s="11" t="s">
        <v>419</v>
      </c>
      <c r="F90" s="11"/>
    </row>
    <row r="91" spans="1:6" x14ac:dyDescent="0.25">
      <c r="A91" s="11" t="s">
        <v>420</v>
      </c>
      <c r="F91" s="11"/>
    </row>
    <row r="92" spans="1:6" x14ac:dyDescent="0.25">
      <c r="A92" s="11" t="s">
        <v>421</v>
      </c>
      <c r="F92" s="11"/>
    </row>
    <row r="93" spans="1:6" x14ac:dyDescent="0.25">
      <c r="A93" s="11" t="s">
        <v>422</v>
      </c>
      <c r="F93" s="11"/>
    </row>
    <row r="94" spans="1:6" x14ac:dyDescent="0.25">
      <c r="A94" s="11" t="s">
        <v>423</v>
      </c>
      <c r="F94" s="11"/>
    </row>
    <row r="95" spans="1:6" x14ac:dyDescent="0.25">
      <c r="A95" s="11" t="s">
        <v>424</v>
      </c>
      <c r="F95" s="11"/>
    </row>
    <row r="96" spans="1:6" x14ac:dyDescent="0.25">
      <c r="A96" s="11" t="s">
        <v>425</v>
      </c>
      <c r="F96" s="11"/>
    </row>
    <row r="97" spans="1:6" x14ac:dyDescent="0.25">
      <c r="A97" s="11" t="s">
        <v>426</v>
      </c>
      <c r="F97" s="11"/>
    </row>
    <row r="98" spans="1:6" x14ac:dyDescent="0.25">
      <c r="A98" s="11" t="s">
        <v>33</v>
      </c>
      <c r="F98" s="11"/>
    </row>
    <row r="99" spans="1:6" x14ac:dyDescent="0.25">
      <c r="A99" s="11" t="s">
        <v>36</v>
      </c>
      <c r="F99" s="11"/>
    </row>
    <row r="100" spans="1:6" x14ac:dyDescent="0.25">
      <c r="A100" s="11" t="s">
        <v>42</v>
      </c>
      <c r="F100" s="11"/>
    </row>
    <row r="101" spans="1:6" x14ac:dyDescent="0.25">
      <c r="A101" s="11" t="s">
        <v>427</v>
      </c>
      <c r="F101" s="11"/>
    </row>
    <row r="102" spans="1:6" x14ac:dyDescent="0.25">
      <c r="A102" s="11" t="s">
        <v>428</v>
      </c>
      <c r="F102" s="11"/>
    </row>
    <row r="103" spans="1:6" x14ac:dyDescent="0.25">
      <c r="A103" s="11" t="s">
        <v>429</v>
      </c>
      <c r="F103" s="11"/>
    </row>
    <row r="104" spans="1:6" x14ac:dyDescent="0.25">
      <c r="A104" s="11" t="s">
        <v>430</v>
      </c>
      <c r="F104" s="11"/>
    </row>
    <row r="105" spans="1:6" x14ac:dyDescent="0.25">
      <c r="A105" s="11" t="s">
        <v>431</v>
      </c>
      <c r="F105" s="11"/>
    </row>
    <row r="106" spans="1:6" x14ac:dyDescent="0.25">
      <c r="A106" s="11" t="s">
        <v>432</v>
      </c>
      <c r="F106" s="11"/>
    </row>
    <row r="107" spans="1:6" x14ac:dyDescent="0.25">
      <c r="A107" s="11" t="s">
        <v>44</v>
      </c>
      <c r="F107" s="11"/>
    </row>
    <row r="108" spans="1:6" x14ac:dyDescent="0.25">
      <c r="A108" s="11" t="s">
        <v>433</v>
      </c>
      <c r="F108" s="11"/>
    </row>
    <row r="109" spans="1:6" x14ac:dyDescent="0.25">
      <c r="A109" s="11" t="s">
        <v>47</v>
      </c>
    </row>
    <row r="110" spans="1:6" x14ac:dyDescent="0.25">
      <c r="A110" s="11" t="s">
        <v>434</v>
      </c>
    </row>
    <row r="111" spans="1:6" x14ac:dyDescent="0.25">
      <c r="A111" s="11" t="s">
        <v>435</v>
      </c>
    </row>
    <row r="112" spans="1:6" x14ac:dyDescent="0.25">
      <c r="A112" s="11" t="s">
        <v>436</v>
      </c>
    </row>
    <row r="113" spans="1:2" x14ac:dyDescent="0.25">
      <c r="A113" s="11" t="s">
        <v>437</v>
      </c>
    </row>
    <row r="114" spans="1:2" x14ac:dyDescent="0.25">
      <c r="A114" s="11" t="s">
        <v>205</v>
      </c>
    </row>
    <row r="115" spans="1:2" x14ac:dyDescent="0.25">
      <c r="A115" s="11" t="s">
        <v>438</v>
      </c>
    </row>
    <row r="116" spans="1:2" x14ac:dyDescent="0.25">
      <c r="A116" s="11" t="s">
        <v>439</v>
      </c>
    </row>
    <row r="117" spans="1:2" x14ac:dyDescent="0.25">
      <c r="A117" s="11" t="s">
        <v>206</v>
      </c>
    </row>
    <row r="118" spans="1:2" x14ac:dyDescent="0.25">
      <c r="A118" s="11" t="s">
        <v>207</v>
      </c>
    </row>
    <row r="119" spans="1:2" x14ac:dyDescent="0.25">
      <c r="A119" s="11" t="s">
        <v>49</v>
      </c>
    </row>
    <row r="120" spans="1:2" x14ac:dyDescent="0.25">
      <c r="A120" s="11" t="s">
        <v>168</v>
      </c>
      <c r="B120" t="s">
        <v>169</v>
      </c>
    </row>
    <row r="121" spans="1:2" x14ac:dyDescent="0.25">
      <c r="A121" t="s">
        <v>4</v>
      </c>
    </row>
    <row r="122" spans="1:2" x14ac:dyDescent="0.25">
      <c r="A122" t="s">
        <v>5</v>
      </c>
    </row>
    <row r="123" spans="1:2" x14ac:dyDescent="0.25">
      <c r="A123" t="s">
        <v>9</v>
      </c>
    </row>
    <row r="124" spans="1:2" x14ac:dyDescent="0.25">
      <c r="A124" s="11" t="s">
        <v>440</v>
      </c>
      <c r="B124" t="s">
        <v>110</v>
      </c>
    </row>
    <row r="125" spans="1:2" x14ac:dyDescent="0.25">
      <c r="A125" s="11" t="s">
        <v>441</v>
      </c>
    </row>
    <row r="126" spans="1:2" x14ac:dyDescent="0.25">
      <c r="A126" s="11" t="s">
        <v>442</v>
      </c>
    </row>
    <row r="127" spans="1:2" x14ac:dyDescent="0.25">
      <c r="A127" s="11" t="s">
        <v>443</v>
      </c>
    </row>
    <row r="128" spans="1:2" x14ac:dyDescent="0.25">
      <c r="A128" s="11" t="s">
        <v>444</v>
      </c>
    </row>
    <row r="129" spans="1:2" x14ac:dyDescent="0.25">
      <c r="A129" s="11" t="s">
        <v>445</v>
      </c>
    </row>
    <row r="130" spans="1:2" x14ac:dyDescent="0.25">
      <c r="A130" s="11" t="s">
        <v>446</v>
      </c>
    </row>
    <row r="131" spans="1:2" x14ac:dyDescent="0.25">
      <c r="A131" s="11" t="s">
        <v>447</v>
      </c>
    </row>
    <row r="132" spans="1:2" x14ac:dyDescent="0.25">
      <c r="A132" s="11" t="s">
        <v>448</v>
      </c>
    </row>
    <row r="133" spans="1:2" x14ac:dyDescent="0.25">
      <c r="A133" s="11" t="s">
        <v>16</v>
      </c>
      <c r="B133" t="s">
        <v>17</v>
      </c>
    </row>
    <row r="134" spans="1:2" x14ac:dyDescent="0.25">
      <c r="A134" s="11" t="s">
        <v>449</v>
      </c>
    </row>
    <row r="135" spans="1:2" x14ac:dyDescent="0.25">
      <c r="A135" s="11" t="s">
        <v>450</v>
      </c>
    </row>
    <row r="136" spans="1:2" x14ac:dyDescent="0.25">
      <c r="A136" s="11" t="s">
        <v>451</v>
      </c>
    </row>
    <row r="137" spans="1:2" x14ac:dyDescent="0.25">
      <c r="A137" s="11" t="s">
        <v>452</v>
      </c>
    </row>
    <row r="138" spans="1:2" x14ac:dyDescent="0.25">
      <c r="A138" s="11" t="s">
        <v>749</v>
      </c>
      <c r="B138" t="s">
        <v>750</v>
      </c>
    </row>
    <row r="139" spans="1:2" x14ac:dyDescent="0.25">
      <c r="A139" s="11" t="s">
        <v>13</v>
      </c>
      <c r="B139" t="s">
        <v>14</v>
      </c>
    </row>
    <row r="140" spans="1:2" x14ac:dyDescent="0.25">
      <c r="A140" s="11" t="s">
        <v>453</v>
      </c>
      <c r="B140" t="s">
        <v>23</v>
      </c>
    </row>
    <row r="141" spans="1:2" x14ac:dyDescent="0.25">
      <c r="A141" s="11" t="s">
        <v>454</v>
      </c>
    </row>
    <row r="142" spans="1:2" x14ac:dyDescent="0.25">
      <c r="A142" s="11" t="s">
        <v>455</v>
      </c>
    </row>
    <row r="143" spans="1:2" x14ac:dyDescent="0.25">
      <c r="A143" s="11" t="s">
        <v>456</v>
      </c>
    </row>
    <row r="144" spans="1:2" x14ac:dyDescent="0.25">
      <c r="A144" s="11" t="s">
        <v>457</v>
      </c>
    </row>
    <row r="145" spans="1:2" x14ac:dyDescent="0.25">
      <c r="A145" s="11" t="s">
        <v>458</v>
      </c>
    </row>
    <row r="146" spans="1:2" x14ac:dyDescent="0.25">
      <c r="A146" s="11" t="s">
        <v>459</v>
      </c>
    </row>
    <row r="147" spans="1:2" x14ac:dyDescent="0.25">
      <c r="A147" s="11" t="s">
        <v>460</v>
      </c>
    </row>
    <row r="148" spans="1:2" x14ac:dyDescent="0.25">
      <c r="A148" s="11" t="s">
        <v>461</v>
      </c>
    </row>
    <row r="149" spans="1:2" x14ac:dyDescent="0.25">
      <c r="A149" s="11" t="s">
        <v>462</v>
      </c>
    </row>
    <row r="150" spans="1:2" x14ac:dyDescent="0.25">
      <c r="A150" s="11" t="s">
        <v>463</v>
      </c>
    </row>
    <row r="151" spans="1:2" x14ac:dyDescent="0.25">
      <c r="A151" s="11" t="s">
        <v>464</v>
      </c>
    </row>
    <row r="152" spans="1:2" x14ac:dyDescent="0.25">
      <c r="A152" s="11" t="s">
        <v>465</v>
      </c>
    </row>
    <row r="153" spans="1:2" x14ac:dyDescent="0.25">
      <c r="A153" s="11" t="s">
        <v>466</v>
      </c>
    </row>
    <row r="154" spans="1:2" x14ac:dyDescent="0.25">
      <c r="A154" s="11" t="s">
        <v>467</v>
      </c>
    </row>
    <row r="155" spans="1:2" x14ac:dyDescent="0.25">
      <c r="A155" s="11" t="s">
        <v>26</v>
      </c>
      <c r="B155" t="s">
        <v>27</v>
      </c>
    </row>
    <row r="156" spans="1:2" x14ac:dyDescent="0.25">
      <c r="A156" s="11" t="s">
        <v>19</v>
      </c>
      <c r="B156" t="s">
        <v>170</v>
      </c>
    </row>
    <row r="157" spans="1:2" x14ac:dyDescent="0.25">
      <c r="A157" s="11" t="s">
        <v>468</v>
      </c>
    </row>
    <row r="158" spans="1:2" x14ac:dyDescent="0.25">
      <c r="A158" s="11" t="s">
        <v>20</v>
      </c>
    </row>
    <row r="159" spans="1:2" x14ac:dyDescent="0.25">
      <c r="A159" s="11" t="s">
        <v>24</v>
      </c>
    </row>
    <row r="160" spans="1:2" x14ac:dyDescent="0.25">
      <c r="A160" s="11" t="s">
        <v>748</v>
      </c>
    </row>
    <row r="161" spans="1:2" x14ac:dyDescent="0.25">
      <c r="A161" s="11" t="s">
        <v>28</v>
      </c>
      <c r="B161" t="s">
        <v>171</v>
      </c>
    </row>
    <row r="162" spans="1:2" x14ac:dyDescent="0.25">
      <c r="A162" s="11" t="s">
        <v>29</v>
      </c>
      <c r="B162" t="s">
        <v>172</v>
      </c>
    </row>
    <row r="163" spans="1:2" x14ac:dyDescent="0.25">
      <c r="A163" s="11" t="s">
        <v>30</v>
      </c>
      <c r="B163" t="s">
        <v>31</v>
      </c>
    </row>
    <row r="164" spans="1:2" x14ac:dyDescent="0.25">
      <c r="A164" t="s">
        <v>157</v>
      </c>
      <c r="B164" t="s">
        <v>173</v>
      </c>
    </row>
    <row r="165" spans="1:2" x14ac:dyDescent="0.25">
      <c r="A165" t="s">
        <v>158</v>
      </c>
    </row>
    <row r="166" spans="1:2" x14ac:dyDescent="0.25">
      <c r="A166" t="s">
        <v>159</v>
      </c>
    </row>
    <row r="167" spans="1:2" x14ac:dyDescent="0.25">
      <c r="A167" t="s">
        <v>160</v>
      </c>
    </row>
    <row r="168" spans="1:2" x14ac:dyDescent="0.25">
      <c r="A168" t="s">
        <v>161</v>
      </c>
    </row>
    <row r="169" spans="1:2" x14ac:dyDescent="0.25">
      <c r="A169" t="s">
        <v>162</v>
      </c>
    </row>
    <row r="170" spans="1:2" x14ac:dyDescent="0.25">
      <c r="A170" t="s">
        <v>163</v>
      </c>
    </row>
    <row r="171" spans="1:2" x14ac:dyDescent="0.25">
      <c r="A171" t="s">
        <v>164</v>
      </c>
    </row>
    <row r="172" spans="1:2" x14ac:dyDescent="0.25">
      <c r="A172" t="s">
        <v>165</v>
      </c>
    </row>
    <row r="173" spans="1:2" x14ac:dyDescent="0.25">
      <c r="A173" t="s">
        <v>166</v>
      </c>
    </row>
    <row r="174" spans="1:2" x14ac:dyDescent="0.25">
      <c r="A174" t="s">
        <v>167</v>
      </c>
    </row>
    <row r="175" spans="1:2" x14ac:dyDescent="0.25">
      <c r="A175" t="s">
        <v>212</v>
      </c>
      <c r="B175" t="s">
        <v>174</v>
      </c>
    </row>
    <row r="176" spans="1:2" x14ac:dyDescent="0.25">
      <c r="A176" t="s">
        <v>39</v>
      </c>
    </row>
    <row r="177" spans="1:2" x14ac:dyDescent="0.25">
      <c r="A177" t="s">
        <v>38</v>
      </c>
    </row>
    <row r="178" spans="1:2" x14ac:dyDescent="0.25">
      <c r="A178" t="s">
        <v>40</v>
      </c>
    </row>
    <row r="179" spans="1:2" x14ac:dyDescent="0.25">
      <c r="A179" t="s">
        <v>175</v>
      </c>
      <c r="B179" s="6" t="s">
        <v>176</v>
      </c>
    </row>
    <row r="180" spans="1:2" x14ac:dyDescent="0.25">
      <c r="A180" t="s">
        <v>177</v>
      </c>
      <c r="B180" s="6" t="s">
        <v>176</v>
      </c>
    </row>
    <row r="181" spans="1:2" x14ac:dyDescent="0.25">
      <c r="A181" t="s">
        <v>178</v>
      </c>
      <c r="B181" s="6" t="s">
        <v>176</v>
      </c>
    </row>
    <row r="182" spans="1:2" x14ac:dyDescent="0.25">
      <c r="A182" t="s">
        <v>179</v>
      </c>
      <c r="B182" s="6" t="s">
        <v>180</v>
      </c>
    </row>
    <row r="183" spans="1:2" x14ac:dyDescent="0.25">
      <c r="A183" t="s">
        <v>181</v>
      </c>
      <c r="B183" s="6" t="s">
        <v>182</v>
      </c>
    </row>
    <row r="184" spans="1:2" x14ac:dyDescent="0.25">
      <c r="A184" t="s">
        <v>183</v>
      </c>
      <c r="B184" s="6" t="s">
        <v>184</v>
      </c>
    </row>
    <row r="185" spans="1:2" x14ac:dyDescent="0.25">
      <c r="A185" t="s">
        <v>185</v>
      </c>
      <c r="B185" s="6" t="s">
        <v>186</v>
      </c>
    </row>
    <row r="186" spans="1:2" x14ac:dyDescent="0.25">
      <c r="A186" t="s">
        <v>187</v>
      </c>
      <c r="B186" s="6" t="s">
        <v>188</v>
      </c>
    </row>
    <row r="187" spans="1:2" x14ac:dyDescent="0.25">
      <c r="A187" t="s">
        <v>189</v>
      </c>
      <c r="B187" s="6" t="s">
        <v>190</v>
      </c>
    </row>
    <row r="188" spans="1:2" x14ac:dyDescent="0.25">
      <c r="A188" t="s">
        <v>191</v>
      </c>
      <c r="B188" s="6" t="s">
        <v>192</v>
      </c>
    </row>
    <row r="189" spans="1:2" x14ac:dyDescent="0.25">
      <c r="A189" t="s">
        <v>29</v>
      </c>
      <c r="B189" s="6" t="s">
        <v>193</v>
      </c>
    </row>
    <row r="190" spans="1:2" x14ac:dyDescent="0.25">
      <c r="A190" t="s">
        <v>194</v>
      </c>
      <c r="B190" s="6" t="s">
        <v>195</v>
      </c>
    </row>
    <row r="191" spans="1:2" x14ac:dyDescent="0.25">
      <c r="A191" t="s">
        <v>196</v>
      </c>
      <c r="B191" s="6" t="s">
        <v>197</v>
      </c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AQ99" sqref="AQ99"/>
    </sheetView>
  </sheetViews>
  <sheetFormatPr defaultRowHeight="15" x14ac:dyDescent="0.25"/>
  <cols>
    <col min="152" max="152" width="12.28515625" bestFit="1" customWidth="1"/>
  </cols>
  <sheetData>
    <row r="1" spans="1:197" ht="18.75" x14ac:dyDescent="0.3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25">
      <c r="A2" s="9" t="s">
        <v>362</v>
      </c>
    </row>
    <row r="3" spans="1:197" x14ac:dyDescent="0.25">
      <c r="A3" s="9" t="str">
        <f>[3]Notes!C6</f>
        <v>Millions of Ghanaian Cedis</v>
      </c>
    </row>
    <row r="5" spans="1:197" x14ac:dyDescent="0.25">
      <c r="Q5" s="80"/>
    </row>
    <row r="6" spans="1:197" x14ac:dyDescent="0.25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25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25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25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25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25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25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25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25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25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25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25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25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25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25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25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25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25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25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25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25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25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25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25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25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25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25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25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25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25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25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25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25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25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25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25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25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25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25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25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25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25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25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25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25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25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25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25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25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25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25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25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25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25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25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25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25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25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25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25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25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25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25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25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25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25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25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25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25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25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25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25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25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25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25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25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25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25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25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25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25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25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25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25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25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25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25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25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25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25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25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25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25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25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25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25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25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25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25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25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25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25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25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25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25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25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25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25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25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25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25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25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25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25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25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25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25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25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25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25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25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25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25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25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25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25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25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25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25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25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25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25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25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25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25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25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25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25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25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25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25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25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25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25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25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25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25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25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25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25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25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5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25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5" x14ac:dyDescent="0.25"/>
  <cols>
    <col min="154" max="154" width="11.28515625" bestFit="1" customWidth="1"/>
    <col min="156" max="156" width="9.7109375" bestFit="1" customWidth="1"/>
    <col min="412" max="412" width="9.7109375" bestFit="1" customWidth="1"/>
    <col min="668" max="668" width="9.7109375" bestFit="1" customWidth="1"/>
    <col min="924" max="924" width="9.7109375" bestFit="1" customWidth="1"/>
    <col min="1180" max="1180" width="9.7109375" bestFit="1" customWidth="1"/>
    <col min="1436" max="1436" width="9.7109375" bestFit="1" customWidth="1"/>
    <col min="1692" max="1692" width="9.7109375" bestFit="1" customWidth="1"/>
    <col min="1948" max="1948" width="9.7109375" bestFit="1" customWidth="1"/>
    <col min="2204" max="2204" width="9.7109375" bestFit="1" customWidth="1"/>
    <col min="2460" max="2460" width="9.7109375" bestFit="1" customWidth="1"/>
    <col min="2716" max="2716" width="9.7109375" bestFit="1" customWidth="1"/>
    <col min="2972" max="2972" width="9.7109375" bestFit="1" customWidth="1"/>
    <col min="3228" max="3228" width="9.7109375" bestFit="1" customWidth="1"/>
    <col min="3484" max="3484" width="9.7109375" bestFit="1" customWidth="1"/>
    <col min="3740" max="3740" width="9.7109375" bestFit="1" customWidth="1"/>
    <col min="3996" max="3996" width="9.7109375" bestFit="1" customWidth="1"/>
    <col min="4252" max="4252" width="9.7109375" bestFit="1" customWidth="1"/>
    <col min="4508" max="4508" width="9.7109375" bestFit="1" customWidth="1"/>
    <col min="4764" max="4764" width="9.7109375" bestFit="1" customWidth="1"/>
    <col min="5020" max="5020" width="9.7109375" bestFit="1" customWidth="1"/>
    <col min="5276" max="5276" width="9.7109375" bestFit="1" customWidth="1"/>
    <col min="5532" max="5532" width="9.7109375" bestFit="1" customWidth="1"/>
    <col min="5788" max="5788" width="9.7109375" bestFit="1" customWidth="1"/>
    <col min="6044" max="6044" width="9.7109375" bestFit="1" customWidth="1"/>
    <col min="6300" max="6300" width="9.7109375" bestFit="1" customWidth="1"/>
    <col min="6556" max="6556" width="9.7109375" bestFit="1" customWidth="1"/>
    <col min="6812" max="6812" width="9.7109375" bestFit="1" customWidth="1"/>
    <col min="7068" max="7068" width="9.7109375" bestFit="1" customWidth="1"/>
    <col min="7324" max="7324" width="9.7109375" bestFit="1" customWidth="1"/>
    <col min="7580" max="7580" width="9.7109375" bestFit="1" customWidth="1"/>
    <col min="7836" max="7836" width="9.7109375" bestFit="1" customWidth="1"/>
    <col min="8092" max="8092" width="9.7109375" bestFit="1" customWidth="1"/>
    <col min="8348" max="8348" width="9.7109375" bestFit="1" customWidth="1"/>
    <col min="8604" max="8604" width="9.7109375" bestFit="1" customWidth="1"/>
    <col min="8860" max="8860" width="9.7109375" bestFit="1" customWidth="1"/>
    <col min="9116" max="9116" width="9.7109375" bestFit="1" customWidth="1"/>
    <col min="9372" max="9372" width="9.7109375" bestFit="1" customWidth="1"/>
    <col min="9628" max="9628" width="9.7109375" bestFit="1" customWidth="1"/>
    <col min="9884" max="9884" width="9.7109375" bestFit="1" customWidth="1"/>
    <col min="10140" max="10140" width="9.7109375" bestFit="1" customWidth="1"/>
    <col min="10396" max="10396" width="9.7109375" bestFit="1" customWidth="1"/>
    <col min="10652" max="10652" width="9.7109375" bestFit="1" customWidth="1"/>
    <col min="10908" max="10908" width="9.7109375" bestFit="1" customWidth="1"/>
    <col min="11164" max="11164" width="9.7109375" bestFit="1" customWidth="1"/>
    <col min="11420" max="11420" width="9.7109375" bestFit="1" customWidth="1"/>
    <col min="11676" max="11676" width="9.7109375" bestFit="1" customWidth="1"/>
    <col min="11932" max="11932" width="9.7109375" bestFit="1" customWidth="1"/>
    <col min="12188" max="12188" width="9.7109375" bestFit="1" customWidth="1"/>
    <col min="12444" max="12444" width="9.7109375" bestFit="1" customWidth="1"/>
    <col min="12700" max="12700" width="9.7109375" bestFit="1" customWidth="1"/>
    <col min="12956" max="12956" width="9.7109375" bestFit="1" customWidth="1"/>
    <col min="13212" max="13212" width="9.7109375" bestFit="1" customWidth="1"/>
    <col min="13468" max="13468" width="9.7109375" bestFit="1" customWidth="1"/>
    <col min="13724" max="13724" width="9.7109375" bestFit="1" customWidth="1"/>
    <col min="13980" max="13980" width="9.7109375" bestFit="1" customWidth="1"/>
    <col min="14236" max="14236" width="9.7109375" bestFit="1" customWidth="1"/>
    <col min="14492" max="14492" width="9.7109375" bestFit="1" customWidth="1"/>
    <col min="14748" max="14748" width="9.7109375" bestFit="1" customWidth="1"/>
    <col min="15004" max="15004" width="9.7109375" bestFit="1" customWidth="1"/>
    <col min="15260" max="15260" width="9.7109375" bestFit="1" customWidth="1"/>
    <col min="15516" max="15516" width="9.7109375" bestFit="1" customWidth="1"/>
    <col min="15772" max="15772" width="9.7109375" bestFit="1" customWidth="1"/>
    <col min="16028" max="16028" width="9.7109375" bestFit="1" customWidth="1"/>
    <col min="16284" max="16284" width="9.7109375" bestFit="1" customWidth="1"/>
  </cols>
  <sheetData>
    <row r="1" spans="1:156" ht="18.75" x14ac:dyDescent="0.3">
      <c r="A1" s="1" t="s">
        <v>478</v>
      </c>
    </row>
    <row r="2" spans="1:156" x14ac:dyDescent="0.25">
      <c r="A2" s="9" t="s">
        <v>362</v>
      </c>
    </row>
    <row r="3" spans="1:156" x14ac:dyDescent="0.25">
      <c r="A3" s="9" t="str">
        <f>[4]Notes!C22</f>
        <v>Millions of Ghanaian Cedis</v>
      </c>
      <c r="EV3" s="11"/>
    </row>
    <row r="5" spans="1:156" x14ac:dyDescent="0.25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25">
      <c r="A7" s="11"/>
      <c r="B7" s="66" t="s">
        <v>363</v>
      </c>
      <c r="C7" s="66" t="s">
        <v>364</v>
      </c>
      <c r="D7" s="66" t="s">
        <v>365</v>
      </c>
      <c r="E7" s="66" t="s">
        <v>366</v>
      </c>
      <c r="F7" s="66" t="s">
        <v>367</v>
      </c>
      <c r="G7" s="66" t="s">
        <v>368</v>
      </c>
      <c r="H7" s="66" t="s">
        <v>369</v>
      </c>
      <c r="I7" s="66" t="s">
        <v>370</v>
      </c>
      <c r="J7" s="66" t="s">
        <v>346</v>
      </c>
      <c r="K7" s="66" t="s">
        <v>371</v>
      </c>
      <c r="L7" s="66" t="s">
        <v>348</v>
      </c>
      <c r="M7" s="66" t="s">
        <v>372</v>
      </c>
      <c r="N7" s="66" t="s">
        <v>347</v>
      </c>
      <c r="O7" s="66" t="s">
        <v>373</v>
      </c>
      <c r="P7" s="66" t="s">
        <v>375</v>
      </c>
      <c r="Q7" s="66" t="s">
        <v>376</v>
      </c>
      <c r="R7" s="66" t="s">
        <v>377</v>
      </c>
      <c r="S7" s="66" t="s">
        <v>378</v>
      </c>
      <c r="T7" s="66" t="s">
        <v>6</v>
      </c>
      <c r="U7" s="66" t="s">
        <v>10</v>
      </c>
      <c r="V7" s="66" t="s">
        <v>379</v>
      </c>
      <c r="W7" s="66" t="s">
        <v>880</v>
      </c>
      <c r="X7" s="66" t="s">
        <v>21</v>
      </c>
      <c r="Y7" s="66" t="s">
        <v>208</v>
      </c>
      <c r="Z7" s="66" t="s">
        <v>380</v>
      </c>
      <c r="AA7" s="66" t="s">
        <v>381</v>
      </c>
      <c r="AB7" s="66" t="s">
        <v>382</v>
      </c>
      <c r="AC7" s="66" t="s">
        <v>383</v>
      </c>
      <c r="AD7" s="66" t="s">
        <v>25</v>
      </c>
      <c r="AE7" s="66" t="s">
        <v>384</v>
      </c>
      <c r="AF7" s="66" t="s">
        <v>385</v>
      </c>
      <c r="AG7" s="66" t="s">
        <v>386</v>
      </c>
      <c r="AH7" s="66" t="s">
        <v>387</v>
      </c>
      <c r="AI7" s="66" t="s">
        <v>32</v>
      </c>
      <c r="AJ7" s="66" t="s">
        <v>35</v>
      </c>
      <c r="AK7" s="66" t="s">
        <v>41</v>
      </c>
      <c r="AL7" s="66" t="s">
        <v>388</v>
      </c>
      <c r="AM7" s="66" t="s">
        <v>389</v>
      </c>
      <c r="AN7" s="66" t="s">
        <v>390</v>
      </c>
      <c r="AO7" s="66" t="s">
        <v>341</v>
      </c>
      <c r="AP7" s="66" t="s">
        <v>391</v>
      </c>
      <c r="AQ7" s="66" t="s">
        <v>392</v>
      </c>
      <c r="AR7" s="66" t="s">
        <v>43</v>
      </c>
      <c r="AS7" s="66" t="s">
        <v>393</v>
      </c>
      <c r="AT7" s="66" t="s">
        <v>46</v>
      </c>
      <c r="AU7" s="66" t="s">
        <v>394</v>
      </c>
      <c r="AV7" s="66" t="s">
        <v>395</v>
      </c>
      <c r="AW7" s="66" t="s">
        <v>396</v>
      </c>
      <c r="AX7" s="66" t="s">
        <v>397</v>
      </c>
      <c r="AY7" s="66" t="s">
        <v>199</v>
      </c>
      <c r="AZ7" s="66" t="s">
        <v>398</v>
      </c>
      <c r="BA7" s="66" t="s">
        <v>399</v>
      </c>
      <c r="BB7" s="66" t="s">
        <v>200</v>
      </c>
      <c r="BC7" s="66" t="s">
        <v>201</v>
      </c>
      <c r="BD7" s="66" t="s">
        <v>48</v>
      </c>
      <c r="BE7" s="66" t="s">
        <v>400</v>
      </c>
      <c r="BF7" s="66" t="s">
        <v>401</v>
      </c>
      <c r="BG7" s="66" t="s">
        <v>402</v>
      </c>
      <c r="BH7" s="66" t="s">
        <v>403</v>
      </c>
      <c r="BI7" s="66" t="s">
        <v>404</v>
      </c>
      <c r="BJ7" s="66" t="s">
        <v>405</v>
      </c>
      <c r="BK7" s="66" t="s">
        <v>406</v>
      </c>
      <c r="BL7" s="66" t="s">
        <v>407</v>
      </c>
      <c r="BM7" s="66" t="s">
        <v>408</v>
      </c>
      <c r="BN7" s="66" t="s">
        <v>342</v>
      </c>
      <c r="BO7" s="66" t="s">
        <v>409</v>
      </c>
      <c r="BP7" s="66" t="s">
        <v>344</v>
      </c>
      <c r="BQ7" s="66" t="s">
        <v>410</v>
      </c>
      <c r="BR7" s="66" t="s">
        <v>343</v>
      </c>
      <c r="BS7" s="66" t="s">
        <v>411</v>
      </c>
      <c r="BT7" s="66" t="s">
        <v>413</v>
      </c>
      <c r="BU7" s="66" t="s">
        <v>414</v>
      </c>
      <c r="BV7" s="66" t="s">
        <v>415</v>
      </c>
      <c r="BW7" s="66" t="s">
        <v>416</v>
      </c>
      <c r="BX7" s="66" t="s">
        <v>7</v>
      </c>
      <c r="BY7" s="66" t="s">
        <v>11</v>
      </c>
      <c r="BZ7" s="66" t="s">
        <v>417</v>
      </c>
      <c r="CA7" s="66" t="s">
        <v>660</v>
      </c>
      <c r="CB7" s="66" t="s">
        <v>22</v>
      </c>
      <c r="CC7" s="66" t="s">
        <v>202</v>
      </c>
      <c r="CD7" s="66" t="s">
        <v>418</v>
      </c>
      <c r="CE7" s="66" t="s">
        <v>419</v>
      </c>
      <c r="CF7" s="66" t="s">
        <v>420</v>
      </c>
      <c r="CG7" s="66" t="s">
        <v>421</v>
      </c>
      <c r="CH7" s="66" t="s">
        <v>422</v>
      </c>
      <c r="CI7" s="66" t="s">
        <v>423</v>
      </c>
      <c r="CJ7" s="66" t="s">
        <v>424</v>
      </c>
      <c r="CK7" s="66" t="s">
        <v>425</v>
      </c>
      <c r="CL7" s="66" t="s">
        <v>426</v>
      </c>
      <c r="CM7" s="66" t="s">
        <v>33</v>
      </c>
      <c r="CN7" s="66" t="s">
        <v>36</v>
      </c>
      <c r="CO7" s="66" t="s">
        <v>42</v>
      </c>
      <c r="CP7" s="66" t="s">
        <v>427</v>
      </c>
      <c r="CQ7" s="66" t="s">
        <v>428</v>
      </c>
      <c r="CR7" s="66" t="s">
        <v>429</v>
      </c>
      <c r="CS7" s="66" t="s">
        <v>430</v>
      </c>
      <c r="CT7" s="66" t="s">
        <v>431</v>
      </c>
      <c r="CU7" s="66" t="s">
        <v>432</v>
      </c>
      <c r="CV7" s="66" t="s">
        <v>44</v>
      </c>
      <c r="CW7" s="66" t="s">
        <v>433</v>
      </c>
      <c r="CX7" s="66" t="s">
        <v>47</v>
      </c>
      <c r="CY7" s="66" t="s">
        <v>434</v>
      </c>
      <c r="CZ7" s="66" t="s">
        <v>435</v>
      </c>
      <c r="DA7" s="66" t="s">
        <v>436</v>
      </c>
      <c r="DB7" s="66" t="s">
        <v>437</v>
      </c>
      <c r="DC7" s="66" t="s">
        <v>205</v>
      </c>
      <c r="DD7" s="66" t="s">
        <v>438</v>
      </c>
      <c r="DE7" s="66" t="s">
        <v>439</v>
      </c>
      <c r="DF7" s="66" t="s">
        <v>206</v>
      </c>
      <c r="DG7" s="66" t="s">
        <v>207</v>
      </c>
      <c r="DH7" s="66" t="s">
        <v>49</v>
      </c>
      <c r="DI7" s="66" t="s">
        <v>168</v>
      </c>
      <c r="DJ7" s="66" t="s">
        <v>440</v>
      </c>
      <c r="DK7" s="66" t="s">
        <v>441</v>
      </c>
      <c r="DL7" s="66" t="s">
        <v>442</v>
      </c>
      <c r="DM7" s="66" t="s">
        <v>443</v>
      </c>
      <c r="DN7" s="66" t="s">
        <v>444</v>
      </c>
      <c r="DO7" s="66" t="s">
        <v>445</v>
      </c>
      <c r="DP7" s="66" t="s">
        <v>446</v>
      </c>
      <c r="DQ7" s="66" t="s">
        <v>447</v>
      </c>
      <c r="DR7" s="66" t="s">
        <v>448</v>
      </c>
      <c r="DS7" s="66" t="s">
        <v>16</v>
      </c>
      <c r="DT7" s="66" t="s">
        <v>749</v>
      </c>
      <c r="DU7" s="66" t="s">
        <v>13</v>
      </c>
      <c r="DV7" s="66" t="s">
        <v>453</v>
      </c>
      <c r="DW7" s="66" t="s">
        <v>454</v>
      </c>
      <c r="DX7" s="66" t="s">
        <v>455</v>
      </c>
      <c r="DY7" s="66" t="s">
        <v>456</v>
      </c>
      <c r="DZ7" s="66" t="s">
        <v>457</v>
      </c>
      <c r="EA7" s="66" t="s">
        <v>458</v>
      </c>
      <c r="EB7" s="66" t="s">
        <v>459</v>
      </c>
      <c r="EC7" s="66" t="s">
        <v>460</v>
      </c>
      <c r="ED7" s="66" t="s">
        <v>461</v>
      </c>
      <c r="EE7" s="66" t="s">
        <v>462</v>
      </c>
      <c r="EF7" s="66" t="s">
        <v>463</v>
      </c>
      <c r="EG7" s="66" t="s">
        <v>464</v>
      </c>
      <c r="EH7" s="66" t="s">
        <v>465</v>
      </c>
      <c r="EI7" s="66" t="s">
        <v>466</v>
      </c>
      <c r="EJ7" s="66" t="s">
        <v>467</v>
      </c>
      <c r="EK7" s="66" t="s">
        <v>26</v>
      </c>
      <c r="EL7" s="66" t="s">
        <v>19</v>
      </c>
      <c r="EM7" s="66" t="s">
        <v>468</v>
      </c>
      <c r="EN7" s="66" t="s">
        <v>20</v>
      </c>
      <c r="EO7" s="66" t="s">
        <v>24</v>
      </c>
      <c r="EP7" s="66" t="s">
        <v>748</v>
      </c>
      <c r="EQ7" s="66" t="s">
        <v>28</v>
      </c>
      <c r="ER7" s="66" t="s">
        <v>29</v>
      </c>
      <c r="ES7" s="66" t="s">
        <v>30</v>
      </c>
      <c r="ET7" s="66" t="s">
        <v>196</v>
      </c>
      <c r="EU7" s="66"/>
      <c r="EV7" s="53"/>
      <c r="EW7" s="53"/>
    </row>
    <row r="8" spans="1:156" x14ac:dyDescent="0.25">
      <c r="A8" s="66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>
        <v>2825.7953019208094</v>
      </c>
      <c r="EU8" s="11"/>
      <c r="EX8" s="11"/>
      <c r="EZ8" s="37"/>
    </row>
    <row r="9" spans="1:156" x14ac:dyDescent="0.25">
      <c r="A9" s="66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>
        <v>856.89832219835864</v>
      </c>
      <c r="EU9" s="11"/>
      <c r="EX9" s="11"/>
      <c r="EZ9" s="37"/>
    </row>
    <row r="10" spans="1:156" x14ac:dyDescent="0.25">
      <c r="A10" s="66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>
        <v>1232.3246757893223</v>
      </c>
      <c r="EU10" s="11"/>
      <c r="EX10" s="11"/>
      <c r="EZ10" s="37"/>
    </row>
    <row r="11" spans="1:156" x14ac:dyDescent="0.25">
      <c r="A11" s="66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>
        <v>337.32121775487718</v>
      </c>
      <c r="EU11" s="11"/>
      <c r="EX11" s="11"/>
      <c r="EZ11" s="37"/>
    </row>
    <row r="12" spans="1:156" x14ac:dyDescent="0.25">
      <c r="A12" s="66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>
        <v>514.1922984203801</v>
      </c>
      <c r="EU12" s="11"/>
      <c r="EX12" s="11"/>
      <c r="EZ12" s="37"/>
    </row>
    <row r="13" spans="1:156" x14ac:dyDescent="0.25">
      <c r="A13" s="66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>
        <v>1285.4054888806315</v>
      </c>
      <c r="EU13" s="11"/>
      <c r="EX13" s="11"/>
      <c r="EZ13" s="37"/>
    </row>
    <row r="14" spans="1:156" x14ac:dyDescent="0.25">
      <c r="A14" s="66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>
        <v>1830.0800008252677</v>
      </c>
      <c r="EU14" s="11"/>
      <c r="EX14" s="11"/>
      <c r="EZ14" s="37"/>
    </row>
    <row r="15" spans="1:156" x14ac:dyDescent="0.25">
      <c r="A15" s="66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2203.0023039232378</v>
      </c>
      <c r="EU15" s="11"/>
      <c r="EX15" s="11"/>
      <c r="EZ15" s="37"/>
    </row>
    <row r="16" spans="1:156" x14ac:dyDescent="0.25">
      <c r="A16" s="66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>
        <v>3403.8486634641367</v>
      </c>
      <c r="EU16" s="11"/>
      <c r="EX16" s="11"/>
      <c r="EZ16" s="37"/>
    </row>
    <row r="17" spans="1:156" x14ac:dyDescent="0.25">
      <c r="A17" s="66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>
        <v>52.398938606633799</v>
      </c>
      <c r="EU17" s="11"/>
      <c r="EX17" s="11"/>
      <c r="EZ17" s="37"/>
    </row>
    <row r="18" spans="1:156" x14ac:dyDescent="0.25">
      <c r="A18" s="66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>
        <v>4.6633378582398359</v>
      </c>
      <c r="EU18" s="11"/>
      <c r="EX18" s="11"/>
      <c r="EZ18" s="37"/>
    </row>
    <row r="19" spans="1:156" x14ac:dyDescent="0.25">
      <c r="A19" s="66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>
        <v>154.5443032011741</v>
      </c>
      <c r="EU19" s="11"/>
      <c r="EX19" s="11"/>
      <c r="EZ19" s="37"/>
    </row>
    <row r="20" spans="1:156" x14ac:dyDescent="0.25">
      <c r="A20" s="66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>
        <v>3211.441662940173</v>
      </c>
      <c r="EU20" s="11"/>
      <c r="EX20" s="11"/>
      <c r="EZ20" s="37"/>
    </row>
    <row r="21" spans="1:156" x14ac:dyDescent="0.25">
      <c r="A21" s="66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>
        <v>2925.9963287112264</v>
      </c>
      <c r="EU21" s="11"/>
      <c r="EX21" s="11"/>
      <c r="EZ21" s="37"/>
    </row>
    <row r="22" spans="1:156" x14ac:dyDescent="0.25">
      <c r="A22" s="66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>
        <v>228.93406196462902</v>
      </c>
      <c r="EU22" s="11"/>
      <c r="EX22" s="11"/>
      <c r="EZ22" s="37"/>
    </row>
    <row r="23" spans="1:156" x14ac:dyDescent="0.25">
      <c r="A23" s="66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>
        <v>1233.430643196401</v>
      </c>
      <c r="EU23" s="11"/>
      <c r="EX23" s="11"/>
      <c r="EZ23" s="37"/>
    </row>
    <row r="24" spans="1:156" x14ac:dyDescent="0.25">
      <c r="A24" s="66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>
        <v>1277.6742177029746</v>
      </c>
      <c r="EU24" s="11"/>
      <c r="EX24" s="11"/>
      <c r="EZ24" s="37"/>
    </row>
    <row r="25" spans="1:156" x14ac:dyDescent="0.25">
      <c r="A25" s="66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>
        <v>909.62957589162045</v>
      </c>
      <c r="EU25" s="11"/>
      <c r="EX25" s="11"/>
      <c r="EZ25" s="37"/>
    </row>
    <row r="26" spans="1:156" x14ac:dyDescent="0.25">
      <c r="A26" s="66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>
        <v>3746.5355032810953</v>
      </c>
      <c r="EU26" s="11"/>
      <c r="EX26" s="11"/>
      <c r="EZ26" s="37"/>
    </row>
    <row r="27" spans="1:156" x14ac:dyDescent="0.25">
      <c r="A27" s="66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>
        <v>1721.5706276231167</v>
      </c>
      <c r="EU27" s="11"/>
      <c r="EX27" s="11"/>
      <c r="EZ27" s="37"/>
    </row>
    <row r="28" spans="1:156" x14ac:dyDescent="0.25">
      <c r="A28" s="66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>
        <v>9204.7418918339354</v>
      </c>
      <c r="EU28" s="11"/>
      <c r="EX28" s="11"/>
      <c r="EZ28" s="37"/>
    </row>
    <row r="29" spans="1:156" x14ac:dyDescent="0.25">
      <c r="A29" s="66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>
        <v>807.17066666666665</v>
      </c>
      <c r="EU29" s="11"/>
      <c r="EX29" s="11"/>
      <c r="EZ29" s="37"/>
    </row>
    <row r="30" spans="1:156" x14ac:dyDescent="0.25">
      <c r="A30" s="66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>
        <v>20791.016073592989</v>
      </c>
      <c r="EU30" s="11"/>
      <c r="EX30" s="11"/>
      <c r="EZ30" s="37"/>
    </row>
    <row r="31" spans="1:156" x14ac:dyDescent="0.25">
      <c r="A31" s="66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>
        <v>302.01084221755696</v>
      </c>
      <c r="EU31" s="11"/>
      <c r="EX31" s="11"/>
      <c r="EZ31" s="37"/>
    </row>
    <row r="32" spans="1:156" x14ac:dyDescent="0.25">
      <c r="A32" s="66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>
        <v>130.53123816323605</v>
      </c>
      <c r="EU32" s="11"/>
      <c r="EX32" s="11"/>
      <c r="EZ32" s="37"/>
    </row>
    <row r="33" spans="1:156" x14ac:dyDescent="0.25">
      <c r="A33" s="66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>
        <v>1520.3465803424831</v>
      </c>
      <c r="EU33" s="11"/>
      <c r="EX33" s="11"/>
      <c r="EZ33" s="37"/>
    </row>
    <row r="34" spans="1:156" x14ac:dyDescent="0.25">
      <c r="A34" s="66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>
        <v>5550.0060001108495</v>
      </c>
      <c r="EU34" s="11"/>
      <c r="EX34" s="11"/>
      <c r="EZ34" s="37"/>
    </row>
    <row r="35" spans="1:156" x14ac:dyDescent="0.25">
      <c r="A35" s="66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>
        <v>89.125123153743573</v>
      </c>
      <c r="EU35" s="11"/>
      <c r="EX35" s="11"/>
      <c r="EZ35" s="37"/>
    </row>
    <row r="36" spans="1:156" x14ac:dyDescent="0.25">
      <c r="A36" s="66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>
        <v>892.26909707531297</v>
      </c>
      <c r="EU36" s="11"/>
      <c r="EX36" s="11"/>
      <c r="EZ36" s="37"/>
    </row>
    <row r="37" spans="1:156" x14ac:dyDescent="0.25">
      <c r="A37" s="66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>
        <v>1085.4690140378179</v>
      </c>
      <c r="EU37" s="11"/>
      <c r="EX37" s="11"/>
      <c r="EZ37" s="37"/>
    </row>
    <row r="38" spans="1:156" x14ac:dyDescent="0.25">
      <c r="A38" s="66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>
        <v>27.838938199051324</v>
      </c>
      <c r="EU38" s="11"/>
      <c r="EX38" s="11"/>
      <c r="EZ38" s="37"/>
    </row>
    <row r="39" spans="1:156" x14ac:dyDescent="0.25">
      <c r="A39" s="66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>
        <v>747.51130135302981</v>
      </c>
      <c r="EU39" s="11"/>
      <c r="EX39" s="11"/>
      <c r="EZ39" s="37"/>
    </row>
    <row r="40" spans="1:156" x14ac:dyDescent="0.25">
      <c r="A40" s="66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>
        <v>382.98927761363319</v>
      </c>
      <c r="EU40" s="11"/>
      <c r="EX40" s="11"/>
      <c r="EZ40" s="37"/>
    </row>
    <row r="41" spans="1:156" x14ac:dyDescent="0.25">
      <c r="A41" s="66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>
        <v>24.893500610996959</v>
      </c>
      <c r="EU41" s="11"/>
      <c r="EX41" s="11"/>
      <c r="EZ41" s="37"/>
    </row>
    <row r="42" spans="1:156" x14ac:dyDescent="0.25">
      <c r="A42" s="66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>
        <v>3516.1021622995986</v>
      </c>
      <c r="EU42" s="11"/>
      <c r="EX42" s="11"/>
      <c r="EZ42" s="37"/>
    </row>
    <row r="43" spans="1:156" x14ac:dyDescent="0.25">
      <c r="A43" s="66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>
        <v>7627.3360181492571</v>
      </c>
      <c r="EU43" s="11"/>
      <c r="EX43" s="11"/>
      <c r="EZ43" s="37"/>
    </row>
    <row r="44" spans="1:156" x14ac:dyDescent="0.25">
      <c r="A44" s="66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>
        <v>2723.7664503195433</v>
      </c>
      <c r="EU44" s="11"/>
      <c r="EX44" s="11"/>
      <c r="EZ44" s="37"/>
    </row>
    <row r="45" spans="1:156" x14ac:dyDescent="0.25">
      <c r="A45" s="66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>
        <v>1204.9287069723823</v>
      </c>
      <c r="EU45" s="11"/>
      <c r="EX45" s="11"/>
      <c r="EZ45" s="37"/>
    </row>
    <row r="46" spans="1:156" x14ac:dyDescent="0.25">
      <c r="A46" s="66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>
        <v>1264.5347696524391</v>
      </c>
      <c r="EU46" s="11"/>
      <c r="EX46" s="11"/>
      <c r="EZ46" s="37"/>
    </row>
    <row r="47" spans="1:156" x14ac:dyDescent="0.25">
      <c r="A47" s="66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>
        <v>106.41797893293344</v>
      </c>
      <c r="EU47" s="11"/>
      <c r="EX47" s="11"/>
      <c r="EZ47" s="37"/>
    </row>
    <row r="48" spans="1:156" x14ac:dyDescent="0.25">
      <c r="A48" s="66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>
        <v>355.14416723406322</v>
      </c>
      <c r="EU48" s="11"/>
      <c r="EX48" s="11"/>
      <c r="EZ48" s="37"/>
    </row>
    <row r="49" spans="1:156" x14ac:dyDescent="0.25">
      <c r="A49" s="66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>
        <v>8248.0059626100629</v>
      </c>
      <c r="EU49" s="11"/>
      <c r="EX49" s="11"/>
      <c r="EZ49" s="37"/>
    </row>
    <row r="50" spans="1:156" x14ac:dyDescent="0.25">
      <c r="A50" s="66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>
        <v>4536.9950897988592</v>
      </c>
      <c r="EU50" s="11"/>
      <c r="EX50" s="11"/>
      <c r="EZ50" s="37"/>
    </row>
    <row r="51" spans="1:156" x14ac:dyDescent="0.25">
      <c r="A51" s="66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>
        <v>28369.65437286628</v>
      </c>
      <c r="EU51" s="11"/>
      <c r="EX51" s="11"/>
      <c r="EZ51" s="37"/>
    </row>
    <row r="52" spans="1:156" x14ac:dyDescent="0.25">
      <c r="A52" s="66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>
        <v>20067.295622470156</v>
      </c>
      <c r="EU52" s="11"/>
      <c r="EX52" s="11"/>
      <c r="EZ52" s="37"/>
    </row>
    <row r="53" spans="1:156" x14ac:dyDescent="0.25">
      <c r="A53" s="66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>
        <v>22118.895223126296</v>
      </c>
      <c r="EU53" s="11"/>
      <c r="EX53" s="11"/>
      <c r="EZ53" s="37"/>
    </row>
    <row r="54" spans="1:156" x14ac:dyDescent="0.25">
      <c r="A54" s="66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>
        <v>11215.460006900059</v>
      </c>
      <c r="EU54" s="11"/>
      <c r="EX54" s="11"/>
      <c r="EZ54" s="37"/>
    </row>
    <row r="55" spans="1:156" x14ac:dyDescent="0.25">
      <c r="A55" s="66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>
        <v>8178.7351545693809</v>
      </c>
      <c r="EU55" s="11"/>
      <c r="EX55" s="11"/>
      <c r="EZ55" s="37"/>
    </row>
    <row r="56" spans="1:156" x14ac:dyDescent="0.25">
      <c r="A56" s="66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>
        <v>7889.64854700657</v>
      </c>
      <c r="EU56" s="11"/>
      <c r="EX56" s="11"/>
      <c r="EZ56" s="37"/>
    </row>
    <row r="57" spans="1:156" x14ac:dyDescent="0.25">
      <c r="A57" s="66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>
        <v>6068.4295650614476</v>
      </c>
      <c r="EU57" s="11"/>
      <c r="EX57" s="11"/>
      <c r="EZ57" s="37"/>
    </row>
    <row r="58" spans="1:156" x14ac:dyDescent="0.25">
      <c r="A58" s="66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>
        <v>10744.541436273174</v>
      </c>
      <c r="EU58" s="11"/>
      <c r="EX58" s="11"/>
      <c r="EZ58" s="37"/>
    </row>
    <row r="59" spans="1:156" x14ac:dyDescent="0.25">
      <c r="A59" s="66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>
        <v>14831.34924499991</v>
      </c>
      <c r="EU59" s="11"/>
      <c r="EX59" s="11"/>
      <c r="EZ59" s="37"/>
    </row>
    <row r="60" spans="1:156" x14ac:dyDescent="0.25">
      <c r="A60" s="66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>
        <v>9038.9597506829505</v>
      </c>
      <c r="EU60" s="11"/>
      <c r="EX60" s="11"/>
      <c r="EZ60" s="37"/>
    </row>
    <row r="61" spans="1:156" x14ac:dyDescent="0.25">
      <c r="A61" s="66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>
        <v>3576.11590985061</v>
      </c>
      <c r="EU61" s="11"/>
      <c r="EX61" s="11"/>
      <c r="EZ61" s="37"/>
    </row>
    <row r="62" spans="1:156" x14ac:dyDescent="0.25">
      <c r="A62" s="66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>
        <v>5931.5889664200149</v>
      </c>
      <c r="EU62" s="11"/>
      <c r="EX62" s="11"/>
      <c r="EZ62" s="37"/>
    </row>
    <row r="63" spans="1:156" x14ac:dyDescent="0.25">
      <c r="A63" s="66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>
        <v>1.0637093786448113</v>
      </c>
      <c r="ET63" s="11">
        <v>2889.9577362500145</v>
      </c>
      <c r="EU63" s="11"/>
      <c r="EX63" s="29"/>
      <c r="EZ63" s="37"/>
    </row>
    <row r="64" spans="1:156" x14ac:dyDescent="0.25">
      <c r="A64" s="66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>
        <v>4.1782027174786761E-3</v>
      </c>
      <c r="ET64" s="11">
        <v>880.14648654469386</v>
      </c>
      <c r="EU64" s="11"/>
      <c r="EX64" s="29"/>
      <c r="EZ64" s="37"/>
    </row>
    <row r="65" spans="1:159" x14ac:dyDescent="0.25">
      <c r="A65" s="66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>
        <v>9.5783772781326887E-4</v>
      </c>
      <c r="ET65" s="11">
        <v>2147.6361606277246</v>
      </c>
      <c r="EU65" s="11"/>
      <c r="EX65" s="29"/>
      <c r="EZ65" s="37"/>
    </row>
    <row r="66" spans="1:159" x14ac:dyDescent="0.25">
      <c r="A66" s="66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>
        <v>0.35125654344748247</v>
      </c>
      <c r="ET66" s="11">
        <v>330.8989475046954</v>
      </c>
      <c r="EU66" s="11"/>
      <c r="EX66" s="29"/>
      <c r="EZ66" s="37"/>
    </row>
    <row r="67" spans="1:159" x14ac:dyDescent="0.25">
      <c r="A67" s="66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>
        <v>2.5603981704038969</v>
      </c>
      <c r="ET67" s="11">
        <v>285.70004979709506</v>
      </c>
      <c r="EU67" s="11"/>
      <c r="EX67" s="29"/>
      <c r="EZ67" s="37"/>
    </row>
    <row r="68" spans="1:159" x14ac:dyDescent="0.25">
      <c r="A68" s="66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>
        <v>7.7740283731417309E-2</v>
      </c>
      <c r="ET68" s="11">
        <v>333.11296500928398</v>
      </c>
      <c r="EU68" s="11"/>
      <c r="EX68" s="29"/>
      <c r="EZ68" s="37"/>
    </row>
    <row r="69" spans="1:159" x14ac:dyDescent="0.25">
      <c r="A69" s="66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>
        <v>170.98799174077644</v>
      </c>
      <c r="ET69" s="11">
        <v>1423.6626258480635</v>
      </c>
      <c r="EU69" s="11"/>
      <c r="EX69" s="29"/>
      <c r="EZ69" s="37"/>
    </row>
    <row r="70" spans="1:159" x14ac:dyDescent="0.25">
      <c r="A70" s="66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>
        <v>1.6512700262234555E-2</v>
      </c>
      <c r="ET70" s="11">
        <v>598.91978504959479</v>
      </c>
      <c r="EU70" s="11"/>
      <c r="EX70" s="29"/>
      <c r="EZ70" s="37"/>
    </row>
    <row r="71" spans="1:159" x14ac:dyDescent="0.25">
      <c r="A71" s="66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>
        <v>1.2662673700633906E-2</v>
      </c>
      <c r="ET71" s="11">
        <v>1216.4578471021268</v>
      </c>
      <c r="EU71" s="11"/>
      <c r="EX71" s="29"/>
      <c r="EZ71" s="37"/>
    </row>
    <row r="72" spans="1:159" x14ac:dyDescent="0.25">
      <c r="A72" s="66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>
        <v>57.010768173368085</v>
      </c>
      <c r="ET72" s="11">
        <v>3675.3775783427582</v>
      </c>
      <c r="EU72" s="11"/>
      <c r="EX72" s="29"/>
      <c r="EZ72" s="37"/>
    </row>
    <row r="73" spans="1:159" x14ac:dyDescent="0.25">
      <c r="A73" s="66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v>1.776904927154602E-2</v>
      </c>
      <c r="ET73" s="11">
        <v>54.355862490275392</v>
      </c>
      <c r="EU73" s="11"/>
      <c r="EX73" s="29"/>
      <c r="EZ73" s="37"/>
    </row>
    <row r="74" spans="1:159" x14ac:dyDescent="0.25">
      <c r="A74" s="66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>
        <v>4.9826687969293273</v>
      </c>
      <c r="EU74" s="11"/>
      <c r="EX74" s="29"/>
      <c r="EZ74" s="37"/>
    </row>
    <row r="75" spans="1:159" x14ac:dyDescent="0.25">
      <c r="A75" s="66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>
        <v>16.014537798354798</v>
      </c>
      <c r="ET75" s="11">
        <v>162.89899027745014</v>
      </c>
      <c r="EU75" s="11"/>
      <c r="EX75" s="29"/>
      <c r="EZ75" s="37"/>
    </row>
    <row r="76" spans="1:159" x14ac:dyDescent="0.25">
      <c r="A76" s="66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>
        <v>727.46120937412343</v>
      </c>
      <c r="ET76" s="11">
        <v>3280.3032107589988</v>
      </c>
      <c r="EU76" s="11"/>
      <c r="EX76" s="29"/>
      <c r="EZ76" s="37"/>
    </row>
    <row r="77" spans="1:159" x14ac:dyDescent="0.25">
      <c r="A77" s="66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>
        <v>4357.1073667082801</v>
      </c>
      <c r="ET77" s="11">
        <v>4480.5608645528118</v>
      </c>
      <c r="EU77" s="11"/>
      <c r="EV77" s="11"/>
      <c r="EW77" s="11"/>
      <c r="EX77" s="29"/>
      <c r="EZ77" s="37"/>
      <c r="FA77" s="30"/>
      <c r="FB77" s="30"/>
      <c r="FC77" s="30"/>
    </row>
    <row r="78" spans="1:159" x14ac:dyDescent="0.25">
      <c r="A78" s="66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>
        <v>185.38824669500002</v>
      </c>
      <c r="ET78" s="11">
        <v>288.53393783129206</v>
      </c>
      <c r="EU78" s="11"/>
      <c r="EX78" s="29"/>
      <c r="EZ78" s="37"/>
    </row>
    <row r="79" spans="1:159" x14ac:dyDescent="0.25">
      <c r="A79" s="66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>
        <v>144.86361258554456</v>
      </c>
      <c r="ES79" s="11">
        <v>4.7747524666563644E-2</v>
      </c>
      <c r="ET79" s="11">
        <v>1334.0584069763286</v>
      </c>
      <c r="EU79" s="11"/>
      <c r="EX79" s="29"/>
      <c r="EZ79" s="37"/>
    </row>
    <row r="80" spans="1:159" x14ac:dyDescent="0.25">
      <c r="A80" s="66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>
        <v>158.72366056914746</v>
      </c>
      <c r="ES80" s="11">
        <v>8.1677296244101916E-2</v>
      </c>
      <c r="ET80" s="11">
        <v>1554.129580052286</v>
      </c>
      <c r="EU80" s="11"/>
      <c r="EX80" s="29"/>
      <c r="EZ80" s="37"/>
    </row>
    <row r="81" spans="1:156" x14ac:dyDescent="0.25">
      <c r="A81" s="66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>
        <v>109.86905193283228</v>
      </c>
      <c r="ES81" s="11">
        <v>0.93451300420291872</v>
      </c>
      <c r="ET81" s="11">
        <v>918.9051664298471</v>
      </c>
      <c r="EU81" s="11"/>
      <c r="EX81" s="29"/>
      <c r="EZ81" s="37"/>
    </row>
    <row r="82" spans="1:156" x14ac:dyDescent="0.25">
      <c r="A82" s="66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>
        <v>886.97753151713187</v>
      </c>
      <c r="ES82" s="11">
        <v>37.623284005899137</v>
      </c>
      <c r="ET82" s="11">
        <v>4025.0086017432254</v>
      </c>
      <c r="EU82" s="11"/>
      <c r="EX82" s="29"/>
      <c r="EZ82" s="37"/>
    </row>
    <row r="83" spans="1:156" x14ac:dyDescent="0.25">
      <c r="A83" s="66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>
        <v>0.5608985781197221</v>
      </c>
      <c r="ET83" s="11">
        <v>2024.7157576546686</v>
      </c>
      <c r="EU83" s="11"/>
      <c r="EX83" s="29"/>
      <c r="EZ83" s="37"/>
    </row>
    <row r="84" spans="1:156" x14ac:dyDescent="0.25">
      <c r="A84" s="66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>
        <v>1239.1482028165747</v>
      </c>
      <c r="ES84" s="11">
        <v>3719.524419961374</v>
      </c>
      <c r="ET84" s="11">
        <v>10948.980478675017</v>
      </c>
      <c r="EU84" s="11"/>
      <c r="EX84" s="29"/>
      <c r="EZ84" s="37"/>
    </row>
    <row r="85" spans="1:156" x14ac:dyDescent="0.25">
      <c r="A85" s="66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9.9999999999999995E-7</v>
      </c>
      <c r="ET85" s="11">
        <v>1437.9941904761904</v>
      </c>
      <c r="EU85" s="11"/>
      <c r="EX85" s="29"/>
      <c r="EZ85" s="37"/>
    </row>
    <row r="86" spans="1:156" x14ac:dyDescent="0.25">
      <c r="A86" s="66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>
        <v>21121.700953464231</v>
      </c>
      <c r="ET86" s="11">
        <v>21924.397716527099</v>
      </c>
      <c r="EU86" s="11"/>
      <c r="EX86" s="29"/>
      <c r="EZ86" s="37"/>
    </row>
    <row r="87" spans="1:156" x14ac:dyDescent="0.25">
      <c r="A87" s="66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>
        <v>177.40135048310478</v>
      </c>
      <c r="ET87" s="11">
        <v>5193.5203914865051</v>
      </c>
      <c r="EU87" s="11"/>
      <c r="EX87" s="29"/>
      <c r="EZ87" s="37"/>
    </row>
    <row r="88" spans="1:156" x14ac:dyDescent="0.25">
      <c r="A88" s="66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>
        <v>689.5027028102221</v>
      </c>
      <c r="ET88" s="11">
        <v>748.74506141506959</v>
      </c>
      <c r="EU88" s="11"/>
      <c r="EX88" s="29"/>
      <c r="EZ88" s="37"/>
    </row>
    <row r="89" spans="1:156" x14ac:dyDescent="0.25">
      <c r="A89" s="66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>
        <v>486.2750583628453</v>
      </c>
      <c r="ET89" s="11">
        <v>2058.5473711879408</v>
      </c>
      <c r="EU89" s="11"/>
      <c r="EX89" s="29"/>
      <c r="EZ89" s="37"/>
    </row>
    <row r="90" spans="1:156" x14ac:dyDescent="0.25">
      <c r="A90" s="66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>
        <v>33.044589676756772</v>
      </c>
      <c r="ET90" s="11">
        <v>6726.4944642062192</v>
      </c>
      <c r="EU90" s="11"/>
      <c r="EX90" s="29"/>
      <c r="EZ90" s="37"/>
    </row>
    <row r="91" spans="1:156" x14ac:dyDescent="0.25">
      <c r="A91" s="66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>
        <v>0.77923807374249532</v>
      </c>
      <c r="ET91" s="11">
        <v>844.94066251188781</v>
      </c>
      <c r="EU91" s="11"/>
      <c r="EX91" s="29"/>
      <c r="EZ91" s="37"/>
    </row>
    <row r="92" spans="1:156" x14ac:dyDescent="0.25">
      <c r="A92" s="66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>
        <v>281.17850295003154</v>
      </c>
      <c r="ET92" s="11">
        <v>3290.6009969095749</v>
      </c>
      <c r="EU92" s="11"/>
      <c r="EX92" s="29"/>
      <c r="EZ92" s="37"/>
    </row>
    <row r="93" spans="1:156" x14ac:dyDescent="0.25">
      <c r="A93" s="66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>
        <v>100.55201086309356</v>
      </c>
      <c r="ET93" s="11">
        <v>2699.3695379007777</v>
      </c>
      <c r="EU93" s="11"/>
      <c r="EX93" s="29"/>
      <c r="EZ93" s="37"/>
    </row>
    <row r="94" spans="1:156" x14ac:dyDescent="0.25">
      <c r="A94" s="66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>
        <v>60.906683840492875</v>
      </c>
      <c r="EU94" s="11"/>
      <c r="EX94" s="29"/>
      <c r="EZ94" s="37"/>
    </row>
    <row r="95" spans="1:156" x14ac:dyDescent="0.25">
      <c r="A95" s="66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>
        <v>38.250458240555233</v>
      </c>
      <c r="ET95" s="11">
        <v>2623.1300877744293</v>
      </c>
      <c r="EU95" s="11"/>
      <c r="EX95" s="29"/>
      <c r="EZ95" s="37"/>
    </row>
    <row r="96" spans="1:156" x14ac:dyDescent="0.25">
      <c r="A96" s="66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>
        <v>22.643075685749235</v>
      </c>
      <c r="ET96" s="11">
        <v>2553.6266588553485</v>
      </c>
      <c r="EU96" s="11"/>
      <c r="EX96" s="29"/>
      <c r="EZ96" s="37"/>
    </row>
    <row r="97" spans="1:156" x14ac:dyDescent="0.25">
      <c r="A97" s="66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>
        <v>11.840861151665992</v>
      </c>
      <c r="ET97" s="11">
        <v>509.09379048320801</v>
      </c>
      <c r="EU97" s="11"/>
      <c r="EX97" s="29"/>
      <c r="EZ97" s="37"/>
    </row>
    <row r="98" spans="1:156" x14ac:dyDescent="0.25">
      <c r="A98" s="66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>
        <v>1305.0093608379116</v>
      </c>
      <c r="ET98" s="11">
        <v>5039.1293702138291</v>
      </c>
      <c r="EU98" s="11"/>
      <c r="EX98" s="29"/>
      <c r="EZ98" s="37"/>
    </row>
    <row r="99" spans="1:156" x14ac:dyDescent="0.25">
      <c r="A99" s="66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>
        <v>1.9077366407823466</v>
      </c>
      <c r="Q99" s="11">
        <v>21.985774740572442</v>
      </c>
      <c r="R99" s="11">
        <v>11.779376910557231</v>
      </c>
      <c r="S99" s="11">
        <v>57.082053293217271</v>
      </c>
      <c r="T99" s="11">
        <v>388.77239865106196</v>
      </c>
      <c r="U99" s="11">
        <v>122.69295609829149</v>
      </c>
      <c r="V99" s="11">
        <v>212.21260339873584</v>
      </c>
      <c r="W99" s="11">
        <v>18.609081120719893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20.401583770664022</v>
      </c>
      <c r="DW99" s="11">
        <v>28.338520553761764</v>
      </c>
      <c r="DX99" s="11">
        <v>23.948230421178433</v>
      </c>
      <c r="DY99" s="11">
        <v>46.468426121425473</v>
      </c>
      <c r="DZ99" s="11">
        <v>64.250140377308185</v>
      </c>
      <c r="EA99" s="11">
        <v>1.8812517243393385</v>
      </c>
      <c r="EB99" s="11">
        <v>5.9030788781160926</v>
      </c>
      <c r="EC99" s="11">
        <v>9.2697106010793817</v>
      </c>
      <c r="ED99" s="11">
        <v>11.831728107782979</v>
      </c>
      <c r="EE99" s="11">
        <v>78.471098547345946</v>
      </c>
      <c r="EF99" s="11">
        <v>3.4699214015102902</v>
      </c>
      <c r="EG99" s="11">
        <v>15.044622383807855</v>
      </c>
      <c r="EH99" s="11">
        <v>47.663043133669113</v>
      </c>
      <c r="EI99" s="11">
        <v>122.58400324220506</v>
      </c>
      <c r="EJ99" s="11">
        <v>864.86558171733566</v>
      </c>
      <c r="EK99" s="11"/>
      <c r="EL99" s="11"/>
      <c r="EM99" s="11"/>
      <c r="EN99" s="11"/>
      <c r="EO99" s="11"/>
      <c r="EP99" s="11"/>
      <c r="EQ99" s="11"/>
      <c r="ER99" s="11"/>
      <c r="ES99" s="11">
        <v>302.16136721991472</v>
      </c>
      <c r="ET99" s="11">
        <v>11952.897942635374</v>
      </c>
      <c r="EU99" s="11"/>
      <c r="EX99" s="29"/>
      <c r="EZ99" s="37"/>
    </row>
    <row r="100" spans="1:156" x14ac:dyDescent="0.25">
      <c r="A100" s="66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>
        <v>1278.0763427577679</v>
      </c>
      <c r="ET100" s="11">
        <v>14955.749756692807</v>
      </c>
      <c r="EU100" s="11"/>
      <c r="EX100" s="29"/>
      <c r="EZ100" s="37"/>
    </row>
    <row r="101" spans="1:156" x14ac:dyDescent="0.25">
      <c r="A101" s="66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>
        <v>210.68122436259674</v>
      </c>
      <c r="ET101" s="11">
        <v>3990.8449606730683</v>
      </c>
      <c r="EU101" s="11"/>
      <c r="EX101" s="29"/>
      <c r="EZ101" s="37"/>
    </row>
    <row r="102" spans="1:156" x14ac:dyDescent="0.25">
      <c r="A102" s="66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>
        <v>573.05812443865227</v>
      </c>
      <c r="ET102" s="11">
        <v>8234.7285721526223</v>
      </c>
      <c r="EU102" s="11"/>
      <c r="EX102" s="29"/>
      <c r="EZ102" s="37"/>
    </row>
    <row r="103" spans="1:156" x14ac:dyDescent="0.25">
      <c r="A103" s="66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11"/>
      <c r="EQ103" s="11">
        <v>8686.8736524188425</v>
      </c>
      <c r="ER103" s="11"/>
      <c r="ES103" s="11">
        <v>651.49315648206152</v>
      </c>
      <c r="ET103" s="11">
        <v>22621.681257397478</v>
      </c>
      <c r="EU103" s="11"/>
      <c r="EX103" s="29"/>
      <c r="EZ103" s="37"/>
    </row>
    <row r="104" spans="1:156" x14ac:dyDescent="0.25">
      <c r="A104" s="66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>
        <v>883.77506974598202</v>
      </c>
      <c r="ER104" s="11"/>
      <c r="ES104" s="11">
        <v>101.779204542502</v>
      </c>
      <c r="ET104" s="11">
        <v>2812.3341318997273</v>
      </c>
      <c r="EU104" s="11"/>
      <c r="EX104" s="29"/>
      <c r="EZ104" s="37"/>
    </row>
    <row r="105" spans="1:156" x14ac:dyDescent="0.25">
      <c r="A105" s="66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0.31300093682242597</v>
      </c>
      <c r="L105" s="11"/>
      <c r="M105" s="11"/>
      <c r="N105" s="11"/>
      <c r="O105" s="11"/>
      <c r="P105" s="11">
        <v>2.2920871212772931</v>
      </c>
      <c r="Q105" s="11">
        <v>21.275450659298514</v>
      </c>
      <c r="R105" s="11">
        <v>61.109032063535231</v>
      </c>
      <c r="S105" s="11"/>
      <c r="T105" s="11">
        <v>138.85735350651666</v>
      </c>
      <c r="U105" s="11">
        <v>4.8642709838032543</v>
      </c>
      <c r="V105" s="11">
        <v>325.47201371289594</v>
      </c>
      <c r="W105" s="11">
        <v>28.540883098856593</v>
      </c>
      <c r="X105" s="11">
        <v>2006.1942286989035</v>
      </c>
      <c r="Y105" s="11">
        <v>1.8173451895726649</v>
      </c>
      <c r="Z105" s="11">
        <v>2.5361528960037965</v>
      </c>
      <c r="AA105" s="11">
        <v>5.900267937399474</v>
      </c>
      <c r="AB105" s="11">
        <v>64.315554022218024</v>
      </c>
      <c r="AC105" s="11">
        <v>0.91138820967968392</v>
      </c>
      <c r="AD105" s="11">
        <v>17.347466469019825</v>
      </c>
      <c r="AE105" s="11">
        <v>13.006729718344241</v>
      </c>
      <c r="AF105" s="11">
        <v>5.3708745988362949E-2</v>
      </c>
      <c r="AG105" s="11">
        <v>37.221115544532822</v>
      </c>
      <c r="AH105" s="11">
        <v>85.130426659157209</v>
      </c>
      <c r="AI105" s="11">
        <v>0.67789162054884511</v>
      </c>
      <c r="AJ105" s="11">
        <v>124.78929142162787</v>
      </c>
      <c r="AK105" s="11">
        <v>27.897067282662103</v>
      </c>
      <c r="AL105" s="11">
        <v>77.215842390914474</v>
      </c>
      <c r="AM105" s="11">
        <v>83.709061194719382</v>
      </c>
      <c r="AN105" s="11">
        <v>112.35180242934004</v>
      </c>
      <c r="AO105" s="11">
        <v>2.8751258532346027</v>
      </c>
      <c r="AP105" s="11">
        <v>6.7375973338627642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>
        <v>8248.0324873109785</v>
      </c>
      <c r="EU105" s="11"/>
      <c r="EX105" s="29"/>
      <c r="EZ105" s="37"/>
    </row>
    <row r="106" spans="1:156" x14ac:dyDescent="0.25">
      <c r="A106" s="66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>
        <v>4536.9950897988601</v>
      </c>
      <c r="EU106" s="11"/>
      <c r="EX106" s="29"/>
      <c r="EZ106" s="37"/>
    </row>
    <row r="107" spans="1:156" x14ac:dyDescent="0.25">
      <c r="A107" s="66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>
        <v>26393.76737671754</v>
      </c>
      <c r="ER107" s="11"/>
      <c r="ES107" s="11"/>
      <c r="ET107" s="11">
        <v>28369.65437286628</v>
      </c>
      <c r="EU107" s="11"/>
      <c r="EX107" s="29"/>
      <c r="EZ107" s="37"/>
    </row>
    <row r="108" spans="1:156" x14ac:dyDescent="0.25">
      <c r="A108" s="66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>
        <v>20622.412109620262</v>
      </c>
      <c r="EU108" s="11"/>
      <c r="EX108" s="29"/>
      <c r="EZ108" s="37"/>
    </row>
    <row r="109" spans="1:156" x14ac:dyDescent="0.25">
      <c r="A109" s="66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>
        <v>1810.4365566563017</v>
      </c>
      <c r="ET109" s="11">
        <v>25847.11902117408</v>
      </c>
      <c r="EU109" s="11"/>
      <c r="EX109" s="29"/>
      <c r="EZ109" s="37"/>
    </row>
    <row r="110" spans="1:156" x14ac:dyDescent="0.25">
      <c r="A110" s="66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>
        <v>3602.7085535359192</v>
      </c>
      <c r="ET110" s="11">
        <v>13590.935461587014</v>
      </c>
      <c r="EU110" s="11"/>
      <c r="EX110" s="29"/>
      <c r="EZ110" s="37"/>
    </row>
    <row r="111" spans="1:156" x14ac:dyDescent="0.25">
      <c r="A111" s="66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>
        <v>8178.7351545693791</v>
      </c>
      <c r="EU111" s="11"/>
      <c r="EX111" s="29"/>
      <c r="EZ111" s="37"/>
    </row>
    <row r="112" spans="1:156" x14ac:dyDescent="0.25">
      <c r="A112" s="66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>
        <v>101.27362374826588</v>
      </c>
      <c r="ET112" s="11">
        <v>8277.3410364587544</v>
      </c>
      <c r="EU112" s="11"/>
      <c r="EX112" s="29"/>
      <c r="EZ112" s="37"/>
    </row>
    <row r="113" spans="1:156" x14ac:dyDescent="0.25">
      <c r="A113" s="66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>
        <v>6068.4295650614495</v>
      </c>
      <c r="EU113" s="11"/>
      <c r="EX113" s="29"/>
      <c r="EZ113" s="37"/>
    </row>
    <row r="114" spans="1:156" x14ac:dyDescent="0.25">
      <c r="A114" s="66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>
        <v>13255.192369884142</v>
      </c>
      <c r="ET114" s="11">
        <v>24601.464319349303</v>
      </c>
      <c r="EU114" s="11"/>
      <c r="EX114" s="29"/>
      <c r="EZ114" s="37"/>
    </row>
    <row r="115" spans="1:156" x14ac:dyDescent="0.25">
      <c r="A115" s="66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>
        <v>479.90353264085019</v>
      </c>
      <c r="ET115" s="11">
        <v>17455.429510996844</v>
      </c>
      <c r="EU115" s="11"/>
      <c r="EX115" s="29"/>
      <c r="EZ115" s="37"/>
    </row>
    <row r="116" spans="1:156" x14ac:dyDescent="0.25">
      <c r="A116" s="66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>
        <v>9038.9597506829487</v>
      </c>
      <c r="EU116" s="11"/>
      <c r="EX116" s="29"/>
      <c r="EZ116" s="37"/>
    </row>
    <row r="117" spans="1:156" x14ac:dyDescent="0.25">
      <c r="A117" s="66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>
        <v>3589.8052686463966</v>
      </c>
      <c r="EU117" s="11"/>
      <c r="EX117" s="29"/>
      <c r="EZ117" s="37"/>
    </row>
    <row r="118" spans="1:156" x14ac:dyDescent="0.25">
      <c r="A118" s="66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>
        <v>6588.9709795039098</v>
      </c>
      <c r="EU118" s="11"/>
      <c r="EX118" s="29"/>
      <c r="EZ118" s="37"/>
    </row>
    <row r="119" spans="1:156" x14ac:dyDescent="0.25">
      <c r="A119" s="66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>
        <v>22439.470104921304</v>
      </c>
      <c r="EU119" s="11"/>
      <c r="EX119" s="11"/>
      <c r="EZ119" s="37"/>
    </row>
    <row r="120" spans="1:156" x14ac:dyDescent="0.25">
      <c r="A120" s="66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>
        <v>5799.8744192689019</v>
      </c>
      <c r="EU120" s="11"/>
      <c r="EX120" s="11"/>
      <c r="EZ120" s="37"/>
    </row>
    <row r="121" spans="1:156" x14ac:dyDescent="0.25">
      <c r="A121" s="66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>
        <v>6442.5359027074883</v>
      </c>
      <c r="EU121" s="11"/>
      <c r="EX121" s="11"/>
      <c r="EZ121" s="37"/>
    </row>
    <row r="122" spans="1:156" x14ac:dyDescent="0.25">
      <c r="A122" s="66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>
        <v>1579.6313716629752</v>
      </c>
      <c r="EU122" s="11"/>
      <c r="EX122" s="11"/>
      <c r="EZ122" s="37"/>
    </row>
    <row r="123" spans="1:156" x14ac:dyDescent="0.25">
      <c r="A123" s="66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>
        <v>679.22647186766892</v>
      </c>
      <c r="EU123" s="11"/>
      <c r="EX123" s="11"/>
      <c r="EZ123" s="37"/>
    </row>
    <row r="124" spans="1:156" x14ac:dyDescent="0.25">
      <c r="A124" s="66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>
        <v>3524.3845297637431</v>
      </c>
      <c r="EU124" s="11"/>
      <c r="EX124" s="11"/>
      <c r="EZ124" s="37"/>
    </row>
    <row r="125" spans="1:156" x14ac:dyDescent="0.25">
      <c r="A125" s="66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>
        <v>12347.675499948649</v>
      </c>
      <c r="EU125" s="11"/>
      <c r="EX125" s="11"/>
      <c r="EZ125" s="37"/>
    </row>
    <row r="126" spans="1:156" x14ac:dyDescent="0.25">
      <c r="A126" s="66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>
        <v>6377.2950355519461</v>
      </c>
      <c r="EU126" s="11"/>
      <c r="EX126" s="11"/>
      <c r="EZ126" s="37"/>
    </row>
    <row r="127" spans="1:156" x14ac:dyDescent="0.25">
      <c r="A127" s="66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>
        <v>6445.2017177217194</v>
      </c>
      <c r="EU127" s="11"/>
      <c r="EX127" s="11"/>
      <c r="EZ127" s="37"/>
    </row>
    <row r="128" spans="1:156" x14ac:dyDescent="0.25">
      <c r="A128" s="66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>
        <v>8387.1943415959395</v>
      </c>
      <c r="EU128" s="11"/>
      <c r="EX128" s="11"/>
      <c r="EZ128" s="37"/>
    </row>
    <row r="129" spans="1:156" x14ac:dyDescent="0.25">
      <c r="A129" s="66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>
        <v>780.55141829530544</v>
      </c>
      <c r="ET129" s="11">
        <v>70349.515991851193</v>
      </c>
      <c r="EU129" s="11"/>
      <c r="EX129" s="11"/>
      <c r="EZ129" s="37"/>
    </row>
    <row r="130" spans="1:156" x14ac:dyDescent="0.25">
      <c r="A130" s="66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>
        <v>688.76296390948505</v>
      </c>
      <c r="EU130" s="11"/>
      <c r="EX130" s="11"/>
      <c r="EZ130" s="37"/>
    </row>
    <row r="131" spans="1:156" x14ac:dyDescent="0.25">
      <c r="A131" s="66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2.4897417461033911E-11</v>
      </c>
      <c r="EQ131" s="11"/>
      <c r="ER131" s="11"/>
      <c r="ES131" s="11"/>
      <c r="ET131" s="11">
        <v>72985.692127769464</v>
      </c>
      <c r="EU131" s="11"/>
      <c r="EX131" s="11"/>
      <c r="EZ131" s="37"/>
    </row>
    <row r="132" spans="1:156" x14ac:dyDescent="0.25">
      <c r="A132" s="66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>
        <v>98.408017684899988</v>
      </c>
      <c r="ET132" s="11">
        <v>3034.3033960881676</v>
      </c>
      <c r="EU132" s="11"/>
      <c r="EX132" s="11"/>
      <c r="EZ132" s="37"/>
    </row>
    <row r="133" spans="1:156" x14ac:dyDescent="0.25">
      <c r="A133" s="66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>
        <v>138.57723995355249</v>
      </c>
      <c r="ET133" s="11">
        <v>4334.9372841087325</v>
      </c>
      <c r="EU133" s="11"/>
      <c r="EX133" s="11"/>
      <c r="EZ133" s="37"/>
    </row>
    <row r="134" spans="1:156" x14ac:dyDescent="0.25">
      <c r="A134" s="66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>
        <v>150.79918178923666</v>
      </c>
      <c r="ET134" s="11">
        <v>4900.8767757042069</v>
      </c>
      <c r="EU134" s="11"/>
      <c r="EX134" s="11"/>
      <c r="EZ134" s="37"/>
    </row>
    <row r="135" spans="1:156" x14ac:dyDescent="0.25">
      <c r="A135" s="66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>
        <v>144.73573666092321</v>
      </c>
      <c r="ET135" s="11">
        <v>4973.3374625878168</v>
      </c>
      <c r="EU135" s="11"/>
      <c r="EX135" s="11"/>
      <c r="EZ135" s="37"/>
    </row>
    <row r="136" spans="1:156" x14ac:dyDescent="0.25">
      <c r="A136" s="66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>
        <v>170.04282641589387</v>
      </c>
      <c r="ET136" s="11">
        <v>5679.540480897932</v>
      </c>
      <c r="EU136" s="11"/>
      <c r="EX136" s="11"/>
      <c r="EZ136" s="37"/>
    </row>
    <row r="137" spans="1:156" x14ac:dyDescent="0.25">
      <c r="A137" s="66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>
        <v>26.134903208300948</v>
      </c>
      <c r="ET137" s="11">
        <v>802.44900997777825</v>
      </c>
      <c r="EU137" s="11"/>
      <c r="EX137" s="11"/>
      <c r="EZ137" s="37"/>
    </row>
    <row r="138" spans="1:156" x14ac:dyDescent="0.25">
      <c r="A138" s="66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>
        <v>70.754105102485511</v>
      </c>
      <c r="ET138" s="11">
        <v>1353.5242973402335</v>
      </c>
      <c r="EU138" s="11"/>
      <c r="EX138" s="11"/>
      <c r="EZ138" s="37"/>
    </row>
    <row r="139" spans="1:156" x14ac:dyDescent="0.25">
      <c r="A139" s="66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>
        <v>85.718051959078991</v>
      </c>
      <c r="ET139" s="11">
        <v>1448.7353683576232</v>
      </c>
      <c r="EU139" s="11"/>
      <c r="EX139" s="11"/>
      <c r="EZ139" s="37"/>
    </row>
    <row r="140" spans="1:156" x14ac:dyDescent="0.25">
      <c r="A140" s="66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>
        <v>122.50814789964147</v>
      </c>
      <c r="ET140" s="11">
        <v>2454.580441552931</v>
      </c>
      <c r="EU140" s="11"/>
      <c r="EX140" s="11"/>
      <c r="EZ140" s="37"/>
    </row>
    <row r="141" spans="1:156" x14ac:dyDescent="0.25">
      <c r="A141" s="66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>
        <v>251.00979456225915</v>
      </c>
      <c r="ET141" s="11">
        <v>5047.0374501941978</v>
      </c>
      <c r="EU141" s="11"/>
      <c r="EX141" s="11"/>
      <c r="EZ141" s="37"/>
    </row>
    <row r="142" spans="1:156" x14ac:dyDescent="0.25">
      <c r="A142" s="66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>
        <v>103.17851953204345</v>
      </c>
      <c r="ET142" s="11">
        <v>2022.5614913586405</v>
      </c>
      <c r="EU142" s="11"/>
      <c r="EX142" s="11"/>
      <c r="EZ142" s="37"/>
    </row>
    <row r="143" spans="1:156" x14ac:dyDescent="0.25">
      <c r="A143" s="66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>
        <v>193.47175574386137</v>
      </c>
      <c r="ET143" s="11">
        <v>4270.5430870178689</v>
      </c>
      <c r="EU143" s="11"/>
      <c r="EX143" s="11"/>
      <c r="EZ143" s="37"/>
    </row>
    <row r="144" spans="1:156" x14ac:dyDescent="0.25">
      <c r="A144" s="66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>
        <v>469.5067970764095</v>
      </c>
      <c r="ET144" s="11">
        <v>10181.263431790216</v>
      </c>
      <c r="EU144" s="11"/>
      <c r="EX144" s="11"/>
      <c r="EZ144" s="37"/>
    </row>
    <row r="145" spans="1:156" x14ac:dyDescent="0.25">
      <c r="A145" s="66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>
        <v>782.85058956974456</v>
      </c>
      <c r="ET145" s="11">
        <v>18439.11217907265</v>
      </c>
      <c r="EU145" s="11"/>
      <c r="EX145" s="11"/>
      <c r="EZ145" s="37"/>
    </row>
    <row r="146" spans="1:156" x14ac:dyDescent="0.25">
      <c r="A146" s="66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>
        <v>2217.5697729330627</v>
      </c>
      <c r="ET146" s="11">
        <v>52669.269951262446</v>
      </c>
      <c r="EU146" s="11"/>
      <c r="EX146" s="11"/>
      <c r="EZ146" s="37"/>
    </row>
    <row r="147" spans="1:156" x14ac:dyDescent="0.25">
      <c r="A147" s="66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>
        <v>2762.3742097001941</v>
      </c>
      <c r="ET147" s="11">
        <v>31606.840703197384</v>
      </c>
      <c r="EU147" s="11"/>
      <c r="EX147" s="11"/>
      <c r="EZ147" s="37"/>
    </row>
    <row r="148" spans="1:156" x14ac:dyDescent="0.25">
      <c r="A148" s="66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>
        <v>7391.7721019550936</v>
      </c>
      <c r="EU148" s="11"/>
      <c r="EX148" s="11"/>
      <c r="EZ148" s="37"/>
    </row>
    <row r="149" spans="1:156" x14ac:dyDescent="0.25">
      <c r="A149" s="66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>
        <v>360.59316112872659</v>
      </c>
      <c r="EU149" s="11"/>
      <c r="EX149" s="11"/>
      <c r="EZ149" s="37"/>
    </row>
    <row r="150" spans="1:156" x14ac:dyDescent="0.25">
      <c r="A150" s="66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>
        <v>5014.3426231600579</v>
      </c>
      <c r="EU150" s="11"/>
      <c r="EX150" s="11"/>
      <c r="EZ150" s="37"/>
    </row>
    <row r="151" spans="1:156" x14ac:dyDescent="0.25">
      <c r="A151" s="66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>
        <v>9688.1113618548316</v>
      </c>
      <c r="EU151" s="11"/>
      <c r="EX151" s="11"/>
      <c r="EZ151" s="37"/>
    </row>
    <row r="152" spans="1:156" x14ac:dyDescent="0.25">
      <c r="A152" s="66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-2.0233126170610127E-6</v>
      </c>
      <c r="L152" s="11"/>
      <c r="M152" s="11"/>
      <c r="N152" s="11"/>
      <c r="O152" s="11"/>
      <c r="P152" s="11">
        <v>-1.4816597161182443E-5</v>
      </c>
      <c r="Q152" s="11">
        <v>-1.37529581191842E-4</v>
      </c>
      <c r="R152" s="11">
        <v>-3.9502334033159059E-4</v>
      </c>
      <c r="S152" s="11"/>
      <c r="T152" s="11">
        <v>-8.9760701095542572E-4</v>
      </c>
      <c r="U152" s="11">
        <v>-3.1443806380870853E-5</v>
      </c>
      <c r="V152" s="11">
        <v>-131.95044948723518</v>
      </c>
      <c r="W152" s="11">
        <v>-11.570833113100758</v>
      </c>
      <c r="X152" s="11">
        <v>-813.33638249164369</v>
      </c>
      <c r="Y152" s="11">
        <v>-0.7367746059085396</v>
      </c>
      <c r="Z152" s="11">
        <v>-1.0281882942207472</v>
      </c>
      <c r="AA152" s="11">
        <v>-2.3920428597026708</v>
      </c>
      <c r="AB152" s="11">
        <v>-26.074334826644325</v>
      </c>
      <c r="AC152" s="11">
        <v>-0.36948824740022779</v>
      </c>
      <c r="AD152" s="11">
        <v>-7.0328811744504556</v>
      </c>
      <c r="AE152" s="11">
        <v>-5.2730918800546345</v>
      </c>
      <c r="AF152" s="11">
        <v>-2.1774201393584922E-2</v>
      </c>
      <c r="AG152" s="11">
        <v>-15.089908562306668</v>
      </c>
      <c r="AH152" s="11">
        <v>-34.512946088890786</v>
      </c>
      <c r="AI152" s="11">
        <v>-0.27482579228441423</v>
      </c>
      <c r="AJ152" s="11">
        <v>-50.591148856203347</v>
      </c>
      <c r="AK152" s="11">
        <v>-11.309822080647471</v>
      </c>
      <c r="AL152" s="11">
        <v>-31.304274044293884</v>
      </c>
      <c r="AM152" s="11">
        <v>-33.936706645816443</v>
      </c>
      <c r="AN152" s="11">
        <v>-45.548834328747276</v>
      </c>
      <c r="AO152" s="11">
        <v>-1.1656121960806385</v>
      </c>
      <c r="AP152" s="11">
        <v>-2.731506732408076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>
        <v>2.4897417461033911E-11</v>
      </c>
      <c r="EU152" s="11"/>
      <c r="EX152" s="11"/>
      <c r="EZ152" s="37"/>
    </row>
    <row r="153" spans="1:156" x14ac:dyDescent="0.25">
      <c r="A153" s="66" t="s">
        <v>28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>
        <v>3803.5464377724552</v>
      </c>
      <c r="DV153" s="11">
        <v>264.56157734489375</v>
      </c>
      <c r="DW153" s="11">
        <v>460.04251226383502</v>
      </c>
      <c r="DX153" s="11">
        <v>655.37166723293285</v>
      </c>
      <c r="DY153" s="11">
        <v>750.05919565732859</v>
      </c>
      <c r="DZ153" s="11">
        <v>887.12542258537474</v>
      </c>
      <c r="EA153" s="11">
        <v>73.422359633824371</v>
      </c>
      <c r="EB153" s="11">
        <v>132.34814561771546</v>
      </c>
      <c r="EC153" s="11">
        <v>200.3030810828937</v>
      </c>
      <c r="ED153" s="11">
        <v>591.86481369420972</v>
      </c>
      <c r="EE153" s="11">
        <v>1296.2799688300572</v>
      </c>
      <c r="EF153" s="11">
        <v>222.99530811037741</v>
      </c>
      <c r="EG153" s="11">
        <v>529.72832518752887</v>
      </c>
      <c r="EH153" s="11">
        <v>1788.8899711630036</v>
      </c>
      <c r="EI153" s="11">
        <v>4584.173823997171</v>
      </c>
      <c r="EJ153" s="11">
        <v>16674.058473657838</v>
      </c>
      <c r="EK153" s="11">
        <v>-3053.3328631607915</v>
      </c>
      <c r="EL153" s="11"/>
      <c r="EM153" s="11"/>
      <c r="EN153" s="11"/>
      <c r="EO153" s="11"/>
      <c r="EP153" s="11"/>
      <c r="EQ153" s="11"/>
      <c r="ER153" s="11"/>
      <c r="ES153" s="11">
        <v>8642.5599376101</v>
      </c>
      <c r="ET153" s="11">
        <v>38503.998158280745</v>
      </c>
      <c r="EU153" s="11"/>
      <c r="EX153" s="11"/>
      <c r="EZ153" s="37"/>
    </row>
    <row r="154" spans="1:156" x14ac:dyDescent="0.25">
      <c r="A154" s="66" t="s">
        <v>29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>
        <v>2539.5820594212287</v>
      </c>
      <c r="ER154" s="11"/>
      <c r="ES154" s="11"/>
      <c r="ET154" s="11">
        <v>2539.5820594212287</v>
      </c>
      <c r="EU154" s="11"/>
      <c r="EX154" s="11"/>
      <c r="EZ154" s="37"/>
    </row>
    <row r="155" spans="1:156" x14ac:dyDescent="0.25">
      <c r="A155" s="66" t="s">
        <v>30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>
        <v>10.877203763165516</v>
      </c>
      <c r="BF155" s="11">
        <v>0.27221791597040035</v>
      </c>
      <c r="BG155" s="11">
        <v>749.13878918167018</v>
      </c>
      <c r="BH155" s="11">
        <v>249.21715890816492</v>
      </c>
      <c r="BI155" s="11">
        <v>5.7697601139508308</v>
      </c>
      <c r="BJ155" s="11">
        <v>1.2873154711904511E-2</v>
      </c>
      <c r="BK155" s="11">
        <v>0.41721485528415797</v>
      </c>
      <c r="BL155" s="11"/>
      <c r="BM155" s="11">
        <v>2.6965912956948328</v>
      </c>
      <c r="BN155" s="11">
        <v>51.228784195408345</v>
      </c>
      <c r="BO155" s="11">
        <v>6.6804766739151658E-2</v>
      </c>
      <c r="BP155" s="11"/>
      <c r="BQ155" s="11">
        <v>0.56758386691035279</v>
      </c>
      <c r="BR155" s="11">
        <v>43.011474631604734</v>
      </c>
      <c r="BS155" s="11">
        <v>3.5378215274618698</v>
      </c>
      <c r="BT155" s="11">
        <v>19.176780974436202</v>
      </c>
      <c r="BU155" s="11">
        <v>10.497902043373713</v>
      </c>
      <c r="BV155" s="11">
        <v>34.301967415252761</v>
      </c>
      <c r="BW155" s="11">
        <v>19.140171288286574</v>
      </c>
      <c r="BX155" s="11">
        <v>50.628769058294203</v>
      </c>
      <c r="BY155" s="11">
        <v>5.1769389026808543</v>
      </c>
      <c r="BZ155" s="11">
        <v>480.62178464762508</v>
      </c>
      <c r="CA155" s="11">
        <v>630.82352380952386</v>
      </c>
      <c r="CB155" s="11">
        <v>136.16055938179227</v>
      </c>
      <c r="CC155" s="11">
        <v>2640.3384089621177</v>
      </c>
      <c r="CD155" s="11">
        <v>364.00222929714664</v>
      </c>
      <c r="CE155" s="11">
        <v>176.33458972439621</v>
      </c>
      <c r="CF155" s="11">
        <v>664.58630400551681</v>
      </c>
      <c r="CG155" s="11">
        <v>517.42695008437215</v>
      </c>
      <c r="CH155" s="11">
        <v>745.73128219625403</v>
      </c>
      <c r="CI155" s="11">
        <v>431.94283444714046</v>
      </c>
      <c r="CJ155" s="11">
        <v>11.226369803939743</v>
      </c>
      <c r="CK155" s="11">
        <v>638.61765047241283</v>
      </c>
      <c r="CL155" s="11">
        <v>435.8913603385264</v>
      </c>
      <c r="CM155" s="11">
        <v>244.32938053804995</v>
      </c>
      <c r="CN155" s="11">
        <v>961.80407660095193</v>
      </c>
      <c r="CO155" s="11">
        <v>525.33514155356158</v>
      </c>
      <c r="CP155" s="11">
        <v>8292.794229351608</v>
      </c>
      <c r="CQ155" s="11">
        <v>2209.072494031102</v>
      </c>
      <c r="CR155" s="11">
        <v>4856.8512734903952</v>
      </c>
      <c r="CS155" s="11">
        <v>18366.159309000624</v>
      </c>
      <c r="CT155" s="11">
        <v>1245.9745362348547</v>
      </c>
      <c r="CU155" s="11">
        <v>2.6413828805261851E-2</v>
      </c>
      <c r="CV155" s="11"/>
      <c r="CW155" s="11"/>
      <c r="CX155" s="11"/>
      <c r="CY155" s="11">
        <v>3723.8822535224294</v>
      </c>
      <c r="CZ155" s="11">
        <v>2074.2283271792821</v>
      </c>
      <c r="DA155" s="11"/>
      <c r="DB155" s="11">
        <v>387.6924894521843</v>
      </c>
      <c r="DC155" s="11"/>
      <c r="DD155" s="11">
        <v>13856.922883076133</v>
      </c>
      <c r="DE155" s="11">
        <v>2624.0802659969318</v>
      </c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>
        <v>2895.2832895699084</v>
      </c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>
        <v>1728.6640528096948</v>
      </c>
      <c r="EL155" s="11"/>
      <c r="EM155" s="11"/>
      <c r="EN155" s="11"/>
      <c r="EO155" s="11"/>
      <c r="EP155" s="11"/>
      <c r="EQ155" s="11"/>
      <c r="ER155" s="11"/>
      <c r="ES155" s="11"/>
      <c r="ET155" s="11">
        <v>73122.541071266343</v>
      </c>
      <c r="EU155" s="11"/>
      <c r="EX155" s="11"/>
      <c r="EZ155" s="37"/>
    </row>
    <row r="156" spans="1:156" x14ac:dyDescent="0.25">
      <c r="A156" s="66" t="s">
        <v>196</v>
      </c>
      <c r="B156" s="11">
        <v>2825.7953019208089</v>
      </c>
      <c r="C156" s="11">
        <v>856.89832219835864</v>
      </c>
      <c r="D156" s="11">
        <v>1232.3246757893226</v>
      </c>
      <c r="E156" s="11">
        <v>337.32121775487713</v>
      </c>
      <c r="F156" s="11">
        <v>514.19229842038021</v>
      </c>
      <c r="G156" s="11">
        <v>1285.4054888806322</v>
      </c>
      <c r="H156" s="11">
        <v>1830.0800008252679</v>
      </c>
      <c r="I156" s="11">
        <v>2203.0023039232383</v>
      </c>
      <c r="J156" s="11">
        <v>3403.8486634641367</v>
      </c>
      <c r="K156" s="11">
        <v>52.398938606633799</v>
      </c>
      <c r="L156" s="11">
        <v>4.6633378582398359</v>
      </c>
      <c r="M156" s="11">
        <v>154.54430320117407</v>
      </c>
      <c r="N156" s="11">
        <v>3211.4416629401721</v>
      </c>
      <c r="O156" s="11">
        <v>2925.9963287112282</v>
      </c>
      <c r="P156" s="11">
        <v>228.93406196462908</v>
      </c>
      <c r="Q156" s="11">
        <v>1233.4306431964012</v>
      </c>
      <c r="R156" s="11">
        <v>1277.6742177029748</v>
      </c>
      <c r="S156" s="11">
        <v>909.62957589162022</v>
      </c>
      <c r="T156" s="11">
        <v>3746.5355032810953</v>
      </c>
      <c r="U156" s="11">
        <v>1721.5706276231167</v>
      </c>
      <c r="V156" s="11">
        <v>9204.7418918339445</v>
      </c>
      <c r="W156" s="11">
        <v>807.17066666666665</v>
      </c>
      <c r="X156" s="11">
        <v>20791.016073592975</v>
      </c>
      <c r="Y156" s="11">
        <v>302.01084221755713</v>
      </c>
      <c r="Z156" s="11">
        <v>130.53123816323614</v>
      </c>
      <c r="AA156" s="11">
        <v>1520.3465803424822</v>
      </c>
      <c r="AB156" s="11">
        <v>5550.0060001108486</v>
      </c>
      <c r="AC156" s="11">
        <v>89.12512315374363</v>
      </c>
      <c r="AD156" s="11">
        <v>892.26909707531252</v>
      </c>
      <c r="AE156" s="11">
        <v>1085.4690140378182</v>
      </c>
      <c r="AF156" s="11">
        <v>27.838938199051338</v>
      </c>
      <c r="AG156" s="11">
        <v>747.51130135302981</v>
      </c>
      <c r="AH156" s="11">
        <v>382.98927761363325</v>
      </c>
      <c r="AI156" s="11">
        <v>24.893500610996952</v>
      </c>
      <c r="AJ156" s="11">
        <v>3516.1021622996</v>
      </c>
      <c r="AK156" s="11">
        <v>7627.3360181492562</v>
      </c>
      <c r="AL156" s="11">
        <v>2723.7664503195424</v>
      </c>
      <c r="AM156" s="11">
        <v>1204.928706972383</v>
      </c>
      <c r="AN156" s="11">
        <v>1264.5347696524386</v>
      </c>
      <c r="AO156" s="11">
        <v>106.41797893293345</v>
      </c>
      <c r="AP156" s="11">
        <v>355.14416723406293</v>
      </c>
      <c r="AQ156" s="11">
        <v>8248.0059626100683</v>
      </c>
      <c r="AR156" s="11">
        <v>4536.9950897988592</v>
      </c>
      <c r="AS156" s="11">
        <v>28369.654372866273</v>
      </c>
      <c r="AT156" s="11">
        <v>20067.295622470156</v>
      </c>
      <c r="AU156" s="11">
        <v>22118.895223126292</v>
      </c>
      <c r="AV156" s="11">
        <v>11215.460006900055</v>
      </c>
      <c r="AW156" s="11">
        <v>8178.73515456938</v>
      </c>
      <c r="AX156" s="11">
        <v>7889.6485470065682</v>
      </c>
      <c r="AY156" s="11">
        <v>6068.429565061444</v>
      </c>
      <c r="AZ156" s="11">
        <v>10744.541436273179</v>
      </c>
      <c r="BA156" s="11">
        <v>14831.349244999905</v>
      </c>
      <c r="BB156" s="11">
        <v>9038.9597506829577</v>
      </c>
      <c r="BC156" s="11">
        <v>3576.1159098506109</v>
      </c>
      <c r="BD156" s="11">
        <v>5931.5889664200149</v>
      </c>
      <c r="BE156" s="11">
        <v>2889.9577362500145</v>
      </c>
      <c r="BF156" s="11">
        <v>880.14648654469386</v>
      </c>
      <c r="BG156" s="11">
        <v>2147.6361606277251</v>
      </c>
      <c r="BH156" s="11">
        <v>330.89894750469534</v>
      </c>
      <c r="BI156" s="11">
        <v>285.70004979709501</v>
      </c>
      <c r="BJ156" s="11">
        <v>333.11296500928393</v>
      </c>
      <c r="BK156" s="11">
        <v>1423.662625848063</v>
      </c>
      <c r="BL156" s="11">
        <v>598.91978504959479</v>
      </c>
      <c r="BM156" s="11">
        <v>1216.4578471021271</v>
      </c>
      <c r="BN156" s="11">
        <v>3675.3775783427573</v>
      </c>
      <c r="BO156" s="11">
        <v>54.355862490275385</v>
      </c>
      <c r="BP156" s="11">
        <v>4.982668796929322</v>
      </c>
      <c r="BQ156" s="11">
        <v>162.89899027745003</v>
      </c>
      <c r="BR156" s="11">
        <v>3280.3032107589984</v>
      </c>
      <c r="BS156" s="11">
        <v>4480.56086455281</v>
      </c>
      <c r="BT156" s="11">
        <v>288.53393783129206</v>
      </c>
      <c r="BU156" s="11">
        <v>1334.0584069763283</v>
      </c>
      <c r="BV156" s="11">
        <v>1554.1295800522862</v>
      </c>
      <c r="BW156" s="11">
        <v>918.90516642984721</v>
      </c>
      <c r="BX156" s="11">
        <v>4025.008601743225</v>
      </c>
      <c r="BY156" s="11">
        <v>2024.7157576546679</v>
      </c>
      <c r="BZ156" s="11">
        <v>10948.980478675012</v>
      </c>
      <c r="CA156" s="11">
        <v>1437.9941904761904</v>
      </c>
      <c r="CB156" s="11">
        <v>21924.397716527106</v>
      </c>
      <c r="CC156" s="11">
        <v>5193.520391486506</v>
      </c>
      <c r="CD156" s="11">
        <v>748.74506141506981</v>
      </c>
      <c r="CE156" s="11">
        <v>2058.5473711879413</v>
      </c>
      <c r="CF156" s="11">
        <v>6726.4944642062192</v>
      </c>
      <c r="CG156" s="11">
        <v>844.94066251188815</v>
      </c>
      <c r="CH156" s="11">
        <v>3290.6009969095749</v>
      </c>
      <c r="CI156" s="11">
        <v>2699.3695379007777</v>
      </c>
      <c r="CJ156" s="11">
        <v>60.90668384049286</v>
      </c>
      <c r="CK156" s="11">
        <v>2623.1300877744297</v>
      </c>
      <c r="CL156" s="11">
        <v>2553.6266588553481</v>
      </c>
      <c r="CM156" s="11">
        <v>509.09379048320795</v>
      </c>
      <c r="CN156" s="11">
        <v>5039.12937021383</v>
      </c>
      <c r="CO156" s="11">
        <v>11952.897942635374</v>
      </c>
      <c r="CP156" s="11">
        <v>14955.749756692809</v>
      </c>
      <c r="CQ156" s="11">
        <v>3990.8449606730683</v>
      </c>
      <c r="CR156" s="11">
        <v>8234.7285721526205</v>
      </c>
      <c r="CS156" s="11">
        <v>22621.681257397482</v>
      </c>
      <c r="CT156" s="11">
        <v>2812.3341318997273</v>
      </c>
      <c r="CU156" s="11">
        <v>8248.0324873110039</v>
      </c>
      <c r="CV156" s="11">
        <v>4536.9950897988592</v>
      </c>
      <c r="CW156" s="11">
        <v>28369.65437286628</v>
      </c>
      <c r="CX156" s="11">
        <v>20622.412109620262</v>
      </c>
      <c r="CY156" s="11">
        <v>25847.11902117408</v>
      </c>
      <c r="CZ156" s="11">
        <v>13590.935461587012</v>
      </c>
      <c r="DA156" s="11">
        <v>8178.7351545693809</v>
      </c>
      <c r="DB156" s="11">
        <v>8277.3410364587544</v>
      </c>
      <c r="DC156" s="11">
        <v>6068.4295650614476</v>
      </c>
      <c r="DD156" s="11">
        <v>24601.464319349307</v>
      </c>
      <c r="DE156" s="11">
        <v>17455.429510996841</v>
      </c>
      <c r="DF156" s="11">
        <v>9038.9597506829505</v>
      </c>
      <c r="DG156" s="11">
        <v>3589.8052686463961</v>
      </c>
      <c r="DH156" s="11">
        <v>6588.9709795039098</v>
      </c>
      <c r="DI156" s="11">
        <v>22439.470104921293</v>
      </c>
      <c r="DJ156" s="11">
        <v>5799.8744192689019</v>
      </c>
      <c r="DK156" s="11">
        <v>6442.5359027074874</v>
      </c>
      <c r="DL156" s="11">
        <v>1579.631371662975</v>
      </c>
      <c r="DM156" s="11">
        <v>679.22647186766915</v>
      </c>
      <c r="DN156" s="11">
        <v>3524.3845297637431</v>
      </c>
      <c r="DO156" s="11">
        <v>12347.675499948647</v>
      </c>
      <c r="DP156" s="11">
        <v>6377.2950355519479</v>
      </c>
      <c r="DQ156" s="11">
        <v>6445.201717721724</v>
      </c>
      <c r="DR156" s="11">
        <v>8387.1943415959413</v>
      </c>
      <c r="DS156" s="11">
        <v>70349.515991851149</v>
      </c>
      <c r="DT156" s="11">
        <v>688.76296390948505</v>
      </c>
      <c r="DU156" s="11">
        <v>72985.692127746821</v>
      </c>
      <c r="DV156" s="11">
        <v>3034.3033960881667</v>
      </c>
      <c r="DW156" s="11">
        <v>4334.9372841087343</v>
      </c>
      <c r="DX156" s="11">
        <v>4900.8767757042051</v>
      </c>
      <c r="DY156" s="11">
        <v>4973.3374625878196</v>
      </c>
      <c r="DZ156" s="11">
        <v>5679.540480897932</v>
      </c>
      <c r="EA156" s="11">
        <v>802.44900997777825</v>
      </c>
      <c r="EB156" s="11">
        <v>1353.5242973402333</v>
      </c>
      <c r="EC156" s="11">
        <v>1448.7353683576241</v>
      </c>
      <c r="ED156" s="11">
        <v>2454.5804415529301</v>
      </c>
      <c r="EE156" s="11">
        <v>5047.0374501941978</v>
      </c>
      <c r="EF156" s="11">
        <v>2022.5614913586401</v>
      </c>
      <c r="EG156" s="11">
        <v>4270.5430870178698</v>
      </c>
      <c r="EH156" s="11">
        <v>10181.263431790219</v>
      </c>
      <c r="EI156" s="11">
        <v>18439.112179072647</v>
      </c>
      <c r="EJ156" s="11">
        <v>52669.26995126246</v>
      </c>
      <c r="EK156" s="11">
        <v>31606.840703197391</v>
      </c>
      <c r="EL156" s="11">
        <v>7391.7721019549963</v>
      </c>
      <c r="EM156" s="11">
        <v>360.59316112872659</v>
      </c>
      <c r="EN156" s="11">
        <v>5014.3426231600579</v>
      </c>
      <c r="EO156" s="11">
        <v>9688.1113618548261</v>
      </c>
      <c r="EP156" s="11">
        <v>2.4897417461033911E-11</v>
      </c>
      <c r="EQ156" s="11">
        <v>38503.998158303591</v>
      </c>
      <c r="ER156" s="11">
        <v>2539.582059421231</v>
      </c>
      <c r="ES156" s="11">
        <v>73122.541071266198</v>
      </c>
      <c r="ET156" s="11">
        <v>1105164.1473926194</v>
      </c>
      <c r="EU156" s="11"/>
      <c r="EX156" s="11"/>
      <c r="EZ156" s="37"/>
    </row>
    <row r="157" spans="1:156" x14ac:dyDescent="0.25">
      <c r="A157" s="6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</row>
    <row r="158" spans="1:156" x14ac:dyDescent="0.25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25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topLeftCell="A16" workbookViewId="0">
      <selection activeCell="C31" sqref="C31"/>
    </sheetView>
  </sheetViews>
  <sheetFormatPr defaultRowHeight="15" x14ac:dyDescent="0.25"/>
  <cols>
    <col min="27" max="42" width="8.85546875" style="12"/>
  </cols>
  <sheetData>
    <row r="1" spans="1:42" ht="18.75" x14ac:dyDescent="0.3">
      <c r="A1" s="5" t="s">
        <v>280</v>
      </c>
    </row>
    <row r="3" spans="1:42" x14ac:dyDescent="0.25">
      <c r="B3" s="14" t="s">
        <v>281</v>
      </c>
    </row>
    <row r="6" spans="1:42" x14ac:dyDescent="0.25">
      <c r="B6" s="2" t="s">
        <v>282</v>
      </c>
      <c r="C6" s="2"/>
    </row>
    <row r="7" spans="1:42" x14ac:dyDescent="0.25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25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25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25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25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25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25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25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25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25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25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25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25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25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25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25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25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25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25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25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25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25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25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25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25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25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25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25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25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25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25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25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25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25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25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25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25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25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25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25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25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25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25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25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25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25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25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25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25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25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25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25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25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25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25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25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25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25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25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25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25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25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25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25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25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25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25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25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25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25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25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25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25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25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>
      <selection activeCell="I31" sqref="I31"/>
    </sheetView>
  </sheetViews>
  <sheetFormatPr defaultRowHeight="15" x14ac:dyDescent="0.25"/>
  <cols>
    <col min="9" max="21" width="9.140625" customWidth="1"/>
    <col min="22" max="22" width="28.5703125" customWidth="1"/>
  </cols>
  <sheetData>
    <row r="1" spans="1:29" ht="18.75" x14ac:dyDescent="0.3">
      <c r="A1" s="5" t="s">
        <v>295</v>
      </c>
    </row>
    <row r="4" spans="1:29" x14ac:dyDescent="0.25">
      <c r="E4" s="9"/>
      <c r="F4" s="9"/>
    </row>
    <row r="5" spans="1:29" x14ac:dyDescent="0.25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25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25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25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25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25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25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25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25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25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25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25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25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25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25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25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25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25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25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25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25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25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25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25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25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25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25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25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25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25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25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25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25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25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25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25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25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25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25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25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25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25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25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25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25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25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25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25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25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25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25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25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25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25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25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25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25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25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25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25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25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25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25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25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25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25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25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25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25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25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25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25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25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25">
      <c r="A78" s="12"/>
      <c r="C78" s="21"/>
      <c r="D78" s="21"/>
      <c r="E78" s="15"/>
      <c r="F78" s="15"/>
      <c r="G78" s="15"/>
      <c r="J78" s="15"/>
      <c r="K78" s="15"/>
    </row>
    <row r="79" spans="1:29" x14ac:dyDescent="0.25">
      <c r="A79" s="12"/>
      <c r="C79" s="21"/>
      <c r="D79" s="21"/>
      <c r="E79" s="15"/>
      <c r="F79" s="15"/>
      <c r="G79" s="15"/>
      <c r="J79" s="15"/>
      <c r="K79" s="15"/>
    </row>
    <row r="80" spans="1:29" x14ac:dyDescent="0.25">
      <c r="A80" s="12"/>
      <c r="C80" s="21"/>
      <c r="D80" s="21"/>
      <c r="E80" s="15"/>
      <c r="F80" s="15"/>
      <c r="G80" s="15"/>
      <c r="J80" s="15"/>
      <c r="K80" s="15"/>
    </row>
    <row r="81" spans="1:11" x14ac:dyDescent="0.25">
      <c r="A81" s="12"/>
      <c r="C81" s="21"/>
      <c r="D81" s="21"/>
      <c r="E81" s="15"/>
      <c r="F81" s="15"/>
      <c r="G81" s="15"/>
      <c r="J81" s="15"/>
      <c r="K81" s="15"/>
    </row>
    <row r="82" spans="1:11" x14ac:dyDescent="0.25">
      <c r="A82" s="12"/>
      <c r="C82" s="21"/>
      <c r="D82" s="21"/>
      <c r="E82" s="15"/>
      <c r="F82" s="15"/>
      <c r="G82" s="15"/>
      <c r="J82" s="15"/>
      <c r="K82" s="15"/>
    </row>
    <row r="83" spans="1:11" x14ac:dyDescent="0.25">
      <c r="A83" s="12"/>
      <c r="C83" s="21"/>
      <c r="D83" s="21"/>
      <c r="E83" s="15"/>
      <c r="F83" s="15"/>
      <c r="G83" s="15"/>
      <c r="J83" s="15"/>
      <c r="K83" s="15"/>
    </row>
    <row r="84" spans="1:11" x14ac:dyDescent="0.25">
      <c r="A84" s="12"/>
      <c r="C84" s="21"/>
      <c r="D84" s="21"/>
      <c r="E84" s="15"/>
      <c r="F84" s="15"/>
      <c r="G84" s="15"/>
      <c r="J84" s="15"/>
      <c r="K84" s="15"/>
    </row>
    <row r="85" spans="1:11" x14ac:dyDescent="0.25">
      <c r="A85" s="12"/>
      <c r="C85" s="21"/>
      <c r="D85" s="21"/>
      <c r="E85" s="15"/>
      <c r="F85" s="15"/>
      <c r="G85" s="15"/>
      <c r="J85" s="15"/>
      <c r="K85" s="15"/>
    </row>
    <row r="86" spans="1:11" x14ac:dyDescent="0.25">
      <c r="A86" s="12"/>
      <c r="C86" s="21"/>
      <c r="D86" s="21"/>
      <c r="E86" s="15"/>
      <c r="F86" s="15"/>
      <c r="G86" s="15"/>
      <c r="J86" s="15"/>
      <c r="K86" s="15"/>
    </row>
    <row r="87" spans="1:11" x14ac:dyDescent="0.25">
      <c r="A87" s="12"/>
      <c r="C87" s="21"/>
      <c r="D87" s="21"/>
      <c r="E87" s="15"/>
      <c r="F87" s="15"/>
      <c r="G87" s="15"/>
      <c r="J87" s="15"/>
      <c r="K87" s="15"/>
    </row>
    <row r="88" spans="1:11" x14ac:dyDescent="0.25">
      <c r="A88" s="12"/>
      <c r="C88" s="21"/>
      <c r="D88" s="21"/>
      <c r="E88" s="15"/>
      <c r="F88" s="15"/>
      <c r="G88" s="15"/>
      <c r="J88" s="15"/>
      <c r="K88" s="15"/>
    </row>
    <row r="89" spans="1:11" x14ac:dyDescent="0.25">
      <c r="A89" s="12"/>
      <c r="C89" s="21"/>
      <c r="D89" s="21"/>
      <c r="E89" s="15"/>
      <c r="F89" s="15"/>
      <c r="G89" s="15"/>
      <c r="J89" s="15"/>
      <c r="K89" s="15"/>
    </row>
    <row r="90" spans="1:11" x14ac:dyDescent="0.25">
      <c r="A90" s="12"/>
      <c r="C90" s="21"/>
      <c r="D90" s="21"/>
      <c r="E90" s="15"/>
      <c r="F90" s="15"/>
      <c r="G90" s="15"/>
      <c r="J90" s="15"/>
      <c r="K90" s="15"/>
    </row>
    <row r="91" spans="1:11" x14ac:dyDescent="0.25">
      <c r="A91" s="12"/>
      <c r="C91" s="21"/>
      <c r="D91" s="21"/>
      <c r="E91" s="15"/>
      <c r="F91" s="15"/>
      <c r="G91" s="15"/>
      <c r="J91" s="15"/>
      <c r="K91" s="15"/>
    </row>
    <row r="92" spans="1:11" x14ac:dyDescent="0.25">
      <c r="A92" s="12"/>
      <c r="C92" s="21"/>
      <c r="D92" s="21"/>
      <c r="E92" s="15"/>
      <c r="F92" s="15"/>
      <c r="G92" s="15"/>
    </row>
    <row r="93" spans="1:11" x14ac:dyDescent="0.25">
      <c r="A93" s="12"/>
      <c r="C93" s="21"/>
      <c r="D93" s="21"/>
      <c r="E93" s="15"/>
      <c r="F93" s="15"/>
      <c r="G93" s="15"/>
    </row>
    <row r="94" spans="1:11" x14ac:dyDescent="0.25">
      <c r="A94" s="12"/>
      <c r="C94" s="21"/>
      <c r="D94" s="21"/>
      <c r="E94" s="15"/>
      <c r="F94" s="15"/>
      <c r="G94" s="15"/>
    </row>
    <row r="95" spans="1:11" x14ac:dyDescent="0.25">
      <c r="A95" s="12"/>
      <c r="C95" s="21"/>
      <c r="D95" s="21"/>
      <c r="E95" s="15"/>
      <c r="F95" s="15"/>
      <c r="G95" s="15"/>
    </row>
    <row r="96" spans="1:11" x14ac:dyDescent="0.25">
      <c r="A96" s="12"/>
      <c r="C96" s="21"/>
      <c r="D96" s="21"/>
      <c r="E96" s="15"/>
      <c r="F96" s="15"/>
      <c r="G96" s="15"/>
    </row>
    <row r="97" spans="1:7" x14ac:dyDescent="0.25">
      <c r="A97" s="12"/>
      <c r="C97" s="21"/>
      <c r="D97" s="21"/>
      <c r="E97" s="15"/>
      <c r="F97" s="15"/>
      <c r="G97" s="15"/>
    </row>
    <row r="98" spans="1:7" x14ac:dyDescent="0.25">
      <c r="A98" s="12"/>
      <c r="C98" s="21"/>
      <c r="D98" s="21"/>
      <c r="E98" s="15"/>
      <c r="F98" s="15"/>
      <c r="G98" s="15"/>
    </row>
    <row r="99" spans="1:7" x14ac:dyDescent="0.25">
      <c r="A99" s="12"/>
      <c r="C99" s="21"/>
      <c r="D99" s="21"/>
      <c r="E99" s="15"/>
      <c r="F99" s="15"/>
      <c r="G99" s="15"/>
    </row>
    <row r="100" spans="1:7" x14ac:dyDescent="0.25">
      <c r="A100" s="12"/>
      <c r="C100" s="21"/>
      <c r="D100" s="21"/>
      <c r="E100" s="15"/>
      <c r="F100" s="15"/>
      <c r="G100" s="15"/>
    </row>
    <row r="101" spans="1:7" x14ac:dyDescent="0.25">
      <c r="A101" s="12"/>
      <c r="C101" s="21"/>
      <c r="D101" s="21"/>
      <c r="E101" s="15"/>
      <c r="F101" s="15"/>
      <c r="G101" s="15"/>
    </row>
    <row r="102" spans="1:7" x14ac:dyDescent="0.25">
      <c r="A102" s="12"/>
      <c r="C102" s="21"/>
      <c r="D102" s="21"/>
      <c r="E102" s="15"/>
      <c r="F102" s="15"/>
      <c r="G102" s="15"/>
    </row>
    <row r="103" spans="1:7" x14ac:dyDescent="0.25">
      <c r="A103" s="12"/>
      <c r="C103" s="21"/>
      <c r="D103" s="21"/>
      <c r="E103" s="15"/>
      <c r="F103" s="15"/>
      <c r="G103" s="15"/>
    </row>
    <row r="104" spans="1:7" x14ac:dyDescent="0.25">
      <c r="A104" s="12"/>
      <c r="C104" s="21"/>
      <c r="D104" s="21"/>
      <c r="E104" s="15"/>
      <c r="F104" s="15"/>
      <c r="G104" s="15"/>
    </row>
    <row r="105" spans="1:7" x14ac:dyDescent="0.25">
      <c r="A105" s="12"/>
      <c r="C105" s="21"/>
      <c r="D105" s="21"/>
      <c r="E105" s="15"/>
      <c r="F105" s="15"/>
      <c r="G105" s="15"/>
    </row>
    <row r="106" spans="1:7" x14ac:dyDescent="0.25">
      <c r="A106" s="12"/>
      <c r="C106" s="21"/>
      <c r="D106" s="21"/>
      <c r="E106" s="15"/>
      <c r="F106" s="15"/>
      <c r="G106" s="15"/>
    </row>
    <row r="107" spans="1:7" x14ac:dyDescent="0.25">
      <c r="A107" s="12"/>
      <c r="C107" s="21"/>
      <c r="D107" s="21"/>
      <c r="E107" s="15"/>
      <c r="F107" s="15"/>
      <c r="G107" s="15"/>
    </row>
    <row r="108" spans="1:7" x14ac:dyDescent="0.25">
      <c r="A108" s="12"/>
      <c r="C108" s="21"/>
      <c r="D108" s="21"/>
      <c r="E108" s="15"/>
      <c r="F108" s="15"/>
      <c r="G108" s="15"/>
    </row>
    <row r="109" spans="1:7" x14ac:dyDescent="0.25">
      <c r="A109" s="12"/>
      <c r="C109" s="21"/>
      <c r="D109" s="21"/>
      <c r="E109" s="15"/>
      <c r="F109" s="15"/>
      <c r="G109" s="15"/>
    </row>
    <row r="110" spans="1:7" x14ac:dyDescent="0.25">
      <c r="A110" s="12"/>
      <c r="C110" s="21"/>
      <c r="D110" s="21"/>
      <c r="E110" s="15"/>
      <c r="F110" s="15"/>
      <c r="G110" s="15"/>
    </row>
    <row r="111" spans="1:7" x14ac:dyDescent="0.25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topLeftCell="N16" workbookViewId="0">
      <selection activeCell="Y31" sqref="Y31:AC31"/>
    </sheetView>
  </sheetViews>
  <sheetFormatPr defaultRowHeight="15" x14ac:dyDescent="0.25"/>
  <sheetData>
    <row r="1" spans="1:29" ht="18.75" x14ac:dyDescent="0.3">
      <c r="A1" s="5" t="s">
        <v>313</v>
      </c>
    </row>
    <row r="2" spans="1:29" x14ac:dyDescent="0.25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25">
      <c r="A3" s="27" t="s">
        <v>314</v>
      </c>
    </row>
    <row r="5" spans="1:29" x14ac:dyDescent="0.25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25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25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25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25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25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25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25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25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25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25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25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25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25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25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25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25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25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25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25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25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25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25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25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25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25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25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25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25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25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25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25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25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25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25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25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25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25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25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25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25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25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25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25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25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25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25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25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25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25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25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25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25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25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25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25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25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25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25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25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25">
      <c r="A65" s="11"/>
      <c r="E65" s="11"/>
      <c r="I65" s="11"/>
      <c r="M65" s="11"/>
      <c r="Q65" s="11"/>
      <c r="U65" s="11"/>
      <c r="Y65" s="11"/>
      <c r="AC65" s="11"/>
    </row>
    <row r="66" spans="1:29" x14ac:dyDescent="0.25">
      <c r="A66" s="11"/>
      <c r="E66" s="11"/>
      <c r="I66" s="11"/>
      <c r="M66" s="11"/>
      <c r="Q66" s="11"/>
      <c r="U66" s="11"/>
      <c r="Y66" s="11"/>
      <c r="AC66" s="11"/>
    </row>
    <row r="67" spans="1:29" x14ac:dyDescent="0.25">
      <c r="A67" s="11"/>
      <c r="E67" s="11"/>
      <c r="I67" s="11"/>
      <c r="M67" s="11"/>
      <c r="Q67" s="11"/>
      <c r="U67" s="11"/>
      <c r="Y67" s="11"/>
      <c r="AC67" s="11"/>
    </row>
    <row r="68" spans="1:29" x14ac:dyDescent="0.25">
      <c r="A68" s="11"/>
      <c r="E68" s="11"/>
      <c r="I68" s="11"/>
      <c r="M68" s="11"/>
      <c r="Q68" s="11"/>
      <c r="U68" s="11"/>
      <c r="Y68" s="11"/>
      <c r="AC68" s="11"/>
    </row>
    <row r="69" spans="1:29" x14ac:dyDescent="0.25">
      <c r="A69" s="11"/>
      <c r="E69" s="11"/>
      <c r="I69" s="11"/>
      <c r="M69" s="11"/>
      <c r="Q69" s="11"/>
      <c r="U69" s="11"/>
      <c r="Y69" s="11"/>
      <c r="AC69" s="11"/>
    </row>
    <row r="70" spans="1:29" x14ac:dyDescent="0.25">
      <c r="A70" s="11"/>
      <c r="E70" s="11"/>
      <c r="I70" s="11"/>
      <c r="M70" s="11"/>
      <c r="Q70" s="11"/>
      <c r="U70" s="11"/>
      <c r="Y70" s="11"/>
      <c r="AC70" s="11"/>
    </row>
    <row r="71" spans="1:29" x14ac:dyDescent="0.25">
      <c r="A71" s="11"/>
      <c r="E71" s="11"/>
      <c r="I71" s="11"/>
      <c r="M71" s="11"/>
      <c r="Q71" s="11"/>
      <c r="U71" s="11"/>
      <c r="Y71" s="11"/>
      <c r="AC71" s="11"/>
    </row>
    <row r="72" spans="1:29" x14ac:dyDescent="0.25">
      <c r="A72" s="11"/>
      <c r="E72" s="11"/>
      <c r="I72" s="11"/>
      <c r="M72" s="11"/>
      <c r="Q72" s="11"/>
      <c r="U72" s="11"/>
      <c r="Y72" s="11"/>
      <c r="AC72" s="11"/>
    </row>
    <row r="73" spans="1:29" x14ac:dyDescent="0.25">
      <c r="A73" s="11"/>
      <c r="E73" s="11"/>
      <c r="I73" s="11"/>
      <c r="M73" s="11"/>
      <c r="Q73" s="11"/>
      <c r="U73" s="11"/>
      <c r="Y73" s="11"/>
      <c r="AC73" s="11"/>
    </row>
    <row r="74" spans="1:29" x14ac:dyDescent="0.25">
      <c r="A74" s="11"/>
      <c r="E74" s="11"/>
      <c r="I74" s="11"/>
      <c r="M74" s="11"/>
      <c r="Q74" s="11"/>
      <c r="U74" s="11"/>
      <c r="Y74" s="11"/>
      <c r="AC74" s="11"/>
    </row>
    <row r="75" spans="1:29" x14ac:dyDescent="0.25">
      <c r="A75" s="11"/>
      <c r="E75" s="11"/>
      <c r="I75" s="11"/>
      <c r="M75" s="11"/>
      <c r="Q75" s="11"/>
      <c r="U75" s="11"/>
      <c r="Y75" s="11"/>
      <c r="AC75" s="11"/>
    </row>
    <row r="76" spans="1:29" x14ac:dyDescent="0.25">
      <c r="A76" s="11"/>
      <c r="E76" s="11"/>
      <c r="I76" s="11"/>
      <c r="M76" s="11"/>
      <c r="Q76" s="11"/>
      <c r="U76" s="11"/>
      <c r="Y76" s="11"/>
      <c r="AC76" s="11"/>
    </row>
    <row r="77" spans="1:29" x14ac:dyDescent="0.25">
      <c r="A77" s="11"/>
      <c r="E77" s="11"/>
      <c r="I77" s="11"/>
      <c r="M77" s="11"/>
      <c r="Q77" s="11"/>
      <c r="U77" s="11"/>
      <c r="Y77" s="11"/>
      <c r="AC77" s="11"/>
    </row>
    <row r="78" spans="1:29" x14ac:dyDescent="0.25">
      <c r="A78" s="11"/>
      <c r="E78" s="11"/>
      <c r="I78" s="11"/>
      <c r="M78" s="11"/>
      <c r="Q78" s="11"/>
      <c r="U78" s="11"/>
      <c r="Y78" s="11"/>
      <c r="AC78" s="11"/>
    </row>
    <row r="79" spans="1:29" x14ac:dyDescent="0.25">
      <c r="A79" s="11"/>
      <c r="E79" s="11"/>
      <c r="I79" s="11"/>
      <c r="M79" s="11"/>
      <c r="Q79" s="11"/>
      <c r="U79" s="11"/>
      <c r="Y79" s="11"/>
      <c r="AC79" s="11"/>
    </row>
    <row r="80" spans="1:29" x14ac:dyDescent="0.25">
      <c r="A80" s="11"/>
      <c r="E80" s="11"/>
      <c r="I80" s="11"/>
      <c r="M80" s="11"/>
      <c r="Q80" s="11"/>
      <c r="U80" s="11"/>
      <c r="Y80" s="11"/>
      <c r="AC80" s="11"/>
    </row>
    <row r="81" spans="1:29" x14ac:dyDescent="0.25">
      <c r="A81" s="11"/>
      <c r="E81" s="11"/>
      <c r="I81" s="11"/>
      <c r="M81" s="11"/>
      <c r="Q81" s="11"/>
      <c r="U81" s="11"/>
      <c r="Y81" s="11"/>
      <c r="AC81" s="11"/>
    </row>
    <row r="82" spans="1:29" x14ac:dyDescent="0.25">
      <c r="A82" s="11"/>
      <c r="E82" s="11"/>
      <c r="I82" s="11"/>
      <c r="M82" s="11"/>
      <c r="Q82" s="11"/>
      <c r="U82" s="11"/>
      <c r="Y82" s="11"/>
      <c r="AC82" s="11"/>
    </row>
    <row r="83" spans="1:29" x14ac:dyDescent="0.25">
      <c r="A83" s="11"/>
      <c r="E83" s="11"/>
      <c r="I83" s="11"/>
      <c r="M83" s="11"/>
      <c r="Q83" s="11"/>
      <c r="U83" s="11"/>
      <c r="Y83" s="11"/>
      <c r="AC83" s="11"/>
    </row>
    <row r="84" spans="1:29" x14ac:dyDescent="0.25">
      <c r="A84" s="11"/>
      <c r="E84" s="11"/>
      <c r="I84" s="11"/>
      <c r="M84" s="11"/>
      <c r="Q84" s="11"/>
      <c r="U84" s="11"/>
      <c r="Y84" s="11"/>
      <c r="AC84" s="11"/>
    </row>
    <row r="85" spans="1:29" x14ac:dyDescent="0.25">
      <c r="A85" s="11"/>
      <c r="E85" s="11"/>
      <c r="I85" s="11"/>
      <c r="M85" s="11"/>
      <c r="Q85" s="11"/>
      <c r="U85" s="11"/>
      <c r="Y85" s="11"/>
      <c r="AC85" s="11"/>
    </row>
    <row r="86" spans="1:29" x14ac:dyDescent="0.25">
      <c r="A86" s="11"/>
      <c r="E86" s="11"/>
      <c r="I86" s="11"/>
      <c r="M86" s="11"/>
      <c r="Q86" s="11"/>
      <c r="U86" s="11"/>
      <c r="Y86" s="11"/>
      <c r="AC86" s="11"/>
    </row>
    <row r="87" spans="1:29" x14ac:dyDescent="0.25">
      <c r="A87" s="11"/>
      <c r="E87" s="11"/>
      <c r="I87" s="11"/>
      <c r="M87" s="11"/>
      <c r="Q87" s="11"/>
      <c r="U87" s="11"/>
      <c r="Y87" s="11"/>
      <c r="AC87" s="11"/>
    </row>
    <row r="88" spans="1:29" x14ac:dyDescent="0.25">
      <c r="A88" s="11"/>
      <c r="E88" s="11"/>
      <c r="I88" s="11"/>
      <c r="M88" s="11"/>
      <c r="Q88" s="11"/>
      <c r="U88" s="11"/>
      <c r="Y88" s="11"/>
      <c r="AC88" s="11"/>
    </row>
    <row r="89" spans="1:29" x14ac:dyDescent="0.25">
      <c r="A89" s="11"/>
      <c r="E89" s="11"/>
      <c r="I89" s="11"/>
      <c r="M89" s="11"/>
      <c r="Q89" s="11"/>
      <c r="U89" s="11"/>
      <c r="Y89" s="11"/>
      <c r="AC89" s="11"/>
    </row>
    <row r="90" spans="1:29" x14ac:dyDescent="0.25">
      <c r="A90" s="11"/>
      <c r="E90" s="11"/>
      <c r="I90" s="11"/>
      <c r="M90" s="11"/>
      <c r="Q90" s="11"/>
      <c r="U90" s="11"/>
      <c r="Y90" s="11"/>
      <c r="AC90" s="11"/>
    </row>
    <row r="91" spans="1:29" x14ac:dyDescent="0.25">
      <c r="A91" s="11"/>
      <c r="E91" s="11"/>
      <c r="I91" s="11"/>
      <c r="M91" s="11"/>
      <c r="Q91" s="11"/>
      <c r="U91" s="11"/>
      <c r="Y91" s="11"/>
      <c r="AC91" s="11"/>
    </row>
    <row r="92" spans="1:29" x14ac:dyDescent="0.25">
      <c r="A92" s="11"/>
      <c r="E92" s="11"/>
      <c r="I92" s="11"/>
      <c r="M92" s="11"/>
      <c r="Q92" s="11"/>
      <c r="U92" s="11"/>
      <c r="Y92" s="11"/>
      <c r="AC92" s="11"/>
    </row>
    <row r="93" spans="1:29" x14ac:dyDescent="0.25">
      <c r="A93" s="11"/>
      <c r="E93" s="11"/>
      <c r="I93" s="11"/>
      <c r="M93" s="11"/>
      <c r="Q93" s="11"/>
      <c r="U93" s="11"/>
      <c r="Y93" s="11"/>
      <c r="AC93" s="11"/>
    </row>
    <row r="94" spans="1:29" x14ac:dyDescent="0.25">
      <c r="A94" s="11"/>
      <c r="E94" s="11"/>
      <c r="I94" s="11"/>
      <c r="M94" s="11"/>
      <c r="Q94" s="11"/>
      <c r="U94" s="11"/>
      <c r="Y94" s="11"/>
      <c r="AC94" s="11"/>
    </row>
    <row r="95" spans="1:29" x14ac:dyDescent="0.25">
      <c r="A95" s="11"/>
      <c r="E95" s="11"/>
      <c r="I95" s="11"/>
      <c r="M95" s="11"/>
      <c r="Q95" s="11"/>
      <c r="U95" s="11"/>
      <c r="Y95" s="11"/>
      <c r="AC95" s="11"/>
    </row>
    <row r="96" spans="1:29" x14ac:dyDescent="0.25">
      <c r="A96" s="11"/>
      <c r="E96" s="11"/>
      <c r="I96" s="11"/>
      <c r="M96" s="11"/>
      <c r="Q96" s="11"/>
      <c r="U96" s="11"/>
      <c r="Y96" s="11"/>
      <c r="AC96" s="11"/>
    </row>
    <row r="97" spans="1:29" x14ac:dyDescent="0.25">
      <c r="A97" s="11"/>
      <c r="E97" s="11"/>
      <c r="I97" s="11"/>
      <c r="M97" s="11"/>
      <c r="Q97" s="11"/>
      <c r="U97" s="11"/>
      <c r="Y97" s="11"/>
      <c r="AC97" s="11"/>
    </row>
    <row r="98" spans="1:29" x14ac:dyDescent="0.25">
      <c r="A98" s="11"/>
      <c r="E98" s="11"/>
      <c r="I98" s="11"/>
      <c r="M98" s="11"/>
      <c r="Q98" s="11"/>
      <c r="U98" s="11"/>
      <c r="Y98" s="11"/>
      <c r="AC98" s="11"/>
    </row>
    <row r="99" spans="1:29" x14ac:dyDescent="0.25">
      <c r="A99" s="11"/>
      <c r="E99" s="11"/>
      <c r="I99" s="11"/>
      <c r="M99" s="11"/>
      <c r="Q99" s="11"/>
      <c r="U99" s="11"/>
      <c r="Y99" s="11"/>
      <c r="AC99" s="11"/>
    </row>
    <row r="100" spans="1:29" x14ac:dyDescent="0.25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25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25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25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25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25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25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25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25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25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25">
      <c r="E110" s="11"/>
      <c r="M110" s="11"/>
      <c r="U110" s="11"/>
      <c r="AC110" s="11"/>
    </row>
    <row r="111" spans="1:29" x14ac:dyDescent="0.25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cp:lastPrinted>2016-04-07T13:26:41Z</cp:lastPrinted>
  <dcterms:created xsi:type="dcterms:W3CDTF">2011-10-28T17:39:50Z</dcterms:created>
  <dcterms:modified xsi:type="dcterms:W3CDTF">2022-10-04T13:40:54Z</dcterms:modified>
</cp:coreProperties>
</file>