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6D98C8B1-3C88-4DD6-B995-241AF3D9BD8E}" xr6:coauthVersionLast="47" xr6:coauthVersionMax="47" xr10:uidLastSave="{00000000-0000-0000-0000-000000000000}"/>
  <bookViews>
    <workbookView xWindow="-108" yWindow="-108" windowWidth="22080" windowHeight="13176" tabRatio="872" activeTab="3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#REF!</definedName>
    <definedName name="switch1" localSheetId="9">#REF!</definedName>
    <definedName name="switch1" localSheetId="13">#REF!</definedName>
    <definedName name="switch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5" l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S9" i="25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T9" i="25"/>
  <c r="T10" i="25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R27" i="25"/>
  <c r="R28" i="25" s="1"/>
  <c r="S27" i="25"/>
  <c r="S28" i="25" s="1"/>
  <c r="T27" i="25"/>
  <c r="T28" i="25" s="1"/>
  <c r="R29" i="25"/>
  <c r="S29" i="25"/>
  <c r="T29" i="25"/>
  <c r="R30" i="25"/>
  <c r="S30" i="25"/>
  <c r="T30" i="25"/>
  <c r="R31" i="25"/>
  <c r="S31" i="25"/>
  <c r="T31" i="25"/>
  <c r="R32" i="25"/>
  <c r="S32" i="25"/>
  <c r="T32" i="25"/>
  <c r="R33" i="25"/>
  <c r="S33" i="25"/>
  <c r="T33" i="25"/>
  <c r="R34" i="25"/>
  <c r="S34" i="25"/>
  <c r="T34" i="25"/>
  <c r="R35" i="25"/>
  <c r="S35" i="25"/>
  <c r="T35" i="25"/>
  <c r="R36" i="25"/>
  <c r="S36" i="25"/>
  <c r="T36" i="25"/>
  <c r="T51" i="25" l="1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R44" i="25"/>
  <c r="R43" i="25"/>
  <c r="R37" i="25" l="1"/>
  <c r="R38" i="25"/>
  <c r="R39" i="25"/>
  <c r="R40" i="25"/>
  <c r="R41" i="25"/>
  <c r="R42" i="25"/>
  <c r="R45" i="25"/>
  <c r="R46" i="25"/>
  <c r="R47" i="25"/>
  <c r="R48" i="25"/>
  <c r="R49" i="25"/>
  <c r="R50" i="25"/>
  <c r="R51" i="25"/>
  <c r="T8" i="17" l="1"/>
  <c r="B31" i="28"/>
  <c r="A31" i="28"/>
  <c r="A30" i="28"/>
  <c r="D8" i="17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C27" i="23"/>
  <c r="E7" i="17"/>
  <c r="D7" i="17"/>
  <c r="C7" i="17"/>
  <c r="N4" i="18"/>
  <c r="O12" i="18"/>
  <c r="K9" i="18"/>
  <c r="K8" i="18"/>
  <c r="F5" i="18"/>
  <c r="K4" i="18"/>
  <c r="C2" i="18"/>
  <c r="K19" i="18"/>
  <c r="O7" i="18"/>
  <c r="N7" i="18"/>
  <c r="N5" i="18"/>
  <c r="F7" i="18"/>
  <c r="F6" i="18"/>
  <c r="F4" i="18"/>
  <c r="F3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O5" i="18" s="1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I9" i="28" s="1"/>
  <c r="D11" i="28"/>
  <c r="M10" i="28"/>
  <c r="H10" i="28"/>
  <c r="I10" i="28" s="1"/>
  <c r="D10" i="28"/>
  <c r="M9" i="28"/>
  <c r="H9" i="28"/>
  <c r="H13" i="28" s="1"/>
  <c r="D9" i="28"/>
  <c r="D13" i="28" s="1"/>
  <c r="M8" i="28"/>
  <c r="M6" i="28"/>
  <c r="M5" i="28"/>
  <c r="D5" i="28"/>
  <c r="H5" i="28" s="1"/>
  <c r="M4" i="28"/>
  <c r="D4" i="28"/>
  <c r="H4" i="28" s="1"/>
  <c r="M3" i="28"/>
  <c r="N3" i="28" s="1"/>
  <c r="D3" i="28"/>
  <c r="H3" i="28" s="1"/>
  <c r="K10" i="25"/>
  <c r="K11" i="25"/>
  <c r="K12" i="25"/>
  <c r="K13" i="25"/>
  <c r="K14" i="25"/>
  <c r="K15" i="25"/>
  <c r="K16" i="25"/>
  <c r="K17" i="25"/>
  <c r="K18" i="25"/>
  <c r="K19" i="25"/>
  <c r="K20" i="25"/>
  <c r="K21" i="25"/>
  <c r="K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A1" i="13" l="1"/>
  <c r="A3" i="13"/>
  <c r="K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F38" i="20"/>
  <c r="F37" i="20"/>
  <c r="D41" i="20"/>
  <c r="D39" i="20"/>
  <c r="D32" i="20"/>
  <c r="C39" i="20"/>
  <c r="E39" i="20" s="1"/>
  <c r="C38" i="20"/>
  <c r="D38" i="20" s="1"/>
  <c r="D31" i="20" s="1"/>
  <c r="C36" i="20"/>
  <c r="E36" i="20" s="1"/>
  <c r="B37" i="20"/>
  <c r="B38" i="20"/>
  <c r="B39" i="20"/>
  <c r="B40" i="20"/>
  <c r="B36" i="20"/>
  <c r="C33" i="20"/>
  <c r="C32" i="20"/>
  <c r="C31" i="20"/>
  <c r="C30" i="20"/>
  <c r="C29" i="20"/>
  <c r="C37" i="20"/>
  <c r="E37" i="20" s="1"/>
  <c r="C40" i="20"/>
  <c r="D40" i="20" s="1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C26" i="20"/>
  <c r="C25" i="20"/>
  <c r="H13" i="20"/>
  <c r="K20" i="20"/>
  <c r="I9" i="20"/>
  <c r="I8" i="20"/>
  <c r="I7" i="20"/>
  <c r="I6" i="20"/>
  <c r="D5" i="20"/>
  <c r="I2" i="20"/>
  <c r="I3" i="20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E38" i="20"/>
  <c r="E40" i="20"/>
  <c r="D43" i="20"/>
  <c r="D37" i="20"/>
  <c r="D36" i="20"/>
  <c r="F39" i="20"/>
  <c r="D33" i="20" s="1"/>
  <c r="F40" i="20" s="1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D44" i="20"/>
  <c r="D30" i="20"/>
  <c r="B10" i="21"/>
  <c r="C10" i="21"/>
  <c r="L22" i="20"/>
  <c r="C27" i="20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G9" i="20"/>
  <c r="H9" i="20" s="1"/>
  <c r="J9" i="20" s="1"/>
  <c r="G8" i="20"/>
  <c r="G7" i="20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P18" i="20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H11" i="20"/>
  <c r="H12" i="20" s="1"/>
  <c r="J7" i="20"/>
  <c r="O19" i="20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D29" i="20" l="1"/>
  <c r="F33" i="20" l="1"/>
  <c r="W7" i="17" l="1"/>
  <c r="N13" i="18"/>
  <c r="O4" i="18"/>
  <c r="O13" i="18" l="1"/>
  <c r="N21" i="18" s="1"/>
  <c r="N18" i="18"/>
  <c r="T7" i="17" l="1"/>
  <c r="N7" i="17" s="1"/>
  <c r="F7" i="17" s="1"/>
  <c r="G7" i="17" s="1"/>
  <c r="R5" i="18"/>
  <c r="N15" i="18"/>
  <c r="O15" i="18" s="1"/>
  <c r="S10" i="18" s="1"/>
  <c r="O18" i="18"/>
  <c r="R6" i="18"/>
  <c r="R7" i="18"/>
  <c r="R4" i="18"/>
  <c r="R15" i="18" l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<sst xmlns="http://schemas.openxmlformats.org/spreadsheetml/2006/main" count="2562" uniqueCount="815">
  <si>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</si>
  <si>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</si>
  <si>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</si>
  <si>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</si>
  <si>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</si>
  <si>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</si>
  <si>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</si>
  <si>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</si>
  <si>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</si>
  <si>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</si>
  <si>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</si>
  <si>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</si>
  <si>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</si>
  <si>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</si>
  <si>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</si>
  <si>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</si>
  <si>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</si>
  <si>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</si>
  <si>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</si>
  <si>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</si>
  <si>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</si>
  <si>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</si>
  <si>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</si>
  <si>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</si>
  <si>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</si>
  <si>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</si>
  <si>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</si>
  <si>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</si>
  <si>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</si>
  <si>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</si>
  <si>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</si>
  <si>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</si>
  <si>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</si>
  <si>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</si>
  <si>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</si>
  <si>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</si>
  <si>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</si>
  <si>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</si>
  <si>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</si>
  <si>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</si>
  <si>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</si>
  <si>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</si>
  <si>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</si>
  <si>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</si>
  <si>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</si>
  <si>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</si>
  <si>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</si>
  <si>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</si>
  <si>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</si>
  <si>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</si>
  <si>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</si>
  <si>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</si>
  <si>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</si>
  <si>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</si>
  <si>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</si>
  <si>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</si>
  <si>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</si>
  <si>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</si>
  <si>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</si>
  <si>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</si>
  <si>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</si>
  <si>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</si>
  <si>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</si>
  <si>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</si>
  <si>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</si>
  <si>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</si>
  <si>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</si>
  <si>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</si>
  <si>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</si>
  <si>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</si>
  <si>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</si>
  <si>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</si>
  <si>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</si>
  <si>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</si>
  <si>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</si>
  <si>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</si>
  <si>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</si>
  <si>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</si>
  <si>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</si>
  <si>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</si>
  <si>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</si>
  <si>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</si>
  <si>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</si>
  <si>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</si>
  <si>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</si>
  <si>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</si>
  <si>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</si>
  <si>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</si>
  <si>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</si>
  <si>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</si>
  <si>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</si>
  <si>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</si>
  <si>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</si>
  <si>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</si>
  <si>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</si>
  <si>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</si>
  <si>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</si>
  <si>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</si>
  <si>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</si>
  <si>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</si>
  <si>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</si>
  <si>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</si>
  <si>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</si>
  <si>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</si>
  <si>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</si>
  <si>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</si>
  <si>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</si>
  <si>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</si>
  <si>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</si>
  <si>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</si>
  <si>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</si>
  <si>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</si>
  <si>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</si>
  <si>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</si>
  <si>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</si>
  <si>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</si>
  <si>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</si>
  <si>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</si>
  <si>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</si>
  <si>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</si>
  <si>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</si>
  <si>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</si>
  <si>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</si>
  <si>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</si>
  <si>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</si>
  <si>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</si>
  <si>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</si>
  <si>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</si>
  <si>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</si>
  <si>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</si>
  <si>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</si>
  <si>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</si>
  <si>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</si>
  <si>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</si>
  <si>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</si>
  <si>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</si>
  <si>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</si>
  <si>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</si>
  <si>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</si>
  <si>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</si>
  <si>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</si>
  <si>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</si>
  <si>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</si>
  <si>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</si>
  <si>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</si>
  <si>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</si>
  <si>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</si>
  <si>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</si>
  <si>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</si>
  <si>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</si>
  <si>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</si>
  <si>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</si>
  <si>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</si>
  <si>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</si>
  <si>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</si>
  <si>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</si>
  <si>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</si>
  <si>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</si>
  <si>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</si>
  <si>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</si>
  <si>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</si>
  <si>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</si>
  <si>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</si>
  <si>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</si>
  <si>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</si>
  <si>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</si>
  <si>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</si>
  <si>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</si>
  <si>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</si>
  <si>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</si>
  <si>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</si>
  <si>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</si>
  <si>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</si>
  <si>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</si>
  <si>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</si>
  <si>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</si>
  <si>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</si>
  <si>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</si>
  <si>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</si>
  <si>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</si>
  <si>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</si>
  <si>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</si>
  <si>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</si>
  <si>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</si>
  <si>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</si>
  <si>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</si>
  <si>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</si>
  <si>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</si>
  <si>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</si>
  <si>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</si>
  <si>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</si>
  <si>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</si>
  <si>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</si>
  <si>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</si>
  <si>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</si>
  <si>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</si>
  <si>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</si>
  <si>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</si>
  <si>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</si>
  <si>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</si>
  <si>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</si>
  <si>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</si>
  <si>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</si>
  <si>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</si>
  <si>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</si>
  <si>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</si>
  <si>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</si>
  <si>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</si>
  <si>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</si>
  <si>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</si>
  <si>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</si>
  <si>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</si>
  <si>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</si>
  <si>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</si>
  <si>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</si>
  <si>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</si>
  <si>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</si>
  <si>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</si>
  <si>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</si>
  <si>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</si>
  <si>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</si>
  <si>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</si>
  <si>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</si>
  <si>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</si>
  <si>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</si>
  <si>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</si>
  <si>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</si>
  <si>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</si>
  <si>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</si>
  <si>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</si>
  <si>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</si>
  <si>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</si>
  <si>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</si>
  <si>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</si>
  <si>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</si>
  <si>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</si>
  <si>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</si>
  <si>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</si>
  <si>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</si>
  <si>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</si>
  <si>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</si>
  <si>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</si>
  <si>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</si>
  <si>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</si>
  <si>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</si>
  <si>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</si>
  <si>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</si>
  <si>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</si>
  <si>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</si>
  <si>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</si>
  <si>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</si>
  <si>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</si>
  <si>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</si>
  <si>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</si>
  <si>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</si>
  <si>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</si>
  <si>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</si>
  <si>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</si>
  <si>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</si>
  <si>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</si>
  <si>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</si>
  <si>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</si>
  <si>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</si>
  <si>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</si>
  <si>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</si>
  <si>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</si>
  <si>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</si>
  <si>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</si>
  <si>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</si>
  <si>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</si>
  <si>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</si>
  <si>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</si>
  <si>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</si>
  <si>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</si>
  <si>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</si>
  <si>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</si>
  <si>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</si>
  <si>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</si>
  <si>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</si>
  <si>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</si>
  <si>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</si>
  <si>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</si>
  <si>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</si>
  <si>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</si>
  <si>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</si>
  <si>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</si>
  <si>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</si>
  <si>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</si>
  <si>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</si>
  <si>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</si>
  <si>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</si>
  <si>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</si>
  <si>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</si>
  <si>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</si>
  <si>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</si>
  <si>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</si>
  <si>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</si>
  <si>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</si>
  <si>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</si>
  <si>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</si>
  <si>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</si>
  <si>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</si>
  <si>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</si>
  <si>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</si>
  <si>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</si>
  <si>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</si>
  <si>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</si>
  <si>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</si>
  <si>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</si>
  <si>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</si>
  <si>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</si>
  <si>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</si>
  <si>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</si>
  <si>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</si>
  <si>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</si>
  <si>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</si>
  <si>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</si>
  <si>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</si>
  <si>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</si>
  <si>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</si>
  <si>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</si>
  <si>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</si>
  <si>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</si>
  <si>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</si>
  <si>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</si>
  <si>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</si>
  <si>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</si>
  <si>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</si>
  <si>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</si>
  <si>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</si>
  <si>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</si>
  <si>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</si>
  <si>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</si>
  <si>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</si>
  <si>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</si>
  <si>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</si>
  <si>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</si>
  <si>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</si>
  <si>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</si>
  <si>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</si>
  <si>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</si>
  <si>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</si>
  <si>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</si>
  <si>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</si>
  <si>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</si>
  <si>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</si>
  <si>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</si>
  <si>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</si>
  <si>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</si>
  <si>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</si>
  <si>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</si>
  <si>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</si>
  <si>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</si>
  <si>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</si>
  <si>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</si>
  <si>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</si>
  <si>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</si>
  <si>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</si>
  <si>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</si>
  <si>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</si>
  <si>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</si>
  <si>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</si>
  <si>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</si>
  <si>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</si>
  <si>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</si>
  <si>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</si>
  <si>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</si>
  <si>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</si>
  <si>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</si>
  <si>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</si>
  <si>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</si>
  <si>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</si>
  <si>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</si>
  <si>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</si>
  <si>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</si>
  <si>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</si>
  <si>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</si>
  <si>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</si>
  <si>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</si>
  <si>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</si>
  <si>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</si>
  <si>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</si>
  <si>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</si>
  <si>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</si>
  <si>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</si>
  <si>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</si>
  <si>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</si>
  <si>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</si>
  <si>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</si>
  <si>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</si>
  <si>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</si>
  <si>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</si>
  <si>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</si>
  <si>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</si>
  <si>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</si>
  <si>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</si>
  <si>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</si>
  <si>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</si>
  <si>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</si>
  <si>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</si>
  <si>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</si>
  <si>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</si>
  <si>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</si>
  <si>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</si>
  <si>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</si>
  <si>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</si>
  <si>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</si>
  <si>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</si>
  <si>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</si>
  <si>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</si>
  <si>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</si>
  <si>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</si>
  <si>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</si>
  <si>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</si>
  <si>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</si>
  <si>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Fishing</t>
  </si>
  <si>
    <t>Crude oil</t>
  </si>
  <si>
    <t>Natural gas</t>
  </si>
  <si>
    <t>Other foods</t>
  </si>
  <si>
    <t>Clothing</t>
  </si>
  <si>
    <t>Chemicals</t>
  </si>
  <si>
    <t>cngas</t>
  </si>
  <si>
    <t>Coal</t>
  </si>
  <si>
    <t>Electricity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</si>
  <si>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</si>
  <si>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</si>
  <si>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</si>
  <si>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</si>
  <si>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</si>
  <si>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</si>
  <si>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</si>
  <si>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</si>
  <si>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</si>
  <si>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</si>
  <si>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</si>
  <si>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</si>
  <si>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</si>
  <si>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</si>
  <si>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</si>
  <si>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</si>
  <si>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</si>
  <si>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</si>
  <si>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</si>
  <si>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</si>
  <si>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</si>
  <si>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</si>
  <si>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</si>
  <si>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</si>
  <si>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</si>
  <si>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</si>
  <si>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</si>
  <si>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</si>
  <si>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</si>
  <si>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</si>
  <si>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</si>
  <si>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</si>
  <si>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</si>
  <si>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</si>
  <si>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</si>
  <si>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</si>
  <si>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</si>
  <si>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</si>
  <si>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</si>
  <si>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</si>
  <si>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</si>
  <si>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</si>
  <si>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Losses</t>
  </si>
  <si>
    <t>Commerce</t>
  </si>
  <si>
    <t>demand</t>
  </si>
  <si>
    <t>Residential</t>
  </si>
  <si>
    <t>Transport</t>
  </si>
  <si>
    <t>Final demand</t>
  </si>
  <si>
    <t>Generation</t>
  </si>
  <si>
    <t>supply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</si>
  <si>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</si>
  <si>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</si>
  <si>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</si>
  <si>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</si>
  <si>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</si>
  <si>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</si>
  <si>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</si>
  <si>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</si>
  <si>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</si>
  <si>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</si>
  <si>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Value</t>
  </si>
  <si>
    <t>flab-n</t>
  </si>
  <si>
    <t>angas</t>
  </si>
  <si>
    <t>ha</t>
  </si>
  <si>
    <t>tonnes</t>
  </si>
  <si>
    <t>Production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</si>
  <si>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</si>
  <si>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</si>
  <si>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</si>
  <si>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</si>
  <si>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</si>
  <si>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</si>
  <si>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</si>
  <si>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</si>
  <si>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</si>
  <si>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</si>
  <si>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</si>
  <si>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</si>
  <si>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</si>
  <si>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</si>
  <si>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</si>
  <si>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</si>
  <si>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</si>
  <si>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</si>
  <si>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</si>
  <si>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</si>
  <si>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</si>
  <si>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</si>
  <si>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</si>
  <si>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</si>
  <si>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</si>
  <si>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</si>
  <si>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</si>
  <si>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</si>
  <si>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</si>
  <si>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</si>
  <si>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</si>
  <si>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</si>
  <si>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</si>
  <si>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</si>
  <si>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</si>
  <si>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</si>
  <si>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</si>
  <si>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</si>
  <si>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</si>
  <si>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</si>
  <si>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</si>
  <si>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</si>
  <si>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</si>
  <si>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</si>
  <si>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</si>
  <si>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</si>
  <si>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</si>
  <si>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</si>
  <si>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</si>
  <si>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</si>
  <si>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</si>
  <si>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</si>
  <si>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</si>
  <si>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</si>
  <si>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</si>
  <si>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</si>
  <si>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</si>
  <si>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</si>
  <si>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</si>
  <si>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</si>
  <si>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</si>
  <si>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</si>
  <si>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</si>
  <si>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</si>
  <si>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</si>
  <si>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</si>
  <si>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</si>
  <si>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</si>
  <si>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</si>
  <si>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</si>
  <si>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</si>
  <si>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</si>
  <si>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</si>
  <si>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</si>
  <si>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</si>
  <si>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</si>
  <si>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</si>
  <si>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</si>
  <si>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</si>
  <si>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</si>
  <si>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</si>
  <si>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</si>
  <si>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</si>
  <si>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</si>
  <si>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</si>
  <si>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</si>
  <si>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</si>
  <si>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</si>
  <si>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</si>
  <si>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</si>
  <si>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</si>
  <si>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</si>
  <si>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</si>
  <si>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</si>
  <si>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</si>
  <si>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</si>
  <si>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</si>
  <si>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</si>
  <si>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</si>
  <si>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</si>
  <si>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</si>
  <si>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</si>
  <si>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</si>
  <si>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</si>
  <si>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</si>
  <si>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</si>
  <si>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</si>
  <si>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</si>
  <si>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</si>
  <si>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</si>
  <si>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</si>
  <si>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</si>
  <si>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</si>
  <si>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</si>
  <si>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</si>
  <si>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</si>
  <si>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</si>
  <si>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</si>
  <si>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</si>
  <si>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</si>
  <si>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</si>
  <si>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</si>
  <si>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</si>
  <si>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</si>
  <si>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</si>
  <si>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</si>
  <si>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</si>
  <si>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</si>
  <si>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</si>
  <si>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</si>
  <si>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</si>
  <si>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</si>
  <si>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</si>
  <si>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</si>
  <si>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</si>
  <si>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</si>
  <si>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</si>
  <si>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</si>
  <si>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</si>
  <si>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</si>
  <si>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</si>
  <si>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</si>
  <si>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</si>
  <si>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</si>
  <si>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</si>
  <si>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</si>
  <si>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</si>
  <si>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</si>
  <si>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</si>
  <si>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</si>
  <si>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</si>
  <si>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</si>
  <si>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</si>
  <si>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</si>
  <si>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</si>
  <si>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</si>
  <si>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</si>
  <si>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</si>
  <si>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</si>
  <si>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</si>
  <si>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</si>
  <si>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</si>
  <si>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</si>
  <si>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</si>
  <si>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</si>
  <si>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</si>
  <si>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</si>
  <si>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</si>
  <si>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</si>
  <si>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</si>
  <si>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</si>
  <si>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</si>
  <si>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</si>
  <si>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</si>
  <si>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</si>
  <si>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</si>
  <si>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</si>
  <si>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</si>
  <si>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</si>
  <si>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</si>
  <si>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</si>
  <si>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</si>
  <si>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</si>
  <si>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</si>
  <si>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</si>
  <si>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</si>
  <si>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</si>
  <si>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</si>
  <si>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</si>
  <si>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</si>
  <si>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</si>
  <si>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</si>
  <si>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</si>
  <si>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</si>
  <si>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</si>
  <si>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</si>
  <si>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</si>
  <si>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</si>
  <si>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</si>
  <si>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</si>
  <si>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</si>
  <si>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</si>
  <si>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</si>
  <si>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</si>
  <si>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</si>
  <si>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</si>
  <si>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</si>
  <si>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</si>
  <si>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</si>
  <si>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</si>
  <si>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</si>
  <si>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</si>
  <si>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</si>
  <si>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</si>
  <si>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</si>
  <si>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</si>
  <si>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</si>
  <si>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</si>
  <si>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</si>
  <si>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</si>
  <si>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</si>
  <si>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</si>
  <si>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</si>
  <si>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</si>
  <si>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</si>
  <si>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</si>
  <si>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</si>
  <si>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</si>
  <si>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</si>
  <si>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</si>
  <si>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</si>
  <si>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</si>
  <si>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</si>
  <si>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</si>
  <si>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</si>
  <si>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</si>
  <si>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</si>
  <si>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</si>
  <si>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</si>
  <si>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</si>
  <si>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</si>
  <si>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</si>
  <si>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</si>
  <si>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</si>
  <si>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</si>
  <si>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</si>
  <si>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</si>
  <si>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</si>
  <si>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</si>
  <si>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</si>
  <si>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</si>
  <si>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</si>
  <si>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</si>
  <si>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</si>
  <si>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</si>
  <si>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</si>
  <si>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</si>
  <si>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</si>
  <si>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</si>
  <si>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</si>
  <si>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</si>
  <si>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</si>
  <si>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</si>
  <si>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</si>
  <si>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</si>
  <si>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</si>
  <si>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</si>
  <si>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</si>
  <si>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</si>
  <si>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</si>
  <si>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</si>
  <si>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</si>
  <si>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</si>
  <si>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</si>
  <si>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</si>
  <si>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</si>
  <si>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</si>
  <si>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</si>
  <si>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</si>
  <si>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</si>
  <si>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</si>
  <si>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</si>
  <si>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</si>
  <si>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</si>
  <si>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</si>
  <si>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</si>
  <si>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</si>
  <si>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</si>
  <si>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</si>
  <si>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</si>
  <si>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</si>
  <si>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</si>
  <si>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</si>
  <si>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</si>
  <si>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</si>
  <si>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</si>
  <si>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</si>
  <si>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</si>
  <si>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</si>
  <si>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</si>
  <si>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</si>
  <si>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</si>
  <si>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</si>
  <si>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</si>
  <si>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</si>
  <si>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</si>
  <si>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</si>
  <si>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</si>
  <si>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</si>
  <si>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</si>
  <si>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</si>
  <si>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</si>
  <si>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</si>
  <si>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</si>
  <si>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</si>
  <si>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</si>
  <si>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</si>
  <si>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</si>
  <si>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</si>
  <si>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</si>
  <si>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</si>
  <si>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2009 SUT shows that 99.9% of chemicals expenditure is on petroleum therefore make 100%</t>
  </si>
  <si>
    <t>acrop</t>
  </si>
  <si>
    <t>ADJ. AVERAGE WAGES (thousand)</t>
  </si>
  <si>
    <t>FEGY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</si>
</sst>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  <font>
      <b/>
      <sz val="9"/>
      <color rgb="FFFF0000"/>
      <name val="Calibri Light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0" fontId="25" fillId="0" borderId="0" xfId="0" applyFont="1"/>
    <xf numFmtId="0" fontId="24" fillId="3" borderId="0" xfId="0" applyFont="1" applyFill="1"/>
    <xf numFmtId="0" fontId="30" fillId="3" borderId="2" xfId="0" applyFont="1" applyFill="1" applyBorder="1" applyAlignment="1">
      <alignment horizontal="right" vertical="center"/>
    </xf>
    <xf numFmtId="0" fontId="31" fillId="4" borderId="2" xfId="0" applyFont="1" applyFill="1" applyBorder="1" applyAlignment="1">
      <alignment horizontal="right" vertical="center"/>
    </xf>
    <xf numFmtId="0" fontId="32" fillId="3" borderId="3" xfId="0" applyFont="1" applyFill="1" applyBorder="1" applyAlignment="1">
      <alignment vertical="center"/>
    </xf>
    <xf numFmtId="0" fontId="32" fillId="3" borderId="3" xfId="0" applyFont="1" applyFill="1" applyBorder="1" applyAlignment="1">
      <alignment horizontal="right" vertical="center"/>
    </xf>
    <xf numFmtId="0" fontId="33" fillId="5" borderId="3" xfId="0" applyFont="1" applyFill="1" applyBorder="1" applyAlignment="1">
      <alignment vertical="center"/>
    </xf>
    <xf numFmtId="0" fontId="33" fillId="5" borderId="3" xfId="0" applyFont="1" applyFill="1" applyBorder="1" applyAlignment="1">
      <alignment horizontal="right" vertical="center"/>
    </xf>
    <xf numFmtId="1" fontId="24" fillId="0" borderId="0" xfId="0" applyNumberFormat="1" applyFont="1"/>
    <xf numFmtId="43" fontId="24" fillId="0" borderId="0" xfId="1" applyFont="1" applyAlignment="1"/>
    <xf numFmtId="165" fontId="24" fillId="0" borderId="0" xfId="1" applyNumberFormat="1" applyFont="1" applyAlignment="1"/>
    <xf numFmtId="3" fontId="24" fillId="0" borderId="0" xfId="0" applyNumberFormat="1" applyFont="1"/>
    <xf numFmtId="0" fontId="23" fillId="0" borderId="0" xfId="9" applyAlignment="1"/>
    <xf numFmtId="0" fontId="24" fillId="6" borderId="0" xfId="0" applyFont="1" applyFill="1"/>
    <xf numFmtId="165" fontId="24" fillId="6" borderId="0" xfId="0" applyNumberFormat="1" applyFont="1" applyFill="1"/>
    <xf numFmtId="168" fontId="24" fillId="0" borderId="0" xfId="1" applyNumberFormat="1" applyFont="1" applyAlignment="1">
      <alignment horizontal="left"/>
    </xf>
    <xf numFmtId="167" fontId="24" fillId="0" borderId="0" xfId="1" applyNumberFormat="1" applyFont="1"/>
    <xf numFmtId="0" fontId="34" fillId="0" borderId="0" xfId="0" applyFont="1"/>
    <xf numFmtId="3" fontId="34" fillId="0" borderId="0" xfId="0" applyNumberFormat="1" applyFont="1"/>
    <xf numFmtId="9" fontId="34" fillId="0" borderId="0" xfId="8" applyFont="1"/>
    <xf numFmtId="165" fontId="34" fillId="0" borderId="0" xfId="0" applyNumberFormat="1" applyFont="1"/>
    <xf numFmtId="165" fontId="34" fillId="0" borderId="0" xfId="1" applyNumberFormat="1" applyFont="1"/>
    <xf numFmtId="1" fontId="34" fillId="0" borderId="0" xfId="0" applyNumberFormat="1" applyFont="1"/>
    <xf numFmtId="165" fontId="24" fillId="7" borderId="0" xfId="1" applyNumberFormat="1" applyFont="1" applyFill="1"/>
    <xf numFmtId="171" fontId="24" fillId="7" borderId="0" xfId="0" applyNumberFormat="1" applyFont="1" applyFill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4" xfId="0" applyBorder="1"/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36" fillId="0" borderId="0" xfId="0" applyFont="1"/>
    <xf numFmtId="0" fontId="37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8" fillId="0" borderId="0" xfId="0" applyFont="1"/>
    <xf numFmtId="43" fontId="38" fillId="0" borderId="0" xfId="1" applyFont="1"/>
    <xf numFmtId="43" fontId="39" fillId="0" borderId="0" xfId="1" applyFont="1"/>
    <xf numFmtId="169" fontId="0" fillId="2" borderId="0" xfId="1" applyNumberFormat="1" applyFont="1" applyFill="1"/>
    <xf numFmtId="165" fontId="39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40" fillId="0" borderId="0" xfId="0" applyFont="1"/>
    <xf numFmtId="0" fontId="4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42" fillId="0" borderId="0" xfId="0" applyFont="1" applyAlignment="1">
      <alignment horizontal="center" vertical="top"/>
    </xf>
    <xf numFmtId="165" fontId="0" fillId="0" borderId="0" xfId="0" applyNumberFormat="1" applyAlignment="1">
      <alignment horizontal="left" vertical="top"/>
    </xf>
    <xf numFmtId="168" fontId="17" fillId="0" borderId="0" xfId="1" applyNumberFormat="1" applyFont="1"/>
    <xf numFmtId="165" fontId="17" fillId="0" borderId="0" xfId="1" applyNumberFormat="1" applyFont="1"/>
    <xf numFmtId="11" fontId="0" fillId="0" borderId="0" xfId="0" applyNumberFormat="1" applyAlignment="1">
      <alignment horizontal="right"/>
    </xf>
    <xf numFmtId="0" fontId="42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5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82" workbookViewId="0">
      <selection activeCell="B96" sqref="B96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IF([3]Notes!B3="No match","Check country code",[3]Notes!B4&amp;" Social Accounting Matrix for "&amp;[3]Notes!B3)</f>
        <v>2019 Social Accounting Matrix for Kenya</v>
      </c>
    </row>
    <row r="3" spans="1:6" x14ac:dyDescent="0.3">
      <c r="A3" s="2" t="s">
        <v>603</v>
      </c>
      <c r="B3" t="str">
        <f>_xlfn.XLOOKUP([3]Index!M2,[3]Index!$A$7:$A$270,[3]Index!$B$7:$B$270,"No match")</f>
        <v>Kenya</v>
      </c>
      <c r="D3" s="117" t="s">
        <v>604</v>
      </c>
      <c r="E3" s="118">
        <f>F3</f>
        <v>44508.695565150461</v>
      </c>
      <c r="F3" s="119">
        <v>44508.695565150461</v>
      </c>
    </row>
    <row r="4" spans="1:6" x14ac:dyDescent="0.3">
      <c r="A4" s="2" t="s">
        <v>605</v>
      </c>
      <c r="B4" s="3">
        <f>[3]Index!M3</f>
        <v>2019</v>
      </c>
    </row>
    <row r="5" spans="1:6" x14ac:dyDescent="0.3">
      <c r="A5" s="2" t="s">
        <v>606</v>
      </c>
      <c r="B5" s="3" t="str">
        <f>PROPER([3]Index!O2&amp;" of "&amp;_xlfn.XLOOKUP([3]Index!$M$2,[3]Index!$A$7:$A$209,[3]Index!$D$7:$D$209,"")&amp;" ("&amp;_xlfn.XLOOKUP([3]Index!$M$2,[3]Index!$A$7:$A$209,[3]Index!$C$7:$C$209,"")&amp;")")</f>
        <v>Billions Of Kenyan Shilling (Sh)</v>
      </c>
    </row>
    <row r="6" spans="1:6" x14ac:dyDescent="0.3">
      <c r="A6" s="2" t="s">
        <v>607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608</v>
      </c>
    </row>
    <row r="9" spans="1:6" x14ac:dyDescent="0.3">
      <c r="A9" t="s">
        <v>323</v>
      </c>
      <c r="B9" t="s">
        <v>609</v>
      </c>
    </row>
    <row r="10" spans="1:6" x14ac:dyDescent="0.3">
      <c r="A10" t="s">
        <v>324</v>
      </c>
      <c r="B10" t="s">
        <v>610</v>
      </c>
    </row>
    <row r="11" spans="1:6" x14ac:dyDescent="0.3">
      <c r="A11" t="s">
        <v>611</v>
      </c>
      <c r="B11" t="s">
        <v>612</v>
      </c>
    </row>
    <row r="12" spans="1:6" x14ac:dyDescent="0.3">
      <c r="A12" t="s">
        <v>325</v>
      </c>
      <c r="B12" t="s">
        <v>613</v>
      </c>
    </row>
    <row r="13" spans="1:6" x14ac:dyDescent="0.3">
      <c r="A13" t="s">
        <v>326</v>
      </c>
      <c r="B13" t="s">
        <v>614</v>
      </c>
    </row>
    <row r="14" spans="1:6" x14ac:dyDescent="0.3">
      <c r="A14" t="s">
        <v>327</v>
      </c>
      <c r="B14" t="s">
        <v>615</v>
      </c>
    </row>
    <row r="15" spans="1:6" x14ac:dyDescent="0.3">
      <c r="A15" t="s">
        <v>313</v>
      </c>
      <c r="B15" t="s">
        <v>616</v>
      </c>
    </row>
    <row r="16" spans="1:6" x14ac:dyDescent="0.3">
      <c r="A16" t="s">
        <v>328</v>
      </c>
      <c r="B16" t="s">
        <v>617</v>
      </c>
    </row>
    <row r="17" spans="1:2" x14ac:dyDescent="0.3">
      <c r="A17" t="s">
        <v>315</v>
      </c>
      <c r="B17" t="s">
        <v>618</v>
      </c>
    </row>
    <row r="18" spans="1:2" x14ac:dyDescent="0.3">
      <c r="A18" t="s">
        <v>329</v>
      </c>
      <c r="B18" t="s">
        <v>619</v>
      </c>
    </row>
    <row r="19" spans="1:2" x14ac:dyDescent="0.3">
      <c r="A19" t="s">
        <v>314</v>
      </c>
      <c r="B19" t="s">
        <v>620</v>
      </c>
    </row>
    <row r="20" spans="1:2" x14ac:dyDescent="0.3">
      <c r="A20" t="s">
        <v>330</v>
      </c>
      <c r="B20" t="s">
        <v>621</v>
      </c>
    </row>
    <row r="21" spans="1:2" x14ac:dyDescent="0.3">
      <c r="A21" t="s">
        <v>331</v>
      </c>
      <c r="B21" t="s">
        <v>622</v>
      </c>
    </row>
    <row r="22" spans="1:2" x14ac:dyDescent="0.3">
      <c r="A22" t="s">
        <v>332</v>
      </c>
      <c r="B22" t="s">
        <v>623</v>
      </c>
    </row>
    <row r="23" spans="1:2" x14ac:dyDescent="0.3">
      <c r="A23" t="s">
        <v>333</v>
      </c>
      <c r="B23" t="s">
        <v>624</v>
      </c>
    </row>
    <row r="24" spans="1:2" x14ac:dyDescent="0.3">
      <c r="A24" t="s">
        <v>334</v>
      </c>
      <c r="B24" t="s">
        <v>625</v>
      </c>
    </row>
    <row r="25" spans="1:2" x14ac:dyDescent="0.3">
      <c r="A25" t="s">
        <v>5</v>
      </c>
      <c r="B25" t="s">
        <v>626</v>
      </c>
    </row>
    <row r="26" spans="1:2" x14ac:dyDescent="0.3">
      <c r="A26" t="s">
        <v>9</v>
      </c>
      <c r="B26" t="s">
        <v>627</v>
      </c>
    </row>
    <row r="27" spans="1:2" x14ac:dyDescent="0.3">
      <c r="A27" t="s">
        <v>483</v>
      </c>
      <c r="B27" t="s">
        <v>628</v>
      </c>
    </row>
    <row r="28" spans="1:2" x14ac:dyDescent="0.3">
      <c r="A28" t="s">
        <v>20</v>
      </c>
      <c r="B28" t="s">
        <v>629</v>
      </c>
    </row>
    <row r="29" spans="1:2" x14ac:dyDescent="0.3">
      <c r="A29" t="s">
        <v>335</v>
      </c>
      <c r="B29" t="s">
        <v>630</v>
      </c>
    </row>
    <row r="30" spans="1:2" x14ac:dyDescent="0.3">
      <c r="A30" t="s">
        <v>336</v>
      </c>
      <c r="B30" t="s">
        <v>631</v>
      </c>
    </row>
    <row r="31" spans="1:2" x14ac:dyDescent="0.3">
      <c r="A31" t="s">
        <v>27</v>
      </c>
      <c r="B31" t="s">
        <v>632</v>
      </c>
    </row>
    <row r="32" spans="1:2" x14ac:dyDescent="0.3">
      <c r="A32" t="s">
        <v>337</v>
      </c>
      <c r="B32" t="s">
        <v>633</v>
      </c>
    </row>
    <row r="33" spans="1:2" x14ac:dyDescent="0.3">
      <c r="A33" t="s">
        <v>338</v>
      </c>
      <c r="B33" t="s">
        <v>634</v>
      </c>
    </row>
    <row r="34" spans="1:2" x14ac:dyDescent="0.3">
      <c r="A34" t="s">
        <v>339</v>
      </c>
      <c r="B34" t="s">
        <v>635</v>
      </c>
    </row>
    <row r="35" spans="1:2" x14ac:dyDescent="0.3">
      <c r="A35" t="s">
        <v>309</v>
      </c>
      <c r="B35" t="s">
        <v>636</v>
      </c>
    </row>
    <row r="36" spans="1:2" x14ac:dyDescent="0.3">
      <c r="A36" t="s">
        <v>340</v>
      </c>
      <c r="B36" t="s">
        <v>637</v>
      </c>
    </row>
    <row r="37" spans="1:2" x14ac:dyDescent="0.3">
      <c r="A37" t="s">
        <v>341</v>
      </c>
      <c r="B37" t="s">
        <v>638</v>
      </c>
    </row>
    <row r="38" spans="1:2" x14ac:dyDescent="0.3">
      <c r="A38" t="s">
        <v>32</v>
      </c>
      <c r="B38" t="s">
        <v>639</v>
      </c>
    </row>
    <row r="39" spans="1:2" x14ac:dyDescent="0.3">
      <c r="A39" t="s">
        <v>342</v>
      </c>
      <c r="B39" t="s">
        <v>640</v>
      </c>
    </row>
    <row r="40" spans="1:2" x14ac:dyDescent="0.3">
      <c r="A40" t="s">
        <v>34</v>
      </c>
      <c r="B40" t="s">
        <v>641</v>
      </c>
    </row>
    <row r="41" spans="1:2" x14ac:dyDescent="0.3">
      <c r="A41" t="s">
        <v>343</v>
      </c>
      <c r="B41" t="s">
        <v>642</v>
      </c>
    </row>
    <row r="42" spans="1:2" x14ac:dyDescent="0.3">
      <c r="A42" t="s">
        <v>344</v>
      </c>
      <c r="B42" t="s">
        <v>643</v>
      </c>
    </row>
    <row r="43" spans="1:2" x14ac:dyDescent="0.3">
      <c r="A43" t="s">
        <v>345</v>
      </c>
      <c r="B43" t="s">
        <v>644</v>
      </c>
    </row>
    <row r="44" spans="1:2" x14ac:dyDescent="0.3">
      <c r="A44" t="s">
        <v>346</v>
      </c>
      <c r="B44" t="s">
        <v>645</v>
      </c>
    </row>
    <row r="45" spans="1:2" x14ac:dyDescent="0.3">
      <c r="A45" t="s">
        <v>175</v>
      </c>
      <c r="B45" t="s">
        <v>646</v>
      </c>
    </row>
    <row r="46" spans="1:2" x14ac:dyDescent="0.3">
      <c r="A46" t="s">
        <v>347</v>
      </c>
      <c r="B46" t="s">
        <v>647</v>
      </c>
    </row>
    <row r="47" spans="1:2" x14ac:dyDescent="0.3">
      <c r="A47" t="s">
        <v>348</v>
      </c>
      <c r="B47" t="s">
        <v>648</v>
      </c>
    </row>
    <row r="48" spans="1:2" x14ac:dyDescent="0.3">
      <c r="A48" t="s">
        <v>176</v>
      </c>
      <c r="B48" t="s">
        <v>649</v>
      </c>
    </row>
    <row r="49" spans="1:2" x14ac:dyDescent="0.3">
      <c r="A49" t="s">
        <v>177</v>
      </c>
      <c r="B49" t="s">
        <v>650</v>
      </c>
    </row>
    <row r="50" spans="1:2" x14ac:dyDescent="0.3">
      <c r="A50" s="34" t="s">
        <v>36</v>
      </c>
      <c r="B50" s="34" t="s">
        <v>651</v>
      </c>
    </row>
    <row r="51" spans="1:2" x14ac:dyDescent="0.3">
      <c r="A51" t="s">
        <v>349</v>
      </c>
      <c r="B51" t="s">
        <v>652</v>
      </c>
    </row>
    <row r="52" spans="1:2" x14ac:dyDescent="0.3">
      <c r="A52" t="s">
        <v>350</v>
      </c>
      <c r="B52" t="s">
        <v>653</v>
      </c>
    </row>
    <row r="53" spans="1:2" x14ac:dyDescent="0.3">
      <c r="A53" t="s">
        <v>351</v>
      </c>
      <c r="B53" t="s">
        <v>654</v>
      </c>
    </row>
    <row r="54" spans="1:2" x14ac:dyDescent="0.3">
      <c r="A54" t="s">
        <v>352</v>
      </c>
      <c r="B54" t="s">
        <v>655</v>
      </c>
    </row>
    <row r="55" spans="1:2" x14ac:dyDescent="0.3">
      <c r="A55" t="s">
        <v>353</v>
      </c>
      <c r="B55" t="s">
        <v>656</v>
      </c>
    </row>
    <row r="56" spans="1:2" x14ac:dyDescent="0.3">
      <c r="A56" t="s">
        <v>354</v>
      </c>
      <c r="B56" t="s">
        <v>657</v>
      </c>
    </row>
    <row r="57" spans="1:2" x14ac:dyDescent="0.3">
      <c r="A57" t="s">
        <v>310</v>
      </c>
      <c r="B57" t="s">
        <v>658</v>
      </c>
    </row>
    <row r="58" spans="1:2" x14ac:dyDescent="0.3">
      <c r="A58" t="s">
        <v>355</v>
      </c>
      <c r="B58" t="s">
        <v>659</v>
      </c>
    </row>
    <row r="59" spans="1:2" x14ac:dyDescent="0.3">
      <c r="A59" t="s">
        <v>312</v>
      </c>
      <c r="B59" t="s">
        <v>660</v>
      </c>
    </row>
    <row r="60" spans="1:2" x14ac:dyDescent="0.3">
      <c r="A60" t="s">
        <v>356</v>
      </c>
      <c r="B60" t="s">
        <v>661</v>
      </c>
    </row>
    <row r="61" spans="1:2" x14ac:dyDescent="0.3">
      <c r="A61" t="s">
        <v>311</v>
      </c>
      <c r="B61" t="s">
        <v>662</v>
      </c>
    </row>
    <row r="62" spans="1:2" x14ac:dyDescent="0.3">
      <c r="A62" t="s">
        <v>357</v>
      </c>
      <c r="B62" t="s">
        <v>663</v>
      </c>
    </row>
    <row r="63" spans="1:2" x14ac:dyDescent="0.3">
      <c r="A63" t="s">
        <v>358</v>
      </c>
      <c r="B63" t="s">
        <v>664</v>
      </c>
    </row>
    <row r="64" spans="1:2" x14ac:dyDescent="0.3">
      <c r="A64" t="s">
        <v>359</v>
      </c>
      <c r="B64" t="s">
        <v>665</v>
      </c>
    </row>
    <row r="65" spans="1:2" x14ac:dyDescent="0.3">
      <c r="A65" t="s">
        <v>360</v>
      </c>
      <c r="B65" t="s">
        <v>666</v>
      </c>
    </row>
    <row r="66" spans="1:2" x14ac:dyDescent="0.3">
      <c r="A66" t="s">
        <v>361</v>
      </c>
      <c r="B66" t="s">
        <v>667</v>
      </c>
    </row>
    <row r="67" spans="1:2" x14ac:dyDescent="0.3">
      <c r="A67" t="s">
        <v>6</v>
      </c>
      <c r="B67" t="s">
        <v>668</v>
      </c>
    </row>
    <row r="68" spans="1:2" x14ac:dyDescent="0.3">
      <c r="A68" t="s">
        <v>10</v>
      </c>
      <c r="B68" t="s">
        <v>669</v>
      </c>
    </row>
    <row r="69" spans="1:2" x14ac:dyDescent="0.3">
      <c r="A69" t="s">
        <v>670</v>
      </c>
      <c r="B69" t="s">
        <v>671</v>
      </c>
    </row>
    <row r="70" spans="1:2" x14ac:dyDescent="0.3">
      <c r="A70" t="s">
        <v>362</v>
      </c>
      <c r="B70" t="s">
        <v>672</v>
      </c>
    </row>
    <row r="71" spans="1:2" x14ac:dyDescent="0.3">
      <c r="A71" t="s">
        <v>363</v>
      </c>
      <c r="B71" t="s">
        <v>673</v>
      </c>
    </row>
    <row r="72" spans="1:2" x14ac:dyDescent="0.3">
      <c r="A72" t="s">
        <v>364</v>
      </c>
      <c r="B72" t="s">
        <v>674</v>
      </c>
    </row>
    <row r="73" spans="1:2" x14ac:dyDescent="0.3">
      <c r="A73" t="s">
        <v>28</v>
      </c>
      <c r="B73" t="s">
        <v>675</v>
      </c>
    </row>
    <row r="74" spans="1:2" x14ac:dyDescent="0.3">
      <c r="A74" t="s">
        <v>365</v>
      </c>
      <c r="B74" t="s">
        <v>676</v>
      </c>
    </row>
    <row r="75" spans="1:2" x14ac:dyDescent="0.3">
      <c r="A75" t="s">
        <v>366</v>
      </c>
      <c r="B75" t="s">
        <v>677</v>
      </c>
    </row>
    <row r="76" spans="1:2" x14ac:dyDescent="0.3">
      <c r="A76" t="s">
        <v>367</v>
      </c>
      <c r="B76" t="s">
        <v>678</v>
      </c>
    </row>
    <row r="77" spans="1:2" x14ac:dyDescent="0.3">
      <c r="A77" t="s">
        <v>368</v>
      </c>
      <c r="B77" t="s">
        <v>679</v>
      </c>
    </row>
    <row r="78" spans="1:2" x14ac:dyDescent="0.3">
      <c r="A78" t="s">
        <v>369</v>
      </c>
      <c r="B78" t="s">
        <v>680</v>
      </c>
    </row>
    <row r="79" spans="1:2" x14ac:dyDescent="0.3">
      <c r="A79" t="s">
        <v>370</v>
      </c>
      <c r="B79" t="s">
        <v>681</v>
      </c>
    </row>
    <row r="80" spans="1:2" x14ac:dyDescent="0.3">
      <c r="A80" t="s">
        <v>33</v>
      </c>
      <c r="B80" t="s">
        <v>682</v>
      </c>
    </row>
    <row r="81" spans="1:2" x14ac:dyDescent="0.3">
      <c r="A81" t="s">
        <v>371</v>
      </c>
      <c r="B81" t="s">
        <v>683</v>
      </c>
    </row>
    <row r="82" spans="1:2" x14ac:dyDescent="0.3">
      <c r="A82" t="s">
        <v>35</v>
      </c>
      <c r="B82" t="s">
        <v>684</v>
      </c>
    </row>
    <row r="83" spans="1:2" x14ac:dyDescent="0.3">
      <c r="A83" t="s">
        <v>372</v>
      </c>
      <c r="B83" t="s">
        <v>685</v>
      </c>
    </row>
    <row r="84" spans="1:2" x14ac:dyDescent="0.3">
      <c r="A84" t="s">
        <v>373</v>
      </c>
      <c r="B84" t="s">
        <v>686</v>
      </c>
    </row>
    <row r="85" spans="1:2" x14ac:dyDescent="0.3">
      <c r="A85" t="s">
        <v>374</v>
      </c>
      <c r="B85" t="s">
        <v>687</v>
      </c>
    </row>
    <row r="86" spans="1:2" x14ac:dyDescent="0.3">
      <c r="A86" t="s">
        <v>375</v>
      </c>
      <c r="B86" t="s">
        <v>688</v>
      </c>
    </row>
    <row r="87" spans="1:2" x14ac:dyDescent="0.3">
      <c r="A87" t="s">
        <v>178</v>
      </c>
      <c r="B87" t="s">
        <v>689</v>
      </c>
    </row>
    <row r="88" spans="1:2" x14ac:dyDescent="0.3">
      <c r="A88" t="s">
        <v>376</v>
      </c>
      <c r="B88" t="s">
        <v>690</v>
      </c>
    </row>
    <row r="89" spans="1:2" x14ac:dyDescent="0.3">
      <c r="A89" t="s">
        <v>377</v>
      </c>
      <c r="B89" t="s">
        <v>691</v>
      </c>
    </row>
    <row r="90" spans="1:2" x14ac:dyDescent="0.3">
      <c r="A90" t="s">
        <v>179</v>
      </c>
      <c r="B90" t="s">
        <v>692</v>
      </c>
    </row>
    <row r="91" spans="1:2" x14ac:dyDescent="0.3">
      <c r="A91" t="s">
        <v>180</v>
      </c>
      <c r="B91" t="s">
        <v>693</v>
      </c>
    </row>
    <row r="92" spans="1:2" x14ac:dyDescent="0.3">
      <c r="A92" s="34" t="s">
        <v>37</v>
      </c>
      <c r="B92" s="34" t="s">
        <v>694</v>
      </c>
    </row>
    <row r="93" spans="1:2" x14ac:dyDescent="0.3">
      <c r="A93" s="120" t="s">
        <v>156</v>
      </c>
      <c r="B93" s="120" t="s">
        <v>157</v>
      </c>
    </row>
    <row r="94" spans="1:2" x14ac:dyDescent="0.3">
      <c r="A94" t="s">
        <v>485</v>
      </c>
      <c r="B94" t="s">
        <v>695</v>
      </c>
    </row>
    <row r="95" spans="1:2" x14ac:dyDescent="0.3">
      <c r="A95" t="s">
        <v>2</v>
      </c>
      <c r="B95" t="s">
        <v>696</v>
      </c>
    </row>
    <row r="96" spans="1:2" x14ac:dyDescent="0.3">
      <c r="A96" t="s">
        <v>7</v>
      </c>
      <c r="B96" t="s">
        <v>697</v>
      </c>
    </row>
    <row r="97" spans="1:2" x14ac:dyDescent="0.3">
      <c r="A97" t="s">
        <v>378</v>
      </c>
      <c r="B97" t="s">
        <v>698</v>
      </c>
    </row>
    <row r="98" spans="1:2" x14ac:dyDescent="0.3">
      <c r="A98" s="34" t="s">
        <v>13</v>
      </c>
      <c r="B98" s="34" t="s">
        <v>699</v>
      </c>
    </row>
    <row r="99" spans="1:2" x14ac:dyDescent="0.3">
      <c r="A99" s="120" t="s">
        <v>11</v>
      </c>
      <c r="B99" s="120" t="s">
        <v>12</v>
      </c>
    </row>
    <row r="100" spans="1:2" x14ac:dyDescent="0.3">
      <c r="A100" t="s">
        <v>700</v>
      </c>
      <c r="B100" t="s">
        <v>701</v>
      </c>
    </row>
    <row r="101" spans="1:2" x14ac:dyDescent="0.3">
      <c r="A101" t="s">
        <v>702</v>
      </c>
      <c r="B101" t="s">
        <v>703</v>
      </c>
    </row>
    <row r="102" spans="1:2" x14ac:dyDescent="0.3">
      <c r="A102" t="s">
        <v>704</v>
      </c>
      <c r="B102" t="s">
        <v>705</v>
      </c>
    </row>
    <row r="103" spans="1:2" x14ac:dyDescent="0.3">
      <c r="A103" t="s">
        <v>706</v>
      </c>
      <c r="B103" t="s">
        <v>707</v>
      </c>
    </row>
    <row r="104" spans="1:2" x14ac:dyDescent="0.3">
      <c r="A104" t="s">
        <v>708</v>
      </c>
      <c r="B104" t="s">
        <v>709</v>
      </c>
    </row>
    <row r="105" spans="1:2" x14ac:dyDescent="0.3">
      <c r="A105" t="s">
        <v>379</v>
      </c>
      <c r="B105" t="s">
        <v>710</v>
      </c>
    </row>
    <row r="106" spans="1:2" x14ac:dyDescent="0.3">
      <c r="A106" t="s">
        <v>380</v>
      </c>
      <c r="B106" t="s">
        <v>711</v>
      </c>
    </row>
    <row r="107" spans="1:2" x14ac:dyDescent="0.3">
      <c r="A107" t="s">
        <v>381</v>
      </c>
      <c r="B107" t="s">
        <v>712</v>
      </c>
    </row>
    <row r="108" spans="1:2" x14ac:dyDescent="0.3">
      <c r="A108" t="s">
        <v>382</v>
      </c>
      <c r="B108" t="s">
        <v>713</v>
      </c>
    </row>
    <row r="109" spans="1:2" x14ac:dyDescent="0.3">
      <c r="A109" s="34" t="s">
        <v>383</v>
      </c>
      <c r="B109" s="34" t="s">
        <v>714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15</v>
      </c>
      <c r="B111" t="s">
        <v>715</v>
      </c>
    </row>
    <row r="112" spans="1:2" x14ac:dyDescent="0.3">
      <c r="A112" t="s">
        <v>16</v>
      </c>
      <c r="B112" t="s">
        <v>716</v>
      </c>
    </row>
    <row r="113" spans="1:2" x14ac:dyDescent="0.3">
      <c r="A113" t="s">
        <v>384</v>
      </c>
      <c r="B113" t="s">
        <v>717</v>
      </c>
    </row>
    <row r="114" spans="1:2" x14ac:dyDescent="0.3">
      <c r="A114" t="s">
        <v>399</v>
      </c>
      <c r="B114" t="s">
        <v>718</v>
      </c>
    </row>
    <row r="115" spans="1:2" x14ac:dyDescent="0.3">
      <c r="A115" t="s">
        <v>17</v>
      </c>
      <c r="B115" t="s">
        <v>719</v>
      </c>
    </row>
    <row r="116" spans="1:2" x14ac:dyDescent="0.3">
      <c r="A116" s="34" t="s">
        <v>19</v>
      </c>
      <c r="B116" s="34" t="s">
        <v>720</v>
      </c>
    </row>
    <row r="117" spans="1:2" x14ac:dyDescent="0.3">
      <c r="A117" t="s">
        <v>23</v>
      </c>
      <c r="B117" t="s">
        <v>403</v>
      </c>
    </row>
    <row r="118" spans="1:2" x14ac:dyDescent="0.3">
      <c r="A118" s="34" t="s">
        <v>24</v>
      </c>
      <c r="B118" s="34" t="s">
        <v>405</v>
      </c>
    </row>
    <row r="119" spans="1:2" x14ac:dyDescent="0.3">
      <c r="A119" s="120" t="s">
        <v>25</v>
      </c>
      <c r="B119" s="120" t="s">
        <v>26</v>
      </c>
    </row>
    <row r="120" spans="1:2" x14ac:dyDescent="0.3">
      <c r="A120" t="s">
        <v>174</v>
      </c>
      <c r="B120" t="s">
        <v>408</v>
      </c>
    </row>
  </sheetData>
  <conditionalFormatting sqref="B3:B4">
    <cfRule type="cellIs" dxfId="3" priority="1" operator="equal">
      <formula>"No match"</formula>
    </cfRule>
  </conditionalFormatting>
  <conditionalFormatting sqref="B6">
    <cfRule type="cellIs" dxfId="2" priority="2" operator="equal">
      <formula>"Check country code"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E71"/>
  <sheetViews>
    <sheetView workbookViewId="0">
      <selection activeCell="AA9" sqref="AA9:AD36"/>
    </sheetView>
  </sheetViews>
  <sheetFormatPr defaultRowHeight="14.4" x14ac:dyDescent="0.3"/>
  <cols>
    <col min="3" max="3" width="8.5546875" bestFit="1" customWidth="1"/>
    <col min="12" max="12" width="9.21875" bestFit="1" customWidth="1"/>
    <col min="18" max="18" width="7.5546875" bestFit="1" customWidth="1"/>
    <col min="19" max="19" width="8.5546875" bestFit="1" customWidth="1"/>
    <col min="20" max="20" width="11" bestFit="1" customWidth="1"/>
    <col min="21" max="21" width="4.5546875" bestFit="1" customWidth="1"/>
  </cols>
  <sheetData>
    <row r="1" spans="1:31" ht="18" x14ac:dyDescent="0.35">
      <c r="A1" s="5" t="s">
        <v>287</v>
      </c>
    </row>
    <row r="3" spans="1:31" x14ac:dyDescent="0.3">
      <c r="A3" s="2" t="s">
        <v>288</v>
      </c>
    </row>
    <row r="4" spans="1:31" x14ac:dyDescent="0.3">
      <c r="A4" s="9" t="s">
        <v>289</v>
      </c>
      <c r="F4" s="2" t="s">
        <v>290</v>
      </c>
      <c r="Q4" s="2" t="s">
        <v>291</v>
      </c>
    </row>
    <row r="5" spans="1:31" x14ac:dyDescent="0.3">
      <c r="A5" s="9" t="s">
        <v>292</v>
      </c>
      <c r="F5" s="9" t="s">
        <v>293</v>
      </c>
      <c r="Q5" s="9" t="s">
        <v>294</v>
      </c>
    </row>
    <row r="6" spans="1:31" x14ac:dyDescent="0.3">
      <c r="A6" s="9" t="s">
        <v>295</v>
      </c>
      <c r="F6" s="9" t="s">
        <v>229</v>
      </c>
      <c r="K6" s="36" t="s">
        <v>785</v>
      </c>
      <c r="Q6" s="9" t="s">
        <v>231</v>
      </c>
    </row>
    <row r="7" spans="1:31" x14ac:dyDescent="0.3">
      <c r="B7" s="4" t="s">
        <v>296</v>
      </c>
      <c r="C7" s="4" t="s">
        <v>297</v>
      </c>
      <c r="G7" t="s">
        <v>485</v>
      </c>
      <c r="H7" t="s">
        <v>2</v>
      </c>
      <c r="I7" t="s">
        <v>7</v>
      </c>
      <c r="J7" t="s">
        <v>13</v>
      </c>
      <c r="K7" t="s">
        <v>378</v>
      </c>
      <c r="R7" t="s">
        <v>485</v>
      </c>
      <c r="S7" t="s">
        <v>2</v>
      </c>
      <c r="T7" t="s">
        <v>7</v>
      </c>
      <c r="U7" t="s">
        <v>13</v>
      </c>
      <c r="Z7" s="146" t="s">
        <v>813</v>
      </c>
      <c r="AA7" s="147"/>
      <c r="AB7" s="147"/>
      <c r="AC7" s="147"/>
      <c r="AD7" s="147"/>
      <c r="AE7" s="139"/>
    </row>
    <row r="8" spans="1:31" x14ac:dyDescent="0.3">
      <c r="A8" s="11" t="s">
        <v>485</v>
      </c>
      <c r="B8" s="4">
        <v>4</v>
      </c>
      <c r="C8" s="145">
        <v>1000000000</v>
      </c>
      <c r="F8" t="s">
        <v>174</v>
      </c>
      <c r="G8" s="11"/>
      <c r="H8" s="11"/>
      <c r="I8" s="11"/>
      <c r="J8" s="11"/>
      <c r="K8" s="126">
        <f>SUM(K9:K21)</f>
        <v>6.2042060000000001</v>
      </c>
      <c r="Q8" t="s">
        <v>174</v>
      </c>
      <c r="R8" s="28"/>
      <c r="S8" s="28"/>
      <c r="T8" s="28"/>
      <c r="U8" s="28"/>
      <c r="Z8" s="139"/>
      <c r="AA8" s="140" t="s">
        <v>408</v>
      </c>
      <c r="AB8" s="141" t="s">
        <v>54</v>
      </c>
      <c r="AC8" s="141" t="s">
        <v>51</v>
      </c>
      <c r="AD8" s="141" t="s">
        <v>57</v>
      </c>
      <c r="AE8" s="139"/>
    </row>
    <row r="9" spans="1:31" x14ac:dyDescent="0.3">
      <c r="A9" s="11" t="s">
        <v>2</v>
      </c>
      <c r="B9" s="4">
        <v>4</v>
      </c>
      <c r="C9" s="145">
        <v>1000000000</v>
      </c>
      <c r="F9" s="11" t="s">
        <v>323</v>
      </c>
      <c r="G9" s="29"/>
      <c r="H9" s="29"/>
      <c r="I9" s="29"/>
      <c r="K9" s="126">
        <f>VLOOKUP($F9,CropProd!$M$5:$O$17,3,)/1000000</f>
        <v>2.2961740000000002</v>
      </c>
      <c r="Q9" s="11" t="str">
        <f>F9</f>
        <v>amaiz</v>
      </c>
      <c r="R9" s="144">
        <f>AB10</f>
        <v>52887.702801762724</v>
      </c>
      <c r="S9" s="144">
        <f t="shared" ref="S9:T9" si="0">AC10</f>
        <v>152238.92315084004</v>
      </c>
      <c r="T9" s="144">
        <f t="shared" si="0"/>
        <v>233843.41896936213</v>
      </c>
      <c r="U9" s="28"/>
      <c r="Z9" s="139" t="s">
        <v>408</v>
      </c>
      <c r="AA9" s="142">
        <v>158062.59179894166</v>
      </c>
      <c r="AB9" s="142">
        <v>28724.811644931469</v>
      </c>
      <c r="AC9" s="142">
        <v>102456.04608219126</v>
      </c>
      <c r="AD9" s="142">
        <v>451567.60979193758</v>
      </c>
      <c r="AE9" s="139"/>
    </row>
    <row r="10" spans="1:31" x14ac:dyDescent="0.3">
      <c r="A10" s="11" t="s">
        <v>7</v>
      </c>
      <c r="B10" s="4">
        <v>4</v>
      </c>
      <c r="C10" s="145">
        <v>1000000000</v>
      </c>
      <c r="F10" s="11" t="s">
        <v>324</v>
      </c>
      <c r="I10" s="29"/>
      <c r="K10" s="126">
        <f>VLOOKUP($F10,CropProd!$M$5:$O$17,3,)/1000000</f>
        <v>2.4992E-2</v>
      </c>
      <c r="Q10" s="11" t="str">
        <f t="shared" ref="Q10:Q51" si="1">F10</f>
        <v>arice</v>
      </c>
      <c r="R10" s="144">
        <f>R9</f>
        <v>52887.702801762724</v>
      </c>
      <c r="S10" s="144">
        <f t="shared" ref="S10:T10" si="2">S9</f>
        <v>152238.92315084004</v>
      </c>
      <c r="T10" s="144">
        <f t="shared" si="2"/>
        <v>233843.41896936213</v>
      </c>
      <c r="U10" s="28"/>
      <c r="Z10" s="139" t="s">
        <v>812</v>
      </c>
      <c r="AA10" s="142">
        <v>133239.77529798157</v>
      </c>
      <c r="AB10" s="142">
        <v>52887.702801762724</v>
      </c>
      <c r="AC10" s="142">
        <v>152238.92315084004</v>
      </c>
      <c r="AD10" s="142">
        <v>233843.41896936213</v>
      </c>
      <c r="AE10" s="139"/>
    </row>
    <row r="11" spans="1:31" x14ac:dyDescent="0.3">
      <c r="A11" t="s">
        <v>13</v>
      </c>
      <c r="B11" s="4">
        <v>1</v>
      </c>
      <c r="C11" s="4">
        <v>1</v>
      </c>
      <c r="F11" s="11" t="s">
        <v>611</v>
      </c>
      <c r="G11" s="29"/>
      <c r="H11" s="29"/>
      <c r="I11" s="29"/>
      <c r="K11" s="126">
        <f>VLOOKUP($F11,CropProd!$M$5:$O$17,3,)/1000000</f>
        <v>0.31290400000000002</v>
      </c>
      <c r="Q11" s="11" t="str">
        <f t="shared" si="1"/>
        <v>aocer</v>
      </c>
      <c r="R11" s="144">
        <f t="shared" ref="R11:R26" si="3">R10</f>
        <v>52887.702801762724</v>
      </c>
      <c r="S11" s="144">
        <f t="shared" ref="S11:T11" si="4">S10</f>
        <v>152238.92315084004</v>
      </c>
      <c r="T11" s="144">
        <f t="shared" si="4"/>
        <v>233843.41896936213</v>
      </c>
      <c r="U11" s="28"/>
      <c r="Z11" s="139" t="s">
        <v>9</v>
      </c>
      <c r="AA11" s="142">
        <v>131276.78960987387</v>
      </c>
      <c r="AB11" s="142">
        <v>52887.702801762724</v>
      </c>
      <c r="AC11" s="142">
        <v>152238.92315084004</v>
      </c>
      <c r="AD11" s="142">
        <v>233843.41896936213</v>
      </c>
      <c r="AE11" s="139"/>
    </row>
    <row r="12" spans="1:31" x14ac:dyDescent="0.3">
      <c r="A12" s="11" t="s">
        <v>378</v>
      </c>
      <c r="B12" s="4">
        <v>2</v>
      </c>
      <c r="C12" s="4"/>
      <c r="F12" s="11" t="s">
        <v>325</v>
      </c>
      <c r="G12" s="29"/>
      <c r="H12" s="29"/>
      <c r="I12" s="29"/>
      <c r="K12" s="126">
        <f>VLOOKUP($F12,CropProd!$M$5:$O$17,3,)/1000000</f>
        <v>1.7730870000000001</v>
      </c>
      <c r="Q12" s="11" t="str">
        <f t="shared" si="1"/>
        <v>apuls</v>
      </c>
      <c r="R12" s="144">
        <f t="shared" si="3"/>
        <v>52887.702801762724</v>
      </c>
      <c r="S12" s="144">
        <f t="shared" ref="S12:T12" si="5">S11</f>
        <v>152238.92315084004</v>
      </c>
      <c r="T12" s="144">
        <f t="shared" si="5"/>
        <v>233843.41896936213</v>
      </c>
      <c r="U12" s="28"/>
      <c r="Z12" s="139" t="s">
        <v>5</v>
      </c>
      <c r="AA12" s="142">
        <v>113660.44896589333</v>
      </c>
      <c r="AB12" s="142">
        <v>52887.702801762731</v>
      </c>
      <c r="AC12" s="142">
        <v>152238.92315084004</v>
      </c>
      <c r="AD12" s="142">
        <v>233843.41896936213</v>
      </c>
      <c r="AE12" s="139"/>
    </row>
    <row r="13" spans="1:31" x14ac:dyDescent="0.3">
      <c r="F13" s="11" t="s">
        <v>326</v>
      </c>
      <c r="G13" s="29"/>
      <c r="H13" s="29"/>
      <c r="I13" s="29"/>
      <c r="K13" s="126">
        <f>VLOOKUP($F13,CropProd!$M$5:$O$17,3,)/1000000</f>
        <v>0.23053399999999999</v>
      </c>
      <c r="Q13" s="11" t="str">
        <f t="shared" si="1"/>
        <v>aoils</v>
      </c>
      <c r="R13" s="144">
        <f t="shared" si="3"/>
        <v>52887.702801762724</v>
      </c>
      <c r="S13" s="144">
        <f t="shared" ref="S13:T13" si="6">S12</f>
        <v>152238.92315084004</v>
      </c>
      <c r="T13" s="144">
        <f t="shared" si="6"/>
        <v>233843.41896936213</v>
      </c>
      <c r="U13" s="28"/>
      <c r="Z13" s="139" t="s">
        <v>483</v>
      </c>
      <c r="AA13" s="142">
        <v>136966.6947031208</v>
      </c>
      <c r="AB13" s="142">
        <v>8887.8963999286152</v>
      </c>
      <c r="AC13" s="142">
        <v>121456.73654988567</v>
      </c>
      <c r="AD13" s="142">
        <v>285663.95845019672</v>
      </c>
      <c r="AE13" s="139"/>
    </row>
    <row r="14" spans="1:31" x14ac:dyDescent="0.3">
      <c r="F14" s="11" t="s">
        <v>327</v>
      </c>
      <c r="G14" s="29"/>
      <c r="H14" s="29"/>
      <c r="I14" s="29"/>
      <c r="K14" s="126">
        <f>VLOOKUP($F14,CropProd!$M$5:$O$17,3,)/1000000</f>
        <v>0.33353699999999997</v>
      </c>
      <c r="Q14" s="11" t="str">
        <f t="shared" si="1"/>
        <v>aroot</v>
      </c>
      <c r="R14" s="144">
        <f t="shared" si="3"/>
        <v>52887.702801762724</v>
      </c>
      <c r="S14" s="144">
        <f t="shared" ref="S14:T14" si="7">S13</f>
        <v>152238.92315084004</v>
      </c>
      <c r="T14" s="144">
        <f t="shared" si="7"/>
        <v>233843.41896936213</v>
      </c>
      <c r="U14" s="28"/>
      <c r="Z14" s="139" t="s">
        <v>20</v>
      </c>
      <c r="AA14" s="142">
        <v>102469.35018094511</v>
      </c>
      <c r="AB14" s="142">
        <v>39911.552881418145</v>
      </c>
      <c r="AC14" s="142">
        <v>36399.572901167623</v>
      </c>
      <c r="AD14" s="142">
        <v>233344.40325603928</v>
      </c>
      <c r="AE14" s="139"/>
    </row>
    <row r="15" spans="1:31" x14ac:dyDescent="0.3">
      <c r="F15" s="11" t="s">
        <v>313</v>
      </c>
      <c r="G15" s="29"/>
      <c r="H15" s="29"/>
      <c r="I15" s="29"/>
      <c r="K15" s="126">
        <f>VLOOKUP($F15,CropProd!$M$5:$O$17,3,)/1000000</f>
        <v>0.19729099999999999</v>
      </c>
      <c r="Q15" s="11" t="str">
        <f t="shared" si="1"/>
        <v>avege</v>
      </c>
      <c r="R15" s="144">
        <f t="shared" si="3"/>
        <v>52887.702801762724</v>
      </c>
      <c r="S15" s="144">
        <f t="shared" ref="S15:T15" si="8">S14</f>
        <v>152238.92315084004</v>
      </c>
      <c r="T15" s="144">
        <f t="shared" si="8"/>
        <v>233843.41896936213</v>
      </c>
      <c r="U15" s="28"/>
      <c r="Z15" s="139" t="s">
        <v>335</v>
      </c>
      <c r="AA15" s="142">
        <v>706706.21603600855</v>
      </c>
      <c r="AB15" s="142">
        <v>12170.866249214088</v>
      </c>
      <c r="AC15" s="142">
        <v>163698.54037610401</v>
      </c>
      <c r="AD15" s="142">
        <v>1984483.0000393582</v>
      </c>
      <c r="AE15" s="139"/>
    </row>
    <row r="16" spans="1:31" x14ac:dyDescent="0.3">
      <c r="F16" s="11" t="s">
        <v>328</v>
      </c>
      <c r="G16" s="29"/>
      <c r="H16" s="29"/>
      <c r="I16" s="29"/>
      <c r="K16" s="126">
        <f>VLOOKUP($F16,CropProd!$M$5:$O$17,3,)/1000000</f>
        <v>7.1900000000000006E-2</v>
      </c>
      <c r="Q16" s="11" t="str">
        <f t="shared" si="1"/>
        <v>asugr</v>
      </c>
      <c r="R16" s="144">
        <f t="shared" si="3"/>
        <v>52887.702801762724</v>
      </c>
      <c r="S16" s="144">
        <f t="shared" ref="S16:T16" si="9">S15</f>
        <v>152238.92315084004</v>
      </c>
      <c r="T16" s="144">
        <f t="shared" si="9"/>
        <v>233843.41896936213</v>
      </c>
      <c r="U16" s="28"/>
      <c r="Z16" s="139" t="s">
        <v>336</v>
      </c>
      <c r="AA16" s="142">
        <v>122748.07091606276</v>
      </c>
      <c r="AB16" s="142">
        <v>4410.5651637293204</v>
      </c>
      <c r="AC16" s="142">
        <v>178780.71660525436</v>
      </c>
      <c r="AD16" s="142">
        <v>181370.09485549014</v>
      </c>
      <c r="AE16" s="139"/>
    </row>
    <row r="17" spans="6:31" x14ac:dyDescent="0.3">
      <c r="F17" s="11" t="s">
        <v>315</v>
      </c>
      <c r="G17" s="29"/>
      <c r="H17" s="29"/>
      <c r="I17" s="29"/>
      <c r="K17" s="126">
        <f>VLOOKUP($F17,CropProd!$M$5:$O$17,3,)/1000000</f>
        <v>1.5427E-2</v>
      </c>
      <c r="Q17" s="11" t="str">
        <f t="shared" si="1"/>
        <v>atoba</v>
      </c>
      <c r="R17" s="144">
        <f t="shared" si="3"/>
        <v>52887.702801762724</v>
      </c>
      <c r="S17" s="144">
        <f t="shared" ref="S17:T17" si="10">S16</f>
        <v>152238.92315084004</v>
      </c>
      <c r="T17" s="144">
        <f t="shared" si="10"/>
        <v>233843.41896936213</v>
      </c>
      <c r="U17" s="28"/>
      <c r="Z17" s="139" t="s">
        <v>27</v>
      </c>
      <c r="AA17" s="142">
        <v>191216.91861657228</v>
      </c>
      <c r="AB17" s="142">
        <v>1442.3769429125359</v>
      </c>
      <c r="AC17" s="142">
        <v>60184.610246524622</v>
      </c>
      <c r="AD17" s="142">
        <v>517345.34252943797</v>
      </c>
      <c r="AE17" s="139"/>
    </row>
    <row r="18" spans="6:31" x14ac:dyDescent="0.3">
      <c r="F18" s="11" t="s">
        <v>329</v>
      </c>
      <c r="G18" s="29"/>
      <c r="H18" s="29"/>
      <c r="I18" s="29"/>
      <c r="K18" s="126">
        <f>VLOOKUP($F18,CropProd!$M$5:$O$17,3,)/1000000</f>
        <v>3.8198999999999997E-2</v>
      </c>
      <c r="Q18" s="11" t="str">
        <f t="shared" si="1"/>
        <v>acott</v>
      </c>
      <c r="R18" s="144">
        <f t="shared" si="3"/>
        <v>52887.702801762724</v>
      </c>
      <c r="S18" s="144">
        <f t="shared" ref="S18:T18" si="11">S17</f>
        <v>152238.92315084004</v>
      </c>
      <c r="T18" s="144">
        <f t="shared" si="11"/>
        <v>233843.41896936213</v>
      </c>
      <c r="U18" s="28"/>
      <c r="Z18" s="139" t="s">
        <v>337</v>
      </c>
      <c r="AA18" s="142">
        <v>128668.28034991071</v>
      </c>
      <c r="AB18" s="142">
        <v>2456.2088819370115</v>
      </c>
      <c r="AC18" s="142">
        <v>57541.108974601586</v>
      </c>
      <c r="AD18" s="142">
        <v>331602.51017712534</v>
      </c>
      <c r="AE18" s="139"/>
    </row>
    <row r="19" spans="6:31" x14ac:dyDescent="0.3">
      <c r="F19" s="11" t="s">
        <v>314</v>
      </c>
      <c r="G19" s="29"/>
      <c r="H19" s="29"/>
      <c r="I19" s="29"/>
      <c r="K19" s="126">
        <f>VLOOKUP($F19,CropProd!$M$5:$O$17,3,)/1000000</f>
        <v>0.27590300000000001</v>
      </c>
      <c r="Q19" s="11" t="str">
        <f t="shared" si="1"/>
        <v>afrui</v>
      </c>
      <c r="R19" s="144">
        <f t="shared" si="3"/>
        <v>52887.702801762724</v>
      </c>
      <c r="S19" s="144">
        <f t="shared" ref="S19:T19" si="12">S18</f>
        <v>152238.92315084004</v>
      </c>
      <c r="T19" s="144">
        <f t="shared" si="12"/>
        <v>233843.41896936213</v>
      </c>
      <c r="U19" s="28"/>
      <c r="Z19" s="139" t="s">
        <v>338</v>
      </c>
      <c r="AA19" s="142">
        <v>238342.6886751985</v>
      </c>
      <c r="AB19" s="142">
        <v>4644.2834387211078</v>
      </c>
      <c r="AC19" s="142">
        <v>103769.71069359002</v>
      </c>
      <c r="AD19" s="142">
        <v>618222.90115844365</v>
      </c>
      <c r="AE19" s="139"/>
    </row>
    <row r="20" spans="6:31" x14ac:dyDescent="0.3">
      <c r="F20" s="11" t="s">
        <v>330</v>
      </c>
      <c r="G20" s="29"/>
      <c r="H20" s="29"/>
      <c r="I20" s="29"/>
      <c r="K20" s="126">
        <f>VLOOKUP($F20,CropProd!$M$5:$O$17,3,)/1000000</f>
        <v>0.38900000000000001</v>
      </c>
      <c r="Q20" s="11" t="str">
        <f t="shared" si="1"/>
        <v>acoff</v>
      </c>
      <c r="R20" s="144">
        <f t="shared" si="3"/>
        <v>52887.702801762724</v>
      </c>
      <c r="S20" s="144">
        <f t="shared" ref="S20:T20" si="13">S19</f>
        <v>152238.92315084004</v>
      </c>
      <c r="T20" s="144">
        <f t="shared" si="13"/>
        <v>233843.41896936213</v>
      </c>
      <c r="U20" s="28"/>
      <c r="Z20" s="139" t="s">
        <v>339</v>
      </c>
      <c r="AA20" s="142">
        <v>71261.977961188983</v>
      </c>
      <c r="AB20" s="142">
        <v>1126.8253759297074</v>
      </c>
      <c r="AC20" s="142">
        <v>25813.683060419859</v>
      </c>
      <c r="AD20" s="142">
        <v>182857.07885900632</v>
      </c>
      <c r="AE20" s="139"/>
    </row>
    <row r="21" spans="6:31" x14ac:dyDescent="0.3">
      <c r="F21" s="11" t="s">
        <v>331</v>
      </c>
      <c r="G21" s="29"/>
      <c r="H21" s="29"/>
      <c r="I21" s="29"/>
      <c r="K21" s="126">
        <f>VLOOKUP($F21,CropProd!$M$5:$O$17,3,)/1000000</f>
        <v>0.245258</v>
      </c>
      <c r="Q21" s="11" t="str">
        <f t="shared" si="1"/>
        <v>aocrp</v>
      </c>
      <c r="R21" s="144">
        <f t="shared" si="3"/>
        <v>52887.702801762724</v>
      </c>
      <c r="S21" s="144">
        <f t="shared" ref="S21:T21" si="14">S20</f>
        <v>152238.92315084004</v>
      </c>
      <c r="T21" s="144">
        <f t="shared" si="14"/>
        <v>233843.41896936213</v>
      </c>
      <c r="U21" s="28"/>
      <c r="Z21" s="139" t="s">
        <v>309</v>
      </c>
      <c r="AA21" s="142">
        <v>426970.33334541431</v>
      </c>
      <c r="AB21" s="142">
        <v>6469.4669385598472</v>
      </c>
      <c r="AC21" s="142">
        <v>160361.14343628517</v>
      </c>
      <c r="AD21" s="142">
        <v>1100561.4280653179</v>
      </c>
      <c r="AE21" s="139"/>
    </row>
    <row r="22" spans="6:31" x14ac:dyDescent="0.3">
      <c r="F22" s="11" t="s">
        <v>332</v>
      </c>
      <c r="G22" s="29"/>
      <c r="H22" s="29"/>
      <c r="I22" s="29"/>
      <c r="J22" s="29"/>
      <c r="L22" s="126"/>
      <c r="Q22" s="11" t="str">
        <f t="shared" si="1"/>
        <v>acatt</v>
      </c>
      <c r="R22" s="144">
        <f t="shared" si="3"/>
        <v>52887.702801762724</v>
      </c>
      <c r="S22" s="144">
        <f t="shared" ref="S22:T22" si="15">S21</f>
        <v>152238.92315084004</v>
      </c>
      <c r="T22" s="144">
        <f t="shared" si="15"/>
        <v>233843.41896936213</v>
      </c>
      <c r="U22" s="28"/>
      <c r="Z22" s="139" t="s">
        <v>340</v>
      </c>
      <c r="AA22" s="142">
        <v>45346.472312560836</v>
      </c>
      <c r="AB22" s="142">
        <v>276.75258362846841</v>
      </c>
      <c r="AC22" s="142">
        <v>29214.813051674028</v>
      </c>
      <c r="AD22" s="142">
        <v>112845.21080693096</v>
      </c>
      <c r="AE22" s="139"/>
    </row>
    <row r="23" spans="6:31" x14ac:dyDescent="0.3">
      <c r="F23" s="11" t="s">
        <v>333</v>
      </c>
      <c r="G23" s="29"/>
      <c r="H23" s="29"/>
      <c r="I23" s="29"/>
      <c r="J23" s="29"/>
      <c r="L23" s="126"/>
      <c r="Q23" s="11" t="str">
        <f t="shared" si="1"/>
        <v>apoul</v>
      </c>
      <c r="R23" s="144">
        <f t="shared" si="3"/>
        <v>52887.702801762724</v>
      </c>
      <c r="S23" s="144">
        <f t="shared" ref="S23:T23" si="16">S22</f>
        <v>152238.92315084004</v>
      </c>
      <c r="T23" s="144">
        <f t="shared" si="16"/>
        <v>233843.41896936213</v>
      </c>
      <c r="U23" s="28"/>
      <c r="Z23" s="139" t="s">
        <v>341</v>
      </c>
      <c r="AA23" s="142">
        <v>3387913.1632001502</v>
      </c>
      <c r="AB23" s="142">
        <v>11025.631300691202</v>
      </c>
      <c r="AC23" s="142">
        <v>268594.7882204128</v>
      </c>
      <c r="AD23" s="142">
        <v>10002763.066329999</v>
      </c>
      <c r="AE23" s="139"/>
    </row>
    <row r="24" spans="6:31" x14ac:dyDescent="0.3">
      <c r="F24" s="11" t="s">
        <v>334</v>
      </c>
      <c r="G24" s="29"/>
      <c r="H24" s="29"/>
      <c r="I24" s="29"/>
      <c r="J24" s="29"/>
      <c r="L24" s="126"/>
      <c r="Q24" s="11" t="str">
        <f t="shared" si="1"/>
        <v>aoliv</v>
      </c>
      <c r="R24" s="144">
        <f t="shared" si="3"/>
        <v>52887.702801762724</v>
      </c>
      <c r="S24" s="144">
        <f t="shared" ref="S24:T24" si="17">S23</f>
        <v>152238.92315084004</v>
      </c>
      <c r="T24" s="144">
        <f t="shared" si="17"/>
        <v>233843.41896936213</v>
      </c>
      <c r="U24" s="28"/>
      <c r="Z24" s="139" t="s">
        <v>32</v>
      </c>
      <c r="AA24" s="142">
        <v>302306.24073139619</v>
      </c>
      <c r="AB24" s="142">
        <v>972.66143903835098</v>
      </c>
      <c r="AC24" s="142">
        <v>24166.835669503504</v>
      </c>
      <c r="AD24" s="142">
        <v>889892.10145974229</v>
      </c>
      <c r="AE24" s="139"/>
    </row>
    <row r="25" spans="6:31" x14ac:dyDescent="0.3">
      <c r="F25" s="11" t="s">
        <v>5</v>
      </c>
      <c r="G25" s="29"/>
      <c r="H25" s="29"/>
      <c r="I25" s="29"/>
      <c r="J25" s="29"/>
      <c r="L25" s="126"/>
      <c r="Q25" s="11" t="str">
        <f t="shared" si="1"/>
        <v>afore</v>
      </c>
      <c r="R25" s="144">
        <f t="shared" si="3"/>
        <v>52887.702801762724</v>
      </c>
      <c r="S25" s="144">
        <f t="shared" ref="S25:T25" si="18">S24</f>
        <v>152238.92315084004</v>
      </c>
      <c r="T25" s="144">
        <f t="shared" si="18"/>
        <v>233843.41896936213</v>
      </c>
      <c r="U25" s="28"/>
      <c r="Z25" s="139" t="s">
        <v>342</v>
      </c>
      <c r="AA25" s="142">
        <v>164914.52816908326</v>
      </c>
      <c r="AB25" s="142">
        <v>8101.5561517844299</v>
      </c>
      <c r="AC25" s="142">
        <v>194269.68347803748</v>
      </c>
      <c r="AD25" s="142">
        <v>271364.27669439249</v>
      </c>
      <c r="AE25" s="139"/>
    </row>
    <row r="26" spans="6:31" x14ac:dyDescent="0.3">
      <c r="F26" s="11" t="s">
        <v>9</v>
      </c>
      <c r="G26" s="29"/>
      <c r="H26" s="29"/>
      <c r="I26" s="29"/>
      <c r="J26" s="29"/>
      <c r="L26" s="11"/>
      <c r="Q26" s="11" t="str">
        <f t="shared" si="1"/>
        <v>afish</v>
      </c>
      <c r="R26" s="144">
        <f t="shared" si="3"/>
        <v>52887.702801762724</v>
      </c>
      <c r="S26" s="144">
        <f t="shared" ref="S26:T26" si="19">S25</f>
        <v>152238.92315084004</v>
      </c>
      <c r="T26" s="144">
        <f t="shared" si="19"/>
        <v>233843.41896936213</v>
      </c>
      <c r="U26" s="28"/>
      <c r="Z26" s="139" t="s">
        <v>34</v>
      </c>
      <c r="AA26" s="142">
        <v>93263.711634975334</v>
      </c>
      <c r="AB26" s="142">
        <v>7135.099087802947</v>
      </c>
      <c r="AC26" s="142">
        <v>48848.954473643455</v>
      </c>
      <c r="AD26" s="142">
        <v>590483.58993758622</v>
      </c>
      <c r="AE26" s="139"/>
    </row>
    <row r="27" spans="6:31" x14ac:dyDescent="0.3">
      <c r="F27" s="11" t="s">
        <v>483</v>
      </c>
      <c r="G27" s="29"/>
      <c r="H27" s="29"/>
      <c r="I27" s="29"/>
      <c r="J27" s="29"/>
      <c r="L27" s="11"/>
      <c r="Q27" s="11" t="str">
        <f t="shared" si="1"/>
        <v>amine</v>
      </c>
      <c r="R27" s="144">
        <f>AB13</f>
        <v>8887.8963999286152</v>
      </c>
      <c r="S27" s="144">
        <f t="shared" ref="S27:T27" si="20">AC13</f>
        <v>121456.73654988567</v>
      </c>
      <c r="T27" s="144">
        <f t="shared" si="20"/>
        <v>285663.95845019672</v>
      </c>
      <c r="U27" s="28"/>
      <c r="Z27" s="139" t="s">
        <v>343</v>
      </c>
      <c r="AA27" s="142">
        <v>216665.1182479134</v>
      </c>
      <c r="AB27" s="142">
        <v>5182.1434860291356</v>
      </c>
      <c r="AC27" s="142">
        <v>97181.322890255251</v>
      </c>
      <c r="AD27" s="142">
        <v>553706.78933525365</v>
      </c>
      <c r="AE27" s="139"/>
    </row>
    <row r="28" spans="6:31" x14ac:dyDescent="0.3">
      <c r="F28" s="11" t="s">
        <v>486</v>
      </c>
      <c r="G28" s="29"/>
      <c r="H28" s="29"/>
      <c r="I28" s="29"/>
      <c r="J28" s="29"/>
      <c r="L28" s="11"/>
      <c r="Q28" s="11" t="str">
        <f t="shared" si="1"/>
        <v>angas</v>
      </c>
      <c r="R28" s="29">
        <f>R27</f>
        <v>8887.8963999286152</v>
      </c>
      <c r="S28" s="29">
        <f t="shared" ref="S28:T28" si="21">S27</f>
        <v>121456.73654988567</v>
      </c>
      <c r="T28" s="29">
        <f t="shared" si="21"/>
        <v>285663.95845019672</v>
      </c>
      <c r="U28" s="28"/>
      <c r="Z28" s="139" t="s">
        <v>345</v>
      </c>
      <c r="AA28" s="142">
        <v>1474019.7006617875</v>
      </c>
      <c r="AB28" s="142">
        <v>29234.812593800485</v>
      </c>
      <c r="AC28" s="142">
        <v>702931.20210002991</v>
      </c>
      <c r="AD28" s="142">
        <v>3769545.6057065399</v>
      </c>
      <c r="AE28" s="139"/>
    </row>
    <row r="29" spans="6:31" x14ac:dyDescent="0.3">
      <c r="F29" s="11" t="s">
        <v>20</v>
      </c>
      <c r="G29" s="29"/>
      <c r="H29" s="29"/>
      <c r="I29" s="29"/>
      <c r="J29" s="29"/>
      <c r="L29" s="11"/>
      <c r="Q29" s="11" t="str">
        <f t="shared" si="1"/>
        <v>afood</v>
      </c>
      <c r="R29" s="144">
        <f t="shared" ref="R29:R42" si="22">AB14</f>
        <v>39911.552881418145</v>
      </c>
      <c r="S29" s="144">
        <f t="shared" ref="S29:T29" si="23">AC14</f>
        <v>36399.572901167623</v>
      </c>
      <c r="T29" s="144">
        <f t="shared" si="23"/>
        <v>233344.40325603928</v>
      </c>
      <c r="U29" s="28"/>
      <c r="Z29" s="139" t="s">
        <v>344</v>
      </c>
      <c r="AA29" s="142">
        <v>44716.578407729838</v>
      </c>
      <c r="AB29" s="142">
        <v>5669.8867914856855</v>
      </c>
      <c r="AC29" s="142">
        <v>32048.845006818567</v>
      </c>
      <c r="AD29" s="142">
        <v>97675.984290695327</v>
      </c>
      <c r="AE29" s="139"/>
    </row>
    <row r="30" spans="6:31" x14ac:dyDescent="0.3">
      <c r="F30" s="11" t="s">
        <v>335</v>
      </c>
      <c r="G30" s="29"/>
      <c r="H30" s="29"/>
      <c r="I30" s="29"/>
      <c r="J30" s="29"/>
      <c r="L30" s="11"/>
      <c r="Q30" s="11" t="str">
        <f t="shared" si="1"/>
        <v>abeve</v>
      </c>
      <c r="R30" s="144">
        <f t="shared" si="22"/>
        <v>12170.866249214088</v>
      </c>
      <c r="S30" s="144">
        <f t="shared" ref="S30:T30" si="24">AC15</f>
        <v>163698.54037610401</v>
      </c>
      <c r="T30" s="144">
        <f t="shared" si="24"/>
        <v>1984483.0000393582</v>
      </c>
      <c r="U30" s="28"/>
      <c r="Z30" s="139" t="s">
        <v>346</v>
      </c>
      <c r="AA30" s="142">
        <v>819325.49872818694</v>
      </c>
      <c r="AB30" s="142">
        <v>307.83050369563261</v>
      </c>
      <c r="AC30" s="142">
        <v>71838.388267607224</v>
      </c>
      <c r="AD30" s="142">
        <v>2436632.284207874</v>
      </c>
      <c r="AE30" s="139"/>
    </row>
    <row r="31" spans="6:31" x14ac:dyDescent="0.3">
      <c r="F31" s="11" t="s">
        <v>336</v>
      </c>
      <c r="G31" s="30"/>
      <c r="H31" s="30"/>
      <c r="I31" s="29"/>
      <c r="J31" s="30"/>
      <c r="L31" s="11"/>
      <c r="Q31" s="11" t="str">
        <f t="shared" si="1"/>
        <v>atext</v>
      </c>
      <c r="R31" s="144">
        <f t="shared" si="22"/>
        <v>4410.5651637293204</v>
      </c>
      <c r="S31" s="144">
        <f t="shared" ref="S31:T31" si="25">AC16</f>
        <v>178780.71660525436</v>
      </c>
      <c r="T31" s="144">
        <f t="shared" si="25"/>
        <v>181370.09485549014</v>
      </c>
      <c r="U31" s="28"/>
      <c r="Z31" s="139" t="s">
        <v>175</v>
      </c>
      <c r="AA31" s="142">
        <v>998854.5161902887</v>
      </c>
      <c r="AB31" s="142">
        <v>1328.0854871280212</v>
      </c>
      <c r="AC31" s="142">
        <v>102566.42066739411</v>
      </c>
      <c r="AD31" s="142">
        <v>2895258.689340584</v>
      </c>
      <c r="AE31" s="139"/>
    </row>
    <row r="32" spans="6:31" x14ac:dyDescent="0.3">
      <c r="F32" s="11" t="s">
        <v>27</v>
      </c>
      <c r="L32" s="11"/>
      <c r="Q32" s="11" t="str">
        <f t="shared" si="1"/>
        <v>awood</v>
      </c>
      <c r="R32" s="144">
        <f t="shared" si="22"/>
        <v>1442.3769429125359</v>
      </c>
      <c r="S32" s="144">
        <f t="shared" ref="S32:T32" si="26">AC17</f>
        <v>60184.610246524622</v>
      </c>
      <c r="T32" s="144">
        <f t="shared" si="26"/>
        <v>517345.34252943797</v>
      </c>
      <c r="U32" s="28"/>
      <c r="Z32" s="139" t="s">
        <v>347</v>
      </c>
      <c r="AA32" s="142">
        <v>140837.00305238945</v>
      </c>
      <c r="AB32" s="142">
        <v>54.227004384822088</v>
      </c>
      <c r="AC32" s="142">
        <v>13673.2815726967</v>
      </c>
      <c r="AD32" s="142">
        <v>431488.19414896989</v>
      </c>
      <c r="AE32" s="139"/>
    </row>
    <row r="33" spans="6:31" x14ac:dyDescent="0.3">
      <c r="F33" s="11" t="s">
        <v>337</v>
      </c>
      <c r="L33" s="11"/>
      <c r="Q33" s="11" t="str">
        <f t="shared" si="1"/>
        <v>achem</v>
      </c>
      <c r="R33" s="144">
        <f t="shared" si="22"/>
        <v>2456.2088819370115</v>
      </c>
      <c r="S33" s="144">
        <f t="shared" ref="S33:T33" si="27">AC18</f>
        <v>57541.108974601586</v>
      </c>
      <c r="T33" s="144">
        <f t="shared" si="27"/>
        <v>331602.51017712534</v>
      </c>
      <c r="U33" s="28"/>
      <c r="Z33" s="139" t="s">
        <v>348</v>
      </c>
      <c r="AA33" s="142">
        <v>562912.89623045584</v>
      </c>
      <c r="AB33" s="142">
        <v>12062.900077724174</v>
      </c>
      <c r="AC33" s="142">
        <v>219914.26825886281</v>
      </c>
      <c r="AD33" s="142">
        <v>1502043.5991873534</v>
      </c>
      <c r="AE33" s="139"/>
    </row>
    <row r="34" spans="6:31" x14ac:dyDescent="0.3">
      <c r="F34" s="11" t="s">
        <v>338</v>
      </c>
      <c r="L34" s="11"/>
      <c r="Q34" s="11" t="str">
        <f t="shared" si="1"/>
        <v>anmet</v>
      </c>
      <c r="R34" s="144">
        <f t="shared" si="22"/>
        <v>4644.2834387211078</v>
      </c>
      <c r="S34" s="144">
        <f t="shared" ref="S34:T34" si="28">AC19</f>
        <v>103769.71069359002</v>
      </c>
      <c r="T34" s="144">
        <f t="shared" si="28"/>
        <v>618222.90115844365</v>
      </c>
      <c r="U34" s="28"/>
      <c r="Z34" s="139" t="s">
        <v>176</v>
      </c>
      <c r="AA34" s="142">
        <v>289031.05041579081</v>
      </c>
      <c r="AB34" s="142">
        <v>5212.1474161458591</v>
      </c>
      <c r="AC34" s="142">
        <v>9655.5722085921534</v>
      </c>
      <c r="AD34" s="142">
        <v>1085926.7780907201</v>
      </c>
      <c r="AE34" s="139"/>
    </row>
    <row r="35" spans="6:31" x14ac:dyDescent="0.3">
      <c r="F35" s="11" t="s">
        <v>339</v>
      </c>
      <c r="L35" s="11"/>
      <c r="Q35" s="11" t="str">
        <f t="shared" si="1"/>
        <v>ametl</v>
      </c>
      <c r="R35" s="144">
        <f t="shared" si="22"/>
        <v>1126.8253759297074</v>
      </c>
      <c r="S35" s="144">
        <f t="shared" ref="S35:T35" si="29">AC20</f>
        <v>25813.683060419859</v>
      </c>
      <c r="T35" s="144">
        <f t="shared" si="29"/>
        <v>182857.07885900632</v>
      </c>
      <c r="U35" s="28"/>
      <c r="Z35" s="139" t="s">
        <v>177</v>
      </c>
      <c r="AA35" s="142">
        <v>392044.13560480502</v>
      </c>
      <c r="AB35" s="142">
        <v>2821.5938066977956</v>
      </c>
      <c r="AC35" s="142">
        <v>28141.906700540301</v>
      </c>
      <c r="AD35" s="142">
        <v>1200824.7813361296</v>
      </c>
      <c r="AE35" s="139"/>
    </row>
    <row r="36" spans="6:31" x14ac:dyDescent="0.3">
      <c r="F36" s="11" t="s">
        <v>309</v>
      </c>
      <c r="L36" s="11"/>
      <c r="Q36" s="11" t="str">
        <f t="shared" si="1"/>
        <v>amach</v>
      </c>
      <c r="R36" s="144">
        <f t="shared" si="22"/>
        <v>6469.4669385598472</v>
      </c>
      <c r="S36" s="144">
        <f t="shared" ref="S36:T36" si="30">AC21</f>
        <v>160361.14343628517</v>
      </c>
      <c r="T36" s="144">
        <f t="shared" si="30"/>
        <v>1100561.4280653179</v>
      </c>
      <c r="U36" s="28"/>
      <c r="Z36" s="139" t="s">
        <v>36</v>
      </c>
      <c r="AA36" s="142">
        <v>35957.863503073473</v>
      </c>
      <c r="AB36" s="142">
        <v>2005.9190628200322</v>
      </c>
      <c r="AC36" s="142">
        <v>22102.79756705376</v>
      </c>
      <c r="AD36" s="142">
        <v>83799.952894908653</v>
      </c>
      <c r="AE36" s="139"/>
    </row>
    <row r="37" spans="6:31" x14ac:dyDescent="0.3">
      <c r="F37" s="11" t="s">
        <v>340</v>
      </c>
      <c r="L37" s="11"/>
      <c r="Q37" s="11" t="str">
        <f t="shared" si="1"/>
        <v>aoman</v>
      </c>
      <c r="R37" s="144">
        <f t="shared" si="22"/>
        <v>276.75258362846841</v>
      </c>
      <c r="S37" s="144">
        <f t="shared" ref="S37:T37" si="31">AC22</f>
        <v>29214.813051674028</v>
      </c>
      <c r="T37" s="144">
        <f t="shared" si="31"/>
        <v>112845.21080693096</v>
      </c>
      <c r="U37" s="28"/>
      <c r="AC37" s="11"/>
    </row>
    <row r="38" spans="6:31" x14ac:dyDescent="0.3">
      <c r="F38" s="11" t="s">
        <v>341</v>
      </c>
      <c r="L38" s="11"/>
      <c r="Q38" s="11" t="str">
        <f t="shared" si="1"/>
        <v>aelec</v>
      </c>
      <c r="R38" s="144">
        <f t="shared" si="22"/>
        <v>11025.631300691202</v>
      </c>
      <c r="S38" s="144">
        <f t="shared" ref="S38:T38" si="32">AC23</f>
        <v>268594.7882204128</v>
      </c>
      <c r="T38" s="144">
        <f t="shared" si="32"/>
        <v>10002763.066329999</v>
      </c>
      <c r="U38" s="28"/>
      <c r="AC38" s="11"/>
    </row>
    <row r="39" spans="6:31" x14ac:dyDescent="0.3">
      <c r="F39" s="11" t="s">
        <v>32</v>
      </c>
      <c r="L39" s="11"/>
      <c r="Q39" s="11" t="str">
        <f t="shared" si="1"/>
        <v>awatr</v>
      </c>
      <c r="R39" s="144">
        <f t="shared" si="22"/>
        <v>972.66143903835098</v>
      </c>
      <c r="S39" s="144">
        <f t="shared" ref="S39:T39" si="33">AC24</f>
        <v>24166.835669503504</v>
      </c>
      <c r="T39" s="144">
        <f t="shared" si="33"/>
        <v>889892.10145974229</v>
      </c>
      <c r="U39" s="28"/>
      <c r="AC39" s="11"/>
    </row>
    <row r="40" spans="6:31" x14ac:dyDescent="0.3">
      <c r="F40" s="11" t="s">
        <v>342</v>
      </c>
      <c r="L40" s="11"/>
      <c r="Q40" s="11" t="str">
        <f t="shared" si="1"/>
        <v>acons</v>
      </c>
      <c r="R40" s="144">
        <f t="shared" si="22"/>
        <v>8101.5561517844299</v>
      </c>
      <c r="S40" s="144">
        <f t="shared" ref="S40:T40" si="34">AC25</f>
        <v>194269.68347803748</v>
      </c>
      <c r="T40" s="144">
        <f t="shared" si="34"/>
        <v>271364.27669439249</v>
      </c>
      <c r="U40" s="28"/>
      <c r="AC40" s="11"/>
    </row>
    <row r="41" spans="6:31" x14ac:dyDescent="0.3">
      <c r="F41" s="11" t="s">
        <v>34</v>
      </c>
      <c r="L41" s="11"/>
      <c r="Q41" s="11" t="str">
        <f t="shared" si="1"/>
        <v>atrad</v>
      </c>
      <c r="R41" s="144">
        <f t="shared" si="22"/>
        <v>7135.099087802947</v>
      </c>
      <c r="S41" s="144">
        <f t="shared" ref="S41:T41" si="35">AC26</f>
        <v>48848.954473643455</v>
      </c>
      <c r="T41" s="144">
        <f t="shared" si="35"/>
        <v>590483.58993758622</v>
      </c>
      <c r="U41" s="28"/>
      <c r="AC41" s="11"/>
    </row>
    <row r="42" spans="6:31" x14ac:dyDescent="0.3">
      <c r="F42" s="11" t="s">
        <v>343</v>
      </c>
      <c r="L42" s="11"/>
      <c r="Q42" s="11" t="str">
        <f t="shared" si="1"/>
        <v>atran</v>
      </c>
      <c r="R42" s="144">
        <f t="shared" si="22"/>
        <v>5182.1434860291356</v>
      </c>
      <c r="S42" s="144">
        <f t="shared" ref="S42:T42" si="36">AC27</f>
        <v>97181.322890255251</v>
      </c>
      <c r="T42" s="144">
        <f t="shared" si="36"/>
        <v>553706.78933525365</v>
      </c>
      <c r="U42" s="28"/>
      <c r="AC42" s="11"/>
    </row>
    <row r="43" spans="6:31" x14ac:dyDescent="0.3">
      <c r="F43" s="11" t="s">
        <v>344</v>
      </c>
      <c r="L43" s="11"/>
      <c r="Q43" s="11" t="str">
        <f t="shared" si="1"/>
        <v>ahotl</v>
      </c>
      <c r="R43" s="144">
        <f>AB29</f>
        <v>5669.8867914856855</v>
      </c>
      <c r="S43" s="144">
        <f t="shared" ref="S43:T43" si="37">AC29</f>
        <v>32048.845006818567</v>
      </c>
      <c r="T43" s="144">
        <f t="shared" si="37"/>
        <v>97675.984290695327</v>
      </c>
      <c r="U43" s="28"/>
      <c r="AC43" s="11"/>
    </row>
    <row r="44" spans="6:31" x14ac:dyDescent="0.3">
      <c r="F44" s="11" t="s">
        <v>345</v>
      </c>
      <c r="L44" s="11"/>
      <c r="Q44" s="11" t="str">
        <f t="shared" si="1"/>
        <v>acomm</v>
      </c>
      <c r="R44" s="144">
        <f>AB28</f>
        <v>29234.812593800485</v>
      </c>
      <c r="S44" s="144">
        <f t="shared" ref="S44:T44" si="38">AC28</f>
        <v>702931.20210002991</v>
      </c>
      <c r="T44" s="144">
        <f t="shared" si="38"/>
        <v>3769545.6057065399</v>
      </c>
      <c r="U44" s="28"/>
      <c r="AC44" s="11"/>
    </row>
    <row r="45" spans="6:31" x14ac:dyDescent="0.3">
      <c r="F45" s="11" t="s">
        <v>346</v>
      </c>
      <c r="L45" s="11"/>
      <c r="Q45" s="11" t="str">
        <f t="shared" si="1"/>
        <v>afsrv</v>
      </c>
      <c r="R45" s="144">
        <f t="shared" ref="R45:R51" si="39">AB30</f>
        <v>307.83050369563261</v>
      </c>
      <c r="S45" s="144">
        <f t="shared" ref="S45:T45" si="40">AC30</f>
        <v>71838.388267607224</v>
      </c>
      <c r="T45" s="144">
        <f t="shared" si="40"/>
        <v>2436632.284207874</v>
      </c>
      <c r="U45" s="28"/>
      <c r="AC45" s="11"/>
    </row>
    <row r="46" spans="6:31" x14ac:dyDescent="0.3">
      <c r="F46" s="11" t="s">
        <v>175</v>
      </c>
      <c r="L46" s="11"/>
      <c r="Q46" s="11" t="str">
        <f t="shared" si="1"/>
        <v>areal</v>
      </c>
      <c r="R46" s="144">
        <f t="shared" si="39"/>
        <v>1328.0854871280212</v>
      </c>
      <c r="S46" s="144">
        <f t="shared" ref="S46:T46" si="41">AC31</f>
        <v>102566.42066739411</v>
      </c>
      <c r="T46" s="144">
        <f t="shared" si="41"/>
        <v>2895258.689340584</v>
      </c>
      <c r="U46" s="28"/>
      <c r="AC46" s="11"/>
    </row>
    <row r="47" spans="6:31" x14ac:dyDescent="0.3">
      <c r="F47" s="11" t="s">
        <v>347</v>
      </c>
      <c r="L47" s="11"/>
      <c r="Q47" s="11" t="str">
        <f t="shared" si="1"/>
        <v>absrv</v>
      </c>
      <c r="R47" s="144">
        <f t="shared" si="39"/>
        <v>54.227004384822088</v>
      </c>
      <c r="S47" s="144">
        <f t="shared" ref="S47:T47" si="42">AC32</f>
        <v>13673.2815726967</v>
      </c>
      <c r="T47" s="144">
        <f t="shared" si="42"/>
        <v>431488.19414896989</v>
      </c>
      <c r="U47" s="28"/>
      <c r="AC47" s="11"/>
    </row>
    <row r="48" spans="6:31" x14ac:dyDescent="0.3">
      <c r="F48" s="11" t="s">
        <v>348</v>
      </c>
      <c r="L48" s="11"/>
      <c r="Q48" s="11" t="str">
        <f t="shared" si="1"/>
        <v>apadm</v>
      </c>
      <c r="R48" s="144">
        <f t="shared" si="39"/>
        <v>12062.900077724174</v>
      </c>
      <c r="S48" s="144">
        <f t="shared" ref="S48:T48" si="43">AC33</f>
        <v>219914.26825886281</v>
      </c>
      <c r="T48" s="144">
        <f t="shared" si="43"/>
        <v>1502043.5991873534</v>
      </c>
      <c r="U48" s="28"/>
      <c r="AC48" s="11"/>
    </row>
    <row r="49" spans="6:29" x14ac:dyDescent="0.3">
      <c r="F49" s="11" t="s">
        <v>176</v>
      </c>
      <c r="L49" s="11"/>
      <c r="Q49" s="11" t="str">
        <f t="shared" si="1"/>
        <v>aeduc</v>
      </c>
      <c r="R49" s="144">
        <f t="shared" si="39"/>
        <v>5212.1474161458591</v>
      </c>
      <c r="S49" s="144">
        <f t="shared" ref="S49:T49" si="44">AC34</f>
        <v>9655.5722085921534</v>
      </c>
      <c r="T49" s="144">
        <f t="shared" si="44"/>
        <v>1085926.7780907201</v>
      </c>
      <c r="U49" s="28"/>
      <c r="AC49" s="11"/>
    </row>
    <row r="50" spans="6:29" x14ac:dyDescent="0.3">
      <c r="F50" s="11" t="s">
        <v>177</v>
      </c>
      <c r="L50" s="11"/>
      <c r="Q50" s="11" t="str">
        <f t="shared" si="1"/>
        <v>aheal</v>
      </c>
      <c r="R50" s="144">
        <f t="shared" si="39"/>
        <v>2821.5938066977956</v>
      </c>
      <c r="S50" s="144">
        <f t="shared" ref="S50:T50" si="45">AC35</f>
        <v>28141.906700540301</v>
      </c>
      <c r="T50" s="144">
        <f t="shared" si="45"/>
        <v>1200824.7813361296</v>
      </c>
      <c r="U50" s="28"/>
      <c r="AC50" s="11"/>
    </row>
    <row r="51" spans="6:29" x14ac:dyDescent="0.3">
      <c r="F51" s="11" t="s">
        <v>36</v>
      </c>
      <c r="L51" s="11"/>
      <c r="Q51" s="11" t="str">
        <f t="shared" si="1"/>
        <v>aosrv</v>
      </c>
      <c r="R51" s="144">
        <f t="shared" si="39"/>
        <v>2005.9190628200322</v>
      </c>
      <c r="S51" s="144">
        <f t="shared" ref="S51:T51" si="46">AC36</f>
        <v>22102.79756705376</v>
      </c>
      <c r="T51" s="144">
        <f t="shared" si="46"/>
        <v>83799.952894908653</v>
      </c>
      <c r="U51" s="28"/>
      <c r="AC51" s="11"/>
    </row>
    <row r="52" spans="6:29" x14ac:dyDescent="0.3">
      <c r="F52" s="11"/>
      <c r="L52" s="11"/>
      <c r="Q52" s="11"/>
      <c r="R52" s="143"/>
      <c r="S52" s="28"/>
      <c r="T52" s="28"/>
      <c r="U52" s="28"/>
      <c r="AC52" s="11"/>
    </row>
    <row r="53" spans="6:29" x14ac:dyDescent="0.3">
      <c r="F53" s="11"/>
      <c r="L53" s="11"/>
      <c r="Q53" s="11"/>
      <c r="R53" s="28"/>
      <c r="S53" s="28"/>
      <c r="T53" s="28"/>
      <c r="U53" s="28"/>
      <c r="AC53" s="11"/>
    </row>
    <row r="54" spans="6:29" x14ac:dyDescent="0.3">
      <c r="F54" s="11"/>
      <c r="L54" s="11"/>
      <c r="Q54" s="11"/>
      <c r="R54" s="28"/>
      <c r="S54" s="28"/>
      <c r="T54" s="28"/>
      <c r="U54" s="28"/>
      <c r="AC54" s="11"/>
    </row>
    <row r="55" spans="6:29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29" x14ac:dyDescent="0.3">
      <c r="F56" s="11"/>
      <c r="Q56" s="11"/>
      <c r="R56" s="28"/>
      <c r="S56" s="28"/>
      <c r="T56" s="28"/>
      <c r="U56" s="28"/>
    </row>
    <row r="57" spans="6:29" x14ac:dyDescent="0.3">
      <c r="F57" s="11"/>
      <c r="Q57" s="11"/>
      <c r="R57" s="28"/>
      <c r="S57" s="28"/>
      <c r="T57" s="28"/>
      <c r="U57" s="28"/>
    </row>
    <row r="58" spans="6:29" x14ac:dyDescent="0.3">
      <c r="F58" s="11"/>
      <c r="Q58" s="11"/>
      <c r="R58" s="28"/>
      <c r="S58" s="28"/>
      <c r="T58" s="28"/>
      <c r="U58" s="28"/>
    </row>
    <row r="59" spans="6:29" x14ac:dyDescent="0.3">
      <c r="F59" s="11"/>
      <c r="Q59" s="11"/>
      <c r="R59" s="28"/>
      <c r="S59" s="28"/>
      <c r="T59" s="28"/>
      <c r="U59" s="28"/>
    </row>
    <row r="60" spans="6:29" x14ac:dyDescent="0.3">
      <c r="F60" s="11"/>
      <c r="Q60" s="11"/>
      <c r="R60" s="28"/>
      <c r="S60" s="28"/>
      <c r="T60" s="28"/>
      <c r="U60" s="28"/>
    </row>
    <row r="61" spans="6:29" x14ac:dyDescent="0.3">
      <c r="F61" s="11"/>
      <c r="Q61" s="11"/>
      <c r="R61" s="28"/>
      <c r="S61" s="28"/>
      <c r="T61" s="28"/>
      <c r="U61" s="28"/>
    </row>
    <row r="62" spans="6:29" x14ac:dyDescent="0.3">
      <c r="F62" s="11"/>
      <c r="Q62" s="11"/>
      <c r="R62" s="28"/>
      <c r="S62" s="28"/>
      <c r="T62" s="28"/>
      <c r="U62" s="28"/>
    </row>
    <row r="63" spans="6:29" x14ac:dyDescent="0.3">
      <c r="F63" s="11"/>
      <c r="Q63" s="11"/>
      <c r="R63" s="28"/>
      <c r="S63" s="28"/>
      <c r="T63" s="28"/>
      <c r="U63" s="28"/>
    </row>
    <row r="64" spans="6:29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mergeCells count="1">
    <mergeCell ref="Z7:AD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FB3240-5367-4493-9BF7-5A01E2604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Employment!AB9:AD9</xm:f>
              <xm:sqref>AE9</xm:sqref>
            </x14:sparkline>
            <x14:sparkline>
              <xm:f>Employment!AB10:AD10</xm:f>
              <xm:sqref>AE10</xm:sqref>
            </x14:sparkline>
            <x14:sparkline>
              <xm:f>Employment!AB11:AD11</xm:f>
              <xm:sqref>AE11</xm:sqref>
            </x14:sparkline>
            <x14:sparkline>
              <xm:f>Employment!AB12:AD12</xm:f>
              <xm:sqref>AE12</xm:sqref>
            </x14:sparkline>
            <x14:sparkline>
              <xm:f>Employment!AB13:AD13</xm:f>
              <xm:sqref>AE13</xm:sqref>
            </x14:sparkline>
            <x14:sparkline>
              <xm:f>Employment!AB14:AD14</xm:f>
              <xm:sqref>AE14</xm:sqref>
            </x14:sparkline>
            <x14:sparkline>
              <xm:f>Employment!AB15:AD15</xm:f>
              <xm:sqref>AE15</xm:sqref>
            </x14:sparkline>
            <x14:sparkline>
              <xm:f>Employment!AB16:AD16</xm:f>
              <xm:sqref>AE16</xm:sqref>
            </x14:sparkline>
            <x14:sparkline>
              <xm:f>Employment!AB17:AD17</xm:f>
              <xm:sqref>AE17</xm:sqref>
            </x14:sparkline>
            <x14:sparkline>
              <xm:f>Employment!AB18:AD18</xm:f>
              <xm:sqref>AE18</xm:sqref>
            </x14:sparkline>
            <x14:sparkline>
              <xm:f>Employment!AB19:AD19</xm:f>
              <xm:sqref>AE19</xm:sqref>
            </x14:sparkline>
            <x14:sparkline>
              <xm:f>Employment!AB20:AD20</xm:f>
              <xm:sqref>AE20</xm:sqref>
            </x14:sparkline>
            <x14:sparkline>
              <xm:f>Employment!AB21:AD21</xm:f>
              <xm:sqref>AE21</xm:sqref>
            </x14:sparkline>
            <x14:sparkline>
              <xm:f>Employment!AB22:AD22</xm:f>
              <xm:sqref>AE22</xm:sqref>
            </x14:sparkline>
            <x14:sparkline>
              <xm:f>Employment!AB23:AD23</xm:f>
              <xm:sqref>AE23</xm:sqref>
            </x14:sparkline>
            <x14:sparkline>
              <xm:f>Employment!AB24:AD24</xm:f>
              <xm:sqref>AE24</xm:sqref>
            </x14:sparkline>
            <x14:sparkline>
              <xm:f>Employment!AB25:AD25</xm:f>
              <xm:sqref>AE25</xm:sqref>
            </x14:sparkline>
            <x14:sparkline>
              <xm:f>Employment!AB26:AD26</xm:f>
              <xm:sqref>AE26</xm:sqref>
            </x14:sparkline>
            <x14:sparkline>
              <xm:f>Employment!AB27:AD27</xm:f>
              <xm:sqref>AE27</xm:sqref>
            </x14:sparkline>
            <x14:sparkline>
              <xm:f>Employment!AB28:AD28</xm:f>
              <xm:sqref>AE28</xm:sqref>
            </x14:sparkline>
            <x14:sparkline>
              <xm:f>Employment!AB29:AD29</xm:f>
              <xm:sqref>AE29</xm:sqref>
            </x14:sparkline>
            <x14:sparkline>
              <xm:f>Employment!AB30:AD30</xm:f>
              <xm:sqref>AE30</xm:sqref>
            </x14:sparkline>
            <x14:sparkline>
              <xm:f>Employment!AB31:AD31</xm:f>
              <xm:sqref>AE31</xm:sqref>
            </x14:sparkline>
            <x14:sparkline>
              <xm:f>Employment!AB32:AD32</xm:f>
              <xm:sqref>AE32</xm:sqref>
            </x14:sparkline>
            <x14:sparkline>
              <xm:f>Employment!AB33:AD33</xm:f>
              <xm:sqref>AE33</xm:sqref>
            </x14:sparkline>
            <x14:sparkline>
              <xm:f>Employment!AB34:AD34</xm:f>
              <xm:sqref>AE34</xm:sqref>
            </x14:sparkline>
            <x14:sparkline>
              <xm:f>Employment!AB35:AD35</xm:f>
              <xm:sqref>AE35</xm:sqref>
            </x14:sparkline>
            <x14:sparkline>
              <xm:f>Employment!AB36:AD36</xm:f>
              <xm:sqref>AE36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298</v>
      </c>
    </row>
    <row r="4" spans="1:2" x14ac:dyDescent="0.3">
      <c r="A4" s="2" t="s">
        <v>299</v>
      </c>
    </row>
    <row r="5" spans="1:2" x14ac:dyDescent="0.3">
      <c r="A5" s="9" t="s">
        <v>300</v>
      </c>
    </row>
    <row r="6" spans="1:2" x14ac:dyDescent="0.3">
      <c r="B6" s="9" t="s">
        <v>301</v>
      </c>
    </row>
    <row r="7" spans="1:2" x14ac:dyDescent="0.3">
      <c r="B7" t="s">
        <v>84</v>
      </c>
    </row>
    <row r="8" spans="1:2" x14ac:dyDescent="0.3">
      <c r="A8" s="11" t="str">
        <f>[4]Employment!A8</f>
        <v>flab-n</v>
      </c>
      <c r="B8">
        <v>1</v>
      </c>
    </row>
    <row r="9" spans="1:2" x14ac:dyDescent="0.3">
      <c r="A9" s="11" t="str">
        <f>[4]Employment!A9</f>
        <v>flab-p</v>
      </c>
      <c r="B9">
        <v>1</v>
      </c>
    </row>
    <row r="10" spans="1:2" x14ac:dyDescent="0.3">
      <c r="A10" s="11" t="str">
        <f>[4]Employment!A10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302</v>
      </c>
    </row>
    <row r="6" spans="1:4" x14ac:dyDescent="0.3">
      <c r="A6" s="2" t="s">
        <v>303</v>
      </c>
    </row>
    <row r="7" spans="1:4" x14ac:dyDescent="0.3">
      <c r="B7" t="s">
        <v>304</v>
      </c>
    </row>
    <row r="8" spans="1:4" x14ac:dyDescent="0.3">
      <c r="A8" s="11" t="s">
        <v>700</v>
      </c>
      <c r="B8" s="53">
        <v>9266.2219612160898</v>
      </c>
      <c r="D8" s="53"/>
    </row>
    <row r="9" spans="1:4" x14ac:dyDescent="0.3">
      <c r="A9" s="11" t="s">
        <v>702</v>
      </c>
      <c r="B9" s="53">
        <v>8468.3342501946645</v>
      </c>
      <c r="D9" s="53"/>
    </row>
    <row r="10" spans="1:4" x14ac:dyDescent="0.3">
      <c r="A10" s="11" t="s">
        <v>704</v>
      </c>
      <c r="B10" s="53">
        <v>7514.9299712912789</v>
      </c>
      <c r="D10" s="53"/>
    </row>
    <row r="11" spans="1:4" x14ac:dyDescent="0.3">
      <c r="A11" s="11" t="s">
        <v>706</v>
      </c>
      <c r="B11" s="53">
        <v>5776.2487168426587</v>
      </c>
      <c r="D11" s="53"/>
    </row>
    <row r="12" spans="1:4" x14ac:dyDescent="0.3">
      <c r="A12" s="11" t="s">
        <v>708</v>
      </c>
      <c r="B12" s="53">
        <v>2724.8345114072436</v>
      </c>
      <c r="D12" s="53"/>
    </row>
    <row r="13" spans="1:4" x14ac:dyDescent="0.3">
      <c r="A13" s="11" t="s">
        <v>379</v>
      </c>
      <c r="B13" s="53">
        <v>1250.1673413980543</v>
      </c>
    </row>
    <row r="14" spans="1:4" x14ac:dyDescent="0.3">
      <c r="A14" s="11" t="s">
        <v>380</v>
      </c>
      <c r="B14" s="53">
        <v>2046.0063727978761</v>
      </c>
    </row>
    <row r="15" spans="1:4" x14ac:dyDescent="0.3">
      <c r="A15" s="11" t="s">
        <v>381</v>
      </c>
      <c r="B15" s="53">
        <v>3000.3631486746531</v>
      </c>
    </row>
    <row r="16" spans="1:4" x14ac:dyDescent="0.3">
      <c r="A16" s="11" t="s">
        <v>382</v>
      </c>
      <c r="B16" s="53">
        <v>4737.9887769155357</v>
      </c>
    </row>
    <row r="17" spans="1:2" x14ac:dyDescent="0.3">
      <c r="A17" s="11" t="s">
        <v>383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455</v>
      </c>
    </row>
    <row r="2" spans="1:19" x14ac:dyDescent="0.3">
      <c r="C2">
        <v>1000000</v>
      </c>
    </row>
    <row r="4" spans="1:19" x14ac:dyDescent="0.3">
      <c r="H4" s="36"/>
      <c r="O4" t="s">
        <v>487</v>
      </c>
      <c r="P4" t="s">
        <v>488</v>
      </c>
    </row>
    <row r="5" spans="1:19" x14ac:dyDescent="0.3">
      <c r="C5" t="s">
        <v>424</v>
      </c>
      <c r="L5" t="s">
        <v>392</v>
      </c>
      <c r="M5" t="s">
        <v>323</v>
      </c>
      <c r="N5" t="s">
        <v>609</v>
      </c>
      <c r="O5">
        <v>2296174</v>
      </c>
      <c r="P5">
        <v>3582000</v>
      </c>
      <c r="R5" s="11"/>
      <c r="S5" s="29"/>
    </row>
    <row r="6" spans="1:19" x14ac:dyDescent="0.3">
      <c r="A6" t="s">
        <v>116</v>
      </c>
      <c r="B6" t="s">
        <v>138</v>
      </c>
      <c r="L6" t="s">
        <v>393</v>
      </c>
      <c r="M6" t="s">
        <v>324</v>
      </c>
      <c r="N6" t="s">
        <v>610</v>
      </c>
      <c r="O6">
        <v>24992</v>
      </c>
      <c r="P6">
        <v>160585</v>
      </c>
      <c r="R6" s="11"/>
      <c r="S6" s="29"/>
    </row>
    <row r="7" spans="1:19" x14ac:dyDescent="0.3">
      <c r="A7" t="s">
        <v>323</v>
      </c>
      <c r="B7" t="s">
        <v>145</v>
      </c>
      <c r="C7" s="33">
        <f>VLOOKUP(A7,$M$5:$P$17,4,)/$C$2</f>
        <v>3.5819999999999999</v>
      </c>
      <c r="D7" s="37"/>
      <c r="E7" s="29"/>
      <c r="L7" t="s">
        <v>395</v>
      </c>
      <c r="M7" t="s">
        <v>611</v>
      </c>
      <c r="N7" t="s">
        <v>612</v>
      </c>
      <c r="O7">
        <v>312904</v>
      </c>
      <c r="P7">
        <v>590717</v>
      </c>
      <c r="R7" s="11"/>
      <c r="S7" s="29"/>
    </row>
    <row r="8" spans="1:19" x14ac:dyDescent="0.3">
      <c r="A8" t="s">
        <v>324</v>
      </c>
      <c r="B8" t="s">
        <v>145</v>
      </c>
      <c r="C8" s="33">
        <f t="shared" ref="C8:C19" si="0">VLOOKUP(A8,$M$5:$P$17,4,)/$C$2</f>
        <v>0.16058500000000001</v>
      </c>
      <c r="D8" s="37"/>
      <c r="E8" s="29"/>
      <c r="L8" t="s">
        <v>396</v>
      </c>
      <c r="M8" t="s">
        <v>325</v>
      </c>
      <c r="N8" t="s">
        <v>613</v>
      </c>
      <c r="O8">
        <v>1773087</v>
      </c>
      <c r="P8">
        <v>1194396</v>
      </c>
      <c r="R8" s="11"/>
      <c r="S8" s="29"/>
    </row>
    <row r="9" spans="1:19" x14ac:dyDescent="0.3">
      <c r="A9" t="s">
        <v>611</v>
      </c>
      <c r="B9" t="s">
        <v>145</v>
      </c>
      <c r="C9" s="33">
        <f t="shared" si="0"/>
        <v>0.59071700000000005</v>
      </c>
      <c r="D9" s="37"/>
      <c r="E9" s="29"/>
      <c r="L9" t="s">
        <v>398</v>
      </c>
      <c r="M9" t="s">
        <v>326</v>
      </c>
      <c r="N9" t="s">
        <v>614</v>
      </c>
      <c r="O9">
        <v>230534</v>
      </c>
      <c r="P9">
        <v>172639</v>
      </c>
      <c r="R9" s="11"/>
      <c r="S9" s="29"/>
    </row>
    <row r="10" spans="1:19" x14ac:dyDescent="0.3">
      <c r="A10" t="s">
        <v>325</v>
      </c>
      <c r="B10" t="s">
        <v>145</v>
      </c>
      <c r="C10" s="33">
        <f t="shared" si="0"/>
        <v>1.194396</v>
      </c>
      <c r="D10" s="37"/>
      <c r="E10" s="29"/>
      <c r="L10" t="s">
        <v>400</v>
      </c>
      <c r="M10" t="s">
        <v>327</v>
      </c>
      <c r="N10" t="s">
        <v>615</v>
      </c>
      <c r="O10">
        <v>333537</v>
      </c>
      <c r="P10">
        <v>3829316</v>
      </c>
      <c r="R10" s="11"/>
      <c r="S10" s="29"/>
    </row>
    <row r="11" spans="1:19" x14ac:dyDescent="0.3">
      <c r="A11" t="s">
        <v>326</v>
      </c>
      <c r="B11" t="s">
        <v>145</v>
      </c>
      <c r="C11" s="33">
        <f t="shared" si="0"/>
        <v>0.17263899999999999</v>
      </c>
      <c r="D11" s="37"/>
      <c r="E11" s="29"/>
      <c r="L11" t="s">
        <v>401</v>
      </c>
      <c r="M11" t="s">
        <v>313</v>
      </c>
      <c r="N11" t="s">
        <v>616</v>
      </c>
      <c r="O11">
        <v>197291</v>
      </c>
      <c r="P11">
        <v>2852939</v>
      </c>
      <c r="R11" s="11"/>
      <c r="S11" s="29"/>
    </row>
    <row r="12" spans="1:19" x14ac:dyDescent="0.3">
      <c r="A12" t="s">
        <v>327</v>
      </c>
      <c r="B12" t="s">
        <v>145</v>
      </c>
      <c r="C12" s="33">
        <f t="shared" si="0"/>
        <v>3.8293159999999999</v>
      </c>
      <c r="D12" s="37"/>
      <c r="E12" s="29"/>
      <c r="L12" t="s">
        <v>404</v>
      </c>
      <c r="M12" t="s">
        <v>328</v>
      </c>
      <c r="N12" t="s">
        <v>617</v>
      </c>
      <c r="O12">
        <v>71900</v>
      </c>
      <c r="P12">
        <v>4606100</v>
      </c>
      <c r="R12" s="11"/>
      <c r="S12" s="29"/>
    </row>
    <row r="13" spans="1:19" x14ac:dyDescent="0.3">
      <c r="A13" t="s">
        <v>313</v>
      </c>
      <c r="B13" t="s">
        <v>145</v>
      </c>
      <c r="C13" s="33">
        <f t="shared" si="0"/>
        <v>2.8529390000000001</v>
      </c>
      <c r="D13" s="37"/>
      <c r="E13" s="29"/>
      <c r="L13" t="s">
        <v>317</v>
      </c>
      <c r="M13" t="s">
        <v>315</v>
      </c>
      <c r="N13" t="s">
        <v>618</v>
      </c>
      <c r="O13">
        <v>15427</v>
      </c>
      <c r="P13">
        <v>10633</v>
      </c>
      <c r="R13" s="11"/>
      <c r="S13" s="29"/>
    </row>
    <row r="14" spans="1:19" x14ac:dyDescent="0.3">
      <c r="A14" t="s">
        <v>328</v>
      </c>
      <c r="B14" t="s">
        <v>145</v>
      </c>
      <c r="C14" s="33">
        <f t="shared" si="0"/>
        <v>4.6060999999999996</v>
      </c>
      <c r="D14" s="37"/>
      <c r="E14" s="29"/>
      <c r="L14" t="s">
        <v>407</v>
      </c>
      <c r="M14" t="s">
        <v>329</v>
      </c>
      <c r="N14" t="s">
        <v>619</v>
      </c>
      <c r="O14">
        <v>38199</v>
      </c>
      <c r="P14">
        <v>29056</v>
      </c>
      <c r="R14" s="11"/>
      <c r="S14" s="29"/>
    </row>
    <row r="15" spans="1:19" x14ac:dyDescent="0.3">
      <c r="A15" t="s">
        <v>315</v>
      </c>
      <c r="B15" t="s">
        <v>145</v>
      </c>
      <c r="C15" s="33">
        <f t="shared" si="0"/>
        <v>1.0633E-2</v>
      </c>
      <c r="D15" s="37"/>
      <c r="E15" s="29"/>
      <c r="L15" t="s">
        <v>409</v>
      </c>
      <c r="M15" t="s">
        <v>314</v>
      </c>
      <c r="N15" t="s">
        <v>620</v>
      </c>
      <c r="O15">
        <v>275903</v>
      </c>
      <c r="P15">
        <v>3996802</v>
      </c>
      <c r="R15" s="11"/>
      <c r="S15" s="29"/>
    </row>
    <row r="16" spans="1:19" x14ac:dyDescent="0.3">
      <c r="A16" t="s">
        <v>329</v>
      </c>
      <c r="B16" t="s">
        <v>145</v>
      </c>
      <c r="C16" s="33">
        <f t="shared" si="0"/>
        <v>2.9055999999999998E-2</v>
      </c>
      <c r="D16" s="37"/>
      <c r="E16" s="29"/>
      <c r="L16" t="s">
        <v>411</v>
      </c>
      <c r="M16" t="s">
        <v>330</v>
      </c>
      <c r="N16" t="s">
        <v>621</v>
      </c>
      <c r="O16">
        <v>389000</v>
      </c>
      <c r="P16">
        <v>503350</v>
      </c>
      <c r="R16" s="11"/>
      <c r="S16" s="29"/>
    </row>
    <row r="17" spans="1:19" x14ac:dyDescent="0.3">
      <c r="A17" t="s">
        <v>314</v>
      </c>
      <c r="B17" t="s">
        <v>145</v>
      </c>
      <c r="C17" s="33">
        <f t="shared" si="0"/>
        <v>3.9968020000000002</v>
      </c>
      <c r="D17" s="37"/>
      <c r="E17" s="29"/>
      <c r="L17" t="s">
        <v>412</v>
      </c>
      <c r="M17" t="s">
        <v>331</v>
      </c>
      <c r="N17" t="s">
        <v>622</v>
      </c>
      <c r="O17">
        <v>245258</v>
      </c>
      <c r="P17">
        <v>293590</v>
      </c>
      <c r="R17" s="11"/>
      <c r="S17" s="29"/>
    </row>
    <row r="18" spans="1:19" x14ac:dyDescent="0.3">
      <c r="A18" t="s">
        <v>330</v>
      </c>
      <c r="B18" t="s">
        <v>145</v>
      </c>
      <c r="C18" s="33">
        <f t="shared" si="0"/>
        <v>0.50334999999999996</v>
      </c>
      <c r="D18" s="37"/>
    </row>
    <row r="19" spans="1:19" x14ac:dyDescent="0.3">
      <c r="A19" t="s">
        <v>331</v>
      </c>
      <c r="B19" t="s">
        <v>145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31"/>
  <sheetViews>
    <sheetView workbookViewId="0">
      <selection activeCell="B31" sqref="B31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786</v>
      </c>
      <c r="G1" s="62">
        <v>4.19E-2</v>
      </c>
      <c r="H1" s="62" t="s">
        <v>460</v>
      </c>
      <c r="M1" s="62" t="s">
        <v>199</v>
      </c>
    </row>
    <row r="2" spans="2:17" x14ac:dyDescent="0.25">
      <c r="C2" s="62" t="s">
        <v>787</v>
      </c>
    </row>
    <row r="3" spans="2:17" x14ac:dyDescent="0.25">
      <c r="B3" s="62" t="s">
        <v>489</v>
      </c>
      <c r="C3" s="62">
        <v>967.63</v>
      </c>
      <c r="D3" s="62">
        <f>C3</f>
        <v>967.63</v>
      </c>
      <c r="H3" s="64">
        <f>(D3*1000)*$G$1</f>
        <v>40543.697</v>
      </c>
      <c r="I3" s="65">
        <f>H3</f>
        <v>40543.697</v>
      </c>
      <c r="L3" s="62" t="s">
        <v>599</v>
      </c>
      <c r="M3" s="68">
        <f>[4]SAMB!BT36</f>
        <v>239.30925457885624</v>
      </c>
      <c r="N3" s="68">
        <f>M3</f>
        <v>239.30925457885624</v>
      </c>
      <c r="P3" s="63">
        <f>N3/I3*1000</f>
        <v>5.9025020480706587</v>
      </c>
    </row>
    <row r="4" spans="2:17" x14ac:dyDescent="0.25">
      <c r="B4" s="62" t="s">
        <v>104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600</v>
      </c>
      <c r="M4" s="68">
        <f>[4]SAMB!BT115+[4]SAMB!BT111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103</v>
      </c>
      <c r="C5" s="62">
        <v>3.04</v>
      </c>
      <c r="D5" s="62">
        <f>C5</f>
        <v>3.04</v>
      </c>
      <c r="H5" s="64">
        <f t="shared" si="0"/>
        <v>127.376</v>
      </c>
      <c r="L5" s="62" t="s">
        <v>156</v>
      </c>
      <c r="M5" s="68">
        <f>[4]SAMB!BT112</f>
        <v>13.683323318995553</v>
      </c>
      <c r="N5" s="68"/>
      <c r="P5" s="63"/>
    </row>
    <row r="6" spans="2:17" x14ac:dyDescent="0.25">
      <c r="B6" s="62" t="s">
        <v>788</v>
      </c>
      <c r="C6" s="62">
        <v>231.53</v>
      </c>
      <c r="H6" s="64"/>
      <c r="L6" s="62" t="s">
        <v>482</v>
      </c>
      <c r="M6" s="68">
        <f>[4]SAMB!DE78+[4]SAMB!DD78</f>
        <v>0</v>
      </c>
      <c r="N6" s="68"/>
    </row>
    <row r="7" spans="2:17" x14ac:dyDescent="0.25">
      <c r="B7" s="62" t="s">
        <v>789</v>
      </c>
      <c r="C7" s="62">
        <v>1.4</v>
      </c>
      <c r="H7" s="64"/>
    </row>
    <row r="8" spans="2:17" x14ac:dyDescent="0.25">
      <c r="H8" s="64"/>
      <c r="L8" s="62" t="s">
        <v>754</v>
      </c>
      <c r="M8" s="68">
        <f>SUM([4]SAMB!B78:S78)</f>
        <v>21.539164780660279</v>
      </c>
      <c r="P8" s="63"/>
    </row>
    <row r="9" spans="2:17" x14ac:dyDescent="0.25">
      <c r="B9" s="62" t="s">
        <v>463</v>
      </c>
      <c r="C9" s="62">
        <v>542.08000000000004</v>
      </c>
      <c r="D9" s="62">
        <f>C9+C6+C7</f>
        <v>775.01</v>
      </c>
      <c r="H9" s="64">
        <f t="shared" si="0"/>
        <v>32472.918999999998</v>
      </c>
      <c r="I9" s="65">
        <f>H9+H11</f>
        <v>32692.474999999999</v>
      </c>
      <c r="L9" s="62" t="s">
        <v>790</v>
      </c>
      <c r="M9" s="68">
        <f>SUM([4]SAMB!T78:AF78)</f>
        <v>93.872117362176141</v>
      </c>
      <c r="N9" s="68">
        <f>SUM(M8:M10)</f>
        <v>239.14070221785812</v>
      </c>
      <c r="P9" s="63">
        <f>N9/I9*1000</f>
        <v>7.3148546329960675</v>
      </c>
    </row>
    <row r="10" spans="2:17" x14ac:dyDescent="0.25">
      <c r="B10" s="62" t="s">
        <v>469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764</v>
      </c>
      <c r="M10" s="68">
        <f>SUM([4]SAMB!AG78:AQ78)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791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792</v>
      </c>
      <c r="M11" s="68">
        <f>SUM([4]SAMB!CO78:CX78)</f>
        <v>13.851875679993721</v>
      </c>
      <c r="N11" s="68"/>
    </row>
    <row r="13" spans="2:17" x14ac:dyDescent="0.25">
      <c r="B13" s="62" t="s">
        <v>456</v>
      </c>
      <c r="C13" s="62">
        <f>SUM(C9:C11)</f>
        <v>742.86</v>
      </c>
      <c r="D13" s="62">
        <f>SUM(D9:D11)</f>
        <v>975.79</v>
      </c>
      <c r="H13" s="64">
        <f>SUM(H9:H11)</f>
        <v>40885.600999999995</v>
      </c>
      <c r="I13" s="64">
        <f>SUM(I9:I11)</f>
        <v>40885.600999999995</v>
      </c>
      <c r="M13" s="68">
        <f>SUM(M8:M11)</f>
        <v>252.99257789785185</v>
      </c>
      <c r="N13" s="68">
        <f>SUM(N9:N11)</f>
        <v>252.99257789785185</v>
      </c>
      <c r="P13" s="63">
        <f>N13/I13*1000</f>
        <v>6.1878160455034497</v>
      </c>
      <c r="Q13" s="127" t="s">
        <v>793</v>
      </c>
    </row>
    <row r="14" spans="2:17" x14ac:dyDescent="0.25">
      <c r="B14" s="62" t="s">
        <v>457</v>
      </c>
      <c r="C14" s="62">
        <f>C3+C4-C5-C6-C7</f>
        <v>742.86000000000013</v>
      </c>
      <c r="D14" s="62">
        <f>D3+D4-D5</f>
        <v>975.79000000000008</v>
      </c>
      <c r="H14" s="64">
        <f>H3+H4-H5-H6-H7</f>
        <v>40885.601000000002</v>
      </c>
      <c r="I14" s="64">
        <f>I3+I4-I5-I6-I7</f>
        <v>40885.601000000002</v>
      </c>
      <c r="M14" s="68">
        <f>SUM(M3:M5)-M6</f>
        <v>252.99257789785179</v>
      </c>
      <c r="N14" s="68">
        <f>SUM(N3:N5)-N6</f>
        <v>239.30925457885624</v>
      </c>
      <c r="P14" s="63">
        <f>N14/I14*1000</f>
        <v>5.8531426400912201</v>
      </c>
    </row>
    <row r="17" spans="1:8" x14ac:dyDescent="0.25">
      <c r="B17" s="62">
        <v>0.82</v>
      </c>
      <c r="C17" s="62" t="s">
        <v>795</v>
      </c>
      <c r="D17" s="62">
        <v>2016</v>
      </c>
    </row>
    <row r="19" spans="1:8" x14ac:dyDescent="0.25">
      <c r="A19" s="82" t="s">
        <v>796</v>
      </c>
    </row>
    <row r="20" spans="1:8" x14ac:dyDescent="0.25">
      <c r="A20" s="62">
        <v>112</v>
      </c>
      <c r="B20" s="62" t="s">
        <v>797</v>
      </c>
      <c r="G20" s="66">
        <f>(A20*159*165)/1000000000</f>
        <v>2.9383199999999999E-3</v>
      </c>
      <c r="H20" s="62" t="s">
        <v>806</v>
      </c>
    </row>
    <row r="21" spans="1:8" x14ac:dyDescent="0.25">
      <c r="A21" s="62">
        <v>132.94</v>
      </c>
      <c r="B21" s="133" t="s">
        <v>798</v>
      </c>
      <c r="D21" s="134">
        <v>104.08574360999999</v>
      </c>
      <c r="E21" s="62" t="s">
        <v>804</v>
      </c>
      <c r="G21" s="64">
        <f>A22/159</f>
        <v>87026.155695052832</v>
      </c>
      <c r="H21" s="62" t="s">
        <v>805</v>
      </c>
    </row>
    <row r="22" spans="1:8" x14ac:dyDescent="0.25">
      <c r="A22" s="62">
        <f>A21*D21*1000</f>
        <v>13837158.7555134</v>
      </c>
      <c r="B22" s="62" t="s">
        <v>799</v>
      </c>
      <c r="D22" s="134">
        <f>A22*38/1000000</f>
        <v>525.81203270950914</v>
      </c>
      <c r="E22" s="62" t="s">
        <v>460</v>
      </c>
      <c r="G22" s="64">
        <f>G21/165</f>
        <v>527.4312466366838</v>
      </c>
      <c r="H22" s="62" t="s">
        <v>460</v>
      </c>
    </row>
    <row r="23" spans="1:8" x14ac:dyDescent="0.25">
      <c r="A23" s="62">
        <f>A22*A20</f>
        <v>1549761780.6175008</v>
      </c>
      <c r="B23" s="62" t="s">
        <v>800</v>
      </c>
      <c r="D23" s="65"/>
    </row>
    <row r="24" spans="1:8" x14ac:dyDescent="0.25">
      <c r="A24" s="134">
        <f>A23/1000000000</f>
        <v>1.5497617806175008</v>
      </c>
      <c r="B24" s="62" t="s">
        <v>801</v>
      </c>
      <c r="D24" s="134"/>
      <c r="G24" s="62">
        <f>G20*G22</f>
        <v>1.5497617806175006</v>
      </c>
    </row>
    <row r="26" spans="1:8" x14ac:dyDescent="0.25">
      <c r="A26" s="135">
        <v>2.2400835091397591</v>
      </c>
      <c r="B26" s="62" t="s">
        <v>802</v>
      </c>
    </row>
    <row r="27" spans="1:8" x14ac:dyDescent="0.25">
      <c r="A27" s="103"/>
    </row>
    <row r="28" spans="1:8" x14ac:dyDescent="0.25">
      <c r="A28" s="137" t="s">
        <v>811</v>
      </c>
    </row>
    <row r="30" spans="1:8" x14ac:dyDescent="0.25">
      <c r="A30" s="65">
        <f>G22</f>
        <v>527.4312466366838</v>
      </c>
    </row>
    <row r="31" spans="1:8" x14ac:dyDescent="0.25">
      <c r="A31" s="135">
        <f>SAM!AD73</f>
        <v>2.2400835091397591</v>
      </c>
      <c r="B31" s="67">
        <f>A31/A30</f>
        <v>4.2471573753437861E-3</v>
      </c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P1" workbookViewId="0">
      <selection activeCell="W20" sqref="W20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48" t="s">
        <v>794</v>
      </c>
      <c r="B1" s="148"/>
      <c r="C1" s="148"/>
      <c r="D1" s="148"/>
      <c r="E1" s="148"/>
      <c r="F1" s="148"/>
      <c r="J1" s="63"/>
      <c r="K1" s="68"/>
      <c r="M1" s="69"/>
      <c r="AA1" s="62" t="s">
        <v>786</v>
      </c>
      <c r="AB1" s="62">
        <v>4.19E-2</v>
      </c>
      <c r="AC1" s="62" t="s">
        <v>460</v>
      </c>
    </row>
    <row r="2" spans="1:30" x14ac:dyDescent="0.25">
      <c r="A2" s="62" t="s">
        <v>456</v>
      </c>
      <c r="C2" s="63">
        <f>SUM(C4:C57)</f>
        <v>252.99257789785182</v>
      </c>
      <c r="E2" s="62" t="s">
        <v>457</v>
      </c>
      <c r="F2" s="63">
        <f>SUM(F3:F5)</f>
        <v>239.30925457885624</v>
      </c>
      <c r="K2" s="62" t="s">
        <v>458</v>
      </c>
      <c r="M2" s="62" t="s">
        <v>459</v>
      </c>
      <c r="N2" s="62" t="s">
        <v>460</v>
      </c>
      <c r="P2" s="62" t="s">
        <v>475</v>
      </c>
      <c r="X2" s="62" t="s">
        <v>787</v>
      </c>
    </row>
    <row r="3" spans="1:30" x14ac:dyDescent="0.25">
      <c r="C3" s="63" t="s">
        <v>370</v>
      </c>
      <c r="E3" s="62" t="s">
        <v>461</v>
      </c>
      <c r="F3" s="63">
        <f>SAM!BT36</f>
        <v>239.30925457885624</v>
      </c>
      <c r="K3" s="62" t="s">
        <v>462</v>
      </c>
      <c r="M3" s="62" t="s">
        <v>474</v>
      </c>
      <c r="N3" s="62">
        <v>3.6</v>
      </c>
      <c r="Q3" s="82"/>
      <c r="W3" s="62" t="s">
        <v>489</v>
      </c>
      <c r="X3" s="64">
        <v>967.63</v>
      </c>
      <c r="Y3" s="64">
        <v>967.63</v>
      </c>
      <c r="Z3" s="64"/>
      <c r="AA3" s="64"/>
      <c r="AB3" s="64"/>
      <c r="AC3" s="64">
        <v>40543.697</v>
      </c>
      <c r="AD3" s="64">
        <v>40543.697</v>
      </c>
    </row>
    <row r="4" spans="1:30" x14ac:dyDescent="0.25">
      <c r="A4" s="62" t="s">
        <v>465</v>
      </c>
      <c r="B4" s="62" t="s">
        <v>323</v>
      </c>
      <c r="C4" s="63">
        <f>HLOOKUP('Energy calc'!$B4,SAM!$A$7:$DF$116,MATCH('Energy calc'!$C$3,SAM!$A$7:$A$116,0),)</f>
        <v>0.17350669366033591</v>
      </c>
      <c r="E4" s="62" t="s">
        <v>464</v>
      </c>
      <c r="F4" s="63">
        <f>SAM!BT111</f>
        <v>0</v>
      </c>
      <c r="J4" s="62" t="s">
        <v>465</v>
      </c>
      <c r="K4" s="63">
        <f>SUMIF($A$4:$A$57,$J4,$C$4:$C$57)</f>
        <v>21.539164780660279</v>
      </c>
      <c r="L4" s="70"/>
      <c r="M4" s="64"/>
      <c r="N4" s="132">
        <f>K4/O12</f>
        <v>3804.8334878061805</v>
      </c>
      <c r="O4" s="73">
        <f t="shared" ref="O4:O5" si="0">K4/N4</f>
        <v>5.6610006324033625E-3</v>
      </c>
      <c r="P4" s="63" t="e">
        <f>(K4/M4)*100</f>
        <v>#DIV/0!</v>
      </c>
      <c r="Q4" s="81" t="s">
        <v>478</v>
      </c>
      <c r="R4" s="63">
        <f>(N4*$O$13)-K4</f>
        <v>0</v>
      </c>
      <c r="S4" s="63"/>
      <c r="T4" s="84"/>
      <c r="W4" s="62" t="s">
        <v>104</v>
      </c>
      <c r="X4" s="64">
        <v>11.2</v>
      </c>
      <c r="Y4" s="64">
        <v>11.2</v>
      </c>
      <c r="Z4" s="64"/>
      <c r="AA4" s="64"/>
      <c r="AB4" s="64"/>
      <c r="AC4" s="64">
        <v>469.28</v>
      </c>
      <c r="AD4" s="64">
        <v>341.904</v>
      </c>
    </row>
    <row r="5" spans="1:30" x14ac:dyDescent="0.25">
      <c r="A5" s="62" t="s">
        <v>465</v>
      </c>
      <c r="B5" s="62" t="s">
        <v>324</v>
      </c>
      <c r="C5" s="63">
        <f>HLOOKUP('Energy calc'!$B5,SAM!$A$7:$DF$116,MATCH('Energy calc'!$C$3,SAM!$A$7:$A$116,0),)</f>
        <v>4.0895236052458407E-2</v>
      </c>
      <c r="E5" s="62" t="s">
        <v>104</v>
      </c>
      <c r="F5" s="130">
        <f>SAM!BT115</f>
        <v>0</v>
      </c>
      <c r="J5" s="62" t="s">
        <v>463</v>
      </c>
      <c r="K5" s="63">
        <f t="shared" ref="K5:K8" si="1">SUMIF($A$4:$A$57,$J5,$C$4:$C$57)</f>
        <v>217.60153743719781</v>
      </c>
      <c r="L5" s="70"/>
      <c r="M5" s="64"/>
      <c r="N5" s="64">
        <f>AD9</f>
        <v>32692.474999999999</v>
      </c>
      <c r="O5" s="73">
        <f t="shared" si="0"/>
        <v>6.6560129643655859E-3</v>
      </c>
      <c r="P5" s="63" t="e">
        <f t="shared" ref="P5" si="2">(K5/M5)*100</f>
        <v>#DIV/0!</v>
      </c>
      <c r="Q5" s="81" t="s">
        <v>479</v>
      </c>
      <c r="R5" s="63">
        <f>(N5*$O$13)-L5</f>
        <v>185.07212164983108</v>
      </c>
      <c r="S5" s="63"/>
      <c r="T5" s="84"/>
      <c r="W5" s="62" t="s">
        <v>103</v>
      </c>
      <c r="X5" s="64">
        <v>3.04</v>
      </c>
      <c r="Y5" s="64">
        <v>3.04</v>
      </c>
      <c r="Z5" s="64"/>
      <c r="AA5" s="64"/>
      <c r="AB5" s="64"/>
      <c r="AC5" s="64">
        <v>127.376</v>
      </c>
      <c r="AD5" s="64"/>
    </row>
    <row r="6" spans="1:30" x14ac:dyDescent="0.25">
      <c r="A6" s="62" t="s">
        <v>465</v>
      </c>
      <c r="B6" s="62" t="s">
        <v>611</v>
      </c>
      <c r="C6" s="63">
        <f>HLOOKUP('Energy calc'!$B6,SAM!$A$7:$DF$116,MATCH('Energy calc'!$C$3,SAM!$A$7:$A$116,0),)</f>
        <v>0.3330297364319505</v>
      </c>
      <c r="E6" s="62" t="s">
        <v>156</v>
      </c>
      <c r="F6" s="63">
        <f>SAM!BT92</f>
        <v>0</v>
      </c>
      <c r="J6" s="62" t="s">
        <v>467</v>
      </c>
      <c r="K6" s="63">
        <f t="shared" si="1"/>
        <v>0</v>
      </c>
      <c r="L6" s="70"/>
      <c r="M6" s="64"/>
      <c r="N6" s="64"/>
      <c r="O6" s="73"/>
      <c r="P6" s="63" t="e">
        <f>(K6/M6)*100</f>
        <v>#DIV/0!</v>
      </c>
      <c r="Q6" s="81" t="s">
        <v>480</v>
      </c>
      <c r="R6" s="63">
        <f>(N6*$O$13)-L6</f>
        <v>0</v>
      </c>
      <c r="S6" s="74"/>
      <c r="T6" s="84"/>
      <c r="W6" s="62" t="s">
        <v>788</v>
      </c>
      <c r="X6" s="64">
        <v>231.53</v>
      </c>
      <c r="Y6" s="64"/>
      <c r="Z6" s="64"/>
      <c r="AA6" s="64"/>
      <c r="AB6" s="64"/>
      <c r="AC6" s="64"/>
      <c r="AD6" s="64"/>
    </row>
    <row r="7" spans="1:30" x14ac:dyDescent="0.25">
      <c r="A7" s="62" t="s">
        <v>465</v>
      </c>
      <c r="B7" s="62" t="s">
        <v>325</v>
      </c>
      <c r="C7" s="63">
        <f>HLOOKUP('Energy calc'!$B7,SAM!$A$7:$DF$116,MATCH('Energy calc'!$C$3,SAM!$A$7:$A$116,0),)</f>
        <v>0.60600160380585477</v>
      </c>
      <c r="E7" s="62" t="s">
        <v>19</v>
      </c>
      <c r="F7" s="63">
        <f>SAM!BT112</f>
        <v>13.683323318995553</v>
      </c>
      <c r="J7" s="62" t="s">
        <v>469</v>
      </c>
      <c r="K7" s="63">
        <f t="shared" si="1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481</v>
      </c>
      <c r="R7" s="63">
        <f>(N7*$O$13)-L7</f>
        <v>46.381291467360427</v>
      </c>
      <c r="S7" s="63"/>
      <c r="T7" s="84"/>
      <c r="W7" s="62" t="s">
        <v>789</v>
      </c>
      <c r="X7" s="64">
        <v>1.4</v>
      </c>
      <c r="Y7" s="64"/>
      <c r="Z7" s="64"/>
      <c r="AA7" s="64"/>
      <c r="AB7" s="64"/>
      <c r="AC7" s="64"/>
      <c r="AD7" s="64"/>
    </row>
    <row r="8" spans="1:30" x14ac:dyDescent="0.25">
      <c r="A8" s="62" t="s">
        <v>465</v>
      </c>
      <c r="B8" s="62" t="s">
        <v>326</v>
      </c>
      <c r="C8" s="63">
        <f>HLOOKUP('Energy calc'!$B8,SAM!$A$7:$DF$116,MATCH('Energy calc'!$C$3,SAM!$A$7:$A$116,0),)</f>
        <v>0.21590645910913922</v>
      </c>
      <c r="I8" s="63"/>
      <c r="J8" s="62" t="s">
        <v>103</v>
      </c>
      <c r="K8" s="63">
        <f t="shared" si="1"/>
        <v>0</v>
      </c>
      <c r="L8" s="70"/>
      <c r="M8" s="64"/>
      <c r="N8" s="64"/>
      <c r="O8" s="73"/>
      <c r="P8" s="63" t="e">
        <f>(L8/M8)*100</f>
        <v>#DIV/0!</v>
      </c>
      <c r="Q8" s="81" t="s">
        <v>478</v>
      </c>
      <c r="R8" s="90"/>
      <c r="S8" s="63"/>
      <c r="T8" s="84"/>
      <c r="X8" s="64"/>
      <c r="Y8" s="64"/>
      <c r="Z8" s="64"/>
      <c r="AA8" s="64"/>
      <c r="AB8" s="64"/>
      <c r="AC8" s="64"/>
      <c r="AD8" s="64"/>
    </row>
    <row r="9" spans="1:30" x14ac:dyDescent="0.25">
      <c r="A9" s="62" t="s">
        <v>465</v>
      </c>
      <c r="B9" s="62" t="s">
        <v>327</v>
      </c>
      <c r="C9" s="63">
        <f>HLOOKUP('Energy calc'!$B9,SAM!$A$7:$DF$116,MATCH('Energy calc'!$C$3,SAM!$A$7:$A$116,0),)</f>
        <v>0.96624183265177144</v>
      </c>
      <c r="J9" s="62" t="s">
        <v>104</v>
      </c>
      <c r="K9" s="130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478</v>
      </c>
      <c r="R9" s="63"/>
      <c r="S9" s="63"/>
      <c r="T9" s="84"/>
      <c r="W9" s="62" t="s">
        <v>463</v>
      </c>
      <c r="X9" s="64">
        <v>542.08000000000004</v>
      </c>
      <c r="Y9" s="64">
        <v>775.01</v>
      </c>
      <c r="Z9" s="64"/>
      <c r="AA9" s="64"/>
      <c r="AB9" s="64"/>
      <c r="AC9" s="64">
        <v>32472.918999999998</v>
      </c>
      <c r="AD9" s="64">
        <v>32692.474999999999</v>
      </c>
    </row>
    <row r="10" spans="1:30" x14ac:dyDescent="0.25">
      <c r="A10" s="62" t="s">
        <v>465</v>
      </c>
      <c r="B10" s="62" t="s">
        <v>313</v>
      </c>
      <c r="C10" s="63">
        <f>HLOOKUP('Energy calc'!$B10,SAM!$A$7:$DF$116,MATCH('Energy calc'!$C$3,SAM!$A$7:$A$116,0),)</f>
        <v>1.1086442654609137</v>
      </c>
      <c r="J10" s="62" t="s">
        <v>593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231.4534131171915</v>
      </c>
      <c r="S10" s="108">
        <f>K10/O15</f>
        <v>0</v>
      </c>
      <c r="W10" s="62" t="s">
        <v>469</v>
      </c>
      <c r="X10" s="64">
        <v>195.54</v>
      </c>
      <c r="Y10" s="64">
        <v>195.54</v>
      </c>
      <c r="Z10" s="64"/>
      <c r="AA10" s="64"/>
      <c r="AB10" s="64"/>
      <c r="AC10" s="64">
        <v>8193.1260000000002</v>
      </c>
      <c r="AD10" s="64">
        <v>8193.1260000000002</v>
      </c>
    </row>
    <row r="11" spans="1:30" x14ac:dyDescent="0.25">
      <c r="A11" s="62" t="s">
        <v>465</v>
      </c>
      <c r="B11" s="62" t="s">
        <v>328</v>
      </c>
      <c r="C11" s="63">
        <f>HLOOKUP('Energy calc'!$B11,SAM!$A$7:$DF$116,MATCH('Energy calc'!$C$3,SAM!$A$7:$A$116,0),)</f>
        <v>0.26472097144379009</v>
      </c>
      <c r="S11" s="63"/>
      <c r="W11" s="62" t="s">
        <v>791</v>
      </c>
      <c r="X11" s="64">
        <v>5.24</v>
      </c>
      <c r="Y11" s="64">
        <v>5.24</v>
      </c>
      <c r="Z11" s="64"/>
      <c r="AA11" s="64"/>
      <c r="AB11" s="64"/>
      <c r="AC11" s="64">
        <v>219.55600000000001</v>
      </c>
      <c r="AD11" s="64"/>
    </row>
    <row r="12" spans="1:30" x14ac:dyDescent="0.25">
      <c r="A12" s="62" t="s">
        <v>465</v>
      </c>
      <c r="B12" s="62" t="s">
        <v>315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5.6610006324033625E-3</v>
      </c>
      <c r="X12" s="64"/>
      <c r="Y12" s="64"/>
      <c r="Z12" s="64"/>
      <c r="AA12" s="64"/>
      <c r="AB12" s="64"/>
      <c r="AC12" s="64"/>
      <c r="AD12" s="64"/>
    </row>
    <row r="13" spans="1:30" x14ac:dyDescent="0.25">
      <c r="A13" s="62" t="s">
        <v>465</v>
      </c>
      <c r="B13" s="62" t="s">
        <v>329</v>
      </c>
      <c r="C13" s="63">
        <f>HLOOKUP('Energy calc'!$B13,SAM!$A$7:$DF$116,MATCH('Energy calc'!$C$3,SAM!$A$7:$A$116,0),)</f>
        <v>0.3044999083158148</v>
      </c>
      <c r="J13" s="62" t="s">
        <v>471</v>
      </c>
      <c r="K13" s="71">
        <f>SUM(K4:K7)</f>
        <v>252.99257789785182</v>
      </c>
      <c r="L13" s="71"/>
      <c r="M13" s="65"/>
      <c r="N13" s="71">
        <f>SUM(N4:N7)</f>
        <v>44690.434487806182</v>
      </c>
      <c r="O13" s="73">
        <f>K13/N13</f>
        <v>5.6610006324033617E-3</v>
      </c>
      <c r="P13" s="63" t="e">
        <f>(L13/M13)*100</f>
        <v>#DIV/0!</v>
      </c>
      <c r="Q13" s="66"/>
      <c r="W13" s="62" t="s">
        <v>456</v>
      </c>
      <c r="X13" s="64">
        <v>742.86</v>
      </c>
      <c r="Y13" s="64">
        <v>975.79</v>
      </c>
      <c r="Z13" s="64"/>
      <c r="AA13" s="64"/>
      <c r="AB13" s="64"/>
      <c r="AC13" s="64">
        <v>40885.600999999995</v>
      </c>
      <c r="AD13" s="64">
        <v>40885.600999999995</v>
      </c>
    </row>
    <row r="14" spans="1:30" x14ac:dyDescent="0.25">
      <c r="A14" s="62" t="s">
        <v>465</v>
      </c>
      <c r="B14" s="62" t="s">
        <v>314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457</v>
      </c>
      <c r="X14" s="64">
        <v>742.86000000000013</v>
      </c>
      <c r="Y14" s="64">
        <v>975.79000000000008</v>
      </c>
      <c r="Z14" s="64"/>
      <c r="AA14" s="64"/>
      <c r="AB14" s="64"/>
      <c r="AC14" s="64">
        <v>40885.601000000002</v>
      </c>
      <c r="AD14" s="64">
        <v>40885.601000000002</v>
      </c>
    </row>
    <row r="15" spans="1:30" x14ac:dyDescent="0.25">
      <c r="A15" s="62" t="s">
        <v>465</v>
      </c>
      <c r="B15" s="62" t="s">
        <v>330</v>
      </c>
      <c r="C15" s="63">
        <f>HLOOKUP('Energy calc'!$B15,SAM!$A$7:$DF$116,MATCH('Energy calc'!$C$3,SAM!$A$7:$A$116,0),)</f>
        <v>4.0591063876784164</v>
      </c>
      <c r="J15" s="62" t="s">
        <v>457</v>
      </c>
      <c r="K15" s="72">
        <f>K18+(K9-K8)+K19</f>
        <v>252.99257789785179</v>
      </c>
      <c r="L15" s="72"/>
      <c r="M15" s="64"/>
      <c r="N15" s="64">
        <f>N18</f>
        <v>44690.434487806182</v>
      </c>
      <c r="O15" s="73">
        <f>K15/N15</f>
        <v>5.6610006324033617E-3</v>
      </c>
      <c r="P15" s="63" t="e">
        <f>(L15/M15)*100</f>
        <v>#DIV/0!</v>
      </c>
      <c r="Q15" s="66"/>
      <c r="R15" s="68">
        <f>O13-O15</f>
        <v>0</v>
      </c>
    </row>
    <row r="16" spans="1:30" x14ac:dyDescent="0.25">
      <c r="A16" s="62" t="s">
        <v>465</v>
      </c>
      <c r="B16" s="62" t="s">
        <v>331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465</v>
      </c>
      <c r="B17" s="62" t="s">
        <v>332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465</v>
      </c>
      <c r="B18" s="62" t="s">
        <v>333</v>
      </c>
      <c r="C18" s="63">
        <f>HLOOKUP('Energy calc'!$B18,SAM!$A$7:$DF$116,MATCH('Energy calc'!$C$3,SAM!$A$7:$A$116,0),)</f>
        <v>1.7721727611764229</v>
      </c>
      <c r="J18" s="62" t="s">
        <v>472</v>
      </c>
      <c r="K18" s="63">
        <f>F3</f>
        <v>239.30925457885624</v>
      </c>
      <c r="L18" s="70">
        <f>K18</f>
        <v>239.30925457885624</v>
      </c>
      <c r="M18" s="65"/>
      <c r="N18" s="64">
        <f>N13</f>
        <v>44690.434487806182</v>
      </c>
      <c r="O18" s="73">
        <f>K18/N18</f>
        <v>5.3548204961881033E-3</v>
      </c>
      <c r="Q18" s="66"/>
    </row>
    <row r="19" spans="1:18" x14ac:dyDescent="0.25">
      <c r="A19" s="62" t="s">
        <v>465</v>
      </c>
      <c r="B19" s="62" t="s">
        <v>334</v>
      </c>
      <c r="C19" s="63">
        <f>HLOOKUP('Energy calc'!$B19,SAM!$A$7:$DF$116,MATCH('Energy calc'!$C$3,SAM!$A$7:$A$116,0),)</f>
        <v>0.32486048906819376</v>
      </c>
      <c r="J19" s="128" t="s">
        <v>19</v>
      </c>
      <c r="K19" s="129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465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465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3804.833487806181</v>
      </c>
    </row>
    <row r="22" spans="1:18" x14ac:dyDescent="0.25">
      <c r="A22" s="62" t="s">
        <v>463</v>
      </c>
      <c r="B22" s="62" t="s">
        <v>483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463</v>
      </c>
      <c r="B23" s="62" t="s">
        <v>20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463</v>
      </c>
      <c r="B24" s="62" t="s">
        <v>335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463</v>
      </c>
      <c r="B25" s="62" t="s">
        <v>336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463</v>
      </c>
      <c r="B26" s="62" t="s">
        <v>27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463</v>
      </c>
      <c r="B27" s="62" t="s">
        <v>337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463</v>
      </c>
      <c r="B28" s="62" t="s">
        <v>338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463</v>
      </c>
      <c r="B29" s="62" t="s">
        <v>339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463</v>
      </c>
      <c r="B30" s="62" t="s">
        <v>309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463</v>
      </c>
      <c r="B31" s="62" t="s">
        <v>340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463</v>
      </c>
      <c r="B32" s="62" t="s">
        <v>341</v>
      </c>
      <c r="C32" s="63">
        <f>HLOOKUP('Energy calc'!$B32,SAM!$A$7:$DF$116,MATCH('Energy calc'!$C$3,SAM!$A$7:$A$116,0),)</f>
        <v>4.0705523703423685</v>
      </c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463</v>
      </c>
      <c r="B33" s="62" t="s">
        <v>32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463</v>
      </c>
      <c r="B34" s="62" t="s">
        <v>342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463</v>
      </c>
      <c r="B35" s="62" t="s">
        <v>34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463</v>
      </c>
      <c r="B36" s="62" t="s">
        <v>343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463</v>
      </c>
      <c r="B37" s="62" t="s">
        <v>344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463</v>
      </c>
      <c r="B38" s="62" t="s">
        <v>345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463</v>
      </c>
      <c r="B39" s="62" t="s">
        <v>346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463</v>
      </c>
      <c r="B40" s="62" t="s">
        <v>175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463</v>
      </c>
      <c r="B41" s="62" t="s">
        <v>347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463</v>
      </c>
      <c r="B42" s="62" t="s">
        <v>348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463</v>
      </c>
      <c r="B43" s="62" t="s">
        <v>176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463</v>
      </c>
      <c r="B44" s="62" t="s">
        <v>177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463</v>
      </c>
      <c r="B45" s="62" t="s">
        <v>36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469</v>
      </c>
      <c r="B46" s="62" t="s">
        <v>700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469</v>
      </c>
      <c r="B47" s="62" t="s">
        <v>702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469</v>
      </c>
      <c r="B48" s="62" t="s">
        <v>704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469</v>
      </c>
      <c r="B49" s="62" t="s">
        <v>706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469</v>
      </c>
      <c r="B50" s="62" t="s">
        <v>708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469</v>
      </c>
      <c r="B51" s="62" t="s">
        <v>379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469</v>
      </c>
      <c r="B52" s="62" t="s">
        <v>380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469</v>
      </c>
      <c r="B53" s="62" t="s">
        <v>381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469</v>
      </c>
      <c r="B54" s="62" t="s">
        <v>382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469</v>
      </c>
      <c r="B55" s="62" t="s">
        <v>383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103</v>
      </c>
      <c r="B56" s="62" t="s">
        <v>24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103</v>
      </c>
      <c r="B57" s="62" t="s">
        <v>25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E61"/>
  <sheetViews>
    <sheetView zoomScale="74" zoomScaleNormal="60" workbookViewId="0">
      <selection activeCell="T9" sqref="T9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2" spans="1:31" x14ac:dyDescent="0.3">
      <c r="C2" s="11"/>
      <c r="D2" s="11"/>
      <c r="E2" s="11"/>
      <c r="F2" s="11"/>
      <c r="G2" s="11"/>
      <c r="H2" s="15"/>
      <c r="I2" s="11"/>
    </row>
    <row r="3" spans="1:31" x14ac:dyDescent="0.3">
      <c r="C3" s="53"/>
      <c r="D3" s="53"/>
      <c r="I3" s="11"/>
      <c r="S3" s="57" t="s">
        <v>439</v>
      </c>
    </row>
    <row r="4" spans="1:31" x14ac:dyDescent="0.3">
      <c r="B4" s="2" t="s">
        <v>427</v>
      </c>
      <c r="AA4" s="57" t="s">
        <v>445</v>
      </c>
    </row>
    <row r="5" spans="1:31" x14ac:dyDescent="0.3">
      <c r="H5" t="s">
        <v>428</v>
      </c>
      <c r="N5" t="s">
        <v>24</v>
      </c>
      <c r="Y5" s="57" t="s">
        <v>197</v>
      </c>
      <c r="AB5" s="57" t="s">
        <v>446</v>
      </c>
    </row>
    <row r="6" spans="1:31" x14ac:dyDescent="0.3">
      <c r="C6" t="s">
        <v>429</v>
      </c>
      <c r="D6" t="s">
        <v>430</v>
      </c>
      <c r="E6" t="s">
        <v>431</v>
      </c>
      <c r="F6" t="s">
        <v>432</v>
      </c>
      <c r="G6" t="s">
        <v>433</v>
      </c>
      <c r="H6" t="s">
        <v>434</v>
      </c>
      <c r="I6" t="s">
        <v>435</v>
      </c>
      <c r="N6">
        <v>9.9999999999999995E-7</v>
      </c>
      <c r="T6" s="57" t="s">
        <v>438</v>
      </c>
      <c r="W6" s="57" t="s">
        <v>440</v>
      </c>
      <c r="Y6" s="57" t="s">
        <v>444</v>
      </c>
      <c r="AA6" s="57" t="s">
        <v>68</v>
      </c>
      <c r="AB6" s="57" t="s">
        <v>66</v>
      </c>
      <c r="AE6" s="57" t="s">
        <v>807</v>
      </c>
    </row>
    <row r="7" spans="1:31" x14ac:dyDescent="0.3">
      <c r="A7" s="42"/>
      <c r="B7" t="s">
        <v>341</v>
      </c>
      <c r="C7" s="38">
        <f>'Energy calc'!N15</f>
        <v>44690.434487806182</v>
      </c>
      <c r="D7" s="38">
        <f>'Energy calc'!N9</f>
        <v>0</v>
      </c>
      <c r="E7" s="38">
        <f>'Energy calc'!N8</f>
        <v>0</v>
      </c>
      <c r="F7" s="38">
        <f>N7</f>
        <v>1.7664721573709712E-4</v>
      </c>
      <c r="G7" s="38">
        <f t="shared" ref="G7:G8" si="0">C7+D7-E7-F7</f>
        <v>44690.43431115897</v>
      </c>
      <c r="H7" s="38"/>
      <c r="I7" s="38"/>
      <c r="N7" s="50">
        <f>N6/T7</f>
        <v>1.7664721573709712E-4</v>
      </c>
      <c r="S7" s="57" t="s">
        <v>370</v>
      </c>
      <c r="T7" s="131">
        <f>'Energy calc'!O13</f>
        <v>5.6610006324033617E-3</v>
      </c>
      <c r="V7" s="57" t="s">
        <v>441</v>
      </c>
      <c r="W7" s="60">
        <f>'Energy calc'!N4</f>
        <v>3804.8334878061805</v>
      </c>
      <c r="Y7" s="57" t="s">
        <v>441</v>
      </c>
      <c r="AA7" s="57" t="s">
        <v>441</v>
      </c>
      <c r="AB7" s="57" t="s">
        <v>323</v>
      </c>
      <c r="AD7" s="57" t="s">
        <v>808</v>
      </c>
      <c r="AE7" s="60">
        <f>'Power calc'!G22</f>
        <v>527.4312466366838</v>
      </c>
    </row>
    <row r="8" spans="1:31" x14ac:dyDescent="0.3">
      <c r="A8" s="4"/>
      <c r="B8" s="43" t="s">
        <v>803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803</v>
      </c>
      <c r="T8" s="131">
        <f>'Power calc'!B31</f>
        <v>4.2471573753437861E-3</v>
      </c>
      <c r="V8" s="57" t="s">
        <v>442</v>
      </c>
      <c r="W8" s="60">
        <f>'Energy calc'!N5</f>
        <v>32692.474999999999</v>
      </c>
      <c r="Y8" s="57" t="s">
        <v>442</v>
      </c>
      <c r="AA8" s="57" t="s">
        <v>441</v>
      </c>
      <c r="AB8" s="57" t="s">
        <v>324</v>
      </c>
      <c r="AE8" s="60"/>
    </row>
    <row r="9" spans="1:31" x14ac:dyDescent="0.3">
      <c r="A9" s="25"/>
      <c r="B9" s="43"/>
      <c r="C9" s="44"/>
      <c r="D9" s="44"/>
      <c r="E9" s="44"/>
      <c r="F9" s="44"/>
      <c r="G9" s="38"/>
      <c r="H9" s="44"/>
      <c r="I9" s="44"/>
      <c r="L9" s="43"/>
      <c r="V9" s="57" t="s">
        <v>320</v>
      </c>
      <c r="W9" s="60">
        <f>'Energy calc'!N6</f>
        <v>0</v>
      </c>
      <c r="Y9" s="57" t="s">
        <v>443</v>
      </c>
      <c r="AA9" s="57" t="s">
        <v>441</v>
      </c>
      <c r="AB9" s="57" t="s">
        <v>611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443</v>
      </c>
      <c r="W10" s="60">
        <f>'Energy calc'!N7</f>
        <v>8193.1260000000002</v>
      </c>
      <c r="Y10" s="57" t="s">
        <v>476</v>
      </c>
      <c r="AA10" s="57" t="s">
        <v>441</v>
      </c>
      <c r="AB10" s="57" t="s">
        <v>325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476</v>
      </c>
      <c r="W11" s="85">
        <f>'Energy calc'!N8</f>
        <v>0</v>
      </c>
      <c r="Y11" s="57" t="s">
        <v>477</v>
      </c>
      <c r="AA11" s="57" t="s">
        <v>441</v>
      </c>
      <c r="AB11" s="57" t="s">
        <v>326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477</v>
      </c>
      <c r="W12" s="85">
        <f>'Energy calc'!N9</f>
        <v>0</v>
      </c>
      <c r="AA12" s="57" t="s">
        <v>441</v>
      </c>
      <c r="AB12" s="57" t="s">
        <v>327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441</v>
      </c>
      <c r="AB13" s="57" t="s">
        <v>313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441</v>
      </c>
      <c r="AB14" s="57" t="s">
        <v>328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441</v>
      </c>
      <c r="AB15" s="57" t="s">
        <v>315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441</v>
      </c>
      <c r="AB16" s="57" t="s">
        <v>329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441</v>
      </c>
      <c r="AB17" s="57" t="s">
        <v>314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441</v>
      </c>
      <c r="AB18" s="57" t="s">
        <v>330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441</v>
      </c>
      <c r="AB19" s="57" t="s">
        <v>331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441</v>
      </c>
      <c r="AB20" s="57" t="s">
        <v>332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441</v>
      </c>
      <c r="AB21" s="57" t="s">
        <v>333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441</v>
      </c>
      <c r="AB22" s="57" t="s">
        <v>334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441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441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442</v>
      </c>
      <c r="AB25" s="57" t="s">
        <v>483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442</v>
      </c>
      <c r="AB26" s="57" t="s">
        <v>486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442</v>
      </c>
      <c r="AB27" s="57" t="s">
        <v>20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442</v>
      </c>
      <c r="AB28" s="57" t="s">
        <v>335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442</v>
      </c>
      <c r="AB29" s="57" t="s">
        <v>336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442</v>
      </c>
      <c r="AB30" s="57" t="s">
        <v>27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442</v>
      </c>
      <c r="AB31" s="57" t="s">
        <v>337</v>
      </c>
    </row>
    <row r="32" spans="1:28" x14ac:dyDescent="0.3">
      <c r="AA32" s="57" t="s">
        <v>442</v>
      </c>
      <c r="AB32" s="57" t="s">
        <v>338</v>
      </c>
    </row>
    <row r="33" spans="3:28" x14ac:dyDescent="0.3">
      <c r="P33" s="11"/>
      <c r="Q33" s="91"/>
      <c r="AA33" s="57" t="s">
        <v>442</v>
      </c>
      <c r="AB33" s="57" t="s">
        <v>339</v>
      </c>
    </row>
    <row r="34" spans="3:28" x14ac:dyDescent="0.3">
      <c r="P34" s="11"/>
      <c r="Q34" s="30"/>
      <c r="AA34" s="57" t="s">
        <v>442</v>
      </c>
      <c r="AB34" s="57" t="s">
        <v>309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442</v>
      </c>
      <c r="AB35" s="57" t="s">
        <v>340</v>
      </c>
    </row>
    <row r="36" spans="3:28" x14ac:dyDescent="0.3">
      <c r="C36" s="53"/>
      <c r="D36" s="55"/>
      <c r="E36" s="11"/>
      <c r="F36" s="53"/>
      <c r="P36" s="46"/>
      <c r="Q36" s="45"/>
      <c r="AA36" s="57" t="s">
        <v>442</v>
      </c>
      <c r="AB36" s="57" t="s">
        <v>341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442</v>
      </c>
      <c r="AB37" s="57" t="s">
        <v>32</v>
      </c>
    </row>
    <row r="38" spans="3:28" x14ac:dyDescent="0.3">
      <c r="C38" s="49"/>
      <c r="D38" s="55"/>
      <c r="E38" s="11"/>
      <c r="F38" s="50"/>
      <c r="G38" s="56"/>
      <c r="AA38" s="57" t="s">
        <v>442</v>
      </c>
      <c r="AB38" s="57" t="s">
        <v>342</v>
      </c>
    </row>
    <row r="39" spans="3:28" x14ac:dyDescent="0.3">
      <c r="D39" s="50"/>
      <c r="AA39" s="57" t="s">
        <v>442</v>
      </c>
      <c r="AB39" s="57" t="s">
        <v>34</v>
      </c>
    </row>
    <row r="40" spans="3:28" x14ac:dyDescent="0.3">
      <c r="AA40" s="57" t="s">
        <v>442</v>
      </c>
      <c r="AB40" s="57" t="s">
        <v>343</v>
      </c>
    </row>
    <row r="41" spans="3:28" x14ac:dyDescent="0.3">
      <c r="AA41" s="57" t="s">
        <v>442</v>
      </c>
      <c r="AB41" s="57" t="s">
        <v>344</v>
      </c>
    </row>
    <row r="42" spans="3:28" x14ac:dyDescent="0.3">
      <c r="AA42" s="57" t="s">
        <v>442</v>
      </c>
      <c r="AB42" s="57" t="s">
        <v>345</v>
      </c>
    </row>
    <row r="43" spans="3:28" x14ac:dyDescent="0.3">
      <c r="AA43" s="57" t="s">
        <v>442</v>
      </c>
      <c r="AB43" s="57" t="s">
        <v>346</v>
      </c>
    </row>
    <row r="44" spans="3:28" x14ac:dyDescent="0.3">
      <c r="AA44" s="57" t="s">
        <v>442</v>
      </c>
      <c r="AB44" s="57" t="s">
        <v>175</v>
      </c>
    </row>
    <row r="45" spans="3:28" x14ac:dyDescent="0.3">
      <c r="C45" s="11"/>
      <c r="AA45" s="57" t="s">
        <v>442</v>
      </c>
      <c r="AB45" s="57" t="s">
        <v>347</v>
      </c>
    </row>
    <row r="46" spans="3:28" x14ac:dyDescent="0.3">
      <c r="AA46" s="57" t="s">
        <v>442</v>
      </c>
      <c r="AB46" s="57" t="s">
        <v>348</v>
      </c>
    </row>
    <row r="47" spans="3:28" x14ac:dyDescent="0.3">
      <c r="AA47" s="57" t="s">
        <v>442</v>
      </c>
      <c r="AB47" s="57" t="s">
        <v>176</v>
      </c>
    </row>
    <row r="48" spans="3:28" x14ac:dyDescent="0.3">
      <c r="AA48" s="57" t="s">
        <v>442</v>
      </c>
      <c r="AB48" s="57" t="s">
        <v>177</v>
      </c>
    </row>
    <row r="49" spans="27:28" x14ac:dyDescent="0.3">
      <c r="AA49" s="57" t="s">
        <v>442</v>
      </c>
      <c r="AB49" s="57" t="s">
        <v>36</v>
      </c>
    </row>
    <row r="50" spans="27:28" x14ac:dyDescent="0.3">
      <c r="AA50" s="57" t="s">
        <v>443</v>
      </c>
      <c r="AB50" s="57" t="s">
        <v>700</v>
      </c>
    </row>
    <row r="51" spans="27:28" x14ac:dyDescent="0.3">
      <c r="AA51" s="57" t="s">
        <v>443</v>
      </c>
      <c r="AB51" s="57" t="s">
        <v>702</v>
      </c>
    </row>
    <row r="52" spans="27:28" x14ac:dyDescent="0.3">
      <c r="AA52" s="57" t="s">
        <v>443</v>
      </c>
      <c r="AB52" s="57" t="s">
        <v>704</v>
      </c>
    </row>
    <row r="53" spans="27:28" x14ac:dyDescent="0.3">
      <c r="AA53" s="57" t="s">
        <v>443</v>
      </c>
      <c r="AB53" s="57" t="s">
        <v>706</v>
      </c>
    </row>
    <row r="54" spans="27:28" x14ac:dyDescent="0.3">
      <c r="AA54" s="57" t="s">
        <v>443</v>
      </c>
      <c r="AB54" s="57" t="s">
        <v>708</v>
      </c>
    </row>
    <row r="55" spans="27:28" x14ac:dyDescent="0.3">
      <c r="AA55" s="57" t="s">
        <v>443</v>
      </c>
      <c r="AB55" s="57" t="s">
        <v>379</v>
      </c>
    </row>
    <row r="56" spans="27:28" x14ac:dyDescent="0.3">
      <c r="AA56" s="57" t="s">
        <v>443</v>
      </c>
      <c r="AB56" s="57" t="s">
        <v>380</v>
      </c>
    </row>
    <row r="57" spans="27:28" x14ac:dyDescent="0.3">
      <c r="AA57" s="57" t="s">
        <v>443</v>
      </c>
      <c r="AB57" s="57" t="s">
        <v>381</v>
      </c>
    </row>
    <row r="58" spans="27:28" x14ac:dyDescent="0.3">
      <c r="AA58" s="57" t="s">
        <v>443</v>
      </c>
      <c r="AB58" s="57" t="s">
        <v>382</v>
      </c>
    </row>
    <row r="59" spans="27:28" x14ac:dyDescent="0.3">
      <c r="AA59" s="57" t="s">
        <v>443</v>
      </c>
      <c r="AB59" s="57" t="s">
        <v>383</v>
      </c>
    </row>
    <row r="60" spans="27:28" x14ac:dyDescent="0.3">
      <c r="AA60" s="57" t="s">
        <v>476</v>
      </c>
      <c r="AB60" s="57" t="s">
        <v>24</v>
      </c>
    </row>
    <row r="61" spans="27:28" x14ac:dyDescent="0.3">
      <c r="AA61" s="57" t="s">
        <v>476</v>
      </c>
      <c r="AB61" s="57" t="s">
        <v>25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workbookViewId="0">
      <selection activeCell="A27" sqref="A27"/>
    </sheetView>
  </sheetViews>
  <sheetFormatPr defaultRowHeight="12" x14ac:dyDescent="0.25"/>
  <cols>
    <col min="1" max="1" width="18.6640625" style="62" bestFit="1" customWidth="1"/>
    <col min="2" max="2" width="7.88671875" style="62" bestFit="1" customWidth="1"/>
    <col min="3" max="3" width="6.5546875" style="62" bestFit="1" customWidth="1"/>
    <col min="4" max="5" width="8.77734375" style="62" bestFit="1" customWidth="1"/>
    <col min="6" max="6" width="9.44140625" style="62" bestFit="1" customWidth="1"/>
    <col min="7" max="7" width="6.109375" style="62" bestFit="1" customWidth="1"/>
    <col min="8" max="8" width="7.88671875" style="62" bestFit="1" customWidth="1"/>
    <col min="9" max="9" width="10.5546875" style="62" bestFit="1" customWidth="1"/>
    <col min="10" max="10" width="7.88671875" style="62" bestFit="1" customWidth="1"/>
    <col min="11" max="12" width="8.77734375" style="62" bestFit="1" customWidth="1"/>
    <col min="13" max="14" width="4.33203125" style="62" bestFit="1" customWidth="1"/>
    <col min="15" max="15" width="19" style="62" bestFit="1" customWidth="1"/>
    <col min="16" max="17" width="8.88671875" style="62"/>
    <col min="18" max="18" width="22.109375" style="62" customWidth="1"/>
    <col min="19" max="19" width="4.33203125" style="62" bestFit="1" customWidth="1"/>
    <col min="20" max="20" width="7.88671875" style="62" bestFit="1" customWidth="1"/>
    <col min="21" max="21" width="10.44140625" style="62" bestFit="1" customWidth="1"/>
    <col min="22" max="22" width="9.77734375" style="62" bestFit="1" customWidth="1"/>
    <col min="23" max="23" width="6.88671875" style="62" bestFit="1" customWidth="1"/>
    <col min="24" max="24" width="6.109375" style="62" bestFit="1" customWidth="1"/>
    <col min="25" max="25" width="13.77734375" style="62" bestFit="1" customWidth="1"/>
    <col min="26" max="26" width="15.44140625" style="62" bestFit="1" customWidth="1"/>
    <col min="27" max="27" width="8.5546875" style="62" bestFit="1" customWidth="1"/>
    <col min="28" max="28" width="4.5546875" style="62" bestFit="1" customWidth="1"/>
    <col min="29" max="29" width="7" style="62" bestFit="1" customWidth="1"/>
    <col min="30" max="16384" width="8.88671875" style="62"/>
  </cols>
  <sheetData>
    <row r="1" spans="1:29" x14ac:dyDescent="0.25">
      <c r="A1" s="92" t="s">
        <v>490</v>
      </c>
      <c r="F1" s="62">
        <v>3.8</v>
      </c>
      <c r="G1" s="62" t="s">
        <v>583</v>
      </c>
      <c r="R1" s="62" t="s">
        <v>571</v>
      </c>
    </row>
    <row r="2" spans="1:29" x14ac:dyDescent="0.25">
      <c r="A2" s="62" t="s">
        <v>492</v>
      </c>
      <c r="F2" s="102">
        <v>158.98729499999999</v>
      </c>
      <c r="G2" s="62" t="s">
        <v>581</v>
      </c>
      <c r="I2" s="68">
        <f>B5/F2</f>
        <v>0.33519449882247931</v>
      </c>
    </row>
    <row r="3" spans="1:29" ht="12.6" thickBot="1" x14ac:dyDescent="0.3">
      <c r="A3" s="92" t="s">
        <v>491</v>
      </c>
      <c r="F3" s="62">
        <v>38</v>
      </c>
      <c r="G3" s="62" t="s">
        <v>582</v>
      </c>
      <c r="I3" s="68">
        <f>I2*F3</f>
        <v>12.737390955254213</v>
      </c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2.6" thickBot="1" x14ac:dyDescent="0.3">
      <c r="A4" s="62">
        <v>2015</v>
      </c>
      <c r="B4" s="62" t="s">
        <v>572</v>
      </c>
      <c r="D4" s="62" t="s">
        <v>586</v>
      </c>
      <c r="S4" s="94" t="s">
        <v>422</v>
      </c>
      <c r="T4" s="94" t="s">
        <v>416</v>
      </c>
      <c r="U4" s="94" t="s">
        <v>494</v>
      </c>
      <c r="V4" s="94" t="s">
        <v>417</v>
      </c>
      <c r="W4" s="94" t="s">
        <v>495</v>
      </c>
      <c r="X4" s="94" t="s">
        <v>496</v>
      </c>
      <c r="Y4" s="94" t="s">
        <v>497</v>
      </c>
      <c r="Z4" s="94" t="s">
        <v>498</v>
      </c>
      <c r="AA4" s="94" t="s">
        <v>423</v>
      </c>
      <c r="AB4" s="94" t="s">
        <v>499</v>
      </c>
      <c r="AC4" s="94" t="s">
        <v>408</v>
      </c>
    </row>
    <row r="5" spans="1:29" ht="12.6" thickBot="1" x14ac:dyDescent="0.3">
      <c r="A5" s="107" t="s">
        <v>578</v>
      </c>
      <c r="B5" s="62">
        <v>53.291666666666664</v>
      </c>
      <c r="D5" s="68">
        <f>B5*165*F1</f>
        <v>33413.875</v>
      </c>
      <c r="G5" s="62" t="s">
        <v>460</v>
      </c>
      <c r="H5" s="62" t="s">
        <v>584</v>
      </c>
      <c r="I5" s="62" t="s">
        <v>199</v>
      </c>
      <c r="J5" s="62" t="s">
        <v>585</v>
      </c>
      <c r="R5" s="95"/>
      <c r="S5" s="95" t="s">
        <v>460</v>
      </c>
      <c r="T5" s="95" t="s">
        <v>460</v>
      </c>
      <c r="U5" s="95" t="s">
        <v>460</v>
      </c>
      <c r="V5" s="95" t="s">
        <v>460</v>
      </c>
      <c r="W5" s="95" t="s">
        <v>460</v>
      </c>
      <c r="X5" s="95" t="s">
        <v>460</v>
      </c>
      <c r="Y5" s="95" t="s">
        <v>460</v>
      </c>
      <c r="Z5" s="95" t="s">
        <v>460</v>
      </c>
      <c r="AA5" s="95" t="s">
        <v>460</v>
      </c>
      <c r="AB5" s="95" t="s">
        <v>460</v>
      </c>
      <c r="AC5" s="95" t="s">
        <v>460</v>
      </c>
    </row>
    <row r="6" spans="1:29" ht="12.6" thickBot="1" x14ac:dyDescent="0.3">
      <c r="A6" s="62" t="s">
        <v>489</v>
      </c>
      <c r="B6" s="62">
        <v>228154</v>
      </c>
      <c r="C6" s="62" t="s">
        <v>460</v>
      </c>
      <c r="F6" s="62" t="str">
        <f>A6</f>
        <v>Production</v>
      </c>
      <c r="G6" s="62">
        <f>B6-B14</f>
        <v>226281</v>
      </c>
      <c r="H6" s="65">
        <f>(G6*$D$5)/1000000</f>
        <v>7560.9250488750004</v>
      </c>
      <c r="I6" s="103">
        <f>SAM!CA29</f>
        <v>0</v>
      </c>
      <c r="J6" s="65">
        <f>I6-H6</f>
        <v>-7560.9250488750004</v>
      </c>
      <c r="R6" s="96" t="s">
        <v>489</v>
      </c>
      <c r="S6" s="97"/>
      <c r="T6" s="97" t="s">
        <v>500</v>
      </c>
      <c r="U6" s="97"/>
      <c r="V6" s="97" t="s">
        <v>501</v>
      </c>
      <c r="W6" s="97"/>
      <c r="X6" s="97" t="s">
        <v>502</v>
      </c>
      <c r="Y6" s="97">
        <v>11</v>
      </c>
      <c r="Z6" s="97" t="s">
        <v>503</v>
      </c>
      <c r="AA6" s="97"/>
      <c r="AB6" s="97"/>
      <c r="AC6" s="97" t="s">
        <v>504</v>
      </c>
    </row>
    <row r="7" spans="1:29" ht="12.6" thickBot="1" x14ac:dyDescent="0.3">
      <c r="A7" s="62" t="s">
        <v>104</v>
      </c>
      <c r="B7" s="62">
        <v>13255</v>
      </c>
      <c r="F7" s="62" t="s">
        <v>579</v>
      </c>
      <c r="G7" s="62">
        <f>B8-B7</f>
        <v>208763</v>
      </c>
      <c r="H7" s="65">
        <f t="shared" ref="H7" si="0">(G7*$D$5)/1000000</f>
        <v>6975.5807866249997</v>
      </c>
      <c r="I7" s="103">
        <f>SAM!ET85-SAM!CA156</f>
        <v>0</v>
      </c>
      <c r="J7" s="65">
        <f t="shared" ref="J7:J9" si="1">I7-H7</f>
        <v>-6975.5807866249997</v>
      </c>
      <c r="R7" s="96" t="s">
        <v>104</v>
      </c>
      <c r="S7" s="97"/>
      <c r="T7" s="97" t="s">
        <v>505</v>
      </c>
      <c r="U7" s="97" t="s">
        <v>506</v>
      </c>
      <c r="V7" s="97" t="s">
        <v>507</v>
      </c>
      <c r="W7" s="97"/>
      <c r="X7" s="97"/>
      <c r="Y7" s="97"/>
      <c r="Z7" s="97"/>
      <c r="AA7" s="97">
        <v>803</v>
      </c>
      <c r="AB7" s="97"/>
      <c r="AC7" s="97" t="s">
        <v>508</v>
      </c>
    </row>
    <row r="8" spans="1:29" ht="12.6" thickBot="1" x14ac:dyDescent="0.3">
      <c r="A8" s="62" t="s">
        <v>103</v>
      </c>
      <c r="B8" s="62">
        <v>222018</v>
      </c>
      <c r="F8" s="62" t="s">
        <v>580</v>
      </c>
      <c r="G8" s="62">
        <f>B9+B11</f>
        <v>10997</v>
      </c>
      <c r="H8" s="65">
        <f>(G8*$D$5+$H$13*(G8/SUM($G$8:$G$9)))/1000000</f>
        <v>367.45238337500001</v>
      </c>
      <c r="I8" s="103">
        <f>SAM!AQ85</f>
        <v>4.6234465507247391</v>
      </c>
      <c r="J8" s="65">
        <f t="shared" si="1"/>
        <v>-362.82893682427527</v>
      </c>
      <c r="R8" s="96" t="s">
        <v>103</v>
      </c>
      <c r="S8" s="97"/>
      <c r="T8" s="97" t="s">
        <v>509</v>
      </c>
      <c r="U8" s="97">
        <v>-448</v>
      </c>
      <c r="V8" s="97"/>
      <c r="W8" s="97"/>
      <c r="X8" s="97"/>
      <c r="Y8" s="97"/>
      <c r="Z8" s="97"/>
      <c r="AA8" s="97" t="s">
        <v>510</v>
      </c>
      <c r="AB8" s="97"/>
      <c r="AC8" s="97" t="s">
        <v>511</v>
      </c>
    </row>
    <row r="9" spans="1:29" ht="12.6" thickBot="1" x14ac:dyDescent="0.3">
      <c r="A9" s="62" t="s">
        <v>573</v>
      </c>
      <c r="B9" s="62">
        <v>10613</v>
      </c>
      <c r="F9" s="62" t="s">
        <v>536</v>
      </c>
      <c r="G9" s="62">
        <f>B10</f>
        <v>6521</v>
      </c>
      <c r="H9" s="65">
        <f>(G9*$D$5+$H$13*(G9/SUM($G$8:$G$9)))/1000000</f>
        <v>217.891878875</v>
      </c>
      <c r="I9" s="103">
        <f>SAM!AK85</f>
        <v>2.133020152335122</v>
      </c>
      <c r="J9" s="65">
        <f t="shared" si="1"/>
        <v>-215.75885872266488</v>
      </c>
      <c r="R9" s="96" t="s">
        <v>512</v>
      </c>
      <c r="S9" s="97"/>
      <c r="T9" s="97"/>
      <c r="U9" s="97">
        <v>-433</v>
      </c>
      <c r="V9" s="97"/>
      <c r="W9" s="97"/>
      <c r="X9" s="97"/>
      <c r="Y9" s="97"/>
      <c r="Z9" s="97"/>
      <c r="AA9" s="97"/>
      <c r="AB9" s="97"/>
      <c r="AC9" s="97">
        <v>-433</v>
      </c>
    </row>
    <row r="10" spans="1:29" ht="12.6" thickBot="1" x14ac:dyDescent="0.3">
      <c r="A10" s="62" t="s">
        <v>536</v>
      </c>
      <c r="B10" s="62">
        <v>6521</v>
      </c>
      <c r="R10" s="96" t="s">
        <v>513</v>
      </c>
      <c r="S10" s="97"/>
      <c r="T10" s="97"/>
      <c r="U10" s="97" t="s">
        <v>514</v>
      </c>
      <c r="V10" s="97"/>
      <c r="W10" s="97"/>
      <c r="X10" s="97"/>
      <c r="Y10" s="97"/>
      <c r="Z10" s="97"/>
      <c r="AA10" s="97"/>
      <c r="AB10" s="97"/>
      <c r="AC10" s="97" t="s">
        <v>514</v>
      </c>
    </row>
    <row r="11" spans="1:29" ht="12.6" thickBot="1" x14ac:dyDescent="0.3">
      <c r="A11" s="62" t="s">
        <v>544</v>
      </c>
      <c r="B11" s="62">
        <v>384</v>
      </c>
      <c r="G11" s="62">
        <f>SUM(G7:G9)</f>
        <v>226281</v>
      </c>
      <c r="H11" s="100">
        <f>SUM(H7:H9)</f>
        <v>7560.9250488749994</v>
      </c>
      <c r="I11" s="100">
        <f>SUM(I7:I9)</f>
        <v>6.7564667030598606</v>
      </c>
      <c r="R11" s="96" t="s">
        <v>515</v>
      </c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 spans="1:29" ht="12.6" thickBot="1" x14ac:dyDescent="0.3">
      <c r="A12" s="62" t="s">
        <v>457</v>
      </c>
      <c r="B12" s="62">
        <f>SUM(B6:B7)</f>
        <v>241409</v>
      </c>
      <c r="G12" s="101">
        <f>G11-G6</f>
        <v>0</v>
      </c>
      <c r="H12" s="101">
        <f>H11-H6</f>
        <v>0</v>
      </c>
      <c r="R12" s="96" t="s">
        <v>516</v>
      </c>
      <c r="S12" s="97"/>
      <c r="T12" s="97" t="s">
        <v>517</v>
      </c>
      <c r="U12" s="97" t="s">
        <v>518</v>
      </c>
      <c r="V12" s="97" t="s">
        <v>519</v>
      </c>
      <c r="W12" s="97"/>
      <c r="X12" s="97" t="s">
        <v>502</v>
      </c>
      <c r="Y12" s="97">
        <v>11</v>
      </c>
      <c r="Z12" s="97" t="s">
        <v>503</v>
      </c>
      <c r="AA12" s="97" t="s">
        <v>520</v>
      </c>
      <c r="AB12" s="97"/>
      <c r="AC12" s="97" t="s">
        <v>521</v>
      </c>
    </row>
    <row r="13" spans="1:29" ht="12.6" thickBot="1" x14ac:dyDescent="0.3">
      <c r="A13" s="62" t="s">
        <v>456</v>
      </c>
      <c r="B13" s="62">
        <f>SUM(B8:B11)</f>
        <v>239536</v>
      </c>
      <c r="F13" s="62" t="s">
        <v>156</v>
      </c>
      <c r="H13" s="103">
        <f>SAM!CA119</f>
        <v>0</v>
      </c>
      <c r="R13" s="96" t="s">
        <v>522</v>
      </c>
      <c r="S13" s="97"/>
      <c r="T13" s="97">
        <v>-84</v>
      </c>
      <c r="U13" s="97">
        <v>95</v>
      </c>
      <c r="V13" s="97"/>
      <c r="W13" s="97"/>
      <c r="X13" s="97"/>
      <c r="Y13" s="97"/>
      <c r="Z13" s="97"/>
      <c r="AA13" s="97"/>
      <c r="AB13" s="97"/>
      <c r="AC13" s="97">
        <v>11</v>
      </c>
    </row>
    <row r="14" spans="1:29" ht="12.6" thickBot="1" x14ac:dyDescent="0.3">
      <c r="B14" s="62">
        <f>B12-B13</f>
        <v>1873</v>
      </c>
      <c r="R14" s="96" t="s">
        <v>523</v>
      </c>
      <c r="S14" s="97"/>
      <c r="T14" s="97" t="s">
        <v>524</v>
      </c>
      <c r="U14" s="97" t="s">
        <v>525</v>
      </c>
      <c r="V14" s="97"/>
      <c r="W14" s="97"/>
      <c r="X14" s="97"/>
      <c r="Y14" s="97"/>
      <c r="Z14" s="97"/>
      <c r="AA14" s="97">
        <v>-122</v>
      </c>
      <c r="AB14" s="97"/>
      <c r="AC14" s="97" t="s">
        <v>526</v>
      </c>
    </row>
    <row r="15" spans="1:29" ht="15" thickBot="1" x14ac:dyDescent="0.35">
      <c r="A15" s="104" t="s">
        <v>587</v>
      </c>
      <c r="R15" s="96" t="s">
        <v>527</v>
      </c>
      <c r="S15" s="97"/>
      <c r="T15" s="97" t="s">
        <v>528</v>
      </c>
      <c r="U15" s="97">
        <v>-606</v>
      </c>
      <c r="V15" s="97" t="s">
        <v>529</v>
      </c>
      <c r="W15" s="97"/>
      <c r="X15" s="97" t="s">
        <v>530</v>
      </c>
      <c r="Y15" s="97">
        <v>-11</v>
      </c>
      <c r="Z15" s="97"/>
      <c r="AA15" s="97" t="s">
        <v>531</v>
      </c>
      <c r="AB15" s="97"/>
      <c r="AC15" s="97" t="s">
        <v>532</v>
      </c>
    </row>
    <row r="16" spans="1:29" ht="12.6" thickBot="1" x14ac:dyDescent="0.3">
      <c r="A16" s="92" t="s">
        <v>417</v>
      </c>
      <c r="F16" s="62">
        <v>1000000</v>
      </c>
      <c r="I16" s="101">
        <f>1/1.05</f>
        <v>0.95238095238095233</v>
      </c>
      <c r="K16" s="62">
        <f>1/1000</f>
        <v>1E-3</v>
      </c>
      <c r="L16" s="62" t="s">
        <v>493</v>
      </c>
      <c r="O16" s="62" t="s">
        <v>589</v>
      </c>
      <c r="P16" s="62" t="s">
        <v>590</v>
      </c>
      <c r="R16" s="96" t="s">
        <v>533</v>
      </c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 spans="1:29" ht="12.6" thickBot="1" x14ac:dyDescent="0.3">
      <c r="A17" s="62" t="s">
        <v>578</v>
      </c>
      <c r="B17" s="62">
        <f>8.9*F1</f>
        <v>33.82</v>
      </c>
      <c r="C17" s="62" t="s">
        <v>576</v>
      </c>
      <c r="I17" s="101">
        <f>B17*I16</f>
        <v>32.209523809523809</v>
      </c>
      <c r="P17" s="62" t="s">
        <v>588</v>
      </c>
      <c r="R17" s="96" t="s">
        <v>534</v>
      </c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 spans="1:29" ht="12.6" thickBot="1" x14ac:dyDescent="0.3">
      <c r="A18" s="62" t="s">
        <v>489</v>
      </c>
      <c r="B18" s="62">
        <v>26.4</v>
      </c>
      <c r="C18" s="62" t="s">
        <v>574</v>
      </c>
      <c r="D18" s="62" t="s">
        <v>575</v>
      </c>
      <c r="F18" s="62">
        <f>B18*F16</f>
        <v>26400000</v>
      </c>
      <c r="G18" s="62" t="s">
        <v>576</v>
      </c>
      <c r="I18" s="100">
        <f>F18*I16</f>
        <v>25142857.142857142</v>
      </c>
      <c r="J18" s="62" t="s">
        <v>577</v>
      </c>
      <c r="K18" s="102">
        <f>I18*$K$16</f>
        <v>25142.857142857141</v>
      </c>
      <c r="L18" s="102">
        <v>25060</v>
      </c>
      <c r="M18" s="62" t="s">
        <v>460</v>
      </c>
      <c r="O18" s="101">
        <f>J6/L18</f>
        <v>-0.30171289101656029</v>
      </c>
      <c r="P18" s="102">
        <f>((L18*1000)*$I$17)/1000000</f>
        <v>807.17066666666665</v>
      </c>
      <c r="R18" s="96" t="s">
        <v>535</v>
      </c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 spans="1:29" ht="12.6" thickBot="1" x14ac:dyDescent="0.3">
      <c r="A19" s="62" t="s">
        <v>104</v>
      </c>
      <c r="B19" s="62">
        <v>20.6</v>
      </c>
      <c r="C19" s="62" t="s">
        <v>574</v>
      </c>
      <c r="F19" s="62">
        <f>B19*F16</f>
        <v>20600000</v>
      </c>
      <c r="I19" s="100">
        <f>F19*I16</f>
        <v>19619047.619047619</v>
      </c>
      <c r="K19" s="102">
        <f>I19*$K$16</f>
        <v>19619.047619047618</v>
      </c>
      <c r="L19" s="102">
        <v>19585</v>
      </c>
      <c r="O19" s="101">
        <f>-J7/L19</f>
        <v>0.35616955765254021</v>
      </c>
      <c r="P19" s="102">
        <f t="shared" ref="P19:P20" si="2">((L19*1000)*$I$17)/1000000</f>
        <v>630.82352380952386</v>
      </c>
      <c r="R19" s="96" t="s">
        <v>536</v>
      </c>
      <c r="S19" s="97"/>
      <c r="T19" s="97" t="s">
        <v>537</v>
      </c>
      <c r="U19" s="97" t="s">
        <v>538</v>
      </c>
      <c r="V19" s="97"/>
      <c r="W19" s="97"/>
      <c r="X19" s="97"/>
      <c r="Y19" s="97"/>
      <c r="Z19" s="97"/>
      <c r="AA19" s="97"/>
      <c r="AB19" s="97"/>
      <c r="AC19" s="97" t="s">
        <v>539</v>
      </c>
    </row>
    <row r="20" spans="1:29" ht="12.6" thickBot="1" x14ac:dyDescent="0.3">
      <c r="A20" s="62" t="s">
        <v>573</v>
      </c>
      <c r="B20" s="62">
        <v>44645</v>
      </c>
      <c r="C20" s="62" t="s">
        <v>460</v>
      </c>
      <c r="K20" s="102">
        <f>B20</f>
        <v>44645</v>
      </c>
      <c r="L20" s="102">
        <f>K20</f>
        <v>44645</v>
      </c>
      <c r="O20" s="101">
        <f>J8/L20</f>
        <v>-8.1269780899154501E-3</v>
      </c>
      <c r="P20" s="102">
        <f t="shared" si="2"/>
        <v>1437.9941904761904</v>
      </c>
      <c r="R20" s="96" t="s">
        <v>540</v>
      </c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 spans="1:29" ht="12.6" thickBot="1" x14ac:dyDescent="0.3">
      <c r="R21" s="96" t="s">
        <v>541</v>
      </c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 spans="1:29" ht="12.6" thickBot="1" x14ac:dyDescent="0.3">
      <c r="K22" s="65">
        <f>SUM(K18:K19)-K20</f>
        <v>116.90476190476329</v>
      </c>
      <c r="L22" s="65">
        <f>SUM(L18:L19)-L20</f>
        <v>0</v>
      </c>
      <c r="R22" s="96" t="s">
        <v>542</v>
      </c>
      <c r="S22" s="97"/>
      <c r="T22" s="97"/>
      <c r="U22" s="97"/>
      <c r="V22" s="97"/>
      <c r="W22" s="97"/>
      <c r="X22" s="97"/>
      <c r="Y22" s="97"/>
      <c r="Z22" s="97" t="s">
        <v>543</v>
      </c>
      <c r="AA22" s="97"/>
      <c r="AB22" s="97"/>
      <c r="AC22" s="97" t="s">
        <v>543</v>
      </c>
    </row>
    <row r="23" spans="1:29" ht="12.6" thickBot="1" x14ac:dyDescent="0.3">
      <c r="R23" s="96" t="s">
        <v>544</v>
      </c>
      <c r="S23" s="97"/>
      <c r="T23" s="97">
        <v>-384</v>
      </c>
      <c r="U23" s="97">
        <v>-144</v>
      </c>
      <c r="V23" s="97"/>
      <c r="W23" s="97"/>
      <c r="X23" s="97"/>
      <c r="Y23" s="97"/>
      <c r="Z23" s="97"/>
      <c r="AA23" s="97">
        <v>-259</v>
      </c>
      <c r="AB23" s="97"/>
      <c r="AC23" s="97">
        <v>-787</v>
      </c>
    </row>
    <row r="24" spans="1:29" ht="12.6" thickBot="1" x14ac:dyDescent="0.3">
      <c r="A24" s="105"/>
      <c r="B24" s="105" t="s">
        <v>484</v>
      </c>
      <c r="C24" s="105" t="s">
        <v>592</v>
      </c>
      <c r="R24" s="96" t="s">
        <v>466</v>
      </c>
      <c r="S24" s="97"/>
      <c r="T24" s="97"/>
      <c r="U24" s="97"/>
      <c r="V24" s="97"/>
      <c r="W24" s="97"/>
      <c r="X24" s="97"/>
      <c r="Y24" s="97"/>
      <c r="Z24" s="97"/>
      <c r="AA24" s="97" t="s">
        <v>545</v>
      </c>
      <c r="AB24" s="97"/>
      <c r="AC24" s="97" t="s">
        <v>545</v>
      </c>
    </row>
    <row r="25" spans="1:29" ht="12.6" thickBot="1" x14ac:dyDescent="0.3">
      <c r="A25" s="105" t="s">
        <v>489</v>
      </c>
      <c r="B25" s="106">
        <f>P18</f>
        <v>807.17066666666665</v>
      </c>
      <c r="C25" s="106">
        <f>L18</f>
        <v>25060</v>
      </c>
      <c r="R25" s="96" t="s">
        <v>546</v>
      </c>
      <c r="S25" s="97"/>
      <c r="T25" s="97"/>
      <c r="U25" s="97" t="s">
        <v>547</v>
      </c>
      <c r="V25" s="97"/>
      <c r="W25" s="97"/>
      <c r="X25" s="97"/>
      <c r="Y25" s="97"/>
      <c r="Z25" s="97" t="s">
        <v>548</v>
      </c>
      <c r="AA25" s="97" t="s">
        <v>549</v>
      </c>
      <c r="AB25" s="97"/>
      <c r="AC25" s="97" t="s">
        <v>550</v>
      </c>
    </row>
    <row r="26" spans="1:29" ht="12.6" thickBot="1" x14ac:dyDescent="0.3">
      <c r="A26" s="105" t="s">
        <v>104</v>
      </c>
      <c r="B26" s="106">
        <f>P19</f>
        <v>630.82352380952386</v>
      </c>
      <c r="C26" s="106">
        <f>L19</f>
        <v>19585</v>
      </c>
      <c r="R26" s="96" t="s">
        <v>463</v>
      </c>
      <c r="S26" s="97"/>
      <c r="T26" s="97"/>
      <c r="U26" s="97" t="s">
        <v>551</v>
      </c>
      <c r="V26" s="97"/>
      <c r="W26" s="97"/>
      <c r="X26" s="97"/>
      <c r="Y26" s="97"/>
      <c r="Z26" s="97" t="s">
        <v>552</v>
      </c>
      <c r="AA26" s="97" t="s">
        <v>553</v>
      </c>
      <c r="AB26" s="97"/>
      <c r="AC26" s="97" t="s">
        <v>554</v>
      </c>
    </row>
    <row r="27" spans="1:29" ht="12.6" thickBot="1" x14ac:dyDescent="0.3">
      <c r="A27" s="105" t="s">
        <v>591</v>
      </c>
      <c r="B27" s="106">
        <f>P20</f>
        <v>1437.9941904761904</v>
      </c>
      <c r="C27" s="106">
        <f>L20</f>
        <v>44645</v>
      </c>
      <c r="R27" s="96" t="s">
        <v>470</v>
      </c>
      <c r="S27" s="97"/>
      <c r="T27" s="97"/>
      <c r="U27" s="97" t="s">
        <v>555</v>
      </c>
      <c r="V27" s="97"/>
      <c r="W27" s="97"/>
      <c r="X27" s="97"/>
      <c r="Y27" s="97"/>
      <c r="Z27" s="97"/>
      <c r="AA27" s="97"/>
      <c r="AB27" s="97"/>
      <c r="AC27" s="97" t="s">
        <v>555</v>
      </c>
    </row>
    <row r="28" spans="1:29" ht="12.6" thickBot="1" x14ac:dyDescent="0.3">
      <c r="R28" s="96" t="s">
        <v>469</v>
      </c>
      <c r="S28" s="97"/>
      <c r="T28" s="97"/>
      <c r="U28" s="97" t="s">
        <v>556</v>
      </c>
      <c r="V28" s="97"/>
      <c r="W28" s="97"/>
      <c r="X28" s="97"/>
      <c r="Y28" s="97"/>
      <c r="Z28" s="97" t="s">
        <v>557</v>
      </c>
      <c r="AA28" s="97" t="s">
        <v>558</v>
      </c>
      <c r="AB28" s="97"/>
      <c r="AC28" s="97" t="s">
        <v>559</v>
      </c>
    </row>
    <row r="29" spans="1:29" ht="12.6" thickBot="1" x14ac:dyDescent="0.3">
      <c r="A29" s="62" t="s">
        <v>489</v>
      </c>
      <c r="B29" s="100">
        <f>'Crude oil'!G5</f>
        <v>7585.6160799250001</v>
      </c>
      <c r="C29" s="62">
        <f>'Crude oil'!F5</f>
        <v>227019.94545454546</v>
      </c>
      <c r="D29" s="115">
        <f>D36/F36</f>
        <v>-7152.5858406940288</v>
      </c>
      <c r="E29" s="64"/>
      <c r="F29" s="64"/>
      <c r="R29" s="96" t="s">
        <v>560</v>
      </c>
      <c r="S29" s="97"/>
      <c r="T29" s="97"/>
      <c r="U29" s="97" t="s">
        <v>561</v>
      </c>
      <c r="V29" s="97"/>
      <c r="W29" s="97"/>
      <c r="X29" s="97"/>
      <c r="Y29" s="97"/>
      <c r="Z29" s="97" t="s">
        <v>562</v>
      </c>
      <c r="AA29" s="97" t="s">
        <v>563</v>
      </c>
      <c r="AB29" s="97"/>
      <c r="AC29" s="97" t="s">
        <v>564</v>
      </c>
    </row>
    <row r="30" spans="1:29" ht="12.6" thickBot="1" x14ac:dyDescent="0.3">
      <c r="A30" s="62" t="s">
        <v>103</v>
      </c>
      <c r="B30" s="100">
        <f>'Crude oil'!G6</f>
        <v>7383.4347975499995</v>
      </c>
      <c r="C30" s="62">
        <f>'Crude oil'!F6</f>
        <v>220969.12727272726</v>
      </c>
      <c r="D30" s="115">
        <f t="shared" ref="D30:D31" si="3">D37/F37</f>
        <v>0</v>
      </c>
      <c r="E30" s="64"/>
      <c r="F30" s="64"/>
      <c r="R30" s="96" t="s">
        <v>565</v>
      </c>
      <c r="S30" s="97"/>
      <c r="T30" s="97"/>
      <c r="U30" s="97" t="s">
        <v>566</v>
      </c>
      <c r="V30" s="97"/>
      <c r="W30" s="97"/>
      <c r="X30" s="97"/>
      <c r="Y30" s="97"/>
      <c r="Z30" s="97">
        <v>66</v>
      </c>
      <c r="AA30" s="97"/>
      <c r="AB30" s="97"/>
      <c r="AC30" s="97" t="s">
        <v>567</v>
      </c>
    </row>
    <row r="31" spans="1:29" ht="12.6" thickBot="1" x14ac:dyDescent="0.3">
      <c r="A31" s="62" t="s">
        <v>104</v>
      </c>
      <c r="B31" s="100">
        <f>'Crude oil'!G7</f>
        <v>440.14831329709995</v>
      </c>
      <c r="C31" s="62">
        <f>'Crude oil'!F7</f>
        <v>13172.62105329298</v>
      </c>
      <c r="D31" s="115">
        <f t="shared" si="3"/>
        <v>-5589.9199397443163</v>
      </c>
      <c r="R31" s="96" t="s">
        <v>415</v>
      </c>
      <c r="S31" s="97"/>
      <c r="T31" s="97"/>
      <c r="U31" s="97">
        <v>314</v>
      </c>
      <c r="V31" s="97"/>
      <c r="W31" s="97"/>
      <c r="X31" s="97"/>
      <c r="Y31" s="97"/>
      <c r="Z31" s="97"/>
      <c r="AA31" s="97"/>
      <c r="AB31" s="97"/>
      <c r="AC31" s="97">
        <v>314</v>
      </c>
    </row>
    <row r="32" spans="1:29" ht="12.6" thickBot="1" x14ac:dyDescent="0.3">
      <c r="A32" s="62" t="s">
        <v>591</v>
      </c>
      <c r="B32" s="100">
        <f>'Crude oil'!G12</f>
        <v>352.54391470849839</v>
      </c>
      <c r="C32" s="62">
        <f>'Crude oil'!F12</f>
        <v>10550.824012734183</v>
      </c>
      <c r="D32" s="64">
        <f>C32</f>
        <v>10550.824012734183</v>
      </c>
      <c r="R32" s="96" t="s">
        <v>568</v>
      </c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 spans="1:29" ht="12.6" thickBot="1" x14ac:dyDescent="0.3">
      <c r="A33" s="62" t="s">
        <v>595</v>
      </c>
      <c r="B33" s="100">
        <f>'Crude oil'!G13</f>
        <v>289.78568096360181</v>
      </c>
      <c r="C33" s="100">
        <f>'Crude oil'!F13</f>
        <v>8672.6152223769859</v>
      </c>
      <c r="D33" s="64">
        <f>D40/F39</f>
        <v>-15.700836882766449</v>
      </c>
      <c r="F33" s="116">
        <f>SUM(D32:D33)-(D29+D31-D30)</f>
        <v>23277.628956289762</v>
      </c>
      <c r="R33" s="98" t="s">
        <v>569</v>
      </c>
      <c r="S33" s="99"/>
      <c r="T33" s="99"/>
      <c r="U33" s="99" t="s">
        <v>570</v>
      </c>
      <c r="V33" s="99"/>
      <c r="W33" s="99"/>
      <c r="X33" s="99"/>
      <c r="Y33" s="99"/>
      <c r="Z33" s="99"/>
      <c r="AA33" s="99"/>
      <c r="AB33" s="93"/>
      <c r="AC33" s="93"/>
    </row>
    <row r="34" spans="1:29" x14ac:dyDescent="0.25">
      <c r="D34" s="64"/>
    </row>
    <row r="35" spans="1:29" x14ac:dyDescent="0.25">
      <c r="B35" s="62" t="s">
        <v>602</v>
      </c>
      <c r="C35" s="62" t="s">
        <v>199</v>
      </c>
      <c r="D35" s="64"/>
      <c r="F35" s="68"/>
    </row>
    <row r="36" spans="1:29" x14ac:dyDescent="0.25">
      <c r="A36" s="62" t="s">
        <v>489</v>
      </c>
      <c r="B36" s="64">
        <f>B29</f>
        <v>7585.6160799250001</v>
      </c>
      <c r="C36" s="103">
        <f>SAM!CA29-B25</f>
        <v>-807.17066666666665</v>
      </c>
      <c r="D36" s="64">
        <f>C36</f>
        <v>-807.17066666666665</v>
      </c>
      <c r="E36" s="66">
        <f>(C36)/C29</f>
        <v>-3.5555055087804189E-3</v>
      </c>
      <c r="F36" s="66">
        <v>0.11285018937827181</v>
      </c>
      <c r="H36" s="68"/>
    </row>
    <row r="37" spans="1:29" x14ac:dyDescent="0.25">
      <c r="A37" s="62" t="s">
        <v>103</v>
      </c>
      <c r="B37" s="64">
        <f t="shared" ref="B37:B40" si="4">B30</f>
        <v>7383.4347975499995</v>
      </c>
      <c r="C37" s="103">
        <f>SAM!ET85+SAM!ES85</f>
        <v>0</v>
      </c>
      <c r="D37" s="64">
        <f>C37</f>
        <v>0</v>
      </c>
      <c r="E37" s="66">
        <f t="shared" ref="E37:E40" si="5">(C37)/C30</f>
        <v>0</v>
      </c>
      <c r="F37" s="66">
        <f>F36</f>
        <v>0.11285018937827181</v>
      </c>
      <c r="H37" s="68"/>
    </row>
    <row r="38" spans="1:29" x14ac:dyDescent="0.25">
      <c r="A38" s="62" t="s">
        <v>104</v>
      </c>
      <c r="B38" s="64">
        <f t="shared" si="4"/>
        <v>440.14831329709995</v>
      </c>
      <c r="C38" s="103">
        <f>SAM!CA152+SAM!CA156-B26</f>
        <v>-630.82352380952386</v>
      </c>
      <c r="D38" s="64">
        <f>C38</f>
        <v>-630.82352380952386</v>
      </c>
      <c r="E38" s="66">
        <f t="shared" si="5"/>
        <v>-4.7888990449006075E-2</v>
      </c>
      <c r="F38" s="66">
        <f>F37</f>
        <v>0.11285018937827181</v>
      </c>
    </row>
    <row r="39" spans="1:29" x14ac:dyDescent="0.25">
      <c r="A39" s="62" t="s">
        <v>591</v>
      </c>
      <c r="B39" s="64">
        <f t="shared" si="4"/>
        <v>352.54391470849839</v>
      </c>
      <c r="C39" s="103">
        <f>SAM!AQ85-B27</f>
        <v>-1433.3707439254656</v>
      </c>
      <c r="D39" s="64">
        <f t="shared" ref="D39:D40" si="6">C39</f>
        <v>-1433.3707439254656</v>
      </c>
      <c r="E39" s="66">
        <f t="shared" si="5"/>
        <v>-0.13585391455638696</v>
      </c>
      <c r="F39" s="66">
        <f t="shared" ref="F39:F40" si="7">(D39)/D32</f>
        <v>-0.13585391455638696</v>
      </c>
    </row>
    <row r="40" spans="1:29" x14ac:dyDescent="0.25">
      <c r="A40" s="62" t="s">
        <v>595</v>
      </c>
      <c r="B40" s="64">
        <f t="shared" si="4"/>
        <v>289.78568096360181</v>
      </c>
      <c r="C40" s="103">
        <f>SAM!AK85</f>
        <v>2.133020152335122</v>
      </c>
      <c r="D40" s="64">
        <f t="shared" si="6"/>
        <v>2.133020152335122</v>
      </c>
      <c r="E40" s="66">
        <f t="shared" si="5"/>
        <v>2.4594889749420993E-4</v>
      </c>
      <c r="F40" s="66">
        <f t="shared" si="7"/>
        <v>-0.13585391455638696</v>
      </c>
    </row>
    <row r="41" spans="1:29" x14ac:dyDescent="0.25">
      <c r="D41" s="64">
        <f>SAM!CA119</f>
        <v>0</v>
      </c>
      <c r="F41" s="68"/>
    </row>
    <row r="42" spans="1:29" x14ac:dyDescent="0.25">
      <c r="D42" s="64"/>
    </row>
    <row r="43" spans="1:29" x14ac:dyDescent="0.25">
      <c r="D43" s="64">
        <f>SUM(D39:D40)</f>
        <v>-1431.2377237731305</v>
      </c>
      <c r="F43" s="68"/>
    </row>
    <row r="44" spans="1:29" x14ac:dyDescent="0.25">
      <c r="D44" s="65">
        <f>SUM(D36,D38,D41)-D37</f>
        <v>-1437.9941904761904</v>
      </c>
    </row>
    <row r="45" spans="1:29" x14ac:dyDescent="0.25">
      <c r="C45" s="63"/>
      <c r="D45" s="63"/>
      <c r="E45" s="63"/>
    </row>
    <row r="46" spans="1:29" x14ac:dyDescent="0.25">
      <c r="D46" s="65"/>
      <c r="E46" s="65"/>
      <c r="F46" s="68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RowHeight="11.4" x14ac:dyDescent="0.2"/>
  <cols>
    <col min="1" max="1" width="9.88671875" style="109" bestFit="1" customWidth="1"/>
    <col min="2" max="2" width="13.6640625" style="109" bestFit="1" customWidth="1"/>
    <col min="3" max="3" width="9.109375" style="109" bestFit="1" customWidth="1"/>
    <col min="4" max="4" width="9.21875" style="109" bestFit="1" customWidth="1"/>
    <col min="5" max="5" width="8.88671875" style="109"/>
    <col min="6" max="6" width="13.5546875" style="109" bestFit="1" customWidth="1"/>
    <col min="7" max="7" width="12" style="109" bestFit="1" customWidth="1"/>
    <col min="8" max="16384" width="8.88671875" style="109"/>
  </cols>
  <sheetData>
    <row r="1" spans="1:7" x14ac:dyDescent="0.2">
      <c r="B1" s="110">
        <v>37411661</v>
      </c>
      <c r="C1" s="111">
        <f>1-C2</f>
        <v>0.99875514875999016</v>
      </c>
      <c r="D1" s="109" t="s">
        <v>596</v>
      </c>
    </row>
    <row r="2" spans="1:7" x14ac:dyDescent="0.2">
      <c r="B2" s="110">
        <v>46630</v>
      </c>
      <c r="C2" s="111">
        <f>B2/SUM(B1:B2)</f>
        <v>1.2448512400098552E-3</v>
      </c>
    </row>
    <row r="3" spans="1:7" x14ac:dyDescent="0.2">
      <c r="B3" s="110"/>
      <c r="F3" s="109">
        <v>165</v>
      </c>
      <c r="G3" s="112">
        <v>33413.875</v>
      </c>
    </row>
    <row r="4" spans="1:7" x14ac:dyDescent="0.2">
      <c r="B4" s="110" t="s">
        <v>597</v>
      </c>
      <c r="C4" s="109" t="s">
        <v>598</v>
      </c>
      <c r="F4" s="109" t="s">
        <v>460</v>
      </c>
    </row>
    <row r="5" spans="1:7" x14ac:dyDescent="0.2">
      <c r="A5" s="109" t="s">
        <v>599</v>
      </c>
      <c r="B5" s="113">
        <f>SUM(B1:B2)</f>
        <v>37458291</v>
      </c>
      <c r="C5" s="113">
        <f>B5/D6</f>
        <v>5351.2275786613391</v>
      </c>
      <c r="D5" s="113"/>
      <c r="F5" s="112">
        <f>B5/$F$3</f>
        <v>227019.94545454546</v>
      </c>
      <c r="G5" s="114">
        <f>($G$3*F5)/1000000</f>
        <v>7585.6160799250001</v>
      </c>
    </row>
    <row r="6" spans="1:7" x14ac:dyDescent="0.2">
      <c r="A6" s="109" t="s">
        <v>482</v>
      </c>
      <c r="B6" s="113">
        <v>36459906</v>
      </c>
      <c r="C6" s="113">
        <v>5208.6000000000004</v>
      </c>
      <c r="D6" s="113">
        <f>B6/C6</f>
        <v>6999.9435548899892</v>
      </c>
      <c r="F6" s="112">
        <f t="shared" ref="F6:F7" si="0">B6/$F$3</f>
        <v>220969.12727272726</v>
      </c>
      <c r="G6" s="114">
        <f>($G$3*F6)/1000000</f>
        <v>7383.4347975499995</v>
      </c>
    </row>
    <row r="7" spans="1:7" x14ac:dyDescent="0.2">
      <c r="A7" s="109" t="s">
        <v>600</v>
      </c>
      <c r="B7" s="112">
        <f>C7*D6</f>
        <v>2173482.4737933418</v>
      </c>
      <c r="C7" s="113">
        <v>310.5</v>
      </c>
      <c r="D7" s="113"/>
      <c r="F7" s="112">
        <f t="shared" si="0"/>
        <v>13172.62105329298</v>
      </c>
      <c r="G7" s="114">
        <f>($G$3*F7)/1000000</f>
        <v>440.14831329709995</v>
      </c>
    </row>
    <row r="8" spans="1:7" x14ac:dyDescent="0.2">
      <c r="C8" s="113"/>
      <c r="D8" s="113"/>
      <c r="G8" s="114"/>
    </row>
    <row r="9" spans="1:7" x14ac:dyDescent="0.2">
      <c r="A9" s="109" t="s">
        <v>473</v>
      </c>
      <c r="B9" s="112">
        <f>B7+B5-B6</f>
        <v>3171867.4737933427</v>
      </c>
      <c r="C9" s="113">
        <f>B9/D6</f>
        <v>453.12757866133848</v>
      </c>
      <c r="D9" s="113"/>
      <c r="G9" s="114"/>
    </row>
    <row r="10" spans="1:7" x14ac:dyDescent="0.2">
      <c r="A10" s="109" t="s">
        <v>468</v>
      </c>
      <c r="B10" s="112">
        <f>SUM(B12:B13)</f>
        <v>3171867.4737933427</v>
      </c>
      <c r="C10" s="112">
        <f>SUM(D12:D13)</f>
        <v>453.12757866133848</v>
      </c>
      <c r="D10" s="113"/>
      <c r="G10" s="114"/>
    </row>
    <row r="11" spans="1:7" x14ac:dyDescent="0.2">
      <c r="C11" s="113"/>
      <c r="D11" s="113"/>
      <c r="G11" s="114"/>
    </row>
    <row r="12" spans="1:7" x14ac:dyDescent="0.2">
      <c r="A12" s="109" t="s">
        <v>594</v>
      </c>
      <c r="B12" s="113">
        <f>D12*D6</f>
        <v>1740885.9621011403</v>
      </c>
      <c r="C12" s="113">
        <v>248.7</v>
      </c>
      <c r="D12" s="113">
        <f>C12</f>
        <v>248.7</v>
      </c>
      <c r="F12" s="112">
        <f t="shared" ref="F12:F13" si="1">B12/$F$3</f>
        <v>10550.824012734183</v>
      </c>
      <c r="G12" s="114">
        <f>($G$3*F12)/1000000</f>
        <v>352.54391470849839</v>
      </c>
    </row>
    <row r="13" spans="1:7" x14ac:dyDescent="0.2">
      <c r="A13" s="109" t="s">
        <v>601</v>
      </c>
      <c r="B13" s="113">
        <f>D13*D6</f>
        <v>1430981.5116922027</v>
      </c>
      <c r="C13" s="113">
        <v>61.8</v>
      </c>
      <c r="D13" s="113">
        <f>C9-SUM(C12)</f>
        <v>204.42757866133849</v>
      </c>
      <c r="F13" s="112">
        <f t="shared" si="1"/>
        <v>8672.6152223769859</v>
      </c>
      <c r="G13" s="114">
        <f>($G$3*F13)/1000000</f>
        <v>289.78568096360181</v>
      </c>
    </row>
    <row r="14" spans="1:7" x14ac:dyDescent="0.2">
      <c r="C14" s="113"/>
      <c r="D14" s="1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22" workbookViewId="0">
      <selection activeCell="H31" sqref="H3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385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t="s">
        <v>187</v>
      </c>
      <c r="B52" t="s">
        <v>389</v>
      </c>
      <c r="C52" t="s">
        <v>390</v>
      </c>
      <c r="D52">
        <v>1</v>
      </c>
    </row>
    <row r="53" spans="1:5" x14ac:dyDescent="0.3">
      <c r="A53" t="s">
        <v>187</v>
      </c>
      <c r="B53" t="s">
        <v>388</v>
      </c>
      <c r="C53" t="s">
        <v>391</v>
      </c>
      <c r="D53">
        <v>1</v>
      </c>
    </row>
    <row r="54" spans="1:5" x14ac:dyDescent="0.3">
      <c r="A54" t="s">
        <v>185</v>
      </c>
      <c r="B54" t="s">
        <v>425</v>
      </c>
      <c r="C54" t="s">
        <v>426</v>
      </c>
      <c r="D54">
        <v>2</v>
      </c>
    </row>
    <row r="55" spans="1:5" x14ac:dyDescent="0.3">
      <c r="A55" s="6" t="s">
        <v>185</v>
      </c>
      <c r="B55" t="s">
        <v>436</v>
      </c>
      <c r="C55" t="s">
        <v>437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186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s="6" t="s">
        <v>185</v>
      </c>
      <c r="B52" t="s">
        <v>438</v>
      </c>
      <c r="C52" t="s">
        <v>450</v>
      </c>
      <c r="D52" s="6">
        <v>1</v>
      </c>
    </row>
    <row r="53" spans="1:5" x14ac:dyDescent="0.3">
      <c r="A53" s="6" t="s">
        <v>185</v>
      </c>
      <c r="B53" t="s">
        <v>447</v>
      </c>
      <c r="C53" t="s">
        <v>451</v>
      </c>
      <c r="D53" s="6">
        <v>1</v>
      </c>
    </row>
    <row r="54" spans="1:5" x14ac:dyDescent="0.3">
      <c r="A54" s="6" t="s">
        <v>187</v>
      </c>
      <c r="B54" t="s">
        <v>444</v>
      </c>
      <c r="C54" t="s">
        <v>448</v>
      </c>
      <c r="D54" s="6">
        <v>1</v>
      </c>
    </row>
    <row r="55" spans="1:5" x14ac:dyDescent="0.3">
      <c r="A55" s="6" t="s">
        <v>197</v>
      </c>
      <c r="B55" t="s">
        <v>446</v>
      </c>
      <c r="C55" t="s">
        <v>449</v>
      </c>
      <c r="D55" s="6">
        <v>2</v>
      </c>
    </row>
    <row r="56" spans="1:5" x14ac:dyDescent="0.3">
      <c r="A56" s="6" t="s">
        <v>185</v>
      </c>
      <c r="B56" t="s">
        <v>809</v>
      </c>
      <c r="C56" t="s">
        <v>810</v>
      </c>
      <c r="D56" s="6">
        <v>1</v>
      </c>
    </row>
    <row r="80" spans="1:5" x14ac:dyDescent="0.3">
      <c r="A80" s="34"/>
      <c r="B80" s="34"/>
      <c r="C80" s="34"/>
      <c r="D80" s="34" t="s">
        <v>183</v>
      </c>
      <c r="E80" s="34" t="s">
        <v>184</v>
      </c>
    </row>
    <row r="81" spans="1:5" x14ac:dyDescent="0.3">
      <c r="A81" t="s">
        <v>185</v>
      </c>
      <c r="B81" t="s">
        <v>199</v>
      </c>
      <c r="C81" t="s">
        <v>385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abSelected="1" workbookViewId="0">
      <selection activeCell="J9" sqref="J9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38</v>
      </c>
    </row>
    <row r="2" spans="1:46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3" t="s">
        <v>55</v>
      </c>
      <c r="R2" s="13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0</v>
      </c>
      <c r="Y2" s="12" t="s">
        <v>62</v>
      </c>
      <c r="Z2" s="12" t="s">
        <v>63</v>
      </c>
      <c r="AA2" s="12" t="s">
        <v>64</v>
      </c>
      <c r="AB2" s="12" t="s">
        <v>65</v>
      </c>
      <c r="AC2" s="12" t="s">
        <v>66</v>
      </c>
      <c r="AD2" s="12" t="s">
        <v>67</v>
      </c>
      <c r="AE2" s="12" t="s">
        <v>68</v>
      </c>
      <c r="AF2" s="12" t="s">
        <v>69</v>
      </c>
      <c r="AG2" s="12" t="s">
        <v>70</v>
      </c>
      <c r="AH2" s="12" t="s">
        <v>71</v>
      </c>
      <c r="AI2" s="12" t="s">
        <v>72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</row>
    <row r="4" spans="1:46" x14ac:dyDescent="0.3">
      <c r="A4" s="8" t="s">
        <v>85</v>
      </c>
      <c r="B4" s="6"/>
      <c r="D4" s="8" t="s">
        <v>86</v>
      </c>
      <c r="E4" s="8"/>
      <c r="F4" s="8" t="s">
        <v>87</v>
      </c>
      <c r="G4" s="8" t="s">
        <v>1</v>
      </c>
      <c r="H4" s="8"/>
      <c r="I4" s="8"/>
      <c r="J4" s="6"/>
      <c r="K4" s="8" t="s">
        <v>88</v>
      </c>
      <c r="P4" s="8" t="s">
        <v>89</v>
      </c>
      <c r="Q4" s="6"/>
      <c r="R4" s="6"/>
      <c r="S4" s="2" t="s">
        <v>90</v>
      </c>
      <c r="T4" s="2"/>
      <c r="Z4" s="2" t="s">
        <v>91</v>
      </c>
      <c r="AB4" s="2" t="s">
        <v>92</v>
      </c>
      <c r="AD4" s="2" t="s">
        <v>93</v>
      </c>
      <c r="AI4" s="2" t="s">
        <v>248</v>
      </c>
      <c r="AM4" s="2"/>
    </row>
    <row r="5" spans="1:46" x14ac:dyDescent="0.3">
      <c r="A5" s="7" t="s">
        <v>94</v>
      </c>
      <c r="B5" s="7"/>
      <c r="D5" s="9" t="s">
        <v>95</v>
      </c>
      <c r="E5" s="7" t="s">
        <v>94</v>
      </c>
      <c r="F5" s="7" t="s">
        <v>94</v>
      </c>
      <c r="G5" s="7" t="s">
        <v>97</v>
      </c>
      <c r="H5" s="7" t="s">
        <v>95</v>
      </c>
      <c r="I5" s="7" t="s">
        <v>98</v>
      </c>
      <c r="J5" s="7" t="s">
        <v>14</v>
      </c>
      <c r="K5" s="9" t="s">
        <v>94</v>
      </c>
      <c r="L5" s="9" t="s">
        <v>99</v>
      </c>
      <c r="M5" s="9" t="s">
        <v>100</v>
      </c>
      <c r="N5" s="9" t="s">
        <v>101</v>
      </c>
      <c r="O5" s="9" t="s">
        <v>102</v>
      </c>
      <c r="P5" s="7" t="s">
        <v>99</v>
      </c>
      <c r="Q5" s="7" t="s">
        <v>103</v>
      </c>
      <c r="R5" s="7" t="s">
        <v>104</v>
      </c>
      <c r="S5" s="7" t="s">
        <v>105</v>
      </c>
      <c r="T5" s="7" t="s">
        <v>106</v>
      </c>
      <c r="U5" s="7" t="s">
        <v>103</v>
      </c>
      <c r="V5" s="7" t="s">
        <v>107</v>
      </c>
      <c r="W5" s="7" t="s">
        <v>104</v>
      </c>
      <c r="X5" s="7" t="s">
        <v>108</v>
      </c>
      <c r="Y5" s="7" t="s">
        <v>109</v>
      </c>
      <c r="Z5" s="7" t="s">
        <v>99</v>
      </c>
      <c r="AA5" s="7" t="s">
        <v>110</v>
      </c>
      <c r="AB5" s="8" t="s">
        <v>111</v>
      </c>
      <c r="AD5" s="7" t="s">
        <v>112</v>
      </c>
      <c r="AE5" s="7" t="s">
        <v>113</v>
      </c>
      <c r="AF5" s="7" t="s">
        <v>114</v>
      </c>
      <c r="AI5" s="9" t="s">
        <v>222</v>
      </c>
      <c r="AM5" t="s">
        <v>386</v>
      </c>
      <c r="AN5" t="s">
        <v>387</v>
      </c>
    </row>
    <row r="6" spans="1:46" x14ac:dyDescent="0.3">
      <c r="A6" s="6" t="s">
        <v>115</v>
      </c>
      <c r="B6" s="6"/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 t="s">
        <v>127</v>
      </c>
      <c r="P6" s="10" t="s">
        <v>128</v>
      </c>
      <c r="Q6" s="10" t="s">
        <v>129</v>
      </c>
      <c r="R6" s="10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137</v>
      </c>
      <c r="Z6" s="6" t="s">
        <v>138</v>
      </c>
      <c r="AA6" s="6" t="s">
        <v>139</v>
      </c>
      <c r="AB6" s="6" t="s">
        <v>140</v>
      </c>
      <c r="AD6" t="s">
        <v>141</v>
      </c>
      <c r="AE6" t="s">
        <v>142</v>
      </c>
      <c r="AF6" t="s">
        <v>143</v>
      </c>
      <c r="AI6" s="6" t="s">
        <v>117</v>
      </c>
      <c r="AJ6" s="6" t="s">
        <v>116</v>
      </c>
      <c r="AK6" s="6" t="s">
        <v>138</v>
      </c>
      <c r="AM6" t="s">
        <v>388</v>
      </c>
      <c r="AN6" t="s">
        <v>389</v>
      </c>
    </row>
    <row r="7" spans="1:46" x14ac:dyDescent="0.3">
      <c r="A7" s="11" t="s">
        <v>323</v>
      </c>
      <c r="B7" t="s">
        <v>86</v>
      </c>
      <c r="D7" s="11" t="s">
        <v>323</v>
      </c>
      <c r="E7" s="11" t="str">
        <f>D7</f>
        <v>amaiz</v>
      </c>
      <c r="F7" s="11" t="s">
        <v>349</v>
      </c>
      <c r="G7" s="11" t="s">
        <v>485</v>
      </c>
      <c r="I7" s="11" t="s">
        <v>485</v>
      </c>
      <c r="J7" s="11" t="s">
        <v>13</v>
      </c>
      <c r="K7" s="11" t="s">
        <v>11</v>
      </c>
      <c r="L7" s="11" t="s">
        <v>11</v>
      </c>
      <c r="M7" s="11" t="s">
        <v>11</v>
      </c>
      <c r="N7" s="11" t="s">
        <v>11</v>
      </c>
      <c r="O7" s="11" t="s">
        <v>700</v>
      </c>
      <c r="P7" t="s">
        <v>3</v>
      </c>
      <c r="Q7" t="s">
        <v>4</v>
      </c>
      <c r="R7" t="s">
        <v>8</v>
      </c>
      <c r="T7" t="s">
        <v>16</v>
      </c>
      <c r="W7" t="s">
        <v>17</v>
      </c>
      <c r="X7" t="s">
        <v>19</v>
      </c>
      <c r="Z7" t="s">
        <v>145</v>
      </c>
      <c r="AA7" t="s">
        <v>181</v>
      </c>
      <c r="AB7" t="s">
        <v>23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145</v>
      </c>
      <c r="AM7" t="s">
        <v>378</v>
      </c>
    </row>
    <row r="8" spans="1:46" x14ac:dyDescent="0.3">
      <c r="A8" s="11" t="s">
        <v>324</v>
      </c>
      <c r="D8" s="11" t="s">
        <v>324</v>
      </c>
      <c r="E8" s="11" t="str">
        <f t="shared" ref="E8:E25" si="0">D8</f>
        <v>arice</v>
      </c>
      <c r="F8" s="11" t="s">
        <v>350</v>
      </c>
      <c r="G8" s="11" t="s">
        <v>2</v>
      </c>
      <c r="I8" s="11" t="s">
        <v>2</v>
      </c>
      <c r="J8" s="11" t="s">
        <v>814</v>
      </c>
      <c r="K8" s="11" t="s">
        <v>700</v>
      </c>
      <c r="L8" s="11" t="s">
        <v>700</v>
      </c>
      <c r="M8" s="11" t="s">
        <v>700</v>
      </c>
      <c r="O8" s="11" t="s">
        <v>702</v>
      </c>
      <c r="AA8" t="s">
        <v>30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145</v>
      </c>
    </row>
    <row r="9" spans="1:46" x14ac:dyDescent="0.3">
      <c r="A9" s="11" t="s">
        <v>611</v>
      </c>
      <c r="D9" s="11" t="s">
        <v>611</v>
      </c>
      <c r="E9" s="11" t="str">
        <f t="shared" si="0"/>
        <v>aocer</v>
      </c>
      <c r="F9" s="11" t="s">
        <v>351</v>
      </c>
      <c r="G9" s="11" t="s">
        <v>7</v>
      </c>
      <c r="I9" s="11" t="s">
        <v>7</v>
      </c>
      <c r="J9" s="11"/>
      <c r="K9" s="11" t="s">
        <v>702</v>
      </c>
      <c r="L9" s="11" t="s">
        <v>702</v>
      </c>
      <c r="M9" s="11" t="s">
        <v>702</v>
      </c>
      <c r="O9" s="11" t="s">
        <v>704</v>
      </c>
      <c r="AA9" t="s">
        <v>29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145</v>
      </c>
    </row>
    <row r="10" spans="1:46" x14ac:dyDescent="0.3">
      <c r="A10" s="11" t="s">
        <v>325</v>
      </c>
      <c r="D10" s="11" t="s">
        <v>325</v>
      </c>
      <c r="E10" s="11" t="str">
        <f t="shared" si="0"/>
        <v>apuls</v>
      </c>
      <c r="F10" s="11" t="s">
        <v>352</v>
      </c>
      <c r="G10" s="11" t="s">
        <v>378</v>
      </c>
      <c r="I10" s="11"/>
      <c r="J10" s="11"/>
      <c r="K10" s="11" t="s">
        <v>704</v>
      </c>
      <c r="L10" s="11" t="s">
        <v>704</v>
      </c>
      <c r="M10" s="11" t="s">
        <v>704</v>
      </c>
      <c r="O10" s="11" t="s">
        <v>706</v>
      </c>
      <c r="AA10" t="s">
        <v>31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145</v>
      </c>
    </row>
    <row r="11" spans="1:46" x14ac:dyDescent="0.3">
      <c r="A11" s="11" t="s">
        <v>326</v>
      </c>
      <c r="D11" s="11" t="s">
        <v>326</v>
      </c>
      <c r="E11" s="11" t="str">
        <f t="shared" si="0"/>
        <v>aoils</v>
      </c>
      <c r="F11" s="11" t="s">
        <v>353</v>
      </c>
      <c r="G11" s="11" t="s">
        <v>13</v>
      </c>
      <c r="I11" s="11"/>
      <c r="J11" s="11"/>
      <c r="K11" s="11" t="s">
        <v>706</v>
      </c>
      <c r="L11" s="11" t="s">
        <v>706</v>
      </c>
      <c r="M11" s="11" t="s">
        <v>706</v>
      </c>
      <c r="O11" s="11" t="s">
        <v>708</v>
      </c>
      <c r="AA11" t="s">
        <v>25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145</v>
      </c>
    </row>
    <row r="12" spans="1:46" x14ac:dyDescent="0.3">
      <c r="A12" s="11" t="s">
        <v>327</v>
      </c>
      <c r="D12" s="11" t="s">
        <v>327</v>
      </c>
      <c r="E12" s="11" t="str">
        <f t="shared" si="0"/>
        <v>aroot</v>
      </c>
      <c r="F12" s="11" t="s">
        <v>354</v>
      </c>
      <c r="G12" s="11" t="s">
        <v>453</v>
      </c>
      <c r="I12" s="11"/>
      <c r="K12" s="11" t="s">
        <v>708</v>
      </c>
      <c r="L12" s="11" t="s">
        <v>708</v>
      </c>
      <c r="M12" s="11" t="s">
        <v>708</v>
      </c>
      <c r="O12" s="11" t="s">
        <v>379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145</v>
      </c>
    </row>
    <row r="13" spans="1:46" x14ac:dyDescent="0.3">
      <c r="A13" s="11" t="s">
        <v>313</v>
      </c>
      <c r="D13" s="11" t="s">
        <v>313</v>
      </c>
      <c r="E13" s="11" t="str">
        <f t="shared" si="0"/>
        <v>avege</v>
      </c>
      <c r="F13" s="11" t="s">
        <v>310</v>
      </c>
      <c r="G13" s="11"/>
      <c r="I13" s="11"/>
      <c r="K13" s="11" t="s">
        <v>379</v>
      </c>
      <c r="L13" s="11" t="s">
        <v>379</v>
      </c>
      <c r="M13" s="11" t="s">
        <v>379</v>
      </c>
      <c r="O13" s="11" t="s">
        <v>380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145</v>
      </c>
    </row>
    <row r="14" spans="1:46" x14ac:dyDescent="0.3">
      <c r="A14" s="11" t="s">
        <v>328</v>
      </c>
      <c r="D14" s="11" t="s">
        <v>328</v>
      </c>
      <c r="E14" s="11" t="str">
        <f t="shared" si="0"/>
        <v>asugr</v>
      </c>
      <c r="F14" s="11" t="s">
        <v>355</v>
      </c>
      <c r="G14" s="11"/>
      <c r="I14" s="11"/>
      <c r="K14" s="11" t="s">
        <v>380</v>
      </c>
      <c r="L14" s="11" t="s">
        <v>380</v>
      </c>
      <c r="M14" s="11" t="s">
        <v>380</v>
      </c>
      <c r="O14" s="11" t="s">
        <v>381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145</v>
      </c>
    </row>
    <row r="15" spans="1:46" x14ac:dyDescent="0.3">
      <c r="A15" s="11" t="s">
        <v>315</v>
      </c>
      <c r="D15" s="11" t="s">
        <v>315</v>
      </c>
      <c r="E15" s="11" t="str">
        <f t="shared" si="0"/>
        <v>atoba</v>
      </c>
      <c r="F15" s="11" t="s">
        <v>312</v>
      </c>
      <c r="G15" s="11"/>
      <c r="K15" s="11" t="s">
        <v>381</v>
      </c>
      <c r="L15" s="11" t="s">
        <v>381</v>
      </c>
      <c r="M15" s="11" t="s">
        <v>381</v>
      </c>
      <c r="O15" s="11" t="s">
        <v>382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145</v>
      </c>
    </row>
    <row r="16" spans="1:46" x14ac:dyDescent="0.3">
      <c r="A16" s="11" t="s">
        <v>329</v>
      </c>
      <c r="D16" s="11" t="s">
        <v>329</v>
      </c>
      <c r="E16" s="11" t="str">
        <f t="shared" si="0"/>
        <v>acott</v>
      </c>
      <c r="F16" s="11" t="s">
        <v>356</v>
      </c>
      <c r="G16" s="11"/>
      <c r="K16" s="11" t="s">
        <v>382</v>
      </c>
      <c r="L16" s="11" t="s">
        <v>382</v>
      </c>
      <c r="M16" s="11" t="s">
        <v>382</v>
      </c>
      <c r="O16" s="11" t="s">
        <v>383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145</v>
      </c>
    </row>
    <row r="17" spans="1:37" x14ac:dyDescent="0.3">
      <c r="A17" s="11" t="s">
        <v>314</v>
      </c>
      <c r="D17" s="11" t="s">
        <v>314</v>
      </c>
      <c r="E17" s="11" t="str">
        <f t="shared" si="0"/>
        <v>afrui</v>
      </c>
      <c r="F17" s="11" t="s">
        <v>311</v>
      </c>
      <c r="G17" s="11"/>
      <c r="K17" s="11" t="s">
        <v>383</v>
      </c>
      <c r="L17" s="11" t="s">
        <v>383</v>
      </c>
      <c r="M17" s="11" t="s">
        <v>383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145</v>
      </c>
    </row>
    <row r="18" spans="1:37" x14ac:dyDescent="0.3">
      <c r="A18" s="11" t="s">
        <v>330</v>
      </c>
      <c r="D18" s="11" t="s">
        <v>330</v>
      </c>
      <c r="E18" s="11" t="str">
        <f t="shared" si="0"/>
        <v>acoff</v>
      </c>
      <c r="F18" s="11" t="s">
        <v>357</v>
      </c>
      <c r="G18" s="11"/>
      <c r="K18" s="11" t="s">
        <v>21</v>
      </c>
      <c r="L18" s="11" t="s">
        <v>21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145</v>
      </c>
    </row>
    <row r="19" spans="1:37" x14ac:dyDescent="0.3">
      <c r="A19" s="11" t="s">
        <v>331</v>
      </c>
      <c r="D19" s="11" t="s">
        <v>331</v>
      </c>
      <c r="E19" s="11" t="str">
        <f t="shared" si="0"/>
        <v>aocrp</v>
      </c>
      <c r="F19" s="11" t="s">
        <v>358</v>
      </c>
      <c r="G19" s="11"/>
      <c r="K19" t="s">
        <v>25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145</v>
      </c>
    </row>
    <row r="20" spans="1:37" x14ac:dyDescent="0.3">
      <c r="A20" s="11" t="s">
        <v>332</v>
      </c>
      <c r="D20" s="11" t="s">
        <v>332</v>
      </c>
      <c r="E20" s="11" t="str">
        <f t="shared" si="0"/>
        <v>acatt</v>
      </c>
      <c r="F20" s="11" t="s">
        <v>359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145</v>
      </c>
    </row>
    <row r="21" spans="1:37" x14ac:dyDescent="0.3">
      <c r="A21" s="11" t="s">
        <v>333</v>
      </c>
      <c r="D21" s="11" t="s">
        <v>333</v>
      </c>
      <c r="E21" s="11" t="str">
        <f t="shared" si="0"/>
        <v>apoul</v>
      </c>
      <c r="F21" s="11" t="s">
        <v>360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145</v>
      </c>
    </row>
    <row r="22" spans="1:37" x14ac:dyDescent="0.3">
      <c r="A22" s="11" t="s">
        <v>334</v>
      </c>
      <c r="D22" s="11" t="s">
        <v>334</v>
      </c>
      <c r="E22" s="11" t="str">
        <f t="shared" si="0"/>
        <v>aoliv</v>
      </c>
      <c r="F22" s="11" t="s">
        <v>361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145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145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145</v>
      </c>
    </row>
    <row r="25" spans="1:37" x14ac:dyDescent="0.3">
      <c r="A25" s="11" t="s">
        <v>483</v>
      </c>
      <c r="D25" s="11" t="s">
        <v>483</v>
      </c>
      <c r="E25" s="11" t="str">
        <f t="shared" si="0"/>
        <v>amine</v>
      </c>
      <c r="F25" s="11" t="s">
        <v>670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145</v>
      </c>
    </row>
    <row r="26" spans="1:37" x14ac:dyDescent="0.3">
      <c r="A26" s="11" t="s">
        <v>486</v>
      </c>
      <c r="D26" s="11" t="s">
        <v>486</v>
      </c>
      <c r="E26" s="11" t="s">
        <v>486</v>
      </c>
      <c r="F26" s="11" t="s">
        <v>421</v>
      </c>
      <c r="AD26" t="s">
        <v>486</v>
      </c>
      <c r="AE26" t="s">
        <v>486</v>
      </c>
      <c r="AI26" t="s">
        <v>486</v>
      </c>
      <c r="AJ26" t="s">
        <v>486</v>
      </c>
      <c r="AK26" t="s">
        <v>145</v>
      </c>
    </row>
    <row r="27" spans="1:37" x14ac:dyDescent="0.3">
      <c r="A27" s="11" t="s">
        <v>20</v>
      </c>
      <c r="D27" s="11" t="s">
        <v>20</v>
      </c>
      <c r="E27" s="11" t="str">
        <f t="shared" ref="E27:E49" si="5">D27</f>
        <v>afood</v>
      </c>
      <c r="F27" s="11" t="s">
        <v>362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145</v>
      </c>
    </row>
    <row r="28" spans="1:37" x14ac:dyDescent="0.3">
      <c r="A28" s="11" t="s">
        <v>335</v>
      </c>
      <c r="D28" s="11" t="s">
        <v>335</v>
      </c>
      <c r="E28" s="11" t="str">
        <f t="shared" si="5"/>
        <v>abeve</v>
      </c>
      <c r="F28" s="11" t="s">
        <v>363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145</v>
      </c>
    </row>
    <row r="29" spans="1:37" x14ac:dyDescent="0.3">
      <c r="A29" s="11" t="s">
        <v>336</v>
      </c>
      <c r="D29" s="11" t="s">
        <v>336</v>
      </c>
      <c r="E29" s="11" t="str">
        <f t="shared" si="5"/>
        <v>atext</v>
      </c>
      <c r="F29" s="11" t="s">
        <v>364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145</v>
      </c>
    </row>
    <row r="30" spans="1:37" x14ac:dyDescent="0.3">
      <c r="A30" s="11" t="s">
        <v>27</v>
      </c>
      <c r="D30" s="11" t="s">
        <v>27</v>
      </c>
      <c r="E30" s="11" t="str">
        <f t="shared" si="5"/>
        <v>awood</v>
      </c>
      <c r="F30" s="11" t="s">
        <v>28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145</v>
      </c>
    </row>
    <row r="31" spans="1:37" x14ac:dyDescent="0.3">
      <c r="A31" s="11" t="s">
        <v>337</v>
      </c>
      <c r="D31" s="11" t="s">
        <v>337</v>
      </c>
      <c r="E31" s="11" t="str">
        <f t="shared" si="5"/>
        <v>achem</v>
      </c>
      <c r="F31" s="11" t="s">
        <v>803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145</v>
      </c>
    </row>
    <row r="32" spans="1:37" x14ac:dyDescent="0.3">
      <c r="A32" s="11" t="s">
        <v>338</v>
      </c>
      <c r="D32" s="11" t="s">
        <v>338</v>
      </c>
      <c r="E32" s="11" t="str">
        <f t="shared" si="5"/>
        <v>anmet</v>
      </c>
      <c r="F32" s="11" t="s">
        <v>365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145</v>
      </c>
    </row>
    <row r="33" spans="1:37" x14ac:dyDescent="0.3">
      <c r="A33" s="11" t="s">
        <v>339</v>
      </c>
      <c r="D33" s="11" t="s">
        <v>339</v>
      </c>
      <c r="E33" s="11" t="str">
        <f t="shared" si="5"/>
        <v>ametl</v>
      </c>
      <c r="F33" s="11" t="s">
        <v>366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145</v>
      </c>
    </row>
    <row r="34" spans="1:37" x14ac:dyDescent="0.3">
      <c r="A34" s="11" t="s">
        <v>309</v>
      </c>
      <c r="D34" s="11" t="s">
        <v>309</v>
      </c>
      <c r="E34" s="11" t="str">
        <f t="shared" si="5"/>
        <v>amach</v>
      </c>
      <c r="F34" s="11" t="s">
        <v>367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145</v>
      </c>
    </row>
    <row r="35" spans="1:37" x14ac:dyDescent="0.3">
      <c r="A35" s="11" t="s">
        <v>340</v>
      </c>
      <c r="D35" s="11" t="s">
        <v>340</v>
      </c>
      <c r="E35" s="11" t="str">
        <f t="shared" si="5"/>
        <v>aoman</v>
      </c>
      <c r="F35" s="11" t="s">
        <v>368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145</v>
      </c>
    </row>
    <row r="36" spans="1:37" x14ac:dyDescent="0.3">
      <c r="A36" s="11" t="s">
        <v>341</v>
      </c>
      <c r="D36" s="11" t="s">
        <v>341</v>
      </c>
      <c r="E36" s="11" t="str">
        <f t="shared" si="5"/>
        <v>aelec</v>
      </c>
      <c r="F36" s="11" t="s">
        <v>369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145</v>
      </c>
    </row>
    <row r="37" spans="1:37" x14ac:dyDescent="0.3">
      <c r="A37" s="11" t="s">
        <v>32</v>
      </c>
      <c r="D37" s="11" t="s">
        <v>32</v>
      </c>
      <c r="E37" s="11" t="str">
        <f t="shared" si="5"/>
        <v>awatr</v>
      </c>
      <c r="F37" s="11" t="s">
        <v>370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145</v>
      </c>
    </row>
    <row r="38" spans="1:37" x14ac:dyDescent="0.3">
      <c r="A38" s="11" t="s">
        <v>342</v>
      </c>
      <c r="D38" s="11" t="s">
        <v>342</v>
      </c>
      <c r="E38" s="11" t="str">
        <f t="shared" si="5"/>
        <v>acons</v>
      </c>
      <c r="F38" s="11" t="s">
        <v>33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145</v>
      </c>
    </row>
    <row r="39" spans="1:37" x14ac:dyDescent="0.3">
      <c r="A39" s="11" t="s">
        <v>34</v>
      </c>
      <c r="D39" s="11" t="s">
        <v>34</v>
      </c>
      <c r="E39" s="11" t="str">
        <f t="shared" si="5"/>
        <v>atrad</v>
      </c>
      <c r="F39" s="11" t="s">
        <v>371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145</v>
      </c>
    </row>
    <row r="40" spans="1:37" x14ac:dyDescent="0.3">
      <c r="A40" s="11" t="s">
        <v>343</v>
      </c>
      <c r="D40" s="11" t="s">
        <v>343</v>
      </c>
      <c r="E40" s="11" t="str">
        <f t="shared" si="5"/>
        <v>atran</v>
      </c>
      <c r="F40" s="11" t="s">
        <v>35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145</v>
      </c>
    </row>
    <row r="41" spans="1:37" x14ac:dyDescent="0.3">
      <c r="A41" s="11" t="s">
        <v>344</v>
      </c>
      <c r="D41" s="11" t="s">
        <v>344</v>
      </c>
      <c r="E41" s="11" t="str">
        <f t="shared" si="5"/>
        <v>ahotl</v>
      </c>
      <c r="F41" s="11" t="s">
        <v>372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145</v>
      </c>
    </row>
    <row r="42" spans="1:37" x14ac:dyDescent="0.3">
      <c r="A42" s="11" t="s">
        <v>345</v>
      </c>
      <c r="D42" s="11" t="s">
        <v>345</v>
      </c>
      <c r="E42" s="11" t="str">
        <f t="shared" si="5"/>
        <v>acomm</v>
      </c>
      <c r="F42" s="11" t="s">
        <v>373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145</v>
      </c>
    </row>
    <row r="43" spans="1:37" x14ac:dyDescent="0.3">
      <c r="A43" s="11" t="s">
        <v>346</v>
      </c>
      <c r="D43" s="11" t="s">
        <v>346</v>
      </c>
      <c r="E43" s="11" t="str">
        <f t="shared" si="5"/>
        <v>afsrv</v>
      </c>
      <c r="F43" s="11" t="s">
        <v>374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145</v>
      </c>
    </row>
    <row r="44" spans="1:37" x14ac:dyDescent="0.3">
      <c r="A44" s="11" t="s">
        <v>175</v>
      </c>
      <c r="D44" s="11" t="s">
        <v>175</v>
      </c>
      <c r="E44" s="11" t="str">
        <f t="shared" si="5"/>
        <v>areal</v>
      </c>
      <c r="F44" s="11" t="s">
        <v>375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145</v>
      </c>
    </row>
    <row r="45" spans="1:37" x14ac:dyDescent="0.3">
      <c r="A45" s="11" t="s">
        <v>347</v>
      </c>
      <c r="D45" s="11" t="s">
        <v>347</v>
      </c>
      <c r="E45" s="11" t="str">
        <f t="shared" si="5"/>
        <v>absrv</v>
      </c>
      <c r="F45" s="11" t="s">
        <v>178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145</v>
      </c>
    </row>
    <row r="46" spans="1:37" x14ac:dyDescent="0.3">
      <c r="A46" s="11" t="s">
        <v>348</v>
      </c>
      <c r="D46" s="11" t="s">
        <v>348</v>
      </c>
      <c r="E46" s="11" t="str">
        <f t="shared" si="5"/>
        <v>apadm</v>
      </c>
      <c r="F46" s="11" t="s">
        <v>376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145</v>
      </c>
    </row>
    <row r="47" spans="1:37" x14ac:dyDescent="0.3">
      <c r="A47" s="11" t="s">
        <v>176</v>
      </c>
      <c r="D47" s="11" t="s">
        <v>176</v>
      </c>
      <c r="E47" s="11" t="str">
        <f t="shared" si="5"/>
        <v>aeduc</v>
      </c>
      <c r="F47" s="11" t="s">
        <v>377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145</v>
      </c>
    </row>
    <row r="48" spans="1:37" x14ac:dyDescent="0.3">
      <c r="A48" s="11" t="s">
        <v>177</v>
      </c>
      <c r="D48" s="11" t="s">
        <v>177</v>
      </c>
      <c r="E48" s="11" t="str">
        <f t="shared" si="5"/>
        <v>aheal</v>
      </c>
      <c r="F48" s="11" t="s">
        <v>179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145</v>
      </c>
    </row>
    <row r="49" spans="1:37" x14ac:dyDescent="0.3">
      <c r="A49" s="11" t="s">
        <v>36</v>
      </c>
      <c r="D49" s="11" t="s">
        <v>36</v>
      </c>
      <c r="E49" s="11" t="str">
        <f t="shared" si="5"/>
        <v>aosrv</v>
      </c>
      <c r="F49" s="11" t="s">
        <v>180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145</v>
      </c>
    </row>
    <row r="50" spans="1:37" x14ac:dyDescent="0.3">
      <c r="A50" s="11" t="s">
        <v>349</v>
      </c>
      <c r="B50" t="s">
        <v>87</v>
      </c>
      <c r="D50" s="11"/>
      <c r="E50" s="11"/>
      <c r="F50" s="11" t="s">
        <v>37</v>
      </c>
      <c r="AD50" s="11"/>
      <c r="AE50" s="11"/>
      <c r="AI50" s="11"/>
      <c r="AJ50" s="11"/>
    </row>
    <row r="51" spans="1:37" x14ac:dyDescent="0.3">
      <c r="A51" s="11" t="s">
        <v>350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351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352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353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354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310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355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312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356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311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357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358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359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360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361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670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421</v>
      </c>
      <c r="D69" s="11"/>
      <c r="E69" s="11"/>
      <c r="F69" s="11"/>
    </row>
    <row r="70" spans="1:36" x14ac:dyDescent="0.3">
      <c r="A70" s="11" t="s">
        <v>362</v>
      </c>
      <c r="D70" s="11"/>
      <c r="E70" s="11"/>
      <c r="F70" s="11"/>
    </row>
    <row r="71" spans="1:36" x14ac:dyDescent="0.3">
      <c r="A71" s="11" t="s">
        <v>363</v>
      </c>
      <c r="F71" s="11"/>
    </row>
    <row r="72" spans="1:36" x14ac:dyDescent="0.3">
      <c r="A72" s="11" t="s">
        <v>364</v>
      </c>
      <c r="F72" s="11"/>
    </row>
    <row r="73" spans="1:36" x14ac:dyDescent="0.3">
      <c r="A73" s="11" t="s">
        <v>28</v>
      </c>
      <c r="F73" s="11"/>
    </row>
    <row r="74" spans="1:36" x14ac:dyDescent="0.3">
      <c r="A74" s="11" t="s">
        <v>803</v>
      </c>
      <c r="F74" s="11"/>
    </row>
    <row r="75" spans="1:36" x14ac:dyDescent="0.3">
      <c r="A75" s="11" t="s">
        <v>365</v>
      </c>
      <c r="F75" s="11"/>
    </row>
    <row r="76" spans="1:36" x14ac:dyDescent="0.3">
      <c r="A76" s="11" t="s">
        <v>366</v>
      </c>
      <c r="F76" s="11"/>
    </row>
    <row r="77" spans="1:36" x14ac:dyDescent="0.3">
      <c r="A77" s="11" t="s">
        <v>367</v>
      </c>
      <c r="F77" s="11"/>
    </row>
    <row r="78" spans="1:36" x14ac:dyDescent="0.3">
      <c r="A78" s="11" t="s">
        <v>368</v>
      </c>
      <c r="F78" s="11"/>
    </row>
    <row r="79" spans="1:36" x14ac:dyDescent="0.3">
      <c r="A79" s="11" t="s">
        <v>369</v>
      </c>
      <c r="F79" s="11"/>
    </row>
    <row r="80" spans="1:36" x14ac:dyDescent="0.3">
      <c r="A80" s="11" t="s">
        <v>370</v>
      </c>
      <c r="F80" s="11"/>
    </row>
    <row r="81" spans="1:6" x14ac:dyDescent="0.3">
      <c r="A81" s="11" t="s">
        <v>33</v>
      </c>
      <c r="F81" s="11"/>
    </row>
    <row r="82" spans="1:6" x14ac:dyDescent="0.3">
      <c r="A82" s="11" t="s">
        <v>371</v>
      </c>
      <c r="F82" s="11"/>
    </row>
    <row r="83" spans="1:6" x14ac:dyDescent="0.3">
      <c r="A83" s="11" t="s">
        <v>35</v>
      </c>
      <c r="F83" s="11"/>
    </row>
    <row r="84" spans="1:6" x14ac:dyDescent="0.3">
      <c r="A84" s="11" t="s">
        <v>372</v>
      </c>
      <c r="F84" s="11"/>
    </row>
    <row r="85" spans="1:6" x14ac:dyDescent="0.3">
      <c r="A85" s="11" t="s">
        <v>373</v>
      </c>
      <c r="F85" s="11"/>
    </row>
    <row r="86" spans="1:6" x14ac:dyDescent="0.3">
      <c r="A86" s="11" t="s">
        <v>374</v>
      </c>
      <c r="F86" s="11"/>
    </row>
    <row r="87" spans="1:6" x14ac:dyDescent="0.3">
      <c r="A87" s="11" t="s">
        <v>375</v>
      </c>
      <c r="F87" s="11"/>
    </row>
    <row r="88" spans="1:6" x14ac:dyDescent="0.3">
      <c r="A88" s="11" t="s">
        <v>178</v>
      </c>
      <c r="F88" s="11"/>
    </row>
    <row r="89" spans="1:6" x14ac:dyDescent="0.3">
      <c r="A89" s="11" t="s">
        <v>376</v>
      </c>
      <c r="F89" s="11"/>
    </row>
    <row r="90" spans="1:6" x14ac:dyDescent="0.3">
      <c r="A90" s="11" t="s">
        <v>377</v>
      </c>
      <c r="F90" s="11"/>
    </row>
    <row r="91" spans="1:6" x14ac:dyDescent="0.3">
      <c r="A91" s="11" t="s">
        <v>179</v>
      </c>
      <c r="F91" s="11"/>
    </row>
    <row r="92" spans="1:6" x14ac:dyDescent="0.3">
      <c r="A92" s="11" t="s">
        <v>180</v>
      </c>
      <c r="F92" s="11"/>
    </row>
    <row r="93" spans="1:6" x14ac:dyDescent="0.3">
      <c r="A93" s="11" t="s">
        <v>37</v>
      </c>
      <c r="F93" s="11"/>
    </row>
    <row r="94" spans="1:6" x14ac:dyDescent="0.3">
      <c r="A94" s="11" t="s">
        <v>156</v>
      </c>
      <c r="B94" t="s">
        <v>157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485</v>
      </c>
      <c r="B98" t="s">
        <v>98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378</v>
      </c>
      <c r="F101" s="11"/>
    </row>
    <row r="102" spans="1:6" x14ac:dyDescent="0.3">
      <c r="A102" s="11" t="s">
        <v>13</v>
      </c>
      <c r="B102" t="s">
        <v>14</v>
      </c>
      <c r="F102" s="11"/>
    </row>
    <row r="103" spans="1:6" x14ac:dyDescent="0.3">
      <c r="A103" s="11" t="s">
        <v>453</v>
      </c>
      <c r="B103" t="s">
        <v>454</v>
      </c>
      <c r="F103" s="11"/>
    </row>
    <row r="104" spans="1:6" x14ac:dyDescent="0.3">
      <c r="A104" s="11" t="s">
        <v>11</v>
      </c>
      <c r="B104" t="s">
        <v>12</v>
      </c>
      <c r="F104" s="11"/>
    </row>
    <row r="105" spans="1:6" x14ac:dyDescent="0.3">
      <c r="A105" s="11" t="s">
        <v>700</v>
      </c>
      <c r="B105" t="s">
        <v>18</v>
      </c>
      <c r="F105" s="11"/>
    </row>
    <row r="106" spans="1:6" x14ac:dyDescent="0.3">
      <c r="A106" s="11" t="s">
        <v>702</v>
      </c>
      <c r="F106" s="11"/>
    </row>
    <row r="107" spans="1:6" x14ac:dyDescent="0.3">
      <c r="A107" s="11" t="s">
        <v>704</v>
      </c>
      <c r="F107" s="11"/>
    </row>
    <row r="108" spans="1:6" x14ac:dyDescent="0.3">
      <c r="A108" s="11" t="s">
        <v>706</v>
      </c>
      <c r="F108" s="11"/>
    </row>
    <row r="109" spans="1:6" x14ac:dyDescent="0.3">
      <c r="A109" s="11" t="s">
        <v>708</v>
      </c>
      <c r="F109" s="11"/>
    </row>
    <row r="110" spans="1:6" x14ac:dyDescent="0.3">
      <c r="A110" s="11" t="s">
        <v>379</v>
      </c>
    </row>
    <row r="111" spans="1:6" x14ac:dyDescent="0.3">
      <c r="A111" s="11" t="s">
        <v>380</v>
      </c>
    </row>
    <row r="112" spans="1:6" x14ac:dyDescent="0.3">
      <c r="A112" s="11" t="s">
        <v>381</v>
      </c>
    </row>
    <row r="113" spans="1:2" x14ac:dyDescent="0.3">
      <c r="A113" s="11" t="s">
        <v>382</v>
      </c>
    </row>
    <row r="114" spans="1:2" x14ac:dyDescent="0.3">
      <c r="A114" s="11" t="s">
        <v>383</v>
      </c>
    </row>
    <row r="115" spans="1:2" x14ac:dyDescent="0.3">
      <c r="A115" s="11" t="s">
        <v>21</v>
      </c>
      <c r="B115" t="s">
        <v>22</v>
      </c>
    </row>
    <row r="116" spans="1:2" x14ac:dyDescent="0.3">
      <c r="A116" s="11" t="s">
        <v>16</v>
      </c>
      <c r="B116" t="s">
        <v>158</v>
      </c>
    </row>
    <row r="117" spans="1:2" x14ac:dyDescent="0.3">
      <c r="A117" s="11" t="s">
        <v>17</v>
      </c>
    </row>
    <row r="118" spans="1:2" x14ac:dyDescent="0.3">
      <c r="A118" s="11" t="s">
        <v>19</v>
      </c>
    </row>
    <row r="119" spans="1:2" x14ac:dyDescent="0.3">
      <c r="A119" s="11" t="s">
        <v>452</v>
      </c>
    </row>
    <row r="120" spans="1:2" x14ac:dyDescent="0.3">
      <c r="A120" s="11" t="s">
        <v>23</v>
      </c>
      <c r="B120" t="s">
        <v>159</v>
      </c>
    </row>
    <row r="121" spans="1:2" x14ac:dyDescent="0.3">
      <c r="A121" s="11" t="s">
        <v>24</v>
      </c>
      <c r="B121" t="s">
        <v>160</v>
      </c>
    </row>
    <row r="122" spans="1:2" x14ac:dyDescent="0.3">
      <c r="A122" s="11" t="s">
        <v>25</v>
      </c>
      <c r="B122" t="s">
        <v>26</v>
      </c>
    </row>
    <row r="123" spans="1:2" x14ac:dyDescent="0.3">
      <c r="A123" s="11" t="s">
        <v>145</v>
      </c>
      <c r="B123" t="s">
        <v>161</v>
      </c>
    </row>
    <row r="124" spans="1:2" x14ac:dyDescent="0.3">
      <c r="A124" t="s">
        <v>146</v>
      </c>
    </row>
    <row r="125" spans="1:2" x14ac:dyDescent="0.3">
      <c r="A125" t="s">
        <v>147</v>
      </c>
    </row>
    <row r="126" spans="1:2" x14ac:dyDescent="0.3">
      <c r="A126" t="s">
        <v>148</v>
      </c>
    </row>
    <row r="127" spans="1:2" x14ac:dyDescent="0.3">
      <c r="A127" s="11" t="s">
        <v>149</v>
      </c>
    </row>
    <row r="128" spans="1:2" x14ac:dyDescent="0.3">
      <c r="A128" s="11" t="s">
        <v>150</v>
      </c>
    </row>
    <row r="129" spans="1:2" x14ac:dyDescent="0.3">
      <c r="A129" s="11" t="s">
        <v>151</v>
      </c>
    </row>
    <row r="130" spans="1:2" x14ac:dyDescent="0.3">
      <c r="A130" s="11" t="s">
        <v>152</v>
      </c>
    </row>
    <row r="131" spans="1:2" x14ac:dyDescent="0.3">
      <c r="A131" s="11" t="s">
        <v>153</v>
      </c>
    </row>
    <row r="132" spans="1:2" x14ac:dyDescent="0.3">
      <c r="A132" s="11" t="s">
        <v>154</v>
      </c>
    </row>
    <row r="133" spans="1:2" x14ac:dyDescent="0.3">
      <c r="A133" s="11" t="s">
        <v>155</v>
      </c>
    </row>
    <row r="134" spans="1:2" x14ac:dyDescent="0.3">
      <c r="A134" s="11" t="s">
        <v>181</v>
      </c>
      <c r="B134" t="s">
        <v>162</v>
      </c>
    </row>
    <row r="135" spans="1:2" x14ac:dyDescent="0.3">
      <c r="A135" s="11" t="s">
        <v>30</v>
      </c>
    </row>
    <row r="136" spans="1:2" x14ac:dyDescent="0.3">
      <c r="A136" s="11" t="s">
        <v>29</v>
      </c>
    </row>
    <row r="137" spans="1:2" x14ac:dyDescent="0.3">
      <c r="A137" s="11" t="s">
        <v>31</v>
      </c>
    </row>
    <row r="138" spans="1:2" x14ac:dyDescent="0.3">
      <c r="A138" s="11" t="s">
        <v>163</v>
      </c>
      <c r="B138" t="s">
        <v>721</v>
      </c>
    </row>
    <row r="139" spans="1:2" x14ac:dyDescent="0.3">
      <c r="A139" s="11" t="s">
        <v>164</v>
      </c>
      <c r="B139" t="s">
        <v>721</v>
      </c>
    </row>
    <row r="140" spans="1:2" x14ac:dyDescent="0.3">
      <c r="A140" s="11" t="s">
        <v>165</v>
      </c>
      <c r="B140" t="s">
        <v>721</v>
      </c>
    </row>
    <row r="141" spans="1:2" x14ac:dyDescent="0.3">
      <c r="A141" s="11" t="s">
        <v>166</v>
      </c>
      <c r="B141" t="s">
        <v>722</v>
      </c>
    </row>
    <row r="142" spans="1:2" x14ac:dyDescent="0.3">
      <c r="A142" s="11" t="s">
        <v>167</v>
      </c>
      <c r="B142" t="s">
        <v>723</v>
      </c>
    </row>
    <row r="143" spans="1:2" x14ac:dyDescent="0.3">
      <c r="A143" s="11" t="s">
        <v>168</v>
      </c>
      <c r="B143" t="s">
        <v>724</v>
      </c>
    </row>
    <row r="144" spans="1:2" x14ac:dyDescent="0.3">
      <c r="A144" s="11" t="s">
        <v>169</v>
      </c>
      <c r="B144" t="s">
        <v>725</v>
      </c>
    </row>
    <row r="145" spans="1:2" x14ac:dyDescent="0.3">
      <c r="A145" s="11" t="s">
        <v>170</v>
      </c>
      <c r="B145" t="s">
        <v>726</v>
      </c>
    </row>
    <row r="146" spans="1:2" x14ac:dyDescent="0.3">
      <c r="A146" s="11" t="s">
        <v>171</v>
      </c>
      <c r="B146" t="s">
        <v>727</v>
      </c>
    </row>
    <row r="147" spans="1:2" x14ac:dyDescent="0.3">
      <c r="A147" s="11" t="s">
        <v>172</v>
      </c>
      <c r="B147" t="s">
        <v>728</v>
      </c>
    </row>
    <row r="148" spans="1:2" x14ac:dyDescent="0.3">
      <c r="A148" s="11" t="s">
        <v>24</v>
      </c>
      <c r="B148" t="s">
        <v>729</v>
      </c>
    </row>
    <row r="149" spans="1:2" x14ac:dyDescent="0.3">
      <c r="A149" s="11" t="s">
        <v>173</v>
      </c>
      <c r="B149" t="s">
        <v>730</v>
      </c>
    </row>
    <row r="150" spans="1:2" x14ac:dyDescent="0.3">
      <c r="A150" s="11" t="s">
        <v>174</v>
      </c>
      <c r="B150" t="s">
        <v>731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B93" sqref="B93:B95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323</v>
      </c>
      <c r="C7" s="11" t="s">
        <v>324</v>
      </c>
      <c r="D7" s="11" t="s">
        <v>611</v>
      </c>
      <c r="E7" s="11" t="s">
        <v>325</v>
      </c>
      <c r="F7" s="11" t="s">
        <v>326</v>
      </c>
      <c r="G7" s="11" t="s">
        <v>327</v>
      </c>
      <c r="H7" s="11" t="s">
        <v>313</v>
      </c>
      <c r="I7" s="11" t="s">
        <v>328</v>
      </c>
      <c r="J7" s="11" t="s">
        <v>315</v>
      </c>
      <c r="K7" s="11" t="s">
        <v>329</v>
      </c>
      <c r="L7" s="11" t="s">
        <v>314</v>
      </c>
      <c r="M7" s="11" t="s">
        <v>330</v>
      </c>
      <c r="N7" s="11" t="s">
        <v>331</v>
      </c>
      <c r="O7" s="11" t="s">
        <v>332</v>
      </c>
      <c r="P7" s="11" t="s">
        <v>333</v>
      </c>
      <c r="Q7" s="11" t="s">
        <v>334</v>
      </c>
      <c r="R7" s="11" t="s">
        <v>5</v>
      </c>
      <c r="S7" s="11" t="s">
        <v>9</v>
      </c>
      <c r="T7" s="11" t="s">
        <v>483</v>
      </c>
      <c r="U7" s="11" t="s">
        <v>20</v>
      </c>
      <c r="V7" s="11" t="s">
        <v>335</v>
      </c>
      <c r="W7" s="11" t="s">
        <v>336</v>
      </c>
      <c r="X7" s="11" t="s">
        <v>27</v>
      </c>
      <c r="Y7" s="11" t="s">
        <v>337</v>
      </c>
      <c r="Z7" s="11" t="s">
        <v>338</v>
      </c>
      <c r="AA7" s="11" t="s">
        <v>339</v>
      </c>
      <c r="AB7" s="11" t="s">
        <v>309</v>
      </c>
      <c r="AC7" s="11" t="s">
        <v>340</v>
      </c>
      <c r="AD7" s="11" t="s">
        <v>341</v>
      </c>
      <c r="AE7" s="11" t="s">
        <v>32</v>
      </c>
      <c r="AF7" s="11" t="s">
        <v>342</v>
      </c>
      <c r="AG7" s="11" t="s">
        <v>34</v>
      </c>
      <c r="AH7" s="11" t="s">
        <v>343</v>
      </c>
      <c r="AI7" s="11" t="s">
        <v>344</v>
      </c>
      <c r="AJ7" s="11" t="s">
        <v>345</v>
      </c>
      <c r="AK7" s="11" t="s">
        <v>346</v>
      </c>
      <c r="AL7" s="11" t="s">
        <v>175</v>
      </c>
      <c r="AM7" s="11" t="s">
        <v>347</v>
      </c>
      <c r="AN7" s="11" t="s">
        <v>348</v>
      </c>
      <c r="AO7" s="11" t="s">
        <v>176</v>
      </c>
      <c r="AP7" s="11" t="s">
        <v>177</v>
      </c>
      <c r="AQ7" s="11" t="s">
        <v>36</v>
      </c>
      <c r="AR7" s="11" t="s">
        <v>349</v>
      </c>
      <c r="AS7" s="11" t="s">
        <v>350</v>
      </c>
      <c r="AT7" s="11" t="s">
        <v>351</v>
      </c>
      <c r="AU7" s="11" t="s">
        <v>352</v>
      </c>
      <c r="AV7" s="11" t="s">
        <v>353</v>
      </c>
      <c r="AW7" s="11" t="s">
        <v>354</v>
      </c>
      <c r="AX7" s="11" t="s">
        <v>310</v>
      </c>
      <c r="AY7" s="11" t="s">
        <v>355</v>
      </c>
      <c r="AZ7" s="11" t="s">
        <v>312</v>
      </c>
      <c r="BA7" s="11" t="s">
        <v>356</v>
      </c>
      <c r="BB7" s="11" t="s">
        <v>311</v>
      </c>
      <c r="BC7" s="11" t="s">
        <v>357</v>
      </c>
      <c r="BD7" s="11" t="s">
        <v>358</v>
      </c>
      <c r="BE7" s="11" t="s">
        <v>359</v>
      </c>
      <c r="BF7" s="11" t="s">
        <v>360</v>
      </c>
      <c r="BG7" s="11" t="s">
        <v>361</v>
      </c>
      <c r="BH7" s="11" t="s">
        <v>6</v>
      </c>
      <c r="BI7" s="11" t="s">
        <v>10</v>
      </c>
      <c r="BJ7" s="11" t="s">
        <v>670</v>
      </c>
      <c r="BK7" s="11" t="s">
        <v>362</v>
      </c>
      <c r="BL7" s="11" t="s">
        <v>363</v>
      </c>
      <c r="BM7" s="11" t="s">
        <v>364</v>
      </c>
      <c r="BN7" s="11" t="s">
        <v>28</v>
      </c>
      <c r="BO7" s="11" t="s">
        <v>365</v>
      </c>
      <c r="BP7" s="11" t="s">
        <v>366</v>
      </c>
      <c r="BQ7" s="11" t="s">
        <v>367</v>
      </c>
      <c r="BR7" s="11" t="s">
        <v>368</v>
      </c>
      <c r="BS7" s="11" t="s">
        <v>369</v>
      </c>
      <c r="BT7" s="11" t="s">
        <v>370</v>
      </c>
      <c r="BU7" s="11" t="s">
        <v>33</v>
      </c>
      <c r="BV7" s="11" t="s">
        <v>371</v>
      </c>
      <c r="BW7" s="11" t="s">
        <v>35</v>
      </c>
      <c r="BX7" s="11" t="s">
        <v>372</v>
      </c>
      <c r="BY7" s="11" t="s">
        <v>373</v>
      </c>
      <c r="BZ7" s="11" t="s">
        <v>374</v>
      </c>
      <c r="CA7" s="11" t="s">
        <v>375</v>
      </c>
      <c r="CB7" s="11" t="s">
        <v>178</v>
      </c>
      <c r="CC7" s="11" t="s">
        <v>376</v>
      </c>
      <c r="CD7" s="11" t="s">
        <v>377</v>
      </c>
      <c r="CE7" s="11" t="s">
        <v>179</v>
      </c>
      <c r="CF7" s="11" t="s">
        <v>180</v>
      </c>
      <c r="CG7" s="11" t="s">
        <v>37</v>
      </c>
      <c r="CH7" s="11" t="s">
        <v>156</v>
      </c>
      <c r="CI7" s="11" t="s">
        <v>485</v>
      </c>
      <c r="CJ7" s="11" t="s">
        <v>2</v>
      </c>
      <c r="CK7" s="11" t="s">
        <v>7</v>
      </c>
      <c r="CL7" s="11" t="s">
        <v>378</v>
      </c>
      <c r="CM7" s="11" t="s">
        <v>13</v>
      </c>
      <c r="CN7" s="11" t="s">
        <v>11</v>
      </c>
      <c r="CO7" s="11" t="s">
        <v>700</v>
      </c>
      <c r="CP7" s="11" t="s">
        <v>702</v>
      </c>
      <c r="CQ7" s="11" t="s">
        <v>704</v>
      </c>
      <c r="CR7" s="11" t="s">
        <v>706</v>
      </c>
      <c r="CS7" s="11" t="s">
        <v>708</v>
      </c>
      <c r="CT7" s="11" t="s">
        <v>379</v>
      </c>
      <c r="CU7" s="11" t="s">
        <v>380</v>
      </c>
      <c r="CV7" s="11" t="s">
        <v>381</v>
      </c>
      <c r="CW7" s="11" t="s">
        <v>382</v>
      </c>
      <c r="CX7" s="11" t="s">
        <v>383</v>
      </c>
      <c r="CY7" s="11" t="s">
        <v>21</v>
      </c>
      <c r="CZ7" s="11" t="s">
        <v>16</v>
      </c>
      <c r="DA7" s="11" t="s">
        <v>17</v>
      </c>
      <c r="DB7" s="11" t="s">
        <v>19</v>
      </c>
      <c r="DC7" s="11" t="s">
        <v>23</v>
      </c>
      <c r="DD7" s="11" t="s">
        <v>24</v>
      </c>
      <c r="DE7" s="11" t="s">
        <v>25</v>
      </c>
      <c r="DF7" s="11" t="s">
        <v>174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611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483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670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364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28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365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367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368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369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370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33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371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35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372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374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375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376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377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179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37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485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378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13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700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702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704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706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708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379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19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174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workbookViewId="0">
      <pane xSplit="1" ySplit="7" topLeftCell="B92" activePane="bottomRight" state="frozen"/>
      <selection pane="topRight" activeCell="B1" sqref="B1"/>
      <selection pane="bottomLeft" activeCell="A8" sqref="A8"/>
      <selection pane="bottomRight" activeCell="B95" sqref="B95:Q97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323</v>
      </c>
      <c r="C7" s="48" t="s">
        <v>324</v>
      </c>
      <c r="D7" s="48" t="s">
        <v>611</v>
      </c>
      <c r="E7" s="48" t="s">
        <v>325</v>
      </c>
      <c r="F7" s="48" t="s">
        <v>326</v>
      </c>
      <c r="G7" s="48" t="s">
        <v>327</v>
      </c>
      <c r="H7" s="48" t="s">
        <v>313</v>
      </c>
      <c r="I7" s="48" t="s">
        <v>328</v>
      </c>
      <c r="J7" s="48" t="s">
        <v>315</v>
      </c>
      <c r="K7" s="48" t="s">
        <v>329</v>
      </c>
      <c r="L7" s="48" t="s">
        <v>314</v>
      </c>
      <c r="M7" s="48" t="s">
        <v>330</v>
      </c>
      <c r="N7" s="48" t="s">
        <v>331</v>
      </c>
      <c r="O7" s="48" t="s">
        <v>332</v>
      </c>
      <c r="P7" s="48" t="s">
        <v>333</v>
      </c>
      <c r="Q7" s="48" t="s">
        <v>334</v>
      </c>
      <c r="R7" s="48" t="s">
        <v>5</v>
      </c>
      <c r="S7" s="48" t="s">
        <v>9</v>
      </c>
      <c r="T7" s="48" t="s">
        <v>483</v>
      </c>
      <c r="U7" s="48" t="s">
        <v>20</v>
      </c>
      <c r="V7" s="48" t="s">
        <v>335</v>
      </c>
      <c r="W7" s="48" t="s">
        <v>336</v>
      </c>
      <c r="X7" s="48" t="s">
        <v>27</v>
      </c>
      <c r="Y7" s="48" t="s">
        <v>337</v>
      </c>
      <c r="Z7" s="48" t="s">
        <v>338</v>
      </c>
      <c r="AA7" s="48" t="s">
        <v>339</v>
      </c>
      <c r="AB7" s="48" t="s">
        <v>309</v>
      </c>
      <c r="AC7" s="48" t="s">
        <v>340</v>
      </c>
      <c r="AD7" s="48" t="s">
        <v>341</v>
      </c>
      <c r="AE7" s="48" t="s">
        <v>32</v>
      </c>
      <c r="AF7" s="48" t="s">
        <v>342</v>
      </c>
      <c r="AG7" s="48" t="s">
        <v>34</v>
      </c>
      <c r="AH7" s="48" t="s">
        <v>343</v>
      </c>
      <c r="AI7" s="48" t="s">
        <v>344</v>
      </c>
      <c r="AJ7" s="48" t="s">
        <v>345</v>
      </c>
      <c r="AK7" s="48" t="s">
        <v>346</v>
      </c>
      <c r="AL7" s="48" t="s">
        <v>175</v>
      </c>
      <c r="AM7" s="48" t="s">
        <v>347</v>
      </c>
      <c r="AN7" s="48" t="s">
        <v>348</v>
      </c>
      <c r="AO7" s="48" t="s">
        <v>176</v>
      </c>
      <c r="AP7" s="48" t="s">
        <v>177</v>
      </c>
      <c r="AQ7" s="48" t="s">
        <v>36</v>
      </c>
      <c r="AR7" s="48" t="s">
        <v>349</v>
      </c>
      <c r="AS7" s="48" t="s">
        <v>350</v>
      </c>
      <c r="AT7" s="48" t="s">
        <v>351</v>
      </c>
      <c r="AU7" s="48" t="s">
        <v>352</v>
      </c>
      <c r="AV7" s="48" t="s">
        <v>353</v>
      </c>
      <c r="AW7" s="48" t="s">
        <v>354</v>
      </c>
      <c r="AX7" s="48" t="s">
        <v>310</v>
      </c>
      <c r="AY7" s="48" t="s">
        <v>355</v>
      </c>
      <c r="AZ7" s="48" t="s">
        <v>312</v>
      </c>
      <c r="BA7" s="48" t="s">
        <v>356</v>
      </c>
      <c r="BB7" s="48" t="s">
        <v>311</v>
      </c>
      <c r="BC7" s="48" t="s">
        <v>357</v>
      </c>
      <c r="BD7" s="48" t="s">
        <v>358</v>
      </c>
      <c r="BE7" s="48" t="s">
        <v>359</v>
      </c>
      <c r="BF7" s="48" t="s">
        <v>360</v>
      </c>
      <c r="BG7" s="48" t="s">
        <v>361</v>
      </c>
      <c r="BH7" s="48" t="s">
        <v>6</v>
      </c>
      <c r="BI7" s="48" t="s">
        <v>10</v>
      </c>
      <c r="BJ7" s="48" t="s">
        <v>670</v>
      </c>
      <c r="BK7" s="48" t="s">
        <v>421</v>
      </c>
      <c r="BL7" s="48" t="s">
        <v>362</v>
      </c>
      <c r="BM7" s="48" t="s">
        <v>363</v>
      </c>
      <c r="BN7" s="48" t="s">
        <v>364</v>
      </c>
      <c r="BO7" s="48" t="s">
        <v>28</v>
      </c>
      <c r="BP7" s="48" t="s">
        <v>803</v>
      </c>
      <c r="BQ7" s="48" t="s">
        <v>365</v>
      </c>
      <c r="BR7" s="48" t="s">
        <v>366</v>
      </c>
      <c r="BS7" s="48" t="s">
        <v>367</v>
      </c>
      <c r="BT7" s="48" t="s">
        <v>368</v>
      </c>
      <c r="BU7" s="48" t="s">
        <v>369</v>
      </c>
      <c r="BV7" s="48" t="s">
        <v>370</v>
      </c>
      <c r="BW7" s="48" t="s">
        <v>33</v>
      </c>
      <c r="BX7" s="48" t="s">
        <v>371</v>
      </c>
      <c r="BY7" s="48" t="s">
        <v>35</v>
      </c>
      <c r="BZ7" s="48" t="s">
        <v>372</v>
      </c>
      <c r="CA7" s="48" t="s">
        <v>373</v>
      </c>
      <c r="CB7" s="48" t="s">
        <v>374</v>
      </c>
      <c r="CC7" s="48" t="s">
        <v>375</v>
      </c>
      <c r="CD7" s="48" t="s">
        <v>178</v>
      </c>
      <c r="CE7" s="48" t="s">
        <v>376</v>
      </c>
      <c r="CF7" s="48" t="s">
        <v>377</v>
      </c>
      <c r="CG7" s="48" t="s">
        <v>179</v>
      </c>
      <c r="CH7" s="48" t="s">
        <v>180</v>
      </c>
      <c r="CI7" s="48" t="s">
        <v>37</v>
      </c>
      <c r="CJ7" s="48" t="s">
        <v>156</v>
      </c>
      <c r="CK7" s="48" t="s">
        <v>485</v>
      </c>
      <c r="CL7" s="48" t="s">
        <v>2</v>
      </c>
      <c r="CM7" s="48" t="s">
        <v>7</v>
      </c>
      <c r="CN7" s="48" t="s">
        <v>378</v>
      </c>
      <c r="CO7" s="48" t="s">
        <v>13</v>
      </c>
      <c r="CP7" s="48" t="s">
        <v>453</v>
      </c>
      <c r="CQ7" s="48" t="s">
        <v>11</v>
      </c>
      <c r="CR7" s="48" t="s">
        <v>700</v>
      </c>
      <c r="CS7" s="48" t="s">
        <v>702</v>
      </c>
      <c r="CT7" s="48" t="s">
        <v>704</v>
      </c>
      <c r="CU7" s="48" t="s">
        <v>706</v>
      </c>
      <c r="CV7" s="48" t="s">
        <v>708</v>
      </c>
      <c r="CW7" s="48" t="s">
        <v>379</v>
      </c>
      <c r="CX7" s="48" t="s">
        <v>380</v>
      </c>
      <c r="CY7" s="48" t="s">
        <v>381</v>
      </c>
      <c r="CZ7" s="48" t="s">
        <v>382</v>
      </c>
      <c r="DA7" s="48" t="s">
        <v>383</v>
      </c>
      <c r="DB7" s="48" t="s">
        <v>21</v>
      </c>
      <c r="DC7" s="48" t="s">
        <v>16</v>
      </c>
      <c r="DD7" s="48" t="s">
        <v>17</v>
      </c>
      <c r="DE7" s="48" t="s">
        <v>19</v>
      </c>
      <c r="DF7" s="48" t="s">
        <v>452</v>
      </c>
      <c r="DG7" s="48" t="s">
        <v>23</v>
      </c>
      <c r="DH7" s="48" t="s">
        <v>24</v>
      </c>
      <c r="DI7" s="48" t="s">
        <v>25</v>
      </c>
      <c r="DJ7" s="48" t="s">
        <v>174</v>
      </c>
      <c r="DK7" s="48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>
        <v>10.309555023087437</v>
      </c>
      <c r="CS8" s="11">
        <v>16.287201338384083</v>
      </c>
      <c r="CT8" s="11">
        <v>18.662646066897466</v>
      </c>
      <c r="CU8" s="11">
        <v>18.190513474435054</v>
      </c>
      <c r="CV8" s="11">
        <v>9.6895332567150394</v>
      </c>
      <c r="CW8" s="11">
        <v>1.1332751555354685</v>
      </c>
      <c r="CX8" s="11">
        <v>1.7495191884445069</v>
      </c>
      <c r="CY8" s="11">
        <v>2.5693510280428731</v>
      </c>
      <c r="CZ8" s="11">
        <v>2.5597160966375214</v>
      </c>
      <c r="DA8" s="11">
        <v>4.3362923126589203</v>
      </c>
      <c r="DB8" s="11"/>
      <c r="DC8" s="11"/>
      <c r="DD8" s="11"/>
      <c r="DE8" s="11"/>
      <c r="DF8" s="11"/>
      <c r="DG8" s="11"/>
      <c r="DH8" s="11"/>
      <c r="DI8" s="11"/>
      <c r="DJ8" s="11">
        <v>717.72522445712275</v>
      </c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>
        <v>37.194202829088212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611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>
        <v>1.6835019602015988</v>
      </c>
      <c r="CS10" s="11">
        <v>3.6930891997327087</v>
      </c>
      <c r="CT10" s="11">
        <v>2.4628342205919207</v>
      </c>
      <c r="CU10" s="11">
        <v>2.7856596058244469</v>
      </c>
      <c r="CV10" s="11">
        <v>1.5539990500758827</v>
      </c>
      <c r="CW10" s="11">
        <v>2.3959208819010321E-2</v>
      </c>
      <c r="CX10" s="11">
        <v>7.8229296609557811E-2</v>
      </c>
      <c r="CY10" s="11">
        <v>0.35652267665869897</v>
      </c>
      <c r="CZ10" s="11">
        <v>0.10240198372670524</v>
      </c>
      <c r="DA10" s="11">
        <v>3.6549885858568625</v>
      </c>
      <c r="DB10" s="11"/>
      <c r="DC10" s="11"/>
      <c r="DD10" s="11"/>
      <c r="DE10" s="11"/>
      <c r="DF10" s="11"/>
      <c r="DG10" s="11"/>
      <c r="DH10" s="11"/>
      <c r="DI10" s="11"/>
      <c r="DJ10" s="11">
        <v>189.64492433823511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>
        <v>16.994434233536172</v>
      </c>
      <c r="CS11" s="11">
        <v>29.364518424763126</v>
      </c>
      <c r="CT11" s="11">
        <v>36.546028608404995</v>
      </c>
      <c r="CU11" s="11">
        <v>36.296865243378697</v>
      </c>
      <c r="CV11" s="11">
        <v>20.175237756968798</v>
      </c>
      <c r="CW11" s="11">
        <v>1.602023306439857</v>
      </c>
      <c r="CX11" s="11">
        <v>3.1275464625787652</v>
      </c>
      <c r="CY11" s="11">
        <v>4.6139188671645135</v>
      </c>
      <c r="CZ11" s="11">
        <v>5.0039386727199267</v>
      </c>
      <c r="DA11" s="11">
        <v>6.0473578823109166</v>
      </c>
      <c r="DB11" s="11"/>
      <c r="DC11" s="11"/>
      <c r="DD11" s="11"/>
      <c r="DE11" s="11"/>
      <c r="DF11" s="11"/>
      <c r="DG11" s="11"/>
      <c r="DH11" s="11"/>
      <c r="DI11" s="11"/>
      <c r="DJ11" s="11">
        <v>589.34356924670749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>
        <v>0.31508184914448639</v>
      </c>
      <c r="CS12" s="11">
        <v>0.72452379148483703</v>
      </c>
      <c r="CT12" s="11">
        <v>1.0847881554490437</v>
      </c>
      <c r="CU12" s="11">
        <v>1.5550196953110342</v>
      </c>
      <c r="CV12" s="11">
        <v>0.59665449105744606</v>
      </c>
      <c r="CW12" s="11">
        <v>3.3235172467211999E-2</v>
      </c>
      <c r="CX12" s="11">
        <v>6.7139108288622226E-2</v>
      </c>
      <c r="CY12" s="11">
        <v>0.24846713316087921</v>
      </c>
      <c r="CZ12" s="11">
        <v>0.34328806989977545</v>
      </c>
      <c r="DA12" s="11">
        <v>0.29171192824262715</v>
      </c>
      <c r="DB12" s="11"/>
      <c r="DC12" s="11"/>
      <c r="DD12" s="11"/>
      <c r="DE12" s="11"/>
      <c r="DF12" s="11"/>
      <c r="DG12" s="11"/>
      <c r="DH12" s="11"/>
      <c r="DI12" s="11"/>
      <c r="DJ12" s="11">
        <v>57.289028309356162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>
        <v>5.9376093458085997</v>
      </c>
      <c r="CS13" s="11">
        <v>8.40755188424483</v>
      </c>
      <c r="CT13" s="11">
        <v>11.531458811785207</v>
      </c>
      <c r="CU13" s="11">
        <v>11.016229167527236</v>
      </c>
      <c r="CV13" s="11">
        <v>6.7487320371243413</v>
      </c>
      <c r="CW13" s="11">
        <v>0.29595326342502881</v>
      </c>
      <c r="CX13" s="11">
        <v>0.66997724524556768</v>
      </c>
      <c r="CY13" s="11">
        <v>1.2596074168181528</v>
      </c>
      <c r="CZ13" s="11">
        <v>1.5852082142300192</v>
      </c>
      <c r="DA13" s="11">
        <v>1.7090543262596904</v>
      </c>
      <c r="DB13" s="11"/>
      <c r="DC13" s="11"/>
      <c r="DD13" s="11"/>
      <c r="DE13" s="11"/>
      <c r="DF13" s="11"/>
      <c r="DG13" s="11"/>
      <c r="DH13" s="11"/>
      <c r="DI13" s="11"/>
      <c r="DJ13" s="11">
        <v>264.27420693452217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>
        <v>11.930552517131405</v>
      </c>
      <c r="CS14" s="11">
        <v>17.611094594785932</v>
      </c>
      <c r="CT14" s="11">
        <v>20.969897910031374</v>
      </c>
      <c r="CU14" s="11">
        <v>19.426538376961474</v>
      </c>
      <c r="CV14" s="11">
        <v>12.195937578751375</v>
      </c>
      <c r="CW14" s="11">
        <v>0.9613720594975298</v>
      </c>
      <c r="CX14" s="11">
        <v>2.0448713648950698</v>
      </c>
      <c r="CY14" s="11">
        <v>3.083934338397996</v>
      </c>
      <c r="CZ14" s="11">
        <v>3.4449836085813339</v>
      </c>
      <c r="DA14" s="11">
        <v>5.8424725271794706</v>
      </c>
      <c r="DB14" s="11"/>
      <c r="DC14" s="11"/>
      <c r="DD14" s="11"/>
      <c r="DE14" s="11"/>
      <c r="DF14" s="11"/>
      <c r="DG14" s="11"/>
      <c r="DH14" s="11"/>
      <c r="DI14" s="11"/>
      <c r="DJ14" s="11">
        <v>567.59557622903128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>
        <v>1.6405538924026453</v>
      </c>
      <c r="CS15" s="11">
        <v>2.8405630796529739</v>
      </c>
      <c r="CT15" s="11">
        <v>4.0253478129515727</v>
      </c>
      <c r="CU15" s="11">
        <v>3.3169687030096719</v>
      </c>
      <c r="CV15" s="11">
        <v>1.7393375159613258</v>
      </c>
      <c r="CW15" s="11">
        <v>7.2723780826987369E-2</v>
      </c>
      <c r="CX15" s="11">
        <v>0.42087185591341503</v>
      </c>
      <c r="CY15" s="11">
        <v>0.55885072654377954</v>
      </c>
      <c r="CZ15" s="11">
        <v>0.41828829860485189</v>
      </c>
      <c r="DA15" s="11">
        <v>0.94823156491837357</v>
      </c>
      <c r="DB15" s="11"/>
      <c r="DC15" s="11"/>
      <c r="DD15" s="11"/>
      <c r="DE15" s="11"/>
      <c r="DF15" s="11"/>
      <c r="DG15" s="11"/>
      <c r="DH15" s="11"/>
      <c r="DI15" s="11"/>
      <c r="DJ15" s="11">
        <v>89.326638701837254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2.103879414574323E-2</v>
      </c>
      <c r="CS16" s="11">
        <v>0.30223866965535745</v>
      </c>
      <c r="CT16" s="11">
        <v>0.29361298598246421</v>
      </c>
      <c r="CU16" s="11">
        <v>0.2434511563415534</v>
      </c>
      <c r="CV16" s="11">
        <v>0.31852938163453642</v>
      </c>
      <c r="CW16" s="11">
        <v>3.3807069274132957E-4</v>
      </c>
      <c r="CX16" s="11">
        <v>4.0613206020415364E-4</v>
      </c>
      <c r="CY16" s="11">
        <v>4.6027246286703833E-4</v>
      </c>
      <c r="CZ16" s="11">
        <v>8.4113854525923442E-3</v>
      </c>
      <c r="DA16" s="11">
        <v>5.6318706484373652E-3</v>
      </c>
      <c r="DB16" s="11"/>
      <c r="DC16" s="11"/>
      <c r="DD16" s="11"/>
      <c r="DE16" s="11"/>
      <c r="DF16" s="11"/>
      <c r="DG16" s="11"/>
      <c r="DH16" s="11"/>
      <c r="DI16" s="11"/>
      <c r="DJ16" s="11">
        <v>10.115338280714804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>
        <v>22.81562880364184</v>
      </c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>
        <v>6.8166184887091088</v>
      </c>
      <c r="CS18" s="11">
        <v>15.673278225045713</v>
      </c>
      <c r="CT18" s="11">
        <v>23.757741992114763</v>
      </c>
      <c r="CU18" s="11">
        <v>22.564997129117145</v>
      </c>
      <c r="CV18" s="11">
        <v>16.111624445650438</v>
      </c>
      <c r="CW18" s="11">
        <v>0.95828743798730764</v>
      </c>
      <c r="CX18" s="11">
        <v>2.0970750415880373</v>
      </c>
      <c r="CY18" s="11">
        <v>2.813201524021844</v>
      </c>
      <c r="CZ18" s="11">
        <v>4.2642932079335338</v>
      </c>
      <c r="DA18" s="11">
        <v>5.5343939409193137</v>
      </c>
      <c r="DB18" s="11"/>
      <c r="DC18" s="11"/>
      <c r="DD18" s="11"/>
      <c r="DE18" s="11"/>
      <c r="DF18" s="11"/>
      <c r="DG18" s="11"/>
      <c r="DH18" s="11"/>
      <c r="DI18" s="11"/>
      <c r="DJ18" s="11">
        <v>462.34651928341685</v>
      </c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>
        <v>249.73847460642352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>
        <v>99.118439370194665</v>
      </c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>
        <v>9.5444964425087857</v>
      </c>
      <c r="CS21" s="11">
        <v>11.71521335159137</v>
      </c>
      <c r="CT21" s="11">
        <v>14.198740765044375</v>
      </c>
      <c r="CU21" s="11">
        <v>15.02498632665875</v>
      </c>
      <c r="CV21" s="11">
        <v>11.359050036994747</v>
      </c>
      <c r="CW21" s="11">
        <v>0.33315544312158268</v>
      </c>
      <c r="CX21" s="11">
        <v>0.81627464894063884</v>
      </c>
      <c r="CY21" s="11">
        <v>1.6119401165857581</v>
      </c>
      <c r="CZ21" s="11">
        <v>1.7995591425140354</v>
      </c>
      <c r="DA21" s="11">
        <v>3.3392082950827184</v>
      </c>
      <c r="DB21" s="11"/>
      <c r="DC21" s="11"/>
      <c r="DD21" s="11"/>
      <c r="DE21" s="11"/>
      <c r="DF21" s="11"/>
      <c r="DG21" s="11"/>
      <c r="DH21" s="11"/>
      <c r="DI21" s="11"/>
      <c r="DJ21" s="11">
        <v>796.22541897532767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1.7756196318419026</v>
      </c>
      <c r="CS22" s="11">
        <v>5.2589788370551691</v>
      </c>
      <c r="CT22" s="11">
        <v>9.2672338175030529</v>
      </c>
      <c r="CU22" s="11">
        <v>11.506839870135897</v>
      </c>
      <c r="CV22" s="11">
        <v>9.3856552915206901</v>
      </c>
      <c r="CW22" s="11">
        <v>6.5193747405460578E-2</v>
      </c>
      <c r="CX22" s="11">
        <v>0.54926316679969855</v>
      </c>
      <c r="CY22" s="11">
        <v>1.0048034334427771</v>
      </c>
      <c r="CZ22" s="11">
        <v>1.9243527676708034</v>
      </c>
      <c r="DA22" s="11">
        <v>4.2337888825072909</v>
      </c>
      <c r="DB22" s="11"/>
      <c r="DC22" s="11"/>
      <c r="DD22" s="11"/>
      <c r="DE22" s="11"/>
      <c r="DF22" s="11"/>
      <c r="DG22" s="11"/>
      <c r="DH22" s="11"/>
      <c r="DI22" s="11"/>
      <c r="DJ22" s="11">
        <v>150.03076041217551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0.37361860564843791</v>
      </c>
      <c r="CS23" s="11">
        <v>0.79320497064313267</v>
      </c>
      <c r="CT23" s="11">
        <v>0.92756438913680217</v>
      </c>
      <c r="CU23" s="11">
        <v>2.8688426913576723</v>
      </c>
      <c r="CV23" s="11">
        <v>6.366977815971115</v>
      </c>
      <c r="CW23" s="11"/>
      <c r="CX23" s="11">
        <v>5.0041436077806548E-2</v>
      </c>
      <c r="CY23" s="11">
        <v>1.6814976126368755E-2</v>
      </c>
      <c r="CZ23" s="11">
        <v>0.28672507901177496</v>
      </c>
      <c r="DA23" s="11">
        <v>1.6878281812170979</v>
      </c>
      <c r="DB23" s="11"/>
      <c r="DC23" s="11"/>
      <c r="DD23" s="11"/>
      <c r="DE23" s="11"/>
      <c r="DF23" s="11"/>
      <c r="DG23" s="11"/>
      <c r="DH23" s="11"/>
      <c r="DI23" s="11"/>
      <c r="DJ23" s="11">
        <v>213.46336784067284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>
        <v>148.19875922679566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0.38109026707342886</v>
      </c>
      <c r="CS25" s="11">
        <v>0.11118040778786131</v>
      </c>
      <c r="CT25" s="11">
        <v>0.11094072350700901</v>
      </c>
      <c r="CU25" s="11">
        <v>0.38830866698703403</v>
      </c>
      <c r="CV25" s="11">
        <v>0.20469276752589646</v>
      </c>
      <c r="CW25" s="11">
        <v>2.0021685324897332E-2</v>
      </c>
      <c r="CX25" s="11"/>
      <c r="CY25" s="11">
        <v>8.4019599987776111E-2</v>
      </c>
      <c r="CZ25" s="11">
        <v>3.8813116552355462E-2</v>
      </c>
      <c r="DA25" s="11">
        <v>0.29186752951458589</v>
      </c>
      <c r="DB25" s="11"/>
      <c r="DC25" s="11"/>
      <c r="DD25" s="11"/>
      <c r="DE25" s="11"/>
      <c r="DF25" s="11"/>
      <c r="DG25" s="11"/>
      <c r="DH25" s="11"/>
      <c r="DI25" s="11"/>
      <c r="DJ25" s="11">
        <v>106.7606409637451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483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>
        <v>117.87883461856359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1292.2817967773142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>
        <v>1292.2817967773142</v>
      </c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286.20695670784744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>
        <v>286.20695670784744</v>
      </c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262.57522910785997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>
        <v>262.57522910785997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127.33832074116987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>
        <v>127.33832074116987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226.81509801185845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>
        <v>226.81509801185845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36"/>
      <c r="BR32" s="11">
        <v>105.59404964682696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>
        <v>105.59404964682696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187.22599271572497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>
        <v>187.22599271572497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97.453902843898177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>
        <v>97.453902843898177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330.98870514393514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>
        <v>330.98870514393514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239.30925557885624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>
        <v>239.30925557885624</v>
      </c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59.219575697372278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>
        <v>59.219575697372278</v>
      </c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1294.8886237938536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>
        <v>1294.8886237938536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1283.4357031721352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>
        <v>1283.4357031721352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1368.3507132229402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>
        <v>1368.3507132229402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352.20369593496088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>
        <v>352.20369593496088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180.85676776615236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>
        <v>180.85676776615236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470.2939697256719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>
        <v>470.2939697256719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767.57218332133084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>
        <v>767.57218332133084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453.06754222440418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>
        <v>453.06754222440418</v>
      </c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635.10637061065574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>
        <v>635.10637061065574</v>
      </c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743.07571603221936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>
        <v>743.07571603221936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269.77092128031057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>
        <v>269.77092128031057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176.98772049600746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>
        <v>176.98772049600746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>
        <v>34.921520811566062</v>
      </c>
      <c r="CS50" s="11">
        <v>31.06315850370548</v>
      </c>
      <c r="CT50" s="11">
        <v>23.374285060960819</v>
      </c>
      <c r="CU50" s="11">
        <v>23.051587513682751</v>
      </c>
      <c r="CV50" s="11">
        <v>15.520039844630778</v>
      </c>
      <c r="CW50" s="11">
        <v>2.966299090855085</v>
      </c>
      <c r="CX50" s="11">
        <v>5.5049197474922842</v>
      </c>
      <c r="CY50" s="11">
        <v>6.4924885626620155</v>
      </c>
      <c r="CZ50" s="11">
        <v>10.370964124944237</v>
      </c>
      <c r="DA50" s="11">
        <v>26.389486571571371</v>
      </c>
      <c r="DB50" s="11"/>
      <c r="DC50" s="11"/>
      <c r="DD50" s="11"/>
      <c r="DE50" s="11"/>
      <c r="DF50" s="11"/>
      <c r="DG50" s="11"/>
      <c r="DH50" s="11"/>
      <c r="DI50" s="11">
        <v>0.6793877826035879</v>
      </c>
      <c r="DJ50" s="11">
        <v>726.20736370855252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>
        <v>0.14128318411184834</v>
      </c>
      <c r="DJ51" s="11">
        <v>44.131750585725804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14.34816576357604</v>
      </c>
      <c r="CS52" s="11">
        <v>9.5937626366597506</v>
      </c>
      <c r="CT52" s="11">
        <v>7.2699326760531706</v>
      </c>
      <c r="CU52" s="11">
        <v>9.2938630969540412</v>
      </c>
      <c r="CV52" s="11">
        <v>6.4079379259626528</v>
      </c>
      <c r="CW52" s="11">
        <v>1.0822159715828594</v>
      </c>
      <c r="CX52" s="11">
        <v>1.2207168473900618</v>
      </c>
      <c r="CY52" s="11">
        <v>0.88482507673681299</v>
      </c>
      <c r="CZ52" s="11">
        <v>2.3470123641563134</v>
      </c>
      <c r="DA52" s="11">
        <v>4.1925546812142978</v>
      </c>
      <c r="DB52" s="11"/>
      <c r="DC52" s="11"/>
      <c r="DD52" s="11"/>
      <c r="DE52" s="11"/>
      <c r="DF52" s="11"/>
      <c r="DG52" s="11"/>
      <c r="DH52" s="11"/>
      <c r="DI52" s="11">
        <v>2.6390976295907391</v>
      </c>
      <c r="DJ52" s="11">
        <v>253.87280472531259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52.199008338649762</v>
      </c>
      <c r="CS53" s="11">
        <v>65.411182284002507</v>
      </c>
      <c r="CT53" s="11">
        <v>68.838888453281839</v>
      </c>
      <c r="CU53" s="11">
        <v>69.040072415031716</v>
      </c>
      <c r="CV53" s="11">
        <v>58.963080964352699</v>
      </c>
      <c r="CW53" s="11">
        <v>5.3424011894625378</v>
      </c>
      <c r="CX53" s="11">
        <v>11.502139730728532</v>
      </c>
      <c r="CY53" s="11">
        <v>19.392931738984426</v>
      </c>
      <c r="CZ53" s="11">
        <v>30.601621903051292</v>
      </c>
      <c r="DA53" s="11">
        <v>78.503773804863741</v>
      </c>
      <c r="DB53" s="11"/>
      <c r="DC53" s="11"/>
      <c r="DD53" s="11"/>
      <c r="DE53" s="11"/>
      <c r="DF53" s="11"/>
      <c r="DG53" s="11"/>
      <c r="DH53" s="11"/>
      <c r="DI53" s="11">
        <v>4.1288685768608664</v>
      </c>
      <c r="DJ53" s="11">
        <v>538.90033171518871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0.85169798622733062</v>
      </c>
      <c r="CS54" s="11">
        <v>1.2632980853973055</v>
      </c>
      <c r="CT54" s="11">
        <v>1.7321337817281348</v>
      </c>
      <c r="CU54" s="11">
        <v>2.2883860115243344</v>
      </c>
      <c r="CV54" s="11">
        <v>2.4854245583926877</v>
      </c>
      <c r="CW54" s="11">
        <v>0.10820562363770289</v>
      </c>
      <c r="CX54" s="11">
        <v>0.25836900958200509</v>
      </c>
      <c r="CY54" s="11">
        <v>0.57997449755152464</v>
      </c>
      <c r="CZ54" s="11">
        <v>1.8640623915517489</v>
      </c>
      <c r="DA54" s="11">
        <v>7.8938295928843161</v>
      </c>
      <c r="DB54" s="11"/>
      <c r="DC54" s="11"/>
      <c r="DD54" s="11"/>
      <c r="DE54" s="11"/>
      <c r="DF54" s="11"/>
      <c r="DG54" s="11"/>
      <c r="DH54" s="11"/>
      <c r="DI54" s="11">
        <v>0.50532932624340487</v>
      </c>
      <c r="DJ54" s="11">
        <v>61.806879552375356</v>
      </c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>
        <v>10.43340011059332</v>
      </c>
      <c r="CS55" s="11">
        <v>18.352774706697005</v>
      </c>
      <c r="CT55" s="11">
        <v>22.993609038978967</v>
      </c>
      <c r="CU55" s="11">
        <v>25.222400157993853</v>
      </c>
      <c r="CV55" s="11">
        <v>21.910404090251042</v>
      </c>
      <c r="CW55" s="11">
        <v>1.2768374151140691</v>
      </c>
      <c r="CX55" s="11">
        <v>3.6214392842593548</v>
      </c>
      <c r="CY55" s="11">
        <v>7.2226494215373336</v>
      </c>
      <c r="CZ55" s="11">
        <v>15.755630924669097</v>
      </c>
      <c r="DA55" s="11">
        <v>43.803856428660943</v>
      </c>
      <c r="DB55" s="11"/>
      <c r="DC55" s="11"/>
      <c r="DD55" s="11"/>
      <c r="DE55" s="11"/>
      <c r="DF55" s="11"/>
      <c r="DG55" s="11"/>
      <c r="DH55" s="11"/>
      <c r="DI55" s="11">
        <v>8.3159216948089934E-2</v>
      </c>
      <c r="DJ55" s="11">
        <v>239.1693904744254</v>
      </c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>
        <v>27.184405547482434</v>
      </c>
      <c r="CS56" s="11">
        <v>40.763291422637764</v>
      </c>
      <c r="CT56" s="11">
        <v>47.636667159714889</v>
      </c>
      <c r="CU56" s="11">
        <v>54.600308586350991</v>
      </c>
      <c r="CV56" s="11">
        <v>42.908637912432653</v>
      </c>
      <c r="CW56" s="11">
        <v>4.9824121553965277</v>
      </c>
      <c r="CX56" s="11">
        <v>11.268262376424108</v>
      </c>
      <c r="CY56" s="11">
        <v>21.354334282853511</v>
      </c>
      <c r="CZ56" s="11">
        <v>47.83928927076667</v>
      </c>
      <c r="DA56" s="11">
        <v>155.09916761243912</v>
      </c>
      <c r="DB56" s="11"/>
      <c r="DC56" s="11"/>
      <c r="DD56" s="11"/>
      <c r="DE56" s="11"/>
      <c r="DF56" s="11"/>
      <c r="DG56" s="11"/>
      <c r="DH56" s="11"/>
      <c r="DI56" s="11">
        <v>17.01312561646365</v>
      </c>
      <c r="DJ56" s="11">
        <v>590.19145407741371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3.7559126583428162</v>
      </c>
      <c r="CS57" s="11">
        <v>7.902081066547435</v>
      </c>
      <c r="CT57" s="11">
        <v>7.5619533428090726</v>
      </c>
      <c r="CU57" s="11">
        <v>5.8154548785148661</v>
      </c>
      <c r="CV57" s="11">
        <v>3.8957168044335777</v>
      </c>
      <c r="CW57" s="11">
        <v>0.37252417272571942</v>
      </c>
      <c r="CX57" s="11">
        <v>0.62535499957783658</v>
      </c>
      <c r="CY57" s="11">
        <v>0.69871141146412274</v>
      </c>
      <c r="CZ57" s="11">
        <v>1.9251574486105814</v>
      </c>
      <c r="DA57" s="11">
        <v>7.4438294655686814</v>
      </c>
      <c r="DB57" s="11"/>
      <c r="DC57" s="11"/>
      <c r="DD57" s="11"/>
      <c r="DE57" s="11"/>
      <c r="DF57" s="11"/>
      <c r="DG57" s="11"/>
      <c r="DH57" s="11"/>
      <c r="DI57" s="11"/>
      <c r="DJ57" s="11">
        <v>91.601470687178093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0.22575766001110295</v>
      </c>
      <c r="CS58" s="11">
        <v>0.47736375643097345</v>
      </c>
      <c r="CT58" s="11">
        <v>0.78916036932947287</v>
      </c>
      <c r="CU58" s="11">
        <v>0.88180748507873652</v>
      </c>
      <c r="CV58" s="11">
        <v>1.01329895831121</v>
      </c>
      <c r="CW58" s="11">
        <v>4.5904131378571467E-2</v>
      </c>
      <c r="CX58" s="11">
        <v>6.7651893591415407E-2</v>
      </c>
      <c r="CY58" s="11">
        <v>9.5671587620252532E-2</v>
      </c>
      <c r="CZ58" s="11">
        <v>0.29496531369946444</v>
      </c>
      <c r="DA58" s="11">
        <v>1.7201181726317241</v>
      </c>
      <c r="DB58" s="11"/>
      <c r="DC58" s="11"/>
      <c r="DD58" s="11"/>
      <c r="DE58" s="11"/>
      <c r="DF58" s="11"/>
      <c r="DG58" s="11"/>
      <c r="DH58" s="11"/>
      <c r="DI58" s="11">
        <v>4.0190866528462479</v>
      </c>
      <c r="DJ58" s="11">
        <v>19.458491222898523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>
        <v>0.26812070269112898</v>
      </c>
      <c r="DJ59" s="11">
        <v>30.751735908695675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9.6214481795481177</v>
      </c>
      <c r="CS60" s="11">
        <v>17.345825461629975</v>
      </c>
      <c r="CT60" s="11">
        <v>25.747730841689126</v>
      </c>
      <c r="CU60" s="11">
        <v>35.317343211046008</v>
      </c>
      <c r="CV60" s="11">
        <v>37.216517791964073</v>
      </c>
      <c r="CW60" s="11">
        <v>1.4888904487969794</v>
      </c>
      <c r="CX60" s="11">
        <v>4.115685066413918</v>
      </c>
      <c r="CY60" s="11">
        <v>10.295663063456423</v>
      </c>
      <c r="CZ60" s="11">
        <v>31.584707917385622</v>
      </c>
      <c r="DA60" s="11">
        <v>136.72761827577713</v>
      </c>
      <c r="DB60" s="11"/>
      <c r="DC60" s="11"/>
      <c r="DD60" s="11"/>
      <c r="DE60" s="11"/>
      <c r="DF60" s="11"/>
      <c r="DG60" s="11">
        <v>7.8363780057613708</v>
      </c>
      <c r="DH60" s="11"/>
      <c r="DI60" s="11">
        <v>33.342924877188402</v>
      </c>
      <c r="DJ60" s="11">
        <v>407.21201359928921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0.11508699824622666</v>
      </c>
      <c r="CS61" s="11">
        <v>0.21766882191220327</v>
      </c>
      <c r="CT61" s="11">
        <v>0.23030923187938129</v>
      </c>
      <c r="CU61" s="11">
        <v>0.3625931103734028</v>
      </c>
      <c r="CV61" s="11">
        <v>0.9045083336385944</v>
      </c>
      <c r="CW61" s="11">
        <v>1.651083857027694E-2</v>
      </c>
      <c r="CX61" s="11">
        <v>3.6123213356369137E-2</v>
      </c>
      <c r="CY61" s="11">
        <v>8.7818513520429908E-2</v>
      </c>
      <c r="CZ61" s="11">
        <v>0.3917001330963556</v>
      </c>
      <c r="DA61" s="11">
        <v>4.7702167400020183</v>
      </c>
      <c r="DB61" s="11"/>
      <c r="DC61" s="11"/>
      <c r="DD61" s="11"/>
      <c r="DE61" s="11"/>
      <c r="DF61" s="11"/>
      <c r="DG61" s="11"/>
      <c r="DH61" s="11"/>
      <c r="DI61" s="11">
        <v>258.65988467238935</v>
      </c>
      <c r="DJ61" s="11">
        <v>314.12908619481522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7.3496211076079659E-5</v>
      </c>
      <c r="CS62" s="11">
        <v>4.7230256372886222E-4</v>
      </c>
      <c r="CT62" s="11">
        <v>9.5456284524782459E-4</v>
      </c>
      <c r="CU62" s="11">
        <v>1.8462542496846825E-3</v>
      </c>
      <c r="CV62" s="11">
        <v>5.9051265873640481E-3</v>
      </c>
      <c r="CW62" s="11"/>
      <c r="CX62" s="11">
        <v>2.0479792674448901E-4</v>
      </c>
      <c r="CY62" s="11">
        <v>5.06192706110736E-4</v>
      </c>
      <c r="CZ62" s="11">
        <v>7.0519381153730969E-4</v>
      </c>
      <c r="DA62" s="11">
        <v>4.3701700935646445E-2</v>
      </c>
      <c r="DB62" s="11"/>
      <c r="DC62" s="11"/>
      <c r="DD62" s="11"/>
      <c r="DE62" s="11"/>
      <c r="DF62" s="11"/>
      <c r="DG62" s="11"/>
      <c r="DH62" s="11"/>
      <c r="DI62" s="11">
        <v>85.349533975232916</v>
      </c>
      <c r="DJ62" s="11">
        <v>126.14795726428682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15.0711761218992</v>
      </c>
      <c r="CS63" s="11">
        <v>27.905762011816371</v>
      </c>
      <c r="CT63" s="11">
        <v>47.154591222141065</v>
      </c>
      <c r="CU63" s="11">
        <v>56.839592033730668</v>
      </c>
      <c r="CV63" s="11">
        <v>56.981693244333044</v>
      </c>
      <c r="CW63" s="11">
        <v>1.9766611852250919</v>
      </c>
      <c r="CX63" s="11">
        <v>6.9624205418584566</v>
      </c>
      <c r="CY63" s="11">
        <v>19.134039186138651</v>
      </c>
      <c r="CZ63" s="11">
        <v>53.241706769348951</v>
      </c>
      <c r="DA63" s="11">
        <v>200.43909215610813</v>
      </c>
      <c r="DB63" s="11"/>
      <c r="DC63" s="11"/>
      <c r="DD63" s="11"/>
      <c r="DE63" s="11"/>
      <c r="DF63" s="11"/>
      <c r="DG63" s="11">
        <v>15.207583046213283</v>
      </c>
      <c r="DH63" s="11">
        <v>29.424864360888684</v>
      </c>
      <c r="DI63" s="11">
        <v>6.6469086606330538E-2</v>
      </c>
      <c r="DJ63" s="11">
        <v>836.25336239286867</v>
      </c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1.5308308951483449</v>
      </c>
      <c r="CS64" s="11">
        <v>2.7554711888383756</v>
      </c>
      <c r="CT64" s="11">
        <v>6.4627443074729172</v>
      </c>
      <c r="CU64" s="11">
        <v>10.686559733043724</v>
      </c>
      <c r="CV64" s="11">
        <v>12.21876748796468</v>
      </c>
      <c r="CW64" s="11">
        <v>0.15069441915676871</v>
      </c>
      <c r="CX64" s="11">
        <v>0.68642641980554941</v>
      </c>
      <c r="CY64" s="11">
        <v>2.1636479448073729</v>
      </c>
      <c r="CZ64" s="11">
        <v>8.8214474041501951</v>
      </c>
      <c r="DA64" s="11">
        <v>50.844165210822425</v>
      </c>
      <c r="DB64" s="11"/>
      <c r="DC64" s="11"/>
      <c r="DD64" s="11"/>
      <c r="DE64" s="11"/>
      <c r="DF64" s="11"/>
      <c r="DG64" s="11"/>
      <c r="DH64" s="11">
        <v>0.82454467190818648</v>
      </c>
      <c r="DI64" s="11">
        <v>6.1257373312809602E-2</v>
      </c>
      <c r="DJ64" s="11">
        <v>129.245401543589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>
        <v>3.5842069670588836</v>
      </c>
      <c r="CS65" s="11">
        <v>5.7022811911075904</v>
      </c>
      <c r="CT65" s="11">
        <v>8.5715683842524637</v>
      </c>
      <c r="CU65" s="11">
        <v>13.086766806974682</v>
      </c>
      <c r="CV65" s="11">
        <v>18.03079890068598</v>
      </c>
      <c r="CW65" s="11">
        <v>0.81560755148403474</v>
      </c>
      <c r="CX65" s="11">
        <v>1.4175161780192189</v>
      </c>
      <c r="CY65" s="11">
        <v>3.6100115253786411</v>
      </c>
      <c r="CZ65" s="11">
        <v>6.2380620326226373</v>
      </c>
      <c r="DA65" s="11">
        <v>25.780360663997854</v>
      </c>
      <c r="DB65" s="11"/>
      <c r="DC65" s="11"/>
      <c r="DD65" s="11"/>
      <c r="DE65" s="11"/>
      <c r="DF65" s="11"/>
      <c r="DG65" s="11"/>
      <c r="DH65" s="11">
        <v>4.2852110164985246</v>
      </c>
      <c r="DI65" s="11">
        <v>0.87643338174420171</v>
      </c>
      <c r="DJ65" s="11">
        <v>233.45067403750389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1.2002912493921682</v>
      </c>
      <c r="CS66" s="11">
        <v>2.2353812173265069</v>
      </c>
      <c r="CT66" s="11">
        <v>2.8981586465453919</v>
      </c>
      <c r="CU66" s="11">
        <v>3.166971609644381</v>
      </c>
      <c r="CV66" s="11">
        <v>2.466466595883956</v>
      </c>
      <c r="CW66" s="11">
        <v>0.24061932772734151</v>
      </c>
      <c r="CX66" s="11">
        <v>0.53518418334098794</v>
      </c>
      <c r="CY66" s="11">
        <v>1.0597445676819153</v>
      </c>
      <c r="CZ66" s="11">
        <v>1.8658854458583796</v>
      </c>
      <c r="DA66" s="11">
        <v>3.1079404321823945</v>
      </c>
      <c r="DB66" s="11"/>
      <c r="DC66" s="11"/>
      <c r="DD66" s="11"/>
      <c r="DE66" s="11"/>
      <c r="DF66" s="11"/>
      <c r="DG66" s="11"/>
      <c r="DH66" s="11"/>
      <c r="DI66" s="11">
        <v>6.1059844988458761E-3</v>
      </c>
      <c r="DJ66" s="11">
        <v>189.47650447161993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5.4060845778880884</v>
      </c>
      <c r="CS67" s="11">
        <v>8.4131355560274557</v>
      </c>
      <c r="CT67" s="11">
        <v>12.311188266660439</v>
      </c>
      <c r="CU67" s="11">
        <v>12.780722411572084</v>
      </c>
      <c r="CV67" s="11">
        <v>10.472832250848104</v>
      </c>
      <c r="CW67" s="11">
        <v>0.78629157918332193</v>
      </c>
      <c r="CX67" s="11">
        <v>2.254465879203821</v>
      </c>
      <c r="CY67" s="11">
        <v>6.4196500045109106</v>
      </c>
      <c r="CZ67" s="11">
        <v>14.052661497367557</v>
      </c>
      <c r="DA67" s="11">
        <v>36.035142211692921</v>
      </c>
      <c r="DB67" s="11"/>
      <c r="DC67" s="11"/>
      <c r="DD67" s="11"/>
      <c r="DE67" s="11"/>
      <c r="DF67" s="11"/>
      <c r="DG67" s="11"/>
      <c r="DH67" s="11"/>
      <c r="DI67" s="11">
        <v>0.16876703358245926</v>
      </c>
      <c r="DJ67" s="11">
        <v>125.78497753891385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670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>
        <v>0.41713147324678734</v>
      </c>
      <c r="DI68" s="11">
        <v>28.902425460483236</v>
      </c>
      <c r="DJ68" s="11">
        <v>155.12576304394508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421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9.9999999999999995E-7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>
        <v>9.9999999999999995E-7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362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84.516631857745864</v>
      </c>
      <c r="P70" s="11">
        <v>53.929857925526711</v>
      </c>
      <c r="Q70" s="11">
        <v>4.9497243565244027</v>
      </c>
      <c r="R70" s="11"/>
      <c r="S70" s="11"/>
      <c r="T70" s="11">
        <v>1.3731894754825181E-2</v>
      </c>
      <c r="U70" s="11">
        <v>155.40180161317971</v>
      </c>
      <c r="V70" s="11">
        <v>14.407544317216939</v>
      </c>
      <c r="W70" s="11">
        <v>0.15076599841744109</v>
      </c>
      <c r="X70" s="11">
        <v>0.36986797837399943</v>
      </c>
      <c r="Y70" s="11">
        <v>4.7734568594378137</v>
      </c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27.681781966257876</v>
      </c>
      <c r="AJ70" s="11"/>
      <c r="AK70" s="11"/>
      <c r="AL70" s="11"/>
      <c r="AM70" s="11"/>
      <c r="AN70" s="11">
        <v>19.162016806847628</v>
      </c>
      <c r="AO70" s="11">
        <v>43.44922945679086</v>
      </c>
      <c r="AP70" s="11">
        <v>23.299600602907351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>
        <v>123.51218634159837</v>
      </c>
      <c r="CS70" s="11">
        <v>154.90201258723411</v>
      </c>
      <c r="CT70" s="11">
        <v>174.83704018085564</v>
      </c>
      <c r="CU70" s="11">
        <v>179.71456504781031</v>
      </c>
      <c r="CV70" s="11">
        <v>135.02350710134749</v>
      </c>
      <c r="CW70" s="11">
        <v>14.744684976114291</v>
      </c>
      <c r="CX70" s="11">
        <v>31.073800974829425</v>
      </c>
      <c r="CY70" s="11">
        <v>54.788461512031851</v>
      </c>
      <c r="CZ70" s="11">
        <v>103.26231132749862</v>
      </c>
      <c r="DA70" s="11">
        <v>458.04662126173417</v>
      </c>
      <c r="DB70" s="11"/>
      <c r="DC70" s="11"/>
      <c r="DD70" s="11"/>
      <c r="DE70" s="11"/>
      <c r="DF70" s="11"/>
      <c r="DG70" s="11"/>
      <c r="DH70" s="11"/>
      <c r="DI70" s="11">
        <v>62.773349378758155</v>
      </c>
      <c r="DJ70" s="11">
        <v>1924.7845523237938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1.9992441792609366</v>
      </c>
      <c r="V71" s="11">
        <v>22.141833035653484</v>
      </c>
      <c r="W71" s="11"/>
      <c r="X71" s="11">
        <v>4.81923689551986E-2</v>
      </c>
      <c r="Y71" s="11">
        <v>1.7387817917509469</v>
      </c>
      <c r="Z71" s="11"/>
      <c r="AA71" s="11"/>
      <c r="AB71" s="11"/>
      <c r="AC71" s="11"/>
      <c r="AD71" s="11"/>
      <c r="AE71" s="11"/>
      <c r="AF71" s="11"/>
      <c r="AG71" s="11">
        <v>0.25602580571968864</v>
      </c>
      <c r="AH71" s="11">
        <v>0.62556861346525727</v>
      </c>
      <c r="AI71" s="11">
        <v>24.577588910639591</v>
      </c>
      <c r="AJ71" s="11"/>
      <c r="AK71" s="11">
        <v>7.1034832447536389E-2</v>
      </c>
      <c r="AL71" s="11">
        <v>0.54486319306475295</v>
      </c>
      <c r="AM71" s="11">
        <v>0.6229628622101353</v>
      </c>
      <c r="AN71" s="11">
        <v>0.4088547495798</v>
      </c>
      <c r="AO71" s="11">
        <v>0.14905588057478145</v>
      </c>
      <c r="AP71" s="11">
        <v>1.2158160089773782</v>
      </c>
      <c r="AQ71" s="11">
        <v>0.26241801337627568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7.5316588820032075</v>
      </c>
      <c r="CS71" s="11">
        <v>14.421109981413627</v>
      </c>
      <c r="CT71" s="11">
        <v>24.26823294432522</v>
      </c>
      <c r="CU71" s="11">
        <v>31.650806204960109</v>
      </c>
      <c r="CV71" s="11">
        <v>65.968917528592826</v>
      </c>
      <c r="CW71" s="11">
        <v>0.83643040601075946</v>
      </c>
      <c r="CX71" s="11">
        <v>2.4835205497710806</v>
      </c>
      <c r="CY71" s="11">
        <v>5.0767902212200298</v>
      </c>
      <c r="CZ71" s="11">
        <v>16.640349586880603</v>
      </c>
      <c r="DA71" s="11">
        <v>187.86537756218246</v>
      </c>
      <c r="DB71" s="11"/>
      <c r="DC71" s="11"/>
      <c r="DD71" s="11"/>
      <c r="DE71" s="11"/>
      <c r="DF71" s="11"/>
      <c r="DG71" s="11"/>
      <c r="DH71" s="11"/>
      <c r="DI71" s="11">
        <v>14.957357078833555</v>
      </c>
      <c r="DJ71" s="11">
        <v>426.36279119186923</v>
      </c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364</v>
      </c>
      <c r="B72" s="11">
        <v>3.9386211186353242</v>
      </c>
      <c r="C72" s="11">
        <v>0.11617269805041214</v>
      </c>
      <c r="D72" s="11">
        <v>4.011861596481733</v>
      </c>
      <c r="E72" s="11">
        <v>3.3437796328103944</v>
      </c>
      <c r="F72" s="11">
        <v>9.7432828535791161E-2</v>
      </c>
      <c r="G72" s="11">
        <v>1.4252844454316314E-2</v>
      </c>
      <c r="H72" s="11">
        <v>3.0889590957408988</v>
      </c>
      <c r="I72" s="11"/>
      <c r="J72" s="11">
        <v>7.5123180159934341E-2</v>
      </c>
      <c r="K72" s="11">
        <v>0.28113302716005656</v>
      </c>
      <c r="L72" s="11">
        <v>0.17329474273812592</v>
      </c>
      <c r="M72" s="11"/>
      <c r="N72" s="11"/>
      <c r="O72" s="11"/>
      <c r="P72" s="11">
        <v>0.13062003390876722</v>
      </c>
      <c r="Q72" s="11">
        <v>9.3003418197405527E-2</v>
      </c>
      <c r="R72" s="11">
        <v>3.8018475229428028E-2</v>
      </c>
      <c r="S72" s="11">
        <v>12.772572349290616</v>
      </c>
      <c r="T72" s="11">
        <v>0.10522728059631864</v>
      </c>
      <c r="U72" s="11">
        <v>18.644865175516824</v>
      </c>
      <c r="V72" s="11">
        <v>6.1098031705722478E-2</v>
      </c>
      <c r="W72" s="11">
        <v>53.963333079952235</v>
      </c>
      <c r="X72" s="11">
        <v>0.73084194528445678</v>
      </c>
      <c r="Y72" s="11">
        <v>0.35413916578401483</v>
      </c>
      <c r="Z72" s="11">
        <v>0.26353264442839408</v>
      </c>
      <c r="AA72" s="11">
        <v>1.0683180127842564</v>
      </c>
      <c r="AB72" s="11">
        <v>0.28267727324309738</v>
      </c>
      <c r="AC72" s="11">
        <v>6.1812160207720517</v>
      </c>
      <c r="AD72" s="11"/>
      <c r="AE72" s="11">
        <v>0.17649114362842896</v>
      </c>
      <c r="AF72" s="11"/>
      <c r="AG72" s="11">
        <v>1.6826323260464833E-3</v>
      </c>
      <c r="AH72" s="11">
        <v>3.5376646577301801E-2</v>
      </c>
      <c r="AI72" s="11">
        <v>2.8273520269801642</v>
      </c>
      <c r="AJ72" s="11">
        <v>1.7656235805551708</v>
      </c>
      <c r="AK72" s="11">
        <v>0.88407941981798166</v>
      </c>
      <c r="AL72" s="11">
        <v>1.3819425150688309E-2</v>
      </c>
      <c r="AM72" s="11">
        <v>3.8814891069775515</v>
      </c>
      <c r="AN72" s="11">
        <v>2.0732887350063507</v>
      </c>
      <c r="AO72" s="11">
        <v>1.8934151592805013E-2</v>
      </c>
      <c r="AP72" s="11">
        <v>0.9484869260861637</v>
      </c>
      <c r="AQ72" s="11">
        <v>1.3978505991325185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8.9943148906895356</v>
      </c>
      <c r="CS72" s="11">
        <v>16.453187949998533</v>
      </c>
      <c r="CT72" s="11">
        <v>26.683763764041665</v>
      </c>
      <c r="CU72" s="11">
        <v>33.414338461208018</v>
      </c>
      <c r="CV72" s="11">
        <v>34.683683936058628</v>
      </c>
      <c r="CW72" s="11">
        <v>1.0083207603852162</v>
      </c>
      <c r="CX72" s="11">
        <v>3.0468741377568369</v>
      </c>
      <c r="CY72" s="11">
        <v>7.8657497527916007</v>
      </c>
      <c r="CZ72" s="11">
        <v>21.268665151745441</v>
      </c>
      <c r="DA72" s="11">
        <v>119.06773226169676</v>
      </c>
      <c r="DB72" s="11"/>
      <c r="DC72" s="11"/>
      <c r="DD72" s="11"/>
      <c r="DE72" s="11"/>
      <c r="DF72" s="11"/>
      <c r="DG72" s="11"/>
      <c r="DH72" s="11"/>
      <c r="DI72" s="11">
        <v>50.538421609334193</v>
      </c>
      <c r="DJ72" s="11">
        <v>446.87962074099818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28</v>
      </c>
      <c r="B73" s="11">
        <v>0.11255305003590162</v>
      </c>
      <c r="C73" s="11">
        <v>1.5601971084471127E-2</v>
      </c>
      <c r="D73" s="11">
        <v>7.7418204223511797E-2</v>
      </c>
      <c r="E73" s="11">
        <v>0.64656247907137943</v>
      </c>
      <c r="F73" s="11">
        <v>1.1074976949689824E-2</v>
      </c>
      <c r="G73" s="11">
        <v>4.93847476734621E-3</v>
      </c>
      <c r="H73" s="11"/>
      <c r="I73" s="11"/>
      <c r="J73" s="11">
        <v>1.9829581098018995E-2</v>
      </c>
      <c r="K73" s="11">
        <v>2.79300973068017E-2</v>
      </c>
      <c r="L73" s="11">
        <v>0.22983006018039603</v>
      </c>
      <c r="M73" s="11">
        <v>7.1640690881279293E-2</v>
      </c>
      <c r="N73" s="11">
        <v>3.4673203961967797E-3</v>
      </c>
      <c r="O73" s="11"/>
      <c r="P73" s="11"/>
      <c r="Q73" s="11">
        <v>4.0752910466954452E-4</v>
      </c>
      <c r="R73" s="11">
        <v>3.854197815674849E-3</v>
      </c>
      <c r="S73" s="11">
        <v>9.0228750661680679E-2</v>
      </c>
      <c r="T73" s="11">
        <v>0.14105154274344739</v>
      </c>
      <c r="U73" s="11">
        <v>0.18161026725610299</v>
      </c>
      <c r="V73" s="11">
        <v>1.4732124463278584</v>
      </c>
      <c r="W73" s="11">
        <v>0.44477175588924861</v>
      </c>
      <c r="X73" s="11">
        <v>20.974824866208273</v>
      </c>
      <c r="Y73" s="11">
        <v>0.30217915855977512</v>
      </c>
      <c r="Z73" s="11">
        <v>0.52043054596200755</v>
      </c>
      <c r="AA73" s="11">
        <v>1.3176719744204086</v>
      </c>
      <c r="AB73" s="11">
        <v>0.83749053538462981</v>
      </c>
      <c r="AC73" s="11">
        <v>27.952706777548002</v>
      </c>
      <c r="AD73" s="11">
        <v>2.3363954188470428E-3</v>
      </c>
      <c r="AE73" s="11"/>
      <c r="AF73" s="11">
        <v>60.243641425499909</v>
      </c>
      <c r="AG73" s="11">
        <v>1.5541556288329694</v>
      </c>
      <c r="AH73" s="11">
        <v>1.1896956986724203</v>
      </c>
      <c r="AI73" s="11">
        <v>0.12460771442015575</v>
      </c>
      <c r="AJ73" s="11">
        <v>1.7461587622794468</v>
      </c>
      <c r="AK73" s="11">
        <v>2.5181951081277791</v>
      </c>
      <c r="AL73" s="11">
        <v>3.0516350663446119E-2</v>
      </c>
      <c r="AM73" s="11">
        <v>8.3190757761619114</v>
      </c>
      <c r="AN73" s="11">
        <v>11.902098357611301</v>
      </c>
      <c r="AO73" s="11">
        <v>22.041943194218511</v>
      </c>
      <c r="AP73" s="11">
        <v>1.2817833862130934</v>
      </c>
      <c r="AQ73" s="11">
        <v>1.5156156152348592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>
        <v>0.5537795404089878</v>
      </c>
      <c r="CS73" s="11">
        <v>0.88895889155560914</v>
      </c>
      <c r="CT73" s="11">
        <v>1.1602265795252593</v>
      </c>
      <c r="CU73" s="11">
        <v>1.1352895644786223</v>
      </c>
      <c r="CV73" s="11">
        <v>1.1424857277560634</v>
      </c>
      <c r="CW73" s="11">
        <v>7.5494112984553205E-2</v>
      </c>
      <c r="CX73" s="11">
        <v>0.17254008939536011</v>
      </c>
      <c r="CY73" s="11">
        <v>0.4552189542076005</v>
      </c>
      <c r="CZ73" s="11">
        <v>0.8881607239044359</v>
      </c>
      <c r="DA73" s="11">
        <v>4.2944399902800248</v>
      </c>
      <c r="DB73" s="11"/>
      <c r="DC73" s="11"/>
      <c r="DD73" s="11"/>
      <c r="DE73" s="11"/>
      <c r="DF73" s="11"/>
      <c r="DG73" s="11"/>
      <c r="DH73" s="11"/>
      <c r="DI73" s="11">
        <v>20.20803637571467</v>
      </c>
      <c r="DJ73" s="11">
        <v>198.9057412174426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803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2.2400835091397591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>
        <v>2.2400835091397591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365</v>
      </c>
      <c r="B75" s="11">
        <v>22.569949973961311</v>
      </c>
      <c r="C75" s="11">
        <v>0.44329870182960279</v>
      </c>
      <c r="D75" s="11">
        <v>9.9240599503977052</v>
      </c>
      <c r="E75" s="11">
        <v>32.792489530245263</v>
      </c>
      <c r="F75" s="11">
        <v>1.8968853366178187</v>
      </c>
      <c r="G75" s="11">
        <v>17.970346690813063</v>
      </c>
      <c r="H75" s="11">
        <v>77.38847534053248</v>
      </c>
      <c r="I75" s="11">
        <v>3.6580208737611408</v>
      </c>
      <c r="J75" s="11">
        <v>0.96091404864274332</v>
      </c>
      <c r="K75" s="11">
        <v>1.0231394504713762</v>
      </c>
      <c r="L75" s="11">
        <v>14.993624374097184</v>
      </c>
      <c r="M75" s="11">
        <v>50.078091865474931</v>
      </c>
      <c r="N75" s="11">
        <v>5.806296603644741</v>
      </c>
      <c r="O75" s="11">
        <v>54.193287492983039</v>
      </c>
      <c r="P75" s="11">
        <v>2.9410923760347449</v>
      </c>
      <c r="Q75" s="11">
        <v>5.5471269335617368</v>
      </c>
      <c r="R75" s="11">
        <v>1.2421605324183316</v>
      </c>
      <c r="S75" s="11">
        <v>12.352822376274323</v>
      </c>
      <c r="T75" s="11">
        <v>18.853298357482807</v>
      </c>
      <c r="U75" s="11">
        <v>40.723392803720756</v>
      </c>
      <c r="V75" s="11">
        <v>43.00819142808129</v>
      </c>
      <c r="W75" s="11">
        <v>36.232494060356238</v>
      </c>
      <c r="X75" s="11">
        <v>14.87061392612693</v>
      </c>
      <c r="Y75" s="11">
        <v>15.590890184844948</v>
      </c>
      <c r="Z75" s="11">
        <v>9.95177968123431</v>
      </c>
      <c r="AA75" s="11">
        <v>4.1686078499116404</v>
      </c>
      <c r="AB75" s="11">
        <v>0.79249093937762505</v>
      </c>
      <c r="AC75" s="11">
        <v>69.985591620801941</v>
      </c>
      <c r="AD75" s="11"/>
      <c r="AE75" s="11">
        <v>6.8341733116721626</v>
      </c>
      <c r="AF75" s="11">
        <v>48.374590641938426</v>
      </c>
      <c r="AG75" s="11">
        <v>21.610668206094825</v>
      </c>
      <c r="AH75" s="11">
        <v>54.470025903681091</v>
      </c>
      <c r="AI75" s="11">
        <v>6.9367622815189272</v>
      </c>
      <c r="AJ75" s="11">
        <v>4.894320475857862</v>
      </c>
      <c r="AK75" s="11">
        <v>4.6218666800313235</v>
      </c>
      <c r="AL75" s="11">
        <v>0.63966793837928582</v>
      </c>
      <c r="AM75" s="11">
        <v>11.830557440355413</v>
      </c>
      <c r="AN75" s="11">
        <v>33.223631523522869</v>
      </c>
      <c r="AO75" s="11">
        <v>15.432987677695779</v>
      </c>
      <c r="AP75" s="11">
        <v>19.302405691289426</v>
      </c>
      <c r="AQ75" s="11">
        <v>13.324554761240844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3.453923058342049</v>
      </c>
      <c r="CS75" s="11">
        <v>6.1181621085903091</v>
      </c>
      <c r="CT75" s="11">
        <v>8.1178640489001435</v>
      </c>
      <c r="CU75" s="11">
        <v>11.8787593473792</v>
      </c>
      <c r="CV75" s="11">
        <v>13.705141252742406</v>
      </c>
      <c r="CW75" s="11">
        <v>0.46865293536051222</v>
      </c>
      <c r="CX75" s="11">
        <v>1.2871212500604248</v>
      </c>
      <c r="CY75" s="11">
        <v>2.9491963749091754</v>
      </c>
      <c r="CZ75" s="11">
        <v>7.5447688849894741</v>
      </c>
      <c r="DA75" s="11">
        <v>40.365349281808825</v>
      </c>
      <c r="DB75" s="11"/>
      <c r="DC75" s="11"/>
      <c r="DD75" s="11"/>
      <c r="DE75" s="11"/>
      <c r="DF75" s="11"/>
      <c r="DG75" s="11"/>
      <c r="DH75" s="11">
        <v>27.835154419932543</v>
      </c>
      <c r="DI75" s="11">
        <v>99.853469205712912</v>
      </c>
      <c r="DJ75" s="11">
        <v>1035.0332080057062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v>1.837834153030145</v>
      </c>
      <c r="U76" s="11"/>
      <c r="V76" s="11">
        <v>2.2490379179178919</v>
      </c>
      <c r="W76" s="11">
        <v>0.59116257900116465</v>
      </c>
      <c r="X76" s="11">
        <v>0.55058184832210855</v>
      </c>
      <c r="Y76" s="11">
        <v>28.684784300339675</v>
      </c>
      <c r="Z76" s="11">
        <v>28.710592010997466</v>
      </c>
      <c r="AA76" s="11">
        <v>10.497676699632834</v>
      </c>
      <c r="AB76" s="11">
        <v>1.4305266348832084</v>
      </c>
      <c r="AC76" s="11">
        <v>5.6336450857098948</v>
      </c>
      <c r="AD76" s="11">
        <v>2.2022077449771076</v>
      </c>
      <c r="AE76" s="11">
        <v>0.66230239461866391</v>
      </c>
      <c r="AF76" s="11">
        <v>56.324932365184843</v>
      </c>
      <c r="AG76" s="11">
        <v>3.2985599095870885E-2</v>
      </c>
      <c r="AH76" s="11">
        <v>2.6449874227637875</v>
      </c>
      <c r="AI76" s="11">
        <v>0.54631272885593729</v>
      </c>
      <c r="AJ76" s="11"/>
      <c r="AK76" s="11">
        <v>8.6710497973860559E-2</v>
      </c>
      <c r="AL76" s="11">
        <v>2.5857361578557263E-2</v>
      </c>
      <c r="AM76" s="11">
        <v>1.3700254291742071</v>
      </c>
      <c r="AN76" s="11">
        <v>2.3083383184202972</v>
      </c>
      <c r="AO76" s="11">
        <v>0.11320888669605561</v>
      </c>
      <c r="AP76" s="11">
        <v>0.21335915886319873</v>
      </c>
      <c r="AQ76" s="11">
        <v>0.18478691989732016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0.18647760356387874</v>
      </c>
      <c r="CS76" s="11">
        <v>0.13829947708068638</v>
      </c>
      <c r="CT76" s="11">
        <v>0.53252897677939071</v>
      </c>
      <c r="CU76" s="11">
        <v>0.84768879646431117</v>
      </c>
      <c r="CV76" s="11">
        <v>1.1801422262526875</v>
      </c>
      <c r="CW76" s="11">
        <v>6.8952406725531377E-3</v>
      </c>
      <c r="CX76" s="11">
        <v>4.2199912468074981E-2</v>
      </c>
      <c r="CY76" s="11">
        <v>0.13784220993047483</v>
      </c>
      <c r="CZ76" s="11">
        <v>0.24986845602871305</v>
      </c>
      <c r="DA76" s="11">
        <v>1.6582348632392303</v>
      </c>
      <c r="DB76" s="11"/>
      <c r="DC76" s="11"/>
      <c r="DD76" s="11"/>
      <c r="DE76" s="11"/>
      <c r="DF76" s="11"/>
      <c r="DG76" s="11"/>
      <c r="DH76" s="11"/>
      <c r="DI76" s="11">
        <v>5.8552162281835587</v>
      </c>
      <c r="DJ76" s="11">
        <v>157.73725004859764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367</v>
      </c>
      <c r="B77" s="11">
        <v>0.87342603561229526</v>
      </c>
      <c r="C77" s="11">
        <v>0.15920413234100908</v>
      </c>
      <c r="D77" s="11">
        <v>0.86856147175324805</v>
      </c>
      <c r="E77" s="11">
        <v>0.73348729186935258</v>
      </c>
      <c r="F77" s="11">
        <v>3.6146565964367897E-2</v>
      </c>
      <c r="G77" s="11">
        <v>5.3763586271749321E-3</v>
      </c>
      <c r="H77" s="11">
        <v>2.9690988562682517</v>
      </c>
      <c r="I77" s="11">
        <v>6.5264870604227962E-2</v>
      </c>
      <c r="J77" s="11">
        <v>5.0523462735817849E-2</v>
      </c>
      <c r="K77" s="11">
        <v>0.22321746964927972</v>
      </c>
      <c r="L77" s="11">
        <v>2.4250575299918888</v>
      </c>
      <c r="M77" s="11">
        <v>1.089749818906824</v>
      </c>
      <c r="N77" s="11">
        <v>0.6657469867592134</v>
      </c>
      <c r="O77" s="11"/>
      <c r="P77" s="11">
        <v>0.32644841175205436</v>
      </c>
      <c r="Q77" s="11"/>
      <c r="R77" s="11">
        <v>0.6045787651203115</v>
      </c>
      <c r="S77" s="11">
        <v>0.49859529582718737</v>
      </c>
      <c r="T77" s="11">
        <v>0.34949698991701311</v>
      </c>
      <c r="U77" s="11">
        <v>1.4638866546360947</v>
      </c>
      <c r="V77" s="11">
        <v>1.0141913663884552</v>
      </c>
      <c r="W77" s="11"/>
      <c r="X77" s="11">
        <v>0.62380609718299018</v>
      </c>
      <c r="Y77" s="11">
        <v>4.0196577014496908E-2</v>
      </c>
      <c r="Z77" s="11">
        <v>0.40744124850910945</v>
      </c>
      <c r="AA77" s="11">
        <v>48.118174986087823</v>
      </c>
      <c r="AB77" s="11">
        <v>28.755547688216204</v>
      </c>
      <c r="AC77" s="11">
        <v>4.5119394962383224</v>
      </c>
      <c r="AD77" s="11">
        <v>14.702754331117976</v>
      </c>
      <c r="AE77" s="11">
        <v>0.12880731542748311</v>
      </c>
      <c r="AF77" s="11">
        <v>119.69632522861721</v>
      </c>
      <c r="AG77" s="11">
        <v>0.28288475283371045</v>
      </c>
      <c r="AH77" s="11">
        <v>1.9725990024773725</v>
      </c>
      <c r="AI77" s="11">
        <v>0.37687426178580341</v>
      </c>
      <c r="AJ77" s="11">
        <v>1.5181610570020734</v>
      </c>
      <c r="AK77" s="11">
        <v>1.5153486837699555</v>
      </c>
      <c r="AL77" s="11"/>
      <c r="AM77" s="11">
        <v>35.699746001658006</v>
      </c>
      <c r="AN77" s="11">
        <v>3.9123825848580633</v>
      </c>
      <c r="AO77" s="11">
        <v>0.54738434964934779</v>
      </c>
      <c r="AP77" s="11">
        <v>1.7585546954573556E-2</v>
      </c>
      <c r="AQ77" s="11">
        <v>1.2876626329938077E-2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2.4467164690518663E-2</v>
      </c>
      <c r="CS77" s="11">
        <v>6.2767168219452687E-3</v>
      </c>
      <c r="CT77" s="11">
        <v>5.3068918977715915E-2</v>
      </c>
      <c r="CU77" s="11">
        <v>4.0959309489808596E-2</v>
      </c>
      <c r="CV77" s="11">
        <v>0.87932018187255234</v>
      </c>
      <c r="CW77" s="11">
        <v>6.8959515001842161E-4</v>
      </c>
      <c r="CX77" s="11">
        <v>1.3192820938629125E-2</v>
      </c>
      <c r="CY77" s="11">
        <v>4.8988196320124697E-3</v>
      </c>
      <c r="CZ77" s="11">
        <v>5.4337426979262193E-2</v>
      </c>
      <c r="DA77" s="11">
        <v>0.23974599945996894</v>
      </c>
      <c r="DB77" s="11"/>
      <c r="DC77" s="11"/>
      <c r="DD77" s="11"/>
      <c r="DE77" s="11"/>
      <c r="DF77" s="11"/>
      <c r="DG77" s="11">
        <v>85.243756187099081</v>
      </c>
      <c r="DH77" s="11"/>
      <c r="DI77" s="11">
        <v>27.589888410473005</v>
      </c>
      <c r="DJ77" s="11">
        <v>391.4134957220391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368</v>
      </c>
      <c r="B78" s="11">
        <v>9.0907556612215917E-2</v>
      </c>
      <c r="C78" s="11">
        <v>2.5802043790247947E-2</v>
      </c>
      <c r="D78" s="11">
        <v>0.11444265911849773</v>
      </c>
      <c r="E78" s="11">
        <v>0.21056717956649393</v>
      </c>
      <c r="F78" s="11">
        <v>4.0215928930749476E-2</v>
      </c>
      <c r="G78" s="11">
        <v>0.14923641373297467</v>
      </c>
      <c r="H78" s="11">
        <v>0.42936388471964509</v>
      </c>
      <c r="I78" s="11">
        <v>0.45912029145473315</v>
      </c>
      <c r="J78" s="11">
        <v>1.2739549024200646E-2</v>
      </c>
      <c r="K78" s="11">
        <v>0.17541281021536964</v>
      </c>
      <c r="L78" s="11">
        <v>6.8479160560052557E-2</v>
      </c>
      <c r="M78" s="11">
        <v>3.3265851409152239E-3</v>
      </c>
      <c r="N78" s="11">
        <v>2.3306101497328173</v>
      </c>
      <c r="O78" s="11"/>
      <c r="P78" s="11"/>
      <c r="Q78" s="11">
        <v>1.6931394627775238</v>
      </c>
      <c r="R78" s="11">
        <v>0.19248250275097323</v>
      </c>
      <c r="S78" s="11">
        <v>1.2993062719413022</v>
      </c>
      <c r="T78" s="11">
        <v>0.27361483746519299</v>
      </c>
      <c r="U78" s="11">
        <v>1.4164133828846648</v>
      </c>
      <c r="V78" s="11">
        <v>1.9357535026937162E-3</v>
      </c>
      <c r="W78" s="11">
        <v>3.2971833069656755</v>
      </c>
      <c r="X78" s="11">
        <v>0.60846418590486784</v>
      </c>
      <c r="Y78" s="11">
        <v>6.2913079351067019E-2</v>
      </c>
      <c r="Z78" s="11">
        <v>2.510243350715135E-3</v>
      </c>
      <c r="AA78" s="11">
        <v>1.9293986346656262</v>
      </c>
      <c r="AB78" s="11">
        <v>27.971731039248368</v>
      </c>
      <c r="AC78" s="11">
        <v>0.78578579390895842</v>
      </c>
      <c r="AD78" s="11">
        <v>8.3344553120681724</v>
      </c>
      <c r="AE78" s="11">
        <v>2.3893232498081369</v>
      </c>
      <c r="AF78" s="11">
        <v>11.979483899523389</v>
      </c>
      <c r="AG78" s="11">
        <v>26.673766303944074</v>
      </c>
      <c r="AH78" s="11">
        <v>73.079328977934068</v>
      </c>
      <c r="AI78" s="11">
        <v>1.7964815842584818</v>
      </c>
      <c r="AJ78" s="11">
        <v>16.346872579176306</v>
      </c>
      <c r="AK78" s="11">
        <v>1.759443870781549</v>
      </c>
      <c r="AL78" s="11">
        <v>0.59653152993602332</v>
      </c>
      <c r="AM78" s="11">
        <v>2.7025705087377641</v>
      </c>
      <c r="AN78" s="11">
        <v>5.4069083908003401</v>
      </c>
      <c r="AO78" s="11">
        <v>1.506437119816485</v>
      </c>
      <c r="AP78" s="11">
        <v>9.9526680791527866</v>
      </c>
      <c r="AQ78" s="11">
        <v>0.6171503862356299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3.1982600922027808</v>
      </c>
      <c r="CS78" s="11">
        <v>4.6500749313864684</v>
      </c>
      <c r="CT78" s="11">
        <v>10.28215412333989</v>
      </c>
      <c r="CU78" s="11">
        <v>15.070518805423617</v>
      </c>
      <c r="CV78" s="11">
        <v>22.428947761102759</v>
      </c>
      <c r="CW78" s="11">
        <v>0.24545289082735108</v>
      </c>
      <c r="CX78" s="11">
        <v>0.76734513809313964</v>
      </c>
      <c r="CY78" s="11">
        <v>2.2883688545433909</v>
      </c>
      <c r="CZ78" s="11">
        <v>9.888954745054507</v>
      </c>
      <c r="DA78" s="11">
        <v>107.28880805758149</v>
      </c>
      <c r="DB78" s="11"/>
      <c r="DC78" s="11"/>
      <c r="DD78" s="11"/>
      <c r="DE78" s="11"/>
      <c r="DF78" s="11"/>
      <c r="DG78" s="11">
        <v>430.26860151976308</v>
      </c>
      <c r="DH78" s="11">
        <v>0.6976542142643618</v>
      </c>
      <c r="DI78" s="11">
        <v>28.391513089226979</v>
      </c>
      <c r="DJ78" s="11">
        <v>842.25317872229959</v>
      </c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369</v>
      </c>
      <c r="B79" s="11">
        <v>8.6052755854876928E-2</v>
      </c>
      <c r="C79" s="11">
        <v>2.4501717355758804E-2</v>
      </c>
      <c r="D79" s="11">
        <v>7.6621807549373144E-2</v>
      </c>
      <c r="E79" s="11">
        <v>0.36138247575071664</v>
      </c>
      <c r="F79" s="11">
        <v>3.730114843591608E-2</v>
      </c>
      <c r="G79" s="11">
        <v>0.14916862965364555</v>
      </c>
      <c r="H79" s="11">
        <v>0.42933040364428382</v>
      </c>
      <c r="I79" s="11">
        <v>1.9971326009549057E-2</v>
      </c>
      <c r="J79" s="11">
        <v>2.8312347376672131E-3</v>
      </c>
      <c r="K79" s="11"/>
      <c r="L79" s="11">
        <v>6.8477564456283696E-2</v>
      </c>
      <c r="M79" s="11">
        <v>0.34358913905774202</v>
      </c>
      <c r="N79" s="11">
        <v>2.391655333469497E-2</v>
      </c>
      <c r="O79" s="11">
        <v>2.2094056243348046</v>
      </c>
      <c r="P79" s="11">
        <v>0.46403287827969986</v>
      </c>
      <c r="Q79" s="11">
        <v>0.46788199269860686</v>
      </c>
      <c r="R79" s="11">
        <v>5.7194010012557202E-2</v>
      </c>
      <c r="S79" s="11"/>
      <c r="T79" s="11">
        <v>1.4359992687197198</v>
      </c>
      <c r="U79" s="11">
        <v>68.740549564488887</v>
      </c>
      <c r="V79" s="11">
        <v>16.424180990684686</v>
      </c>
      <c r="W79" s="11">
        <v>6.6700240444413259</v>
      </c>
      <c r="X79" s="11">
        <v>7.765942048926572</v>
      </c>
      <c r="Y79" s="11">
        <v>8.9473600131661648</v>
      </c>
      <c r="Z79" s="11">
        <v>4.1506235568514969</v>
      </c>
      <c r="AA79" s="11">
        <v>42.67421118924598</v>
      </c>
      <c r="AB79" s="11">
        <v>1.1284587747807944</v>
      </c>
      <c r="AC79" s="11">
        <v>26.576140023223569</v>
      </c>
      <c r="AD79" s="11">
        <v>2.2262779456939812E-2</v>
      </c>
      <c r="AE79" s="11">
        <v>1.6308539764928185</v>
      </c>
      <c r="AF79" s="11">
        <v>2.6240272570230352</v>
      </c>
      <c r="AG79" s="11">
        <v>0.10964211514568584</v>
      </c>
      <c r="AH79" s="11">
        <v>0.65443502825559885</v>
      </c>
      <c r="AI79" s="11">
        <v>0.24193824136490033</v>
      </c>
      <c r="AJ79" s="11">
        <v>2.9827932563252775</v>
      </c>
      <c r="AK79" s="11">
        <v>2.6037138983242771</v>
      </c>
      <c r="AL79" s="11">
        <v>4.5492203226678497E-2</v>
      </c>
      <c r="AM79" s="11">
        <v>11.923874521570296</v>
      </c>
      <c r="AN79" s="11">
        <v>15.946364836820369</v>
      </c>
      <c r="AO79" s="11">
        <v>4.436826850975641</v>
      </c>
      <c r="AP79" s="11">
        <v>2.9820595114742523</v>
      </c>
      <c r="AQ79" s="11">
        <v>2.2592784901062029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5.5188068315750982</v>
      </c>
      <c r="CS79" s="11">
        <v>9.7150196816191574</v>
      </c>
      <c r="CT79" s="11">
        <v>14.189757956040914</v>
      </c>
      <c r="CU79" s="11">
        <v>20.178208194233413</v>
      </c>
      <c r="CV79" s="11">
        <v>18.640518482166399</v>
      </c>
      <c r="CW79" s="11">
        <v>0.62119802676402802</v>
      </c>
      <c r="CX79" s="11">
        <v>1.687683245746892</v>
      </c>
      <c r="CY79" s="11">
        <v>3.3424055529372838</v>
      </c>
      <c r="CZ79" s="11">
        <v>10.051195371300624</v>
      </c>
      <c r="DA79" s="11">
        <v>70.263090917776324</v>
      </c>
      <c r="DB79" s="11"/>
      <c r="DC79" s="11"/>
      <c r="DD79" s="11"/>
      <c r="DE79" s="11"/>
      <c r="DF79" s="11"/>
      <c r="DG79" s="11"/>
      <c r="DH79" s="11"/>
      <c r="DI79" s="11">
        <v>6.8069092912581919</v>
      </c>
      <c r="DJ79" s="11">
        <v>398.81350525367571</v>
      </c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370</v>
      </c>
      <c r="B80" s="11">
        <v>0.17350669366033589</v>
      </c>
      <c r="C80" s="11">
        <v>4.08952360524584E-2</v>
      </c>
      <c r="D80" s="11">
        <v>0.33302973643195044</v>
      </c>
      <c r="E80" s="11">
        <v>0.60600160380585466</v>
      </c>
      <c r="F80" s="11">
        <v>0.21590645910913919</v>
      </c>
      <c r="G80" s="11">
        <v>0.96624183265177133</v>
      </c>
      <c r="H80" s="11">
        <v>1.1086442654609134</v>
      </c>
      <c r="I80" s="11">
        <v>0.26472097144379003</v>
      </c>
      <c r="J80" s="11">
        <v>1.3839398893041793E-2</v>
      </c>
      <c r="K80" s="11">
        <v>0.30449990831581475</v>
      </c>
      <c r="L80" s="11">
        <v>0.23596452629581252</v>
      </c>
      <c r="M80" s="11">
        <v>4.0591063876784164</v>
      </c>
      <c r="N80" s="11">
        <v>2.3287923671208497E-2</v>
      </c>
      <c r="O80" s="11">
        <v>6.1304880274358373</v>
      </c>
      <c r="P80" s="11">
        <v>1.7721727611764224</v>
      </c>
      <c r="Q80" s="11">
        <v>0.3248604890681937</v>
      </c>
      <c r="R80" s="11">
        <v>0.37366884166129705</v>
      </c>
      <c r="S80" s="11">
        <v>4.5923297178480187</v>
      </c>
      <c r="T80" s="11">
        <v>11.312705903042804</v>
      </c>
      <c r="U80" s="11">
        <v>0.10134856267368789</v>
      </c>
      <c r="V80" s="11">
        <v>1.5408946444253726</v>
      </c>
      <c r="W80" s="11">
        <v>4.8696067532613245</v>
      </c>
      <c r="X80" s="11">
        <v>2.7687906288517672</v>
      </c>
      <c r="Y80" s="11">
        <v>1.660464249558341</v>
      </c>
      <c r="Z80" s="11">
        <v>5.2851710110984262</v>
      </c>
      <c r="AA80" s="11">
        <v>3.0723462698758075</v>
      </c>
      <c r="AB80" s="11">
        <v>2.4054768232680237</v>
      </c>
      <c r="AC80" s="11">
        <v>9.1757628124669406</v>
      </c>
      <c r="AD80" s="11">
        <v>3.462042466880249</v>
      </c>
      <c r="AE80" s="11">
        <v>0.83017983443313492</v>
      </c>
      <c r="AF80" s="11">
        <v>33.354314710984532</v>
      </c>
      <c r="AG80" s="11">
        <v>19.017028460030328</v>
      </c>
      <c r="AH80" s="11">
        <v>40.355825241943279</v>
      </c>
      <c r="AI80" s="11">
        <v>11.331309880344914</v>
      </c>
      <c r="AJ80" s="11">
        <v>1.1237584628069721</v>
      </c>
      <c r="AK80" s="11">
        <v>1.148143011538477</v>
      </c>
      <c r="AL80" s="11">
        <v>3.094289295742048</v>
      </c>
      <c r="AM80" s="11">
        <v>3.9247474895917884</v>
      </c>
      <c r="AN80" s="11">
        <v>12.921573272104899</v>
      </c>
      <c r="AO80" s="11">
        <v>10.628682722715062</v>
      </c>
      <c r="AP80" s="11">
        <v>0.28807632972649955</v>
      </c>
      <c r="AQ80" s="11">
        <v>1.3995828124663987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0.19427635473117863</v>
      </c>
      <c r="CS80" s="11">
        <v>0.75475752693552989</v>
      </c>
      <c r="CT80" s="11">
        <v>1.5999852477728118</v>
      </c>
      <c r="CU80" s="11">
        <v>2.9972502247734409</v>
      </c>
      <c r="CV80" s="11">
        <v>4.0305262870702778</v>
      </c>
      <c r="CW80" s="11">
        <v>0.1854795704770191</v>
      </c>
      <c r="CX80" s="11">
        <v>0.58010037528346392</v>
      </c>
      <c r="CY80" s="11">
        <v>1.8306074102813918</v>
      </c>
      <c r="CZ80" s="11">
        <v>4.9725034798469059</v>
      </c>
      <c r="DA80" s="11">
        <v>29.235804990188406</v>
      </c>
      <c r="DB80" s="11"/>
      <c r="DC80" s="11"/>
      <c r="DD80" s="11"/>
      <c r="DE80" s="11"/>
      <c r="DF80" s="11"/>
      <c r="DG80" s="11"/>
      <c r="DH80" s="11"/>
      <c r="DI80" s="11">
        <v>9.9999999999999995E-7</v>
      </c>
      <c r="DJ80" s="11">
        <v>252.99257889785176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33</v>
      </c>
      <c r="B81" s="11">
        <v>1.6503138066420203E-2</v>
      </c>
      <c r="C81" s="11">
        <v>2.1416304042718164E-3</v>
      </c>
      <c r="D81" s="11">
        <v>0.18010400281073957</v>
      </c>
      <c r="E81" s="11">
        <v>0.118894261378842</v>
      </c>
      <c r="F81" s="11">
        <v>6.4125793760886453E-3</v>
      </c>
      <c r="G81" s="11">
        <v>2.8516800757224348E-2</v>
      </c>
      <c r="H81" s="11">
        <v>0.35815505664418013</v>
      </c>
      <c r="I81" s="11">
        <v>2.0602795328342208E-2</v>
      </c>
      <c r="J81" s="11">
        <v>6.607511896533612E-3</v>
      </c>
      <c r="K81" s="11">
        <v>1.3575032589926702E-2</v>
      </c>
      <c r="L81" s="11">
        <v>0.16330108033203047</v>
      </c>
      <c r="M81" s="11">
        <v>2.7503801582797647</v>
      </c>
      <c r="N81" s="11">
        <v>5.4494753377772468E-3</v>
      </c>
      <c r="O81" s="11">
        <v>6.549978783873259</v>
      </c>
      <c r="P81" s="11">
        <v>4.3699291269648652</v>
      </c>
      <c r="Q81" s="11">
        <v>2.6253504312899714</v>
      </c>
      <c r="R81" s="11">
        <v>3.3662220146437258E-2</v>
      </c>
      <c r="S81" s="11"/>
      <c r="T81" s="11">
        <v>3.2016255029461101E-2</v>
      </c>
      <c r="U81" s="11">
        <v>5.7787916320806847</v>
      </c>
      <c r="V81" s="11">
        <v>6.0935320259212258</v>
      </c>
      <c r="W81" s="11">
        <v>0.65684275073977538</v>
      </c>
      <c r="X81" s="11">
        <v>0.23899836277255693</v>
      </c>
      <c r="Y81" s="11">
        <v>0.10870205092223718</v>
      </c>
      <c r="Z81" s="11">
        <v>7.8762831879989295E-2</v>
      </c>
      <c r="AA81" s="11">
        <v>8.5062259764405151E-2</v>
      </c>
      <c r="AB81" s="11">
        <v>0.52237763217296673</v>
      </c>
      <c r="AC81" s="11">
        <v>1.4267049091235584</v>
      </c>
      <c r="AD81" s="11">
        <v>2.0144435344720203E-5</v>
      </c>
      <c r="AE81" s="11">
        <v>2.718575954937954</v>
      </c>
      <c r="AF81" s="11">
        <v>0.76182986327660596</v>
      </c>
      <c r="AG81" s="11">
        <v>0.3860620963659524</v>
      </c>
      <c r="AH81" s="11">
        <v>0.19226968589455237</v>
      </c>
      <c r="AI81" s="11">
        <v>8.8182737304790191</v>
      </c>
      <c r="AJ81" s="11">
        <v>1.5549279763949576E-2</v>
      </c>
      <c r="AK81" s="11">
        <v>2.6369854897097443E-2</v>
      </c>
      <c r="AL81" s="11">
        <v>0.30051970867410505</v>
      </c>
      <c r="AM81" s="11">
        <v>6.1093565524969314E-2</v>
      </c>
      <c r="AN81" s="11">
        <v>1.0575926039393033</v>
      </c>
      <c r="AO81" s="11">
        <v>0.48756425398957531</v>
      </c>
      <c r="AP81" s="11">
        <v>1.7018140519499958</v>
      </c>
      <c r="AQ81" s="11">
        <v>0.39423797601495947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0.69599187950161401</v>
      </c>
      <c r="CS81" s="11">
        <v>0.93935159418791081</v>
      </c>
      <c r="CT81" s="11">
        <v>1.1141211076349604</v>
      </c>
      <c r="CU81" s="11">
        <v>1.5475161814200857</v>
      </c>
      <c r="CV81" s="11">
        <v>1.440477148214486</v>
      </c>
      <c r="CW81" s="11">
        <v>0.12867542752595598</v>
      </c>
      <c r="CX81" s="11">
        <v>0.42885953423040551</v>
      </c>
      <c r="CY81" s="11">
        <v>0.81772643033127779</v>
      </c>
      <c r="CZ81" s="11">
        <v>1.9455906517100923</v>
      </c>
      <c r="DA81" s="11">
        <v>7.4908519196455092</v>
      </c>
      <c r="DB81" s="11"/>
      <c r="DC81" s="11"/>
      <c r="DD81" s="11"/>
      <c r="DE81" s="11"/>
      <c r="DF81" s="11"/>
      <c r="DG81" s="11"/>
      <c r="DH81" s="11"/>
      <c r="DI81" s="11"/>
      <c r="DJ81" s="11">
        <v>65.742289440429204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371</v>
      </c>
      <c r="B82" s="11">
        <v>9.7033224727362394E-2</v>
      </c>
      <c r="C82" s="11">
        <v>5.7361852661598645E-3</v>
      </c>
      <c r="D82" s="11">
        <v>3.969547334504523E-2</v>
      </c>
      <c r="E82" s="11"/>
      <c r="F82" s="11">
        <v>2.9143301829041681E-3</v>
      </c>
      <c r="G82" s="11"/>
      <c r="H82" s="11"/>
      <c r="I82" s="11">
        <v>6.3640155268601034E-2</v>
      </c>
      <c r="J82" s="11">
        <v>3.1777432115676234E-2</v>
      </c>
      <c r="K82" s="11">
        <v>1.3969939993013296E-2</v>
      </c>
      <c r="L82" s="11">
        <v>7.3330609223472166E-3</v>
      </c>
      <c r="M82" s="11">
        <v>0.36116565410314416</v>
      </c>
      <c r="N82" s="11">
        <v>0.21785580202343383</v>
      </c>
      <c r="O82" s="11">
        <v>9.8660716259841479</v>
      </c>
      <c r="P82" s="11">
        <v>1.1990903154016379</v>
      </c>
      <c r="Q82" s="11">
        <v>0.43803324427233026</v>
      </c>
      <c r="R82" s="11">
        <v>2.052885528817695E-2</v>
      </c>
      <c r="S82" s="11">
        <v>1.2934462878294175</v>
      </c>
      <c r="T82" s="11">
        <v>0.89250827283342893</v>
      </c>
      <c r="U82" s="11"/>
      <c r="V82" s="11">
        <v>3.5238573354957489E-2</v>
      </c>
      <c r="W82" s="11">
        <v>8.8696698751585826E-2</v>
      </c>
      <c r="X82" s="11">
        <v>0.24413243427650763</v>
      </c>
      <c r="Y82" s="11">
        <v>0.15958282312263022</v>
      </c>
      <c r="Z82" s="11">
        <v>8.7267906190610436E-3</v>
      </c>
      <c r="AA82" s="11">
        <v>0.13031821832538265</v>
      </c>
      <c r="AB82" s="11">
        <v>0.42959522971832742</v>
      </c>
      <c r="AC82" s="11">
        <v>0.99700445984234298</v>
      </c>
      <c r="AD82" s="11">
        <v>2.8642613886008186</v>
      </c>
      <c r="AE82" s="11">
        <v>0.29569108246544157</v>
      </c>
      <c r="AF82" s="11">
        <v>105.23962794002843</v>
      </c>
      <c r="AG82" s="11">
        <v>22.942069647634973</v>
      </c>
      <c r="AH82" s="11">
        <v>26.569952313489317</v>
      </c>
      <c r="AI82" s="11">
        <v>11.080895625209601</v>
      </c>
      <c r="AJ82" s="11">
        <v>3.3169993173485204</v>
      </c>
      <c r="AK82" s="11">
        <v>2.4288039533164993</v>
      </c>
      <c r="AL82" s="11">
        <v>61.058870794918917</v>
      </c>
      <c r="AM82" s="11">
        <v>9.8885441372558063</v>
      </c>
      <c r="AN82" s="11">
        <v>20.99644317647261</v>
      </c>
      <c r="AO82" s="11">
        <v>2.091338485561252</v>
      </c>
      <c r="AP82" s="11">
        <v>3.7839611740329828</v>
      </c>
      <c r="AQ82" s="11">
        <v>1.8532111592340383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>
        <v>1050.6704109645361</v>
      </c>
      <c r="DH82" s="11"/>
      <c r="DI82" s="11"/>
      <c r="DJ82" s="11">
        <v>1341.7251762476731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35</v>
      </c>
      <c r="B83" s="11">
        <v>7.3206662588900819</v>
      </c>
      <c r="C83" s="11">
        <v>0.25941807050318444</v>
      </c>
      <c r="D83" s="11">
        <v>3.306499971766907</v>
      </c>
      <c r="E83" s="11">
        <v>7.3766554442186338</v>
      </c>
      <c r="F83" s="11">
        <v>0.33209957330057177</v>
      </c>
      <c r="G83" s="11">
        <v>0.95214863757487977</v>
      </c>
      <c r="H83" s="11">
        <v>24.827363349398915</v>
      </c>
      <c r="I83" s="11">
        <v>0.45127518624981983</v>
      </c>
      <c r="J83" s="11">
        <v>0.28996699290342204</v>
      </c>
      <c r="K83" s="11">
        <v>1.1201512348691753</v>
      </c>
      <c r="L83" s="11">
        <v>4.7045375634796427</v>
      </c>
      <c r="M83" s="11">
        <v>9.4887169936452676</v>
      </c>
      <c r="N83" s="11">
        <v>0.19049249730140197</v>
      </c>
      <c r="O83" s="11"/>
      <c r="P83" s="11">
        <v>3.5589202412896079</v>
      </c>
      <c r="Q83" s="11">
        <v>6.2006599331319683E-2</v>
      </c>
      <c r="R83" s="11">
        <v>0.6629355847047721</v>
      </c>
      <c r="S83" s="11">
        <v>3.1870411967891696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0.15711417780757192</v>
      </c>
      <c r="AJ83" s="11"/>
      <c r="AK83" s="11"/>
      <c r="AL83" s="11"/>
      <c r="AM83" s="11"/>
      <c r="AN83" s="11">
        <v>3.442599329154244E-3</v>
      </c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>
        <v>1244.3111195638608</v>
      </c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>
        <v>2.0964097126548475</v>
      </c>
      <c r="DJ83" s="11">
        <v>1314.6589814498691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372</v>
      </c>
      <c r="B84" s="11">
        <v>2.971987737478591</v>
      </c>
      <c r="C84" s="11">
        <v>0.3049513358767128</v>
      </c>
      <c r="D84" s="11">
        <v>2.2471776658501872</v>
      </c>
      <c r="E84" s="11">
        <v>4.6369814268740832</v>
      </c>
      <c r="F84" s="11">
        <v>0.74191654311209421</v>
      </c>
      <c r="G84" s="11">
        <v>2.4588065134473274</v>
      </c>
      <c r="H84" s="11">
        <v>12.704268141710383</v>
      </c>
      <c r="I84" s="11">
        <v>0.92480949243763377</v>
      </c>
      <c r="J84" s="11">
        <v>0.36741911899301377</v>
      </c>
      <c r="K84" s="11">
        <v>0.30991525840755096</v>
      </c>
      <c r="L84" s="11">
        <v>2.1515197878803929</v>
      </c>
      <c r="M84" s="11">
        <v>3.014804185621816</v>
      </c>
      <c r="N84" s="11">
        <v>0.70254866381350656</v>
      </c>
      <c r="O84" s="11">
        <v>15.24609695234696</v>
      </c>
      <c r="P84" s="11">
        <v>0.79422201362156286</v>
      </c>
      <c r="Q84" s="11">
        <v>0.23225133158264083</v>
      </c>
      <c r="R84" s="11">
        <v>1.4953882367757236</v>
      </c>
      <c r="S84" s="11">
        <v>9.9238435082031415</v>
      </c>
      <c r="T84" s="11">
        <v>7.9481595573938195</v>
      </c>
      <c r="U84" s="11">
        <v>0.17404011821025345</v>
      </c>
      <c r="V84" s="11">
        <v>9.7562401345665979</v>
      </c>
      <c r="W84" s="11">
        <v>3.9463667949238306</v>
      </c>
      <c r="X84" s="11">
        <v>4.0888503286933595</v>
      </c>
      <c r="Y84" s="11">
        <v>3.0043772105902109</v>
      </c>
      <c r="Z84" s="11">
        <v>4.3809779700593658</v>
      </c>
      <c r="AA84" s="11">
        <v>4.6558274930895482</v>
      </c>
      <c r="AB84" s="11">
        <v>2.2208417415480151</v>
      </c>
      <c r="AC84" s="11">
        <v>16.668840464840752</v>
      </c>
      <c r="AD84" s="11">
        <v>10.038330496927644</v>
      </c>
      <c r="AE84" s="11">
        <v>1.7855275618122208</v>
      </c>
      <c r="AF84" s="11">
        <v>100.53822010334778</v>
      </c>
      <c r="AG84" s="11">
        <v>360.12423314218904</v>
      </c>
      <c r="AH84" s="11">
        <v>232.05699391581368</v>
      </c>
      <c r="AI84" s="11">
        <v>7.6614446966021905</v>
      </c>
      <c r="AJ84" s="11">
        <v>9.2598354374417742</v>
      </c>
      <c r="AK84" s="11">
        <v>16.046464104915639</v>
      </c>
      <c r="AL84" s="11">
        <v>1.0547963156885807</v>
      </c>
      <c r="AM84" s="11">
        <v>44.883554891838678</v>
      </c>
      <c r="AN84" s="11">
        <v>49.330058884958603</v>
      </c>
      <c r="AO84" s="11">
        <v>17.495138496170121</v>
      </c>
      <c r="AP84" s="11">
        <v>11.410683212757057</v>
      </c>
      <c r="AQ84" s="11">
        <v>2.0984736551789132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>
        <v>103.98479913449938</v>
      </c>
      <c r="CK84" s="11"/>
      <c r="CL84" s="11"/>
      <c r="CM84" s="11"/>
      <c r="CN84" s="11"/>
      <c r="CO84" s="11"/>
      <c r="CP84" s="11"/>
      <c r="CQ84" s="11"/>
      <c r="CR84" s="11">
        <v>0.66600327583765373</v>
      </c>
      <c r="CS84" s="11">
        <v>1.7533915164912866</v>
      </c>
      <c r="CT84" s="11">
        <v>3.1429492074965175</v>
      </c>
      <c r="CU84" s="11">
        <v>10.658116503483265</v>
      </c>
      <c r="CV84" s="11">
        <v>5.2607992400742773</v>
      </c>
      <c r="CW84" s="11">
        <v>9.3096033612328197E-2</v>
      </c>
      <c r="CX84" s="11">
        <v>0.24315087352856579</v>
      </c>
      <c r="CY84" s="11">
        <v>0.80287958849661334</v>
      </c>
      <c r="CZ84" s="11">
        <v>2.8745561178936496</v>
      </c>
      <c r="DA84" s="11">
        <v>19.609492962021818</v>
      </c>
      <c r="DB84" s="11"/>
      <c r="DC84" s="11"/>
      <c r="DD84" s="11"/>
      <c r="DE84" s="11"/>
      <c r="DF84" s="11"/>
      <c r="DG84" s="11"/>
      <c r="DH84" s="11"/>
      <c r="DI84" s="11">
        <v>291.41459735863106</v>
      </c>
      <c r="DJ84" s="11">
        <v>1422.3610164556576</v>
      </c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0.40200284475432618</v>
      </c>
      <c r="O85" s="11"/>
      <c r="P85" s="11"/>
      <c r="Q85" s="11">
        <v>8.9148558399379185E-2</v>
      </c>
      <c r="R85" s="11"/>
      <c r="S85" s="11"/>
      <c r="T85" s="11">
        <v>0.12519343866157864</v>
      </c>
      <c r="U85" s="11"/>
      <c r="V85" s="11">
        <v>1.2944805880300954E-2</v>
      </c>
      <c r="W85" s="11">
        <v>7.5222089083391452E-2</v>
      </c>
      <c r="X85" s="11">
        <v>4.3745708667453836E-2</v>
      </c>
      <c r="Y85" s="11">
        <v>0.46215010800633355</v>
      </c>
      <c r="Z85" s="11">
        <v>1.0446494829523685E-2</v>
      </c>
      <c r="AA85" s="11">
        <v>0.15530763644788878</v>
      </c>
      <c r="AB85" s="11">
        <v>3.4370745744309608E-2</v>
      </c>
      <c r="AC85" s="11">
        <v>0.20156733236042251</v>
      </c>
      <c r="AD85" s="11">
        <v>1.1151182882210191E-2</v>
      </c>
      <c r="AE85" s="11"/>
      <c r="AF85" s="11">
        <v>1.732176114149534</v>
      </c>
      <c r="AG85" s="11">
        <v>21.574391365465964</v>
      </c>
      <c r="AH85" s="11">
        <v>30.872592314154073</v>
      </c>
      <c r="AI85" s="11">
        <v>0.36894730244404506</v>
      </c>
      <c r="AJ85" s="11">
        <v>1.4381682561987554</v>
      </c>
      <c r="AK85" s="11">
        <v>4.5814183671709703</v>
      </c>
      <c r="AL85" s="11"/>
      <c r="AM85" s="11">
        <v>5.2550851540544068</v>
      </c>
      <c r="AN85" s="11">
        <v>23.261583847195027</v>
      </c>
      <c r="AO85" s="11">
        <v>36.112258999034772</v>
      </c>
      <c r="AP85" s="11">
        <v>5.2913389383513989</v>
      </c>
      <c r="AQ85" s="11">
        <v>1.8610258964491884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>
        <v>2.5945005256407434</v>
      </c>
      <c r="CS85" s="11">
        <v>6.6647281849906914</v>
      </c>
      <c r="CT85" s="11">
        <v>11.143458458577554</v>
      </c>
      <c r="CU85" s="11">
        <v>15.83990951955073</v>
      </c>
      <c r="CV85" s="11">
        <v>22.613400978572329</v>
      </c>
      <c r="CW85" s="11">
        <v>0.5665127444284721</v>
      </c>
      <c r="CX85" s="11">
        <v>1.5507313906268283</v>
      </c>
      <c r="CY85" s="11">
        <v>6.0290654507308901</v>
      </c>
      <c r="CZ85" s="11">
        <v>21.416080058476989</v>
      </c>
      <c r="DA85" s="11">
        <v>133.57564371337926</v>
      </c>
      <c r="DB85" s="11"/>
      <c r="DC85" s="11"/>
      <c r="DD85" s="11"/>
      <c r="DE85" s="11"/>
      <c r="DF85" s="11"/>
      <c r="DG85" s="11"/>
      <c r="DH85" s="11"/>
      <c r="DI85" s="11">
        <v>74.525778256335187</v>
      </c>
      <c r="DJ85" s="11">
        <v>430.49204678169485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374</v>
      </c>
      <c r="B86" s="11">
        <v>1.9409186314709774E-2</v>
      </c>
      <c r="C86" s="11">
        <v>5.3538492663622453E-4</v>
      </c>
      <c r="D86" s="11">
        <v>1.9270862824049283E-2</v>
      </c>
      <c r="E86" s="11"/>
      <c r="F86" s="11">
        <v>2.9143508341306482E-3</v>
      </c>
      <c r="G86" s="11">
        <v>1.2510313555254854E-4</v>
      </c>
      <c r="H86" s="11">
        <v>8.9218680463802089E-2</v>
      </c>
      <c r="I86" s="11">
        <v>2.8603838687153403E-3</v>
      </c>
      <c r="J86" s="11">
        <v>8.2585125741473347E-3</v>
      </c>
      <c r="K86" s="11">
        <v>1.3571379645002397E-2</v>
      </c>
      <c r="L86" s="11">
        <v>3.6255460349544917E-2</v>
      </c>
      <c r="M86" s="11">
        <v>0.2648258347796445</v>
      </c>
      <c r="N86" s="11">
        <v>1.9812929701968807E-3</v>
      </c>
      <c r="O86" s="11"/>
      <c r="P86" s="11">
        <v>6.524807849548471E-2</v>
      </c>
      <c r="Q86" s="11">
        <v>8.4855337794698019E-2</v>
      </c>
      <c r="R86" s="11">
        <v>2.8131874036613196E-2</v>
      </c>
      <c r="S86" s="11">
        <v>0.37001039123787449</v>
      </c>
      <c r="T86" s="11">
        <v>0.20522663523774518</v>
      </c>
      <c r="U86" s="11">
        <v>4.1266193466479072E-3</v>
      </c>
      <c r="V86" s="11">
        <v>1.3174715369175953</v>
      </c>
      <c r="W86" s="11">
        <v>0.42031070131559289</v>
      </c>
      <c r="X86" s="11">
        <v>0.6348745854008776</v>
      </c>
      <c r="Y86" s="11">
        <v>0.27104047087621447</v>
      </c>
      <c r="Z86" s="11">
        <v>3.1318816201134234E-2</v>
      </c>
      <c r="AA86" s="11">
        <v>0.21608778044802848</v>
      </c>
      <c r="AB86" s="11">
        <v>0.25812237075712635</v>
      </c>
      <c r="AC86" s="11">
        <v>2.1773856650320433</v>
      </c>
      <c r="AD86" s="11">
        <v>0.25390111149764211</v>
      </c>
      <c r="AE86" s="11">
        <v>0.50619975920839355</v>
      </c>
      <c r="AF86" s="11">
        <v>6.1677023503807904</v>
      </c>
      <c r="AG86" s="11">
        <v>20.707084900474122</v>
      </c>
      <c r="AH86" s="11">
        <v>12.693060009720774</v>
      </c>
      <c r="AI86" s="11">
        <v>13.164986436930789</v>
      </c>
      <c r="AJ86" s="11">
        <v>2.0400362399310654</v>
      </c>
      <c r="AK86" s="11">
        <v>15.462207380857423</v>
      </c>
      <c r="AL86" s="11">
        <v>1.2515181197672638</v>
      </c>
      <c r="AM86" s="11">
        <v>4.0376426219554507</v>
      </c>
      <c r="AN86" s="11">
        <v>3.4145189753789795</v>
      </c>
      <c r="AO86" s="11">
        <v>3.8051445385524798</v>
      </c>
      <c r="AP86" s="11">
        <v>4.4724529305986485</v>
      </c>
      <c r="AQ86" s="11">
        <v>5.6870151216126388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1.8471230841068038</v>
      </c>
      <c r="CS86" s="11">
        <v>2.9180530344756455</v>
      </c>
      <c r="CT86" s="11">
        <v>4.8554870879495695</v>
      </c>
      <c r="CU86" s="11">
        <v>7.0758273008280357</v>
      </c>
      <c r="CV86" s="11">
        <v>8.576665572075882</v>
      </c>
      <c r="CW86" s="11">
        <v>0.13973904378870133</v>
      </c>
      <c r="CX86" s="11">
        <v>0.63742562717030238</v>
      </c>
      <c r="CY86" s="11">
        <v>1.9246379170397545</v>
      </c>
      <c r="CZ86" s="11">
        <v>5.1618313216989229</v>
      </c>
      <c r="DA86" s="11">
        <v>66.178461619886534</v>
      </c>
      <c r="DB86" s="11"/>
      <c r="DC86" s="11"/>
      <c r="DD86" s="11"/>
      <c r="DE86" s="11"/>
      <c r="DF86" s="11"/>
      <c r="DG86" s="11"/>
      <c r="DH86" s="11"/>
      <c r="DI86" s="11"/>
      <c r="DJ86" s="11">
        <v>199.52215940167042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375</v>
      </c>
      <c r="B87" s="11">
        <v>0.23499471898793101</v>
      </c>
      <c r="C87" s="11">
        <v>2.645945326956986E-2</v>
      </c>
      <c r="D87" s="11">
        <v>0.13630778436058907</v>
      </c>
      <c r="E87" s="11">
        <v>0.35253509981597919</v>
      </c>
      <c r="F87" s="11">
        <v>4.6105592819130153E-2</v>
      </c>
      <c r="G87" s="11">
        <v>0.26548542210052445</v>
      </c>
      <c r="H87" s="11">
        <v>0.51612148511874678</v>
      </c>
      <c r="I87" s="11">
        <v>0.51361577872255548</v>
      </c>
      <c r="J87" s="11">
        <v>9.9485811803542434E-2</v>
      </c>
      <c r="K87" s="11">
        <v>0.64663592437189665</v>
      </c>
      <c r="L87" s="11">
        <v>0.13500023299525937</v>
      </c>
      <c r="M87" s="11">
        <v>1.7677127110538606</v>
      </c>
      <c r="N87" s="11">
        <v>0.93208625535818856</v>
      </c>
      <c r="O87" s="11">
        <v>3.1175786884461179</v>
      </c>
      <c r="P87" s="11">
        <v>0.29050757754951095</v>
      </c>
      <c r="Q87" s="11">
        <v>0.21516957190952085</v>
      </c>
      <c r="R87" s="11">
        <v>3.059045356377027E-2</v>
      </c>
      <c r="S87" s="11">
        <v>1.5668685260013369</v>
      </c>
      <c r="T87" s="11">
        <v>0.70361932246883563</v>
      </c>
      <c r="U87" s="11">
        <v>1.5345545716058185E-2</v>
      </c>
      <c r="V87" s="11">
        <v>10.317014181479045</v>
      </c>
      <c r="W87" s="11">
        <v>1.3568043038933508</v>
      </c>
      <c r="X87" s="11">
        <v>0.53093057399745502</v>
      </c>
      <c r="Y87" s="11">
        <v>0.89757499299782262</v>
      </c>
      <c r="Z87" s="11">
        <v>0.11069837427138106</v>
      </c>
      <c r="AA87" s="11">
        <v>0.69565861477672764</v>
      </c>
      <c r="AB87" s="11">
        <v>0.38761648924660536</v>
      </c>
      <c r="AC87" s="11">
        <v>2.205964089773591</v>
      </c>
      <c r="AD87" s="11">
        <v>0.41829318068289012</v>
      </c>
      <c r="AE87" s="11">
        <v>0.60627847439905747</v>
      </c>
      <c r="AF87" s="11">
        <v>57.328907403311341</v>
      </c>
      <c r="AG87" s="11">
        <v>27.117784532388246</v>
      </c>
      <c r="AH87" s="11">
        <v>32.88495681840817</v>
      </c>
      <c r="AI87" s="11">
        <v>6.7058548990532847</v>
      </c>
      <c r="AJ87" s="11">
        <v>0.8227924208417321</v>
      </c>
      <c r="AK87" s="11">
        <v>2.133020152335122</v>
      </c>
      <c r="AL87" s="11">
        <v>16.935684617102812</v>
      </c>
      <c r="AM87" s="11">
        <v>6.2956982285877157</v>
      </c>
      <c r="AN87" s="11">
        <v>2.7674960194060549</v>
      </c>
      <c r="AO87" s="11">
        <v>8.9950606528141517</v>
      </c>
      <c r="AP87" s="11">
        <v>3.4003345852398028</v>
      </c>
      <c r="AQ87" s="11">
        <v>4.6234465507247391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0.65650793262306362</v>
      </c>
      <c r="CS87" s="11">
        <v>2.4817980978807084</v>
      </c>
      <c r="CT87" s="11">
        <v>6.8702322462243224</v>
      </c>
      <c r="CU87" s="11">
        <v>11.095670717703229</v>
      </c>
      <c r="CV87" s="11">
        <v>27.603470541834774</v>
      </c>
      <c r="CW87" s="11">
        <v>0.11667713974509057</v>
      </c>
      <c r="CX87" s="11">
        <v>0.56437483453944737</v>
      </c>
      <c r="CY87" s="11">
        <v>3.3141884711972471</v>
      </c>
      <c r="CZ87" s="11">
        <v>10.934437624175606</v>
      </c>
      <c r="DA87" s="11">
        <v>186.3138529472798</v>
      </c>
      <c r="DB87" s="11"/>
      <c r="DC87" s="11"/>
      <c r="DD87" s="11"/>
      <c r="DE87" s="11"/>
      <c r="DF87" s="11"/>
      <c r="DG87" s="11"/>
      <c r="DH87" s="11"/>
      <c r="DI87" s="11">
        <v>61.661668183914998</v>
      </c>
      <c r="DJ87" s="11">
        <v>510.76297484928227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178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1.030776878638585E-3</v>
      </c>
      <c r="R88" s="11"/>
      <c r="S88" s="11">
        <v>0.47759899884257284</v>
      </c>
      <c r="T88" s="11">
        <v>2.0962581985982642</v>
      </c>
      <c r="U88" s="11"/>
      <c r="V88" s="11"/>
      <c r="W88" s="11">
        <v>2.2832110237925529</v>
      </c>
      <c r="X88" s="11">
        <v>3.3062478855382014</v>
      </c>
      <c r="Y88" s="11">
        <v>0.25925327657535929</v>
      </c>
      <c r="Z88" s="11">
        <v>1.6237328398801409</v>
      </c>
      <c r="AA88" s="11">
        <v>3.533836236273789</v>
      </c>
      <c r="AB88" s="11">
        <v>1.7117254579396721</v>
      </c>
      <c r="AC88" s="11">
        <v>12.529437443394857</v>
      </c>
      <c r="AD88" s="11">
        <v>1.3548474230288163</v>
      </c>
      <c r="AE88" s="11"/>
      <c r="AF88" s="11">
        <v>3.148468864279605</v>
      </c>
      <c r="AG88" s="11">
        <v>10.350103739472946</v>
      </c>
      <c r="AH88" s="11">
        <v>6.9699742929837427</v>
      </c>
      <c r="AI88" s="11">
        <v>2.0409938569800214</v>
      </c>
      <c r="AJ88" s="11">
        <v>1.0329598342210624</v>
      </c>
      <c r="AK88" s="11">
        <v>2.4401647699660529</v>
      </c>
      <c r="AL88" s="11">
        <v>0.15456263150098409</v>
      </c>
      <c r="AM88" s="11">
        <v>2.1510441822008017</v>
      </c>
      <c r="AN88" s="11">
        <v>1.8780167671673527</v>
      </c>
      <c r="AO88" s="11">
        <v>14.619803476218392</v>
      </c>
      <c r="AP88" s="11">
        <v>4.8395996504758454</v>
      </c>
      <c r="AQ88" s="11">
        <v>1.0676333503782796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37.846770414002208</v>
      </c>
      <c r="CS88" s="11">
        <v>40.001017411561975</v>
      </c>
      <c r="CT88" s="11">
        <v>74.365930996306005</v>
      </c>
      <c r="CU88" s="11">
        <v>73.885371917352401</v>
      </c>
      <c r="CV88" s="11">
        <v>67.782010963450162</v>
      </c>
      <c r="CW88" s="11">
        <v>4.0426743984537685</v>
      </c>
      <c r="CX88" s="11">
        <v>12.67949270477685</v>
      </c>
      <c r="CY88" s="11">
        <v>20.985906972995252</v>
      </c>
      <c r="CZ88" s="11">
        <v>55.155692219415798</v>
      </c>
      <c r="DA88" s="11">
        <v>300.95681034642854</v>
      </c>
      <c r="DB88" s="11"/>
      <c r="DC88" s="11"/>
      <c r="DD88" s="11"/>
      <c r="DE88" s="11"/>
      <c r="DF88" s="11"/>
      <c r="DG88" s="11"/>
      <c r="DH88" s="11"/>
      <c r="DI88" s="11"/>
      <c r="DJ88" s="11">
        <v>767.57218332133095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376</v>
      </c>
      <c r="B89" s="11">
        <v>0.21080741184288668</v>
      </c>
      <c r="C89" s="11">
        <v>5.0142970740989036E-2</v>
      </c>
      <c r="D89" s="11">
        <v>0.25118335770797318</v>
      </c>
      <c r="E89" s="11">
        <v>0.50680452616396776</v>
      </c>
      <c r="F89" s="11">
        <v>8.0450849738506719E-2</v>
      </c>
      <c r="G89" s="11">
        <v>0.29807862019924569</v>
      </c>
      <c r="H89" s="11">
        <v>0.88722710717723641</v>
      </c>
      <c r="I89" s="11">
        <v>0.15212971117284796</v>
      </c>
      <c r="J89" s="11">
        <v>1.3829786478595818E-2</v>
      </c>
      <c r="K89" s="11">
        <v>6.3491106267323891E-2</v>
      </c>
      <c r="L89" s="11">
        <v>0.16731665763290846</v>
      </c>
      <c r="M89" s="11">
        <v>2.8657796533912053E-2</v>
      </c>
      <c r="N89" s="11">
        <v>0.75404138098192441</v>
      </c>
      <c r="O89" s="11">
        <v>8.2951895393764516</v>
      </c>
      <c r="P89" s="11">
        <v>1.0171291022258766</v>
      </c>
      <c r="Q89" s="11">
        <v>0.83204886854616467</v>
      </c>
      <c r="R89" s="11">
        <v>0.63016827035290979</v>
      </c>
      <c r="S89" s="11">
        <v>3.729734443660186</v>
      </c>
      <c r="T89" s="11">
        <v>1.126996886480321</v>
      </c>
      <c r="U89" s="11">
        <v>8.1551661212375573E-2</v>
      </c>
      <c r="V89" s="11">
        <v>13.266866820973833</v>
      </c>
      <c r="W89" s="11">
        <v>3.4140940539914539</v>
      </c>
      <c r="X89" s="11">
        <v>2.8714612832156376</v>
      </c>
      <c r="Y89" s="11">
        <v>3.5436282616213299</v>
      </c>
      <c r="Z89" s="11">
        <v>4.0016439541539226</v>
      </c>
      <c r="AA89" s="11">
        <v>5.1054162147692477</v>
      </c>
      <c r="AB89" s="11">
        <v>1.7795241989210302</v>
      </c>
      <c r="AC89" s="11">
        <v>6.5309406279477713</v>
      </c>
      <c r="AD89" s="11">
        <v>1.710541439891555</v>
      </c>
      <c r="AE89" s="11">
        <v>1.9857955811347858</v>
      </c>
      <c r="AF89" s="11">
        <v>22.433032944902344</v>
      </c>
      <c r="AG89" s="11">
        <v>15.573646111906616</v>
      </c>
      <c r="AH89" s="11">
        <v>17.932591757528368</v>
      </c>
      <c r="AI89" s="11">
        <v>40.640003698478218</v>
      </c>
      <c r="AJ89" s="11">
        <v>15.95819862416722</v>
      </c>
      <c r="AK89" s="11">
        <v>39.080648487810997</v>
      </c>
      <c r="AL89" s="11">
        <v>9.4927539275235713</v>
      </c>
      <c r="AM89" s="11">
        <v>100.95689329931901</v>
      </c>
      <c r="AN89" s="11">
        <v>47.529668049670875</v>
      </c>
      <c r="AO89" s="11">
        <v>51.279787435923303</v>
      </c>
      <c r="AP89" s="11">
        <v>8.2616062441301477</v>
      </c>
      <c r="AQ89" s="11">
        <v>24.092226632220292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>
        <v>0.52260149863425454</v>
      </c>
      <c r="CS89" s="11">
        <v>1.0961787142112103</v>
      </c>
      <c r="CT89" s="11">
        <v>1.831602289258347</v>
      </c>
      <c r="CU89" s="11">
        <v>3.4337571363131216</v>
      </c>
      <c r="CV89" s="11">
        <v>3.4388630748949538</v>
      </c>
      <c r="CW89" s="11">
        <v>9.0288511314292996E-2</v>
      </c>
      <c r="CX89" s="11">
        <v>0.2799304083131865</v>
      </c>
      <c r="CY89" s="11">
        <v>0.92867978508676363</v>
      </c>
      <c r="CZ89" s="11">
        <v>2.7857933992781629</v>
      </c>
      <c r="DA89" s="11">
        <v>18.929387024442914</v>
      </c>
      <c r="DB89" s="11"/>
      <c r="DC89" s="11"/>
      <c r="DD89" s="11"/>
      <c r="DE89" s="11"/>
      <c r="DF89" s="11"/>
      <c r="DG89" s="11">
        <v>41.776935063587246</v>
      </c>
      <c r="DH89" s="11"/>
      <c r="DI89" s="11">
        <v>47.349289532482004</v>
      </c>
      <c r="DJ89" s="11">
        <v>579.0812561425106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377</v>
      </c>
      <c r="B90" s="11">
        <v>7.3765295832852809E-2</v>
      </c>
      <c r="C90" s="11">
        <v>5.2931549783961978E-3</v>
      </c>
      <c r="D90" s="11">
        <v>3.7608028696419542E-2</v>
      </c>
      <c r="E90" s="11">
        <v>0.15842724409567704</v>
      </c>
      <c r="F90" s="11">
        <v>1.7471501757639063E-2</v>
      </c>
      <c r="G90" s="11">
        <v>0.16019463345233392</v>
      </c>
      <c r="H90" s="11">
        <v>0.3312429633619744</v>
      </c>
      <c r="I90" s="11">
        <v>1.7939230649630052E-2</v>
      </c>
      <c r="J90" s="11">
        <v>4.6032806780109499E-3</v>
      </c>
      <c r="K90" s="11">
        <v>1.4668352392987971E-2</v>
      </c>
      <c r="L90" s="11">
        <v>6.1668836384809994E-2</v>
      </c>
      <c r="M90" s="11">
        <v>0.13242424836281305</v>
      </c>
      <c r="N90" s="11">
        <v>5.6661753105260587E-2</v>
      </c>
      <c r="O90" s="11"/>
      <c r="P90" s="11">
        <v>0.1011498796959677</v>
      </c>
      <c r="Q90" s="11">
        <v>1.6881199994986572E-2</v>
      </c>
      <c r="R90" s="11">
        <v>1.0223997887096522E-2</v>
      </c>
      <c r="S90" s="11">
        <v>9.5647035961004018E-2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>
        <v>0.10745185751298943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>
        <v>562.42921955361612</v>
      </c>
      <c r="DC90" s="11"/>
      <c r="DD90" s="11"/>
      <c r="DE90" s="11"/>
      <c r="DF90" s="11"/>
      <c r="DG90" s="11"/>
      <c r="DH90" s="11"/>
      <c r="DI90" s="11">
        <v>97.75716895384754</v>
      </c>
      <c r="DJ90" s="11">
        <v>661.58971100226449</v>
      </c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179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5.0598248162492506E-3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>
        <v>8.3624562074967948E-2</v>
      </c>
      <c r="AJ91" s="11"/>
      <c r="AK91" s="11"/>
      <c r="AL91" s="11"/>
      <c r="AM91" s="11">
        <v>0.51475572923717972</v>
      </c>
      <c r="AN91" s="11">
        <v>4.5523339336938742</v>
      </c>
      <c r="AO91" s="11">
        <v>32.830971769983499</v>
      </c>
      <c r="AP91" s="11">
        <v>0.37488056183197271</v>
      </c>
      <c r="AQ91" s="11">
        <v>6.0408706599753238E-3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>
        <v>4.4321330578895877</v>
      </c>
      <c r="CS91" s="11">
        <v>7.0268318278605495</v>
      </c>
      <c r="CT91" s="11">
        <v>11.1461116966658</v>
      </c>
      <c r="CU91" s="11">
        <v>14.710572908249011</v>
      </c>
      <c r="CV91" s="11">
        <v>14.084616774624282</v>
      </c>
      <c r="CW91" s="11">
        <v>0.46113664667941029</v>
      </c>
      <c r="CX91" s="11">
        <v>1.4212457384545782</v>
      </c>
      <c r="CY91" s="11">
        <v>3.1049808770655156</v>
      </c>
      <c r="CZ91" s="11">
        <v>8.3018140261117033</v>
      </c>
      <c r="DA91" s="11">
        <v>49.102466196736017</v>
      </c>
      <c r="DB91" s="11">
        <v>590.91613902958511</v>
      </c>
      <c r="DC91" s="11"/>
      <c r="DD91" s="11"/>
      <c r="DE91" s="11"/>
      <c r="DF91" s="11"/>
      <c r="DG91" s="11"/>
      <c r="DH91" s="11"/>
      <c r="DI91" s="11"/>
      <c r="DJ91" s="11">
        <v>743.07571603221925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180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1.081900121460329E-3</v>
      </c>
      <c r="AH92" s="11"/>
      <c r="AI92" s="11">
        <v>5.1651104057183631E-3</v>
      </c>
      <c r="AJ92" s="11"/>
      <c r="AK92" s="11"/>
      <c r="AL92" s="11"/>
      <c r="AM92" s="11">
        <v>1.5282734283711434</v>
      </c>
      <c r="AN92" s="11">
        <v>0.13628402513493704</v>
      </c>
      <c r="AO92" s="11"/>
      <c r="AP92" s="11">
        <v>15.620397214699068</v>
      </c>
      <c r="AQ92" s="11">
        <v>1.0227702726124728E-3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>
        <v>0.72398795222640477</v>
      </c>
      <c r="CS92" s="11">
        <v>1.1512630921293701</v>
      </c>
      <c r="CT92" s="11">
        <v>3.035368250672823</v>
      </c>
      <c r="CU92" s="11">
        <v>2.0330464283965131</v>
      </c>
      <c r="CV92" s="11">
        <v>2.4230733011705063</v>
      </c>
      <c r="CW92" s="11">
        <v>8.3497370081961106E-2</v>
      </c>
      <c r="CX92" s="11">
        <v>0.22494091992131515</v>
      </c>
      <c r="CY92" s="11">
        <v>0.92985090629686851</v>
      </c>
      <c r="CZ92" s="11">
        <v>1.1485183936178029</v>
      </c>
      <c r="DA92" s="11">
        <v>6.7708273140721706</v>
      </c>
      <c r="DB92" s="11">
        <v>233.95432290271989</v>
      </c>
      <c r="DC92" s="11"/>
      <c r="DD92" s="11"/>
      <c r="DE92" s="11"/>
      <c r="DF92" s="11"/>
      <c r="DG92" s="11"/>
      <c r="DH92" s="11"/>
      <c r="DI92" s="11"/>
      <c r="DJ92" s="11">
        <v>269.77092128031057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37</v>
      </c>
      <c r="B93" s="11"/>
      <c r="C93" s="11"/>
      <c r="D93" s="11">
        <v>9.4900237483467598E-2</v>
      </c>
      <c r="E93" s="11"/>
      <c r="F93" s="11">
        <v>3.4971932026163621E-3</v>
      </c>
      <c r="G93" s="11"/>
      <c r="H93" s="11"/>
      <c r="I93" s="11"/>
      <c r="J93" s="11"/>
      <c r="K93" s="11"/>
      <c r="L93" s="11">
        <v>0.14186684638715261</v>
      </c>
      <c r="M93" s="11"/>
      <c r="N93" s="11"/>
      <c r="O93" s="11"/>
      <c r="P93" s="11"/>
      <c r="Q93" s="11"/>
      <c r="R93" s="11"/>
      <c r="S93" s="11"/>
      <c r="T93" s="11">
        <v>5.7456361435330311E-3</v>
      </c>
      <c r="U93" s="11"/>
      <c r="V93" s="11">
        <v>1.3868111734919072E-2</v>
      </c>
      <c r="W93" s="11">
        <v>1.5066873840118001E-2</v>
      </c>
      <c r="X93" s="11">
        <v>2.2454495297757088E-2</v>
      </c>
      <c r="Y93" s="11">
        <v>5.6685507943451494E-2</v>
      </c>
      <c r="Z93" s="11">
        <v>4.1831007859000329E-3</v>
      </c>
      <c r="AA93" s="11">
        <v>3.0384467023807274E-2</v>
      </c>
      <c r="AB93" s="11">
        <v>1.2432173633767406E-2</v>
      </c>
      <c r="AC93" s="11">
        <v>6.0429294530692047E-2</v>
      </c>
      <c r="AD93" s="11">
        <v>3.7760067888975651E-2</v>
      </c>
      <c r="AE93" s="11">
        <v>1.2381377018508843</v>
      </c>
      <c r="AF93" s="11">
        <v>7.9250472759087309E-3</v>
      </c>
      <c r="AG93" s="11">
        <v>0.12786079082813537</v>
      </c>
      <c r="AH93" s="11">
        <v>8.3391246236275549</v>
      </c>
      <c r="AI93" s="11">
        <v>3.6147740515427023</v>
      </c>
      <c r="AJ93" s="11">
        <v>0.13285884018776462</v>
      </c>
      <c r="AK93" s="11">
        <v>4.6130299997691404</v>
      </c>
      <c r="AL93" s="11">
        <v>3.459948603822284E-2</v>
      </c>
      <c r="AM93" s="11">
        <v>11.536778047021814</v>
      </c>
      <c r="AN93" s="11">
        <v>8.4737796080419852</v>
      </c>
      <c r="AO93" s="11">
        <v>6.8815527545022737E-2</v>
      </c>
      <c r="AP93" s="11">
        <v>4.5412380280966176E-2</v>
      </c>
      <c r="AQ93" s="11">
        <v>0.44708361592852874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>
        <v>3.4882204115054249</v>
      </c>
      <c r="CS93" s="11">
        <v>4.1400514289478227</v>
      </c>
      <c r="CT93" s="11">
        <v>8.9796987502967696</v>
      </c>
      <c r="CU93" s="11">
        <v>13.340152619602987</v>
      </c>
      <c r="CV93" s="11">
        <v>26.270926044365595</v>
      </c>
      <c r="CW93" s="11">
        <v>0.15321081232088485</v>
      </c>
      <c r="CX93" s="11">
        <v>0.67306320508224604</v>
      </c>
      <c r="CY93" s="11">
        <v>1.431099879474419</v>
      </c>
      <c r="CZ93" s="11">
        <v>5.3290531631148941</v>
      </c>
      <c r="DA93" s="11">
        <v>77.655821104653299</v>
      </c>
      <c r="DB93" s="11"/>
      <c r="DC93" s="11"/>
      <c r="DD93" s="11"/>
      <c r="DE93" s="11"/>
      <c r="DF93" s="11"/>
      <c r="DG93" s="11"/>
      <c r="DH93" s="11"/>
      <c r="DI93" s="11">
        <v>0.9606654668542326</v>
      </c>
      <c r="DJ93" s="11">
        <v>181.60141661205333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156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81.822859622848668</v>
      </c>
      <c r="AS94" s="11">
        <v>6.0528184356139665</v>
      </c>
      <c r="AT94" s="11">
        <v>21.187288587108014</v>
      </c>
      <c r="AU94" s="11">
        <v>97.347806111967799</v>
      </c>
      <c r="AV94" s="11">
        <v>8.5099224712843995</v>
      </c>
      <c r="AW94" s="11">
        <v>23.84854617076531</v>
      </c>
      <c r="AX94" s="11">
        <v>117.67123732422462</v>
      </c>
      <c r="AY94" s="11">
        <v>2.3252062282123518</v>
      </c>
      <c r="AZ94" s="11">
        <v>3.1825409175378105</v>
      </c>
      <c r="BA94" s="11">
        <v>3.615633325577261</v>
      </c>
      <c r="BB94" s="11">
        <v>41.407145705608428</v>
      </c>
      <c r="BC94" s="11">
        <v>49.768901529205891</v>
      </c>
      <c r="BD94" s="11">
        <v>19.217465656541606</v>
      </c>
      <c r="BE94" s="11">
        <v>65.662501037205288</v>
      </c>
      <c r="BF94" s="11">
        <v>13.675287466549628</v>
      </c>
      <c r="BG94" s="11">
        <v>16.443420703903094</v>
      </c>
      <c r="BH94" s="11">
        <v>41.122092720365053</v>
      </c>
      <c r="BI94" s="11">
        <v>11.924598812023161</v>
      </c>
      <c r="BJ94" s="11">
        <v>16.455507776020177</v>
      </c>
      <c r="BK94" s="11"/>
      <c r="BL94" s="11">
        <v>328.52633407847838</v>
      </c>
      <c r="BM94" s="11">
        <v>22.149881818308689</v>
      </c>
      <c r="BN94" s="11">
        <v>74.005175940574134</v>
      </c>
      <c r="BO94" s="11">
        <v>23.927479850814855</v>
      </c>
      <c r="BP94" s="11"/>
      <c r="BQ94" s="11">
        <v>112.14574223359051</v>
      </c>
      <c r="BR94" s="11">
        <v>20.426686129276803</v>
      </c>
      <c r="BS94" s="11">
        <v>39.189285382064746</v>
      </c>
      <c r="BT94" s="11">
        <v>59.339726492783441</v>
      </c>
      <c r="BU94" s="11">
        <v>26.859490369948389</v>
      </c>
      <c r="BV94" s="11"/>
      <c r="BW94" s="11">
        <v>0.48533579995871695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>
        <v>1348.2959186983612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485</v>
      </c>
      <c r="B95" s="11">
        <v>34.618873311314694</v>
      </c>
      <c r="C95" s="11">
        <v>3.1319900161744041</v>
      </c>
      <c r="D95" s="11">
        <v>10.361192862717504</v>
      </c>
      <c r="E95" s="11">
        <v>35.750685966835626</v>
      </c>
      <c r="F95" s="11">
        <v>3.9597067548223075</v>
      </c>
      <c r="G95" s="11">
        <v>10.661266140968722</v>
      </c>
      <c r="H95" s="11">
        <v>7.20022515090157</v>
      </c>
      <c r="I95" s="11">
        <v>6.5089776617858517</v>
      </c>
      <c r="J95" s="11">
        <v>0.61623625915546199</v>
      </c>
      <c r="K95" s="11">
        <v>1.1430409355496556</v>
      </c>
      <c r="L95" s="11">
        <v>24.00314532962172</v>
      </c>
      <c r="M95" s="11">
        <v>17.656330044658933</v>
      </c>
      <c r="N95" s="11">
        <v>7.6551592656790479</v>
      </c>
      <c r="O95" s="11">
        <v>5.6604555636709337</v>
      </c>
      <c r="P95" s="11">
        <v>1.2354235177677046</v>
      </c>
      <c r="Q95" s="11">
        <v>1.1421581589842662</v>
      </c>
      <c r="R95" s="11">
        <v>2.0446309444490924</v>
      </c>
      <c r="S95" s="11">
        <v>0.17924333682599081</v>
      </c>
      <c r="T95" s="11">
        <v>0.45780628823076269</v>
      </c>
      <c r="U95" s="11">
        <v>4.0628822513057949</v>
      </c>
      <c r="V95" s="11">
        <v>0.35954111715484588</v>
      </c>
      <c r="W95" s="11">
        <v>0.49468845429561764</v>
      </c>
      <c r="X95" s="11">
        <v>3.1529926961559464E-2</v>
      </c>
      <c r="Y95" s="11">
        <v>7.8646184967403401E-2</v>
      </c>
      <c r="Z95" s="11">
        <v>3.9433963395967206E-2</v>
      </c>
      <c r="AA95" s="11">
        <v>3.8884652577200148E-2</v>
      </c>
      <c r="AB95" s="11">
        <v>1.5496851277614141E-2</v>
      </c>
      <c r="AC95" s="11">
        <v>1.8865676864622514E-2</v>
      </c>
      <c r="AD95" s="11">
        <v>6.0080762026637417E-2</v>
      </c>
      <c r="AE95" s="11">
        <v>1.7689560085917384E-2</v>
      </c>
      <c r="AF95" s="11">
        <v>3.0295621770194887</v>
      </c>
      <c r="AG95" s="11">
        <v>8.0198194625715189</v>
      </c>
      <c r="AH95" s="11">
        <v>1.675522518558354</v>
      </c>
      <c r="AI95" s="11">
        <v>0.96526121606220627</v>
      </c>
      <c r="AJ95" s="11">
        <v>0.25620776561494035</v>
      </c>
      <c r="AK95" s="11">
        <v>2.6051739007944962E-2</v>
      </c>
      <c r="AL95" s="11">
        <v>1.0976380917212349E-2</v>
      </c>
      <c r="AM95" s="11">
        <v>1.4717283898598233E-2</v>
      </c>
      <c r="AN95" s="11">
        <v>1.3293157747355846</v>
      </c>
      <c r="AO95" s="11">
        <v>0.66761038126196148</v>
      </c>
      <c r="AP95" s="11">
        <v>0.25964999171071818</v>
      </c>
      <c r="AQ95" s="11">
        <v>0.73858236901596852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>
        <v>196.19756397140196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2</v>
      </c>
      <c r="B96" s="11">
        <v>103.12223435271767</v>
      </c>
      <c r="C96" s="11">
        <v>9.2251233235887078</v>
      </c>
      <c r="D96" s="11">
        <v>30.134552157667486</v>
      </c>
      <c r="E96" s="11">
        <v>88.428467392339869</v>
      </c>
      <c r="F96" s="11">
        <v>9.7909449068302923</v>
      </c>
      <c r="G96" s="11">
        <v>44.636620335819423</v>
      </c>
      <c r="H96" s="11">
        <v>94.412998085123377</v>
      </c>
      <c r="I96" s="11">
        <v>16.502644283548612</v>
      </c>
      <c r="J96" s="11">
        <v>1.4886810610771022</v>
      </c>
      <c r="K96" s="11">
        <v>2.7946395886834394</v>
      </c>
      <c r="L96" s="11">
        <v>146.92184107791377</v>
      </c>
      <c r="M96" s="11">
        <v>42.769014057972576</v>
      </c>
      <c r="N96" s="11">
        <v>19.261259940200706</v>
      </c>
      <c r="O96" s="11">
        <v>9.1841182854843879</v>
      </c>
      <c r="P96" s="11">
        <v>0.97882771766427046</v>
      </c>
      <c r="Q96" s="11">
        <v>0.9049334482398983</v>
      </c>
      <c r="R96" s="11">
        <v>4.3112500866820689</v>
      </c>
      <c r="S96" s="11">
        <v>1.5219521999861745</v>
      </c>
      <c r="T96" s="11">
        <v>6.8365462592163837</v>
      </c>
      <c r="U96" s="11">
        <v>4.0407526020157007</v>
      </c>
      <c r="V96" s="11">
        <v>4.811605678511591</v>
      </c>
      <c r="W96" s="11">
        <v>22.075524090652937</v>
      </c>
      <c r="X96" s="11">
        <v>1.3163454075442584</v>
      </c>
      <c r="Y96" s="11">
        <v>1.7994819651511667</v>
      </c>
      <c r="Z96" s="11">
        <v>0.90227778976037321</v>
      </c>
      <c r="AA96" s="11">
        <v>0.97159171243887732</v>
      </c>
      <c r="AB96" s="11">
        <v>0.38721221027588937</v>
      </c>
      <c r="AC96" s="11">
        <v>2.7797696104208529</v>
      </c>
      <c r="AD96" s="11">
        <v>1.5009089185218945</v>
      </c>
      <c r="AE96" s="11">
        <v>0.44690644450222461</v>
      </c>
      <c r="AF96" s="11">
        <v>99.928420383966312</v>
      </c>
      <c r="AG96" s="11">
        <v>110.24182446040999</v>
      </c>
      <c r="AH96" s="11">
        <v>42.267060379473321</v>
      </c>
      <c r="AI96" s="11">
        <v>10.232642965167091</v>
      </c>
      <c r="AJ96" s="11">
        <v>6.5421133444571584</v>
      </c>
      <c r="AK96" s="11">
        <v>3.1051877979611722</v>
      </c>
      <c r="AL96" s="11">
        <v>3.2288375258508997</v>
      </c>
      <c r="AM96" s="11">
        <v>2.0556821632002711</v>
      </c>
      <c r="AN96" s="11">
        <v>45.513034739169214</v>
      </c>
      <c r="AO96" s="11">
        <v>6.9423642143375268</v>
      </c>
      <c r="AP96" s="11">
        <v>2.1993312442215869</v>
      </c>
      <c r="AQ96" s="11">
        <v>11.391851115071578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>
        <v>1017.9073753238381</v>
      </c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7</v>
      </c>
      <c r="B97" s="11">
        <v>99.796998207140675</v>
      </c>
      <c r="C97" s="11">
        <v>8.1861514020869723</v>
      </c>
      <c r="D97" s="11">
        <v>23.98379962726283</v>
      </c>
      <c r="E97" s="11">
        <v>74.528235115221406</v>
      </c>
      <c r="F97" s="11">
        <v>8.2387228390370151</v>
      </c>
      <c r="G97" s="11">
        <v>29.413607100882391</v>
      </c>
      <c r="H97" s="11">
        <v>35.446033909875723</v>
      </c>
      <c r="I97" s="11">
        <v>12.971550688604639</v>
      </c>
      <c r="J97" s="11">
        <v>1.0301643372789326</v>
      </c>
      <c r="K97" s="11">
        <v>2.0003070600147814</v>
      </c>
      <c r="L97" s="11">
        <v>75.991352726001708</v>
      </c>
      <c r="M97" s="11">
        <v>29.826289167903806</v>
      </c>
      <c r="N97" s="11">
        <v>14.712243375231271</v>
      </c>
      <c r="O97" s="11">
        <v>7.66629547968759</v>
      </c>
      <c r="P97" s="11">
        <v>0.59852912775317235</v>
      </c>
      <c r="Q97" s="11">
        <v>0.55334459545359027</v>
      </c>
      <c r="R97" s="11">
        <v>2.4457081867803709</v>
      </c>
      <c r="S97" s="11">
        <v>0.12792546947846892</v>
      </c>
      <c r="T97" s="11">
        <v>14.351139013673869</v>
      </c>
      <c r="U97" s="11">
        <v>24.431263560587212</v>
      </c>
      <c r="V97" s="11">
        <v>56.653111776362472</v>
      </c>
      <c r="W97" s="11">
        <v>19.658296052345033</v>
      </c>
      <c r="X97" s="11">
        <v>11.126993902361285</v>
      </c>
      <c r="Y97" s="11">
        <v>10.23821343101069</v>
      </c>
      <c r="Z97" s="11">
        <v>5.1335399656818863</v>
      </c>
      <c r="AA97" s="11">
        <v>6.768705375307583</v>
      </c>
      <c r="AB97" s="11">
        <v>2.6975583833461578</v>
      </c>
      <c r="AC97" s="11">
        <v>7.7024233542905289</v>
      </c>
      <c r="AD97" s="11">
        <v>54.184099577687803</v>
      </c>
      <c r="AE97" s="11">
        <v>16.089607031448452</v>
      </c>
      <c r="AF97" s="11">
        <v>110.9937923803293</v>
      </c>
      <c r="AG97" s="11">
        <v>234.00236504610172</v>
      </c>
      <c r="AH97" s="11">
        <v>197.70810608265393</v>
      </c>
      <c r="AI97" s="11">
        <v>19.719912388903015</v>
      </c>
      <c r="AJ97" s="11">
        <v>32.576911704138453</v>
      </c>
      <c r="AK97" s="11">
        <v>153.10573433257429</v>
      </c>
      <c r="AL97" s="11">
        <v>55.663726488444098</v>
      </c>
      <c r="AM97" s="11">
        <v>85.104911740185756</v>
      </c>
      <c r="AN97" s="11">
        <v>210.62355529637426</v>
      </c>
      <c r="AO97" s="11">
        <v>323.26535770206885</v>
      </c>
      <c r="AP97" s="11">
        <v>95.404169303454751</v>
      </c>
      <c r="AQ97" s="11">
        <v>34.405000418597567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>
        <v>2209.1257527236239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378</v>
      </c>
      <c r="B98" s="11">
        <v>382.2137400430168</v>
      </c>
      <c r="C98" s="11">
        <v>7.3926888837132392</v>
      </c>
      <c r="D98" s="11">
        <v>74.969519684377516</v>
      </c>
      <c r="E98" s="11">
        <v>199.41722559455613</v>
      </c>
      <c r="F98" s="11">
        <v>19.20690891326489</v>
      </c>
      <c r="G98" s="11">
        <v>79.768087036090819</v>
      </c>
      <c r="H98" s="11">
        <v>135.69990937681007</v>
      </c>
      <c r="I98" s="11">
        <v>19.738527172325416</v>
      </c>
      <c r="J98" s="11">
        <v>2.7141752358823168</v>
      </c>
      <c r="K98" s="11">
        <v>5.6851594486858108</v>
      </c>
      <c r="L98" s="11">
        <v>111.70075079015464</v>
      </c>
      <c r="M98" s="11">
        <v>50.804570511148029</v>
      </c>
      <c r="N98" s="11">
        <v>28.400792420613847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>
        <v>1117.7120551106395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13</v>
      </c>
      <c r="B99" s="11">
        <v>44.345808382176564</v>
      </c>
      <c r="C99" s="11">
        <v>5.4543247594339839</v>
      </c>
      <c r="D99" s="11">
        <v>22.555569936534219</v>
      </c>
      <c r="E99" s="11">
        <v>75.792588935852564</v>
      </c>
      <c r="F99" s="11">
        <v>8.5119137083127363</v>
      </c>
      <c r="G99" s="11">
        <v>36.729662521063709</v>
      </c>
      <c r="H99" s="11">
        <v>58.555595160897269</v>
      </c>
      <c r="I99" s="11">
        <v>22.960440220889357</v>
      </c>
      <c r="J99" s="11">
        <v>1.3060345945205905</v>
      </c>
      <c r="K99" s="11">
        <v>3.7717203834600381</v>
      </c>
      <c r="L99" s="11">
        <v>55.53651608747203</v>
      </c>
      <c r="M99" s="11">
        <v>25.269357540950114</v>
      </c>
      <c r="N99" s="11">
        <v>10.131283552488512</v>
      </c>
      <c r="O99" s="11">
        <v>273.32035298433522</v>
      </c>
      <c r="P99" s="11">
        <v>50.043419536879483</v>
      </c>
      <c r="Q99" s="11">
        <v>48.722374152553868</v>
      </c>
      <c r="R99" s="11">
        <v>131.79237714387054</v>
      </c>
      <c r="S99" s="11">
        <v>46.787472065716535</v>
      </c>
      <c r="T99" s="11">
        <v>45.73127416185558</v>
      </c>
      <c r="U99" s="11">
        <v>189.02149821316618</v>
      </c>
      <c r="V99" s="11">
        <v>22.602418849674997</v>
      </c>
      <c r="W99" s="11">
        <v>66.816724368649005</v>
      </c>
      <c r="X99" s="11">
        <v>22.057149873980791</v>
      </c>
      <c r="Y99" s="11">
        <v>91.270673245142973</v>
      </c>
      <c r="Z99" s="11">
        <v>20.030843054615652</v>
      </c>
      <c r="AA99" s="11">
        <v>36.48074200681944</v>
      </c>
      <c r="AB99" s="11">
        <v>12.20476451633276</v>
      </c>
      <c r="AC99" s="11">
        <v>82.584501522011166</v>
      </c>
      <c r="AD99" s="11"/>
      <c r="AE99" s="11">
        <v>19.138867420985434</v>
      </c>
      <c r="AF99" s="11">
        <v>327.54040971770092</v>
      </c>
      <c r="AG99" s="11">
        <v>379.31026267360448</v>
      </c>
      <c r="AH99" s="11">
        <v>576.06747761653639</v>
      </c>
      <c r="AI99" s="11">
        <v>40.902401049950768</v>
      </c>
      <c r="AJ99" s="11">
        <v>76.888929820236271</v>
      </c>
      <c r="AK99" s="11">
        <v>211.83452809622901</v>
      </c>
      <c r="AL99" s="11">
        <v>612.85042868570747</v>
      </c>
      <c r="AM99" s="11">
        <v>97.817980827693859</v>
      </c>
      <c r="AN99" s="11">
        <v>89.309963657622532</v>
      </c>
      <c r="AO99" s="11">
        <v>91.300651209415648</v>
      </c>
      <c r="AP99" s="11">
        <v>46.955650712619885</v>
      </c>
      <c r="AQ99" s="11">
        <v>67.099639739411742</v>
      </c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>
        <v>39.453387810111622</v>
      </c>
      <c r="DJ99" s="11">
        <v>4186.8579805174813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453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>
        <v>135.26555695774491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135.26555695774491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11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>
        <v>3270.5097802572964</v>
      </c>
      <c r="CP101" s="11">
        <v>135.26555695774491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>
        <v>196.95626463528504</v>
      </c>
      <c r="DC101" s="11"/>
      <c r="DD101" s="11"/>
      <c r="DE101" s="11"/>
      <c r="DF101" s="11">
        <v>1.7763568394002505E-14</v>
      </c>
      <c r="DG101" s="11"/>
      <c r="DH101" s="11"/>
      <c r="DI101" s="11">
        <v>179.56725349394884</v>
      </c>
      <c r="DJ101" s="11">
        <v>3782.2988553442756</v>
      </c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700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>
        <v>45.846957826815363</v>
      </c>
      <c r="CL102" s="11">
        <v>111.23584180760886</v>
      </c>
      <c r="CM102" s="11">
        <v>34.865669458050426</v>
      </c>
      <c r="CN102" s="11">
        <v>141.21931744522547</v>
      </c>
      <c r="CO102" s="11">
        <v>82.312641958702173</v>
      </c>
      <c r="CP102" s="11"/>
      <c r="CQ102" s="11">
        <v>36.142124871028784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>
        <v>9.4554890849741842</v>
      </c>
      <c r="DC102" s="11"/>
      <c r="DD102" s="11"/>
      <c r="DE102" s="11"/>
      <c r="DF102" s="11"/>
      <c r="DG102" s="11"/>
      <c r="DH102" s="11"/>
      <c r="DI102" s="11">
        <v>0.7596678571376051</v>
      </c>
      <c r="DJ102" s="11">
        <v>461.8377103095429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702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>
        <v>38.698046639806606</v>
      </c>
      <c r="CL103" s="11">
        <v>147.69317666580736</v>
      </c>
      <c r="CM103" s="11">
        <v>72.308532816282494</v>
      </c>
      <c r="CN103" s="11">
        <v>201.24682025379911</v>
      </c>
      <c r="CO103" s="11">
        <v>127.03058699141201</v>
      </c>
      <c r="CP103" s="11"/>
      <c r="CQ103" s="11">
        <v>48.566538049470338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>
        <v>9.4374041382546316</v>
      </c>
      <c r="DC103" s="11"/>
      <c r="DD103" s="11"/>
      <c r="DE103" s="11"/>
      <c r="DF103" s="11"/>
      <c r="DG103" s="11"/>
      <c r="DH103" s="11"/>
      <c r="DI103" s="11">
        <v>1.0656429594577315</v>
      </c>
      <c r="DJ103" s="11">
        <v>646.04674851429013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704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>
        <v>37.065486902598423</v>
      </c>
      <c r="CL104" s="11">
        <v>165.73649290964562</v>
      </c>
      <c r="CM104" s="11">
        <v>105.74781900699048</v>
      </c>
      <c r="CN104" s="11">
        <v>249.9940939539315</v>
      </c>
      <c r="CO104" s="11">
        <v>188.07970742169749</v>
      </c>
      <c r="CP104" s="11"/>
      <c r="CQ104" s="11">
        <v>98.486108535951161</v>
      </c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>
        <v>8.6654669405237446</v>
      </c>
      <c r="DC104" s="11"/>
      <c r="DD104" s="11"/>
      <c r="DE104" s="11"/>
      <c r="DF104" s="11"/>
      <c r="DG104" s="11"/>
      <c r="DH104" s="11"/>
      <c r="DI104" s="11">
        <v>3.1290528575650871</v>
      </c>
      <c r="DJ104" s="11">
        <v>856.90422852890345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706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>
        <v>37.473457666584643</v>
      </c>
      <c r="CL105" s="11">
        <v>128.59223956782651</v>
      </c>
      <c r="CM105" s="11">
        <v>204.2753484399793</v>
      </c>
      <c r="CN105" s="11">
        <v>248.79186838099062</v>
      </c>
      <c r="CO105" s="11">
        <v>178.58770187944049</v>
      </c>
      <c r="CP105" s="11"/>
      <c r="CQ105" s="11">
        <v>193.36351696377028</v>
      </c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>
        <v>8.5500030832711786</v>
      </c>
      <c r="DC105" s="11"/>
      <c r="DD105" s="11"/>
      <c r="DE105" s="11"/>
      <c r="DF105" s="11"/>
      <c r="DG105" s="11"/>
      <c r="DH105" s="11"/>
      <c r="DI105" s="11">
        <v>13.951600021707531</v>
      </c>
      <c r="DJ105" s="11">
        <v>1013.5857360035706</v>
      </c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708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>
        <v>21.140882552542433</v>
      </c>
      <c r="CL106" s="11">
        <v>99.391645264891025</v>
      </c>
      <c r="CM106" s="11">
        <v>261.62539644936487</v>
      </c>
      <c r="CN106" s="11">
        <v>198.0153066920731</v>
      </c>
      <c r="CO106" s="11">
        <v>159.72304672637219</v>
      </c>
      <c r="CP106" s="11"/>
      <c r="CQ106" s="11">
        <v>247.6215081056358</v>
      </c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>
        <v>7.0685125883736415</v>
      </c>
      <c r="DC106" s="11"/>
      <c r="DD106" s="11"/>
      <c r="DE106" s="11"/>
      <c r="DF106" s="11"/>
      <c r="DG106" s="11"/>
      <c r="DH106" s="11"/>
      <c r="DI106" s="11">
        <v>30.745597446075365</v>
      </c>
      <c r="DJ106" s="11">
        <v>1025.3318958253285</v>
      </c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379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>
        <v>2.1342306528570272</v>
      </c>
      <c r="CL107" s="11">
        <v>22.62992987833567</v>
      </c>
      <c r="CM107" s="11">
        <v>12.131432434284614</v>
      </c>
      <c r="CN107" s="11">
        <v>1.5123694067112192</v>
      </c>
      <c r="CO107" s="11">
        <v>0.79103300446653257</v>
      </c>
      <c r="CP107" s="11"/>
      <c r="CQ107" s="11">
        <v>7.6085577149411403</v>
      </c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>
        <v>4.9194850842264479</v>
      </c>
      <c r="DC107" s="11"/>
      <c r="DD107" s="11"/>
      <c r="DE107" s="11"/>
      <c r="DF107" s="11"/>
      <c r="DG107" s="11"/>
      <c r="DH107" s="11"/>
      <c r="DI107" s="11">
        <v>0.44880562341397784</v>
      </c>
      <c r="DJ107" s="11">
        <v>52.175843799236631</v>
      </c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380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>
        <v>2.9314669887311253</v>
      </c>
      <c r="CL108" s="11">
        <v>43.052607182114194</v>
      </c>
      <c r="CM108" s="11">
        <v>30.94648259336855</v>
      </c>
      <c r="CN108" s="11">
        <v>6.503922789046924</v>
      </c>
      <c r="CO108" s="11">
        <v>3.3806360552698509</v>
      </c>
      <c r="CP108" s="11"/>
      <c r="CQ108" s="11">
        <v>33.419782717714703</v>
      </c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>
        <v>6.1351648845830544</v>
      </c>
      <c r="DC108" s="11"/>
      <c r="DD108" s="11"/>
      <c r="DE108" s="11"/>
      <c r="DF108" s="11"/>
      <c r="DG108" s="11"/>
      <c r="DH108" s="11"/>
      <c r="DI108" s="11">
        <v>0.32771165848014716</v>
      </c>
      <c r="DJ108" s="11">
        <v>126.69777486930853</v>
      </c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>
        <v>4.6601465357288392</v>
      </c>
      <c r="CL109" s="11">
        <v>81.137558114060852</v>
      </c>
      <c r="CM109" s="11">
        <v>77.574121530778754</v>
      </c>
      <c r="CN109" s="11">
        <v>8.4536900532982475</v>
      </c>
      <c r="CO109" s="11">
        <v>5.1487453989519434</v>
      </c>
      <c r="CP109" s="11"/>
      <c r="CQ109" s="11">
        <v>65.644324115071399</v>
      </c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>
        <v>3.4882410151162753</v>
      </c>
      <c r="DC109" s="11"/>
      <c r="DD109" s="11"/>
      <c r="DE109" s="11"/>
      <c r="DF109" s="11"/>
      <c r="DG109" s="11"/>
      <c r="DH109" s="11"/>
      <c r="DI109" s="11">
        <v>1.4860933471038091</v>
      </c>
      <c r="DJ109" s="11">
        <v>247.59292011011013</v>
      </c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382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>
        <v>3.6976777569976385</v>
      </c>
      <c r="CL110" s="11">
        <v>107.0438530076749</v>
      </c>
      <c r="CM110" s="11">
        <v>241.82109392052155</v>
      </c>
      <c r="CN110" s="11">
        <v>16.462542183761183</v>
      </c>
      <c r="CO110" s="11">
        <v>9.0803157671892976</v>
      </c>
      <c r="CP110" s="11"/>
      <c r="CQ110" s="11">
        <v>221.33221417541881</v>
      </c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>
        <v>7.7791160243888537</v>
      </c>
      <c r="DC110" s="11"/>
      <c r="DD110" s="11"/>
      <c r="DE110" s="11"/>
      <c r="DF110" s="11"/>
      <c r="DG110" s="11"/>
      <c r="DH110" s="11"/>
      <c r="DI110" s="11">
        <v>2.2748408082870268</v>
      </c>
      <c r="DJ110" s="11">
        <v>609.49165364423925</v>
      </c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>
        <v>2.5492104487397564</v>
      </c>
      <c r="CL111" s="11">
        <v>111.39403092587338</v>
      </c>
      <c r="CM111" s="11">
        <v>1167.8298560740031</v>
      </c>
      <c r="CN111" s="11">
        <v>45.512123951802316</v>
      </c>
      <c r="CO111" s="11">
        <v>35.660019320034863</v>
      </c>
      <c r="CP111" s="11"/>
      <c r="CQ111" s="11">
        <v>1950.474491170218</v>
      </c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>
        <v>19.927058209288585</v>
      </c>
      <c r="DC111" s="11"/>
      <c r="DD111" s="11"/>
      <c r="DE111" s="11"/>
      <c r="DF111" s="11"/>
      <c r="DG111" s="11"/>
      <c r="DH111" s="11"/>
      <c r="DI111" s="11">
        <v>98.201105903205971</v>
      </c>
      <c r="DJ111" s="11">
        <v>3431.5478960031664</v>
      </c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21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>
        <v>199.19264705839538</v>
      </c>
      <c r="CR112" s="11">
        <v>5.797214275944846E-2</v>
      </c>
      <c r="CS112" s="11">
        <v>0.27123704848853586</v>
      </c>
      <c r="CT112" s="11">
        <v>0.61971215886925368</v>
      </c>
      <c r="CU112" s="11">
        <v>1.5145257722296805</v>
      </c>
      <c r="CV112" s="11">
        <v>2.4023538196121641</v>
      </c>
      <c r="CW112" s="11">
        <v>6.778367872643265E-2</v>
      </c>
      <c r="CX112" s="11">
        <v>4.3771924883464014E-2</v>
      </c>
      <c r="CY112" s="11">
        <v>0.24473509889029976</v>
      </c>
      <c r="CZ112" s="11">
        <v>1.0732997597494855</v>
      </c>
      <c r="DA112" s="11">
        <v>17.247017588877636</v>
      </c>
      <c r="DB112" s="11"/>
      <c r="DC112" s="11">
        <v>737.12793833219052</v>
      </c>
      <c r="DD112" s="11">
        <v>140.6547312578773</v>
      </c>
      <c r="DE112" s="11">
        <v>677.61915426251812</v>
      </c>
      <c r="DF112" s="11"/>
      <c r="DG112" s="11"/>
      <c r="DH112" s="11"/>
      <c r="DI112" s="11">
        <v>29.540230777366514</v>
      </c>
      <c r="DJ112" s="11">
        <v>1807.6771106814342</v>
      </c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16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>
        <v>325.5096585923493</v>
      </c>
      <c r="CR113" s="11">
        <v>0.88886755616099389</v>
      </c>
      <c r="CS113" s="11">
        <v>4.170680511793404</v>
      </c>
      <c r="CT113" s="11">
        <v>9.5949657979167782</v>
      </c>
      <c r="CU113" s="11">
        <v>24.530312769570955</v>
      </c>
      <c r="CV113" s="11">
        <v>39.394625255107471</v>
      </c>
      <c r="CW113" s="11">
        <v>0.50154181968219413</v>
      </c>
      <c r="CX113" s="11">
        <v>1.3647839705169227</v>
      </c>
      <c r="CY113" s="11">
        <v>3.8751700134128813</v>
      </c>
      <c r="CZ113" s="11">
        <v>18.557669708586417</v>
      </c>
      <c r="DA113" s="11">
        <v>308.73966233709336</v>
      </c>
      <c r="DB113" s="11"/>
      <c r="DC113" s="11"/>
      <c r="DD113" s="11"/>
      <c r="DE113" s="11"/>
      <c r="DF113" s="11"/>
      <c r="DG113" s="11"/>
      <c r="DH113" s="11"/>
      <c r="DI113" s="11"/>
      <c r="DJ113" s="11">
        <v>737.12793833219064</v>
      </c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>
        <v>0.33256418520989173</v>
      </c>
      <c r="AS114" s="11">
        <v>0.18712326667922269</v>
      </c>
      <c r="AT114" s="11">
        <v>12.521777094265234</v>
      </c>
      <c r="AU114" s="11">
        <v>1.9415220282689256</v>
      </c>
      <c r="AV114" s="11">
        <v>8.4097090698493193E-2</v>
      </c>
      <c r="AW114" s="11">
        <v>9.723445998060477E-3</v>
      </c>
      <c r="AX114" s="11">
        <v>0.17574929779465456</v>
      </c>
      <c r="AY114" s="11"/>
      <c r="AZ114" s="11">
        <v>1.0007935167204192</v>
      </c>
      <c r="BA114" s="11"/>
      <c r="BB114" s="11">
        <v>0.51082097116248881</v>
      </c>
      <c r="BC114" s="11">
        <v>4.4407139117694235E-2</v>
      </c>
      <c r="BD114" s="11">
        <v>0.10444988237169285</v>
      </c>
      <c r="BE114" s="11">
        <v>5.8536897383175855E-3</v>
      </c>
      <c r="BF114" s="11">
        <v>5.6929906167000145E-2</v>
      </c>
      <c r="BG114" s="11">
        <v>4.5290745972909677E-2</v>
      </c>
      <c r="BH114" s="11">
        <v>6.1354956412257257E-4</v>
      </c>
      <c r="BI114" s="11">
        <v>1.4799134550072251E-3</v>
      </c>
      <c r="BJ114" s="11">
        <v>0.12817637873691984</v>
      </c>
      <c r="BK114" s="11"/>
      <c r="BL114" s="11">
        <v>24.849785504703426</v>
      </c>
      <c r="BM114" s="11">
        <v>1.6849756468487189</v>
      </c>
      <c r="BN114" s="11">
        <v>16.083008491573835</v>
      </c>
      <c r="BO114" s="11">
        <v>5.9570003663894227</v>
      </c>
      <c r="BP114" s="11"/>
      <c r="BQ114" s="11">
        <v>21.607397687463884</v>
      </c>
      <c r="BR114" s="11">
        <v>4.5531672790531852</v>
      </c>
      <c r="BS114" s="11">
        <v>16.572813938627711</v>
      </c>
      <c r="BT114" s="11">
        <v>27.683963606205069</v>
      </c>
      <c r="BU114" s="11">
        <v>4.5112466350907239</v>
      </c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>
        <v>140.65473125787699</v>
      </c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19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7.433720405742697E-4</v>
      </c>
      <c r="AV115" s="11">
        <v>9.6733841801361145E-5</v>
      </c>
      <c r="AW115" s="11"/>
      <c r="AX115" s="11">
        <v>0.8962706204380867</v>
      </c>
      <c r="AY115" s="11">
        <v>15.93136298791412</v>
      </c>
      <c r="AZ115" s="11">
        <v>0.89626879468300558</v>
      </c>
      <c r="BA115" s="11">
        <v>4.281162182089381</v>
      </c>
      <c r="BB115" s="11">
        <v>0.29151910360370437</v>
      </c>
      <c r="BC115" s="11">
        <v>12.287846480862239</v>
      </c>
      <c r="BD115" s="11">
        <v>4.0844964464468898</v>
      </c>
      <c r="BE115" s="11">
        <v>43.911262662247502</v>
      </c>
      <c r="BF115" s="11">
        <v>9.9091017470745264</v>
      </c>
      <c r="BG115" s="11">
        <v>16.226282568162489</v>
      </c>
      <c r="BH115" s="11"/>
      <c r="BI115" s="11">
        <v>8.7204331867173472</v>
      </c>
      <c r="BJ115" s="11">
        <v>3.2040788993069738</v>
      </c>
      <c r="BK115" s="11"/>
      <c r="BL115" s="11">
        <v>124.70685429797881</v>
      </c>
      <c r="BM115" s="11">
        <v>106.26801354051656</v>
      </c>
      <c r="BN115" s="11">
        <v>31.530284227241264</v>
      </c>
      <c r="BO115" s="11">
        <v>10.624483127092885</v>
      </c>
      <c r="BP115" s="11"/>
      <c r="BQ115" s="11">
        <v>86.536717957492769</v>
      </c>
      <c r="BR115" s="11">
        <v>0.92352980916668392</v>
      </c>
      <c r="BS115" s="11">
        <v>12.834616117346815</v>
      </c>
      <c r="BT115" s="11">
        <v>26.426912430147674</v>
      </c>
      <c r="BU115" s="11">
        <v>11.190998852129166</v>
      </c>
      <c r="BV115" s="11">
        <v>13.683323318995553</v>
      </c>
      <c r="BW115" s="11">
        <v>6.0373779430982211</v>
      </c>
      <c r="BX115" s="11"/>
      <c r="BY115" s="11">
        <v>23.984130784880247</v>
      </c>
      <c r="BZ115" s="11">
        <v>7.6468157237251626</v>
      </c>
      <c r="CA115" s="11">
        <v>48.514764962681241</v>
      </c>
      <c r="CB115" s="11">
        <v>18.665391635518056</v>
      </c>
      <c r="CC115" s="11">
        <v>3.4805676122370399</v>
      </c>
      <c r="CD115" s="11"/>
      <c r="CE115" s="11">
        <v>19.424345878356906</v>
      </c>
      <c r="CF115" s="11"/>
      <c r="CG115" s="11"/>
      <c r="CH115" s="11"/>
      <c r="CI115" s="11">
        <v>4.4991002584847015</v>
      </c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>
        <v>677.61915426251835</v>
      </c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452</v>
      </c>
      <c r="B116" s="11">
        <v>2.7755575615628914E-17</v>
      </c>
      <c r="C116" s="11">
        <v>6.9388939039072284E-18</v>
      </c>
      <c r="D116" s="11">
        <v>5.5511151231257827E-17</v>
      </c>
      <c r="E116" s="11">
        <v>1.1102230246251565E-16</v>
      </c>
      <c r="F116" s="11">
        <v>2.7755575615628914E-17</v>
      </c>
      <c r="G116" s="11">
        <v>1.1102230246251565E-16</v>
      </c>
      <c r="H116" s="11">
        <v>2.2204460492503131E-16</v>
      </c>
      <c r="I116" s="11">
        <v>5.5511151231257827E-17</v>
      </c>
      <c r="J116" s="11">
        <v>3.4694469519536142E-18</v>
      </c>
      <c r="K116" s="11">
        <v>5.5511151231257827E-17</v>
      </c>
      <c r="L116" s="11">
        <v>2.7755575615628914E-17</v>
      </c>
      <c r="M116" s="11"/>
      <c r="N116" s="11">
        <v>3.4694469519536142E-18</v>
      </c>
      <c r="O116" s="11">
        <v>1.7763568394002505E-15</v>
      </c>
      <c r="P116" s="11">
        <v>4.4408920985006262E-16</v>
      </c>
      <c r="Q116" s="11">
        <v>5.5511151231257827E-17</v>
      </c>
      <c r="R116" s="11">
        <v>5.5511151231257827E-17</v>
      </c>
      <c r="S116" s="11">
        <v>8.8817841970012523E-16</v>
      </c>
      <c r="T116" s="11">
        <v>1.9883908538993804</v>
      </c>
      <c r="U116" s="11">
        <v>1.7813647486584594E-2</v>
      </c>
      <c r="V116" s="11">
        <v>0.27083713163389533</v>
      </c>
      <c r="W116" s="11">
        <v>0.85591207030911143</v>
      </c>
      <c r="X116" s="11">
        <v>0.48665969132021303</v>
      </c>
      <c r="Y116" s="11">
        <v>0.29185342174949058</v>
      </c>
      <c r="Z116" s="11">
        <v>0.92895420333835599</v>
      </c>
      <c r="AA116" s="11">
        <v>0.54001450010202889</v>
      </c>
      <c r="AB116" s="11">
        <v>0.42280141954071038</v>
      </c>
      <c r="AC116" s="11">
        <v>1.6127885768648778</v>
      </c>
      <c r="AD116" s="11">
        <v>0.60850990346211953</v>
      </c>
      <c r="AE116" s="11">
        <v>0.1459175200015187</v>
      </c>
      <c r="AF116" s="11">
        <v>5.8625597516474386</v>
      </c>
      <c r="AG116" s="11">
        <v>3.3425500302361613</v>
      </c>
      <c r="AH116" s="11">
        <v>7.0931883583271187</v>
      </c>
      <c r="AI116" s="11">
        <v>1.9916608035145043</v>
      </c>
      <c r="AJ116" s="11">
        <v>0.19751870760084023</v>
      </c>
      <c r="AK116" s="11">
        <v>0.20180468604753043</v>
      </c>
      <c r="AL116" s="11">
        <v>0.54387134145486327</v>
      </c>
      <c r="AM116" s="11">
        <v>0.68983778762159975</v>
      </c>
      <c r="AN116" s="11">
        <v>2.2711752901958953</v>
      </c>
      <c r="AO116" s="11">
        <v>1.8681627274656289</v>
      </c>
      <c r="AP116" s="11">
        <v>5.063406970555151E-2</v>
      </c>
      <c r="AQ116" s="11">
        <v>0.2459992938413107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>
        <v>-0.13625529002683701</v>
      </c>
      <c r="CS116" s="11">
        <v>-0.52934751568114813</v>
      </c>
      <c r="CT116" s="11">
        <v>-1.1221461009786911</v>
      </c>
      <c r="CU116" s="11">
        <v>-2.1021147901637387</v>
      </c>
      <c r="CV116" s="11">
        <v>-2.8268006622085107</v>
      </c>
      <c r="CW116" s="11">
        <v>-0.13008568492222952</v>
      </c>
      <c r="CX116" s="11">
        <v>-0.40685211017210987</v>
      </c>
      <c r="CY116" s="11">
        <v>-1.2838924425893508</v>
      </c>
      <c r="CZ116" s="11">
        <v>-3.4874542748318431</v>
      </c>
      <c r="DA116" s="11">
        <v>-20.504466915792246</v>
      </c>
      <c r="DB116" s="11"/>
      <c r="DC116" s="11"/>
      <c r="DD116" s="11"/>
      <c r="DE116" s="11"/>
      <c r="DF116" s="11"/>
      <c r="DG116" s="11"/>
      <c r="DH116" s="11"/>
      <c r="DI116" s="11"/>
      <c r="DJ116" s="11">
        <v>1.7763568394002505E-14</v>
      </c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23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354.93738327430941</v>
      </c>
      <c r="CR117" s="11">
        <v>6.190684028911293</v>
      </c>
      <c r="CS117" s="11">
        <v>13.710862400902185</v>
      </c>
      <c r="CT117" s="11">
        <v>32.134146298944081</v>
      </c>
      <c r="CU117" s="11">
        <v>71.206350676057909</v>
      </c>
      <c r="CV117" s="11">
        <v>120.84909660765138</v>
      </c>
      <c r="CW117" s="11">
        <v>0.51216239957300846</v>
      </c>
      <c r="CX117" s="11">
        <v>4.087212499494254</v>
      </c>
      <c r="CY117" s="11">
        <v>8.0193365945662372</v>
      </c>
      <c r="CZ117" s="11">
        <v>54.475655924542657</v>
      </c>
      <c r="DA117" s="11">
        <v>419.2689925410711</v>
      </c>
      <c r="DB117" s="11">
        <v>-6.680694830857794</v>
      </c>
      <c r="DC117" s="11"/>
      <c r="DD117" s="11"/>
      <c r="DE117" s="11"/>
      <c r="DF117" s="11"/>
      <c r="DG117" s="11"/>
      <c r="DH117" s="11"/>
      <c r="DI117" s="11">
        <v>615.77703652853393</v>
      </c>
      <c r="DJ117" s="11">
        <v>1694.4882249436996</v>
      </c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>
        <v>63.484560156739121</v>
      </c>
      <c r="DH118" s="11"/>
      <c r="DI118" s="11"/>
      <c r="DJ118" s="11">
        <v>63.484560156739121</v>
      </c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>
        <v>11.814318384209439</v>
      </c>
      <c r="AS119" s="11">
        <v>0.69760605434441625</v>
      </c>
      <c r="AT119" s="11">
        <v>46.914000493801602</v>
      </c>
      <c r="AU119" s="11">
        <v>10.038560414469805</v>
      </c>
      <c r="AV119" s="11">
        <v>1.1836443417004816</v>
      </c>
      <c r="AW119" s="11">
        <v>0.19829563560857427</v>
      </c>
      <c r="AX119" s="11">
        <v>1.3642754821378986</v>
      </c>
      <c r="AY119" s="11"/>
      <c r="AZ119" s="11">
        <v>5.4576684323189859</v>
      </c>
      <c r="BA119" s="11">
        <v>3.9311597387186009E-2</v>
      </c>
      <c r="BB119" s="11">
        <v>3.2475199685846774</v>
      </c>
      <c r="BC119" s="11">
        <v>2.2894564392056482</v>
      </c>
      <c r="BD119" s="11">
        <v>3.62310590873191</v>
      </c>
      <c r="BE119" s="11">
        <v>0.19095059739253997</v>
      </c>
      <c r="BF119" s="11">
        <v>0.54505145750510842</v>
      </c>
      <c r="BG119" s="11">
        <v>0.64393032398271988</v>
      </c>
      <c r="BH119" s="11">
        <v>0.15503897489507915</v>
      </c>
      <c r="BI119" s="11">
        <v>8.7594272340801149E-3</v>
      </c>
      <c r="BJ119" s="11">
        <v>17.459165371317489</v>
      </c>
      <c r="BK119" s="11">
        <v>9.9999999999999995E-7</v>
      </c>
      <c r="BL119" s="11">
        <v>154.41978166531942</v>
      </c>
      <c r="BM119" s="11">
        <v>10.052963478347868</v>
      </c>
      <c r="BN119" s="11">
        <v>62.685922973749044</v>
      </c>
      <c r="BO119" s="11">
        <v>31.058457131975626</v>
      </c>
      <c r="BP119" s="11">
        <v>2.2400835091397591</v>
      </c>
      <c r="BQ119" s="11">
        <v>587.92825211530067</v>
      </c>
      <c r="BR119" s="11">
        <v>26.239817184274003</v>
      </c>
      <c r="BS119" s="11">
        <v>135.59078756827481</v>
      </c>
      <c r="BT119" s="11">
        <v>631.34867334926525</v>
      </c>
      <c r="BU119" s="11">
        <v>25.263064252572395</v>
      </c>
      <c r="BV119" s="11"/>
      <c r="BW119" s="11"/>
      <c r="BX119" s="11">
        <v>46.836552453819699</v>
      </c>
      <c r="BY119" s="11">
        <v>7.2391474928552029</v>
      </c>
      <c r="BZ119" s="11">
        <v>46.36348750899198</v>
      </c>
      <c r="CA119" s="11">
        <v>29.773585884052743</v>
      </c>
      <c r="CB119" s="11"/>
      <c r="CC119" s="11">
        <v>36.988437511373355</v>
      </c>
      <c r="CD119" s="11"/>
      <c r="CE119" s="11">
        <v>106.58936803974967</v>
      </c>
      <c r="CF119" s="11">
        <v>26.483340391608554</v>
      </c>
      <c r="CG119" s="11"/>
      <c r="CH119" s="11"/>
      <c r="CI119" s="11">
        <v>0.11459585756125076</v>
      </c>
      <c r="CJ119" s="11"/>
      <c r="CK119" s="11"/>
      <c r="CL119" s="11"/>
      <c r="CM119" s="11"/>
      <c r="CN119" s="11"/>
      <c r="CO119" s="11">
        <v>126.55376573664957</v>
      </c>
      <c r="CP119" s="11"/>
      <c r="CQ119" s="11"/>
      <c r="CR119" s="11">
        <v>2.1612666883894682E-2</v>
      </c>
      <c r="CS119" s="11">
        <v>1.724432528684211E-2</v>
      </c>
      <c r="CT119" s="11">
        <v>5.5255936768354282E-2</v>
      </c>
      <c r="CU119" s="11">
        <v>0.26684096394418555</v>
      </c>
      <c r="CV119" s="11">
        <v>0.4871344643018059</v>
      </c>
      <c r="CW119" s="11">
        <v>4.0215116400820136E-3</v>
      </c>
      <c r="CX119" s="11">
        <v>3.1697371864041839E-3</v>
      </c>
      <c r="CY119" s="11">
        <v>1.4455217605888871E-2</v>
      </c>
      <c r="CZ119" s="11">
        <v>2.2440617844314066E-2</v>
      </c>
      <c r="DA119" s="11">
        <v>1.1701885687534559</v>
      </c>
      <c r="DB119" s="11">
        <v>144.67591833808493</v>
      </c>
      <c r="DC119" s="11"/>
      <c r="DD119" s="11"/>
      <c r="DE119" s="11"/>
      <c r="DF119" s="11"/>
      <c r="DG119" s="11"/>
      <c r="DH119" s="11"/>
      <c r="DI119" s="11"/>
      <c r="DJ119" s="11">
        <v>2346.3790267580084</v>
      </c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174</v>
      </c>
      <c r="B120" s="11">
        <v>717.72522445712264</v>
      </c>
      <c r="C120" s="11">
        <v>37.194202829088255</v>
      </c>
      <c r="D120" s="11">
        <v>189.64492433823514</v>
      </c>
      <c r="E120" s="11">
        <v>589.34356924670737</v>
      </c>
      <c r="F120" s="11">
        <v>57.289028309356169</v>
      </c>
      <c r="G120" s="11">
        <v>264.27420693452206</v>
      </c>
      <c r="H120" s="11">
        <v>567.59557622903139</v>
      </c>
      <c r="I120" s="11">
        <v>89.326638701837226</v>
      </c>
      <c r="J120" s="11">
        <v>10.115338280714795</v>
      </c>
      <c r="K120" s="11">
        <v>22.81562880364185</v>
      </c>
      <c r="L120" s="11">
        <v>462.34651928341702</v>
      </c>
      <c r="M120" s="11">
        <v>249.73847460642364</v>
      </c>
      <c r="N120" s="11">
        <v>99.118439370194679</v>
      </c>
      <c r="O120" s="11">
        <v>796.22541897532801</v>
      </c>
      <c r="P120" s="11">
        <v>150.03076041217543</v>
      </c>
      <c r="Q120" s="11">
        <v>213.46336784067287</v>
      </c>
      <c r="R120" s="11">
        <v>148.19875922679537</v>
      </c>
      <c r="S120" s="11">
        <v>106.76064096374512</v>
      </c>
      <c r="T120" s="11">
        <v>117.87883461856356</v>
      </c>
      <c r="U120" s="11">
        <v>1292.2817967773144</v>
      </c>
      <c r="V120" s="11">
        <v>286.20695670784738</v>
      </c>
      <c r="W120" s="11">
        <v>262.57522910785991</v>
      </c>
      <c r="X120" s="11">
        <v>127.33832074116985</v>
      </c>
      <c r="Y120" s="11">
        <v>226.81509801185837</v>
      </c>
      <c r="Z120" s="11">
        <v>105.59404964682702</v>
      </c>
      <c r="AA120" s="11">
        <v>187.22599271572497</v>
      </c>
      <c r="AB120" s="11">
        <v>97.453902843898192</v>
      </c>
      <c r="AC120" s="11">
        <v>330.98870514393531</v>
      </c>
      <c r="AD120" s="11">
        <v>239.30925557885632</v>
      </c>
      <c r="AE120" s="11">
        <v>59.219575697372342</v>
      </c>
      <c r="AF120" s="11">
        <v>1294.8886237938536</v>
      </c>
      <c r="AG120" s="11">
        <v>1283.4357031721347</v>
      </c>
      <c r="AH120" s="11">
        <v>1368.3507132229395</v>
      </c>
      <c r="AI120" s="11">
        <v>352.20369593496019</v>
      </c>
      <c r="AJ120" s="11">
        <v>180.85676776615261</v>
      </c>
      <c r="AK120" s="11">
        <v>470.29396972567162</v>
      </c>
      <c r="AL120" s="11">
        <v>767.5721833213305</v>
      </c>
      <c r="AM120" s="11">
        <v>453.06754222440418</v>
      </c>
      <c r="AN120" s="11">
        <v>635.10637061065643</v>
      </c>
      <c r="AO120" s="11">
        <v>743.07571603221959</v>
      </c>
      <c r="AP120" s="11">
        <v>269.77092128031074</v>
      </c>
      <c r="AQ120" s="11">
        <v>176.98772049600748</v>
      </c>
      <c r="AR120" s="11">
        <v>726.20736370855229</v>
      </c>
      <c r="AS120" s="11">
        <v>44.131750585725818</v>
      </c>
      <c r="AT120" s="11">
        <v>253.87280472531262</v>
      </c>
      <c r="AU120" s="11">
        <v>538.90033171518871</v>
      </c>
      <c r="AV120" s="11">
        <v>61.806879552375371</v>
      </c>
      <c r="AW120" s="11">
        <v>239.16939047442543</v>
      </c>
      <c r="AX120" s="11">
        <v>590.19145407741382</v>
      </c>
      <c r="AY120" s="11">
        <v>91.601470687178107</v>
      </c>
      <c r="AZ120" s="11">
        <v>19.458491222898523</v>
      </c>
      <c r="BA120" s="11">
        <v>30.751735908695668</v>
      </c>
      <c r="BB120" s="11">
        <v>407.21201359928909</v>
      </c>
      <c r="BC120" s="11">
        <v>314.12908619481505</v>
      </c>
      <c r="BD120" s="11">
        <v>126.14795726428677</v>
      </c>
      <c r="BE120" s="11">
        <v>836.25336239286855</v>
      </c>
      <c r="BF120" s="11">
        <v>129.245401543589</v>
      </c>
      <c r="BG120" s="11">
        <v>233.45067403750386</v>
      </c>
      <c r="BH120" s="11">
        <v>189.47650447161993</v>
      </c>
      <c r="BI120" s="11">
        <v>125.78497753891385</v>
      </c>
      <c r="BJ120" s="11">
        <v>155.12576304394514</v>
      </c>
      <c r="BK120" s="11">
        <v>9.9999999999999995E-7</v>
      </c>
      <c r="BL120" s="11">
        <v>1924.7845523237943</v>
      </c>
      <c r="BM120" s="11">
        <v>426.36279119186929</v>
      </c>
      <c r="BN120" s="11">
        <v>446.87962074099823</v>
      </c>
      <c r="BO120" s="11">
        <v>198.90574121744262</v>
      </c>
      <c r="BP120" s="11">
        <v>2.2400835091397591</v>
      </c>
      <c r="BQ120" s="11">
        <v>1035.0332080057062</v>
      </c>
      <c r="BR120" s="11">
        <v>157.73725004859767</v>
      </c>
      <c r="BS120" s="11">
        <v>391.4134957220391</v>
      </c>
      <c r="BT120" s="11">
        <v>842.25317872229959</v>
      </c>
      <c r="BU120" s="11">
        <v>398.81350525367583</v>
      </c>
      <c r="BV120" s="11">
        <v>252.99257889785179</v>
      </c>
      <c r="BW120" s="11">
        <v>65.742289440429218</v>
      </c>
      <c r="BX120" s="11">
        <v>1341.7251762476733</v>
      </c>
      <c r="BY120" s="11">
        <v>1314.6589814498707</v>
      </c>
      <c r="BZ120" s="11">
        <v>1422.3610164556574</v>
      </c>
      <c r="CA120" s="11">
        <v>430.49204678169485</v>
      </c>
      <c r="CB120" s="11">
        <v>199.52215940167042</v>
      </c>
      <c r="CC120" s="11">
        <v>510.76297484928233</v>
      </c>
      <c r="CD120" s="11">
        <v>767.57218332133084</v>
      </c>
      <c r="CE120" s="11">
        <v>579.08125614251071</v>
      </c>
      <c r="CF120" s="11">
        <v>661.58971100226427</v>
      </c>
      <c r="CG120" s="11">
        <v>743.07571603221936</v>
      </c>
      <c r="CH120" s="11">
        <v>269.77092128031057</v>
      </c>
      <c r="CI120" s="11">
        <v>181.60141661205341</v>
      </c>
      <c r="CJ120" s="11">
        <v>1348.2959186983601</v>
      </c>
      <c r="CK120" s="11">
        <v>196.19756397140185</v>
      </c>
      <c r="CL120" s="11">
        <v>1017.9073753238386</v>
      </c>
      <c r="CM120" s="11">
        <v>2209.1257527236239</v>
      </c>
      <c r="CN120" s="11">
        <v>1117.7120551106398</v>
      </c>
      <c r="CO120" s="11">
        <v>4186.8579805174822</v>
      </c>
      <c r="CP120" s="11">
        <v>135.26555695774491</v>
      </c>
      <c r="CQ120" s="11">
        <v>3782.2988553442747</v>
      </c>
      <c r="CR120" s="11">
        <v>461.8377103095429</v>
      </c>
      <c r="CS120" s="11">
        <v>646.0467485142907</v>
      </c>
      <c r="CT120" s="11">
        <v>856.90422852890356</v>
      </c>
      <c r="CU120" s="11">
        <v>1013.5857360035709</v>
      </c>
      <c r="CV120" s="11">
        <v>1025.331895825328</v>
      </c>
      <c r="CW120" s="11">
        <v>52.175843799236638</v>
      </c>
      <c r="CX120" s="11">
        <v>126.69777486930852</v>
      </c>
      <c r="CY120" s="11">
        <v>247.59292011011013</v>
      </c>
      <c r="CZ120" s="11">
        <v>609.49165364423914</v>
      </c>
      <c r="DA120" s="11">
        <v>3431.5478960031646</v>
      </c>
      <c r="DB120" s="11">
        <v>1807.677110681434</v>
      </c>
      <c r="DC120" s="11">
        <v>737.12793833219052</v>
      </c>
      <c r="DD120" s="11">
        <v>140.6547312578773</v>
      </c>
      <c r="DE120" s="11">
        <v>677.61915426251812</v>
      </c>
      <c r="DF120" s="11">
        <v>1.7763568394002505E-14</v>
      </c>
      <c r="DG120" s="11">
        <v>1694.4882249436992</v>
      </c>
      <c r="DH120" s="11">
        <v>63.484560156739086</v>
      </c>
      <c r="DI120" s="11">
        <v>2346.3790267580084</v>
      </c>
      <c r="DJ120" s="11">
        <v>65710.297845023364</v>
      </c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249</v>
      </c>
    </row>
    <row r="3" spans="1:27" x14ac:dyDescent="0.3">
      <c r="B3" s="14"/>
    </row>
    <row r="6" spans="1:27" x14ac:dyDescent="0.3">
      <c r="B6" s="2" t="s">
        <v>250</v>
      </c>
      <c r="C6" s="2"/>
    </row>
    <row r="7" spans="1:27" x14ac:dyDescent="0.3">
      <c r="A7" s="12"/>
      <c r="C7" t="s">
        <v>700</v>
      </c>
      <c r="D7" t="s">
        <v>702</v>
      </c>
      <c r="E7" t="s">
        <v>704</v>
      </c>
      <c r="F7" t="s">
        <v>706</v>
      </c>
      <c r="G7" t="s">
        <v>708</v>
      </c>
      <c r="H7" t="s">
        <v>379</v>
      </c>
      <c r="I7" t="s">
        <v>380</v>
      </c>
      <c r="J7" t="s">
        <v>381</v>
      </c>
      <c r="K7" t="s">
        <v>382</v>
      </c>
      <c r="L7" t="s">
        <v>383</v>
      </c>
    </row>
    <row r="8" spans="1:27" x14ac:dyDescent="0.3">
      <c r="A8" s="16"/>
      <c r="B8" s="11" t="s">
        <v>349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350</v>
      </c>
      <c r="Z8" s="121" t="s">
        <v>394</v>
      </c>
      <c r="AA8" s="122">
        <v>0.87</v>
      </c>
    </row>
    <row r="9" spans="1:27" x14ac:dyDescent="0.3">
      <c r="A9" s="16"/>
      <c r="B9" s="11" t="s">
        <v>350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349</v>
      </c>
      <c r="Z9" s="121" t="s">
        <v>732</v>
      </c>
      <c r="AA9" s="122">
        <v>0.14000000000000001</v>
      </c>
    </row>
    <row r="10" spans="1:27" x14ac:dyDescent="0.3">
      <c r="A10" s="16"/>
      <c r="B10" s="11" t="s">
        <v>351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352</v>
      </c>
      <c r="Z10" s="121" t="s">
        <v>397</v>
      </c>
      <c r="AA10" s="122">
        <v>0.3</v>
      </c>
    </row>
    <row r="11" spans="1:27" x14ac:dyDescent="0.3">
      <c r="A11" s="16"/>
      <c r="B11" s="11" t="s">
        <v>352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121" t="s">
        <v>733</v>
      </c>
      <c r="AA11" s="122">
        <v>0.5</v>
      </c>
    </row>
    <row r="12" spans="1:27" x14ac:dyDescent="0.3">
      <c r="A12" s="16"/>
      <c r="B12" s="11" t="s">
        <v>353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353</v>
      </c>
      <c r="Z12" s="121" t="s">
        <v>734</v>
      </c>
      <c r="AA12" s="122">
        <v>1.56</v>
      </c>
    </row>
    <row r="13" spans="1:27" x14ac:dyDescent="0.3">
      <c r="A13" s="16"/>
      <c r="B13" s="11" t="s">
        <v>354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354</v>
      </c>
      <c r="Z13" s="121" t="s">
        <v>735</v>
      </c>
      <c r="AA13" s="122">
        <v>0.47</v>
      </c>
    </row>
    <row r="14" spans="1:27" x14ac:dyDescent="0.3">
      <c r="A14" s="16"/>
      <c r="B14" s="11" t="s">
        <v>310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310</v>
      </c>
      <c r="Z14" s="121" t="s">
        <v>402</v>
      </c>
      <c r="AA14" s="122">
        <v>0.56000000000000005</v>
      </c>
    </row>
    <row r="15" spans="1:27" x14ac:dyDescent="0.3">
      <c r="A15" s="16"/>
      <c r="B15" s="11" t="s">
        <v>355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311</v>
      </c>
      <c r="Z15" s="121" t="s">
        <v>410</v>
      </c>
      <c r="AA15" s="122">
        <v>0.86</v>
      </c>
    </row>
    <row r="16" spans="1:27" x14ac:dyDescent="0.3">
      <c r="A16" s="16"/>
      <c r="B16" s="11" t="s">
        <v>312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358</v>
      </c>
      <c r="Z16" s="121" t="s">
        <v>413</v>
      </c>
      <c r="AA16" s="123">
        <f>AA15</f>
        <v>0.86</v>
      </c>
    </row>
    <row r="17" spans="1:27" x14ac:dyDescent="0.3">
      <c r="A17" s="16"/>
      <c r="B17" s="11" t="s">
        <v>356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359</v>
      </c>
      <c r="Z17" s="121" t="s">
        <v>736</v>
      </c>
      <c r="AA17" s="122">
        <v>0.89</v>
      </c>
    </row>
    <row r="18" spans="1:27" x14ac:dyDescent="0.3">
      <c r="A18" s="16"/>
      <c r="B18" s="11" t="s">
        <v>311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361</v>
      </c>
      <c r="Z18" s="121" t="s">
        <v>737</v>
      </c>
      <c r="AA18" s="122">
        <v>2.02</v>
      </c>
    </row>
    <row r="19" spans="1:27" x14ac:dyDescent="0.3">
      <c r="A19" s="16"/>
      <c r="B19" s="11" t="s">
        <v>357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360</v>
      </c>
      <c r="Z19" s="121" t="s">
        <v>738</v>
      </c>
      <c r="AA19" s="122">
        <v>1.21</v>
      </c>
    </row>
    <row r="20" spans="1:27" x14ac:dyDescent="0.3">
      <c r="A20" s="16"/>
      <c r="B20" s="11" t="s">
        <v>358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121" t="s">
        <v>739</v>
      </c>
      <c r="AA20" s="122">
        <v>0.81</v>
      </c>
    </row>
    <row r="21" spans="1:27" x14ac:dyDescent="0.3">
      <c r="A21" s="16"/>
      <c r="B21" s="11" t="s">
        <v>359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121" t="s">
        <v>740</v>
      </c>
      <c r="AA21" s="122">
        <v>0.49</v>
      </c>
    </row>
    <row r="22" spans="1:27" x14ac:dyDescent="0.3">
      <c r="A22" s="16"/>
      <c r="B22" s="11" t="s">
        <v>360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121" t="s">
        <v>741</v>
      </c>
      <c r="AA22" s="122">
        <v>0.63</v>
      </c>
    </row>
    <row r="23" spans="1:27" x14ac:dyDescent="0.3">
      <c r="A23" s="16"/>
      <c r="B23" s="11" t="s">
        <v>361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121" t="s">
        <v>414</v>
      </c>
      <c r="AA23" s="122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121" t="s">
        <v>742</v>
      </c>
      <c r="AA24" s="122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355</v>
      </c>
      <c r="Z25" s="121" t="s">
        <v>743</v>
      </c>
      <c r="AA25" s="122">
        <v>0.12</v>
      </c>
    </row>
    <row r="26" spans="1:27" x14ac:dyDescent="0.3">
      <c r="A26" s="16"/>
      <c r="B26" s="11" t="s">
        <v>670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363</v>
      </c>
      <c r="Z26" s="121" t="s">
        <v>316</v>
      </c>
      <c r="AA26" s="124"/>
    </row>
    <row r="27" spans="1:27" x14ac:dyDescent="0.3">
      <c r="A27" s="16"/>
      <c r="B27" s="11" t="s">
        <v>421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362</v>
      </c>
      <c r="Z27" s="121" t="s">
        <v>418</v>
      </c>
      <c r="AA27" s="122">
        <v>1.1200000000000001</v>
      </c>
    </row>
    <row r="28" spans="1:27" x14ac:dyDescent="0.3">
      <c r="A28" s="16"/>
      <c r="B28" s="11" t="s">
        <v>362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312</v>
      </c>
      <c r="Z28" s="121" t="s">
        <v>406</v>
      </c>
      <c r="AA28" s="122">
        <v>0.18</v>
      </c>
    </row>
    <row r="29" spans="1:27" x14ac:dyDescent="0.3">
      <c r="A29" s="16"/>
      <c r="B29" s="11" t="s">
        <v>363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364</v>
      </c>
      <c r="Z29" s="121" t="s">
        <v>419</v>
      </c>
      <c r="AA29" s="122">
        <v>0.8</v>
      </c>
    </row>
    <row r="30" spans="1:27" x14ac:dyDescent="0.3">
      <c r="A30" s="16"/>
      <c r="B30" s="11" t="s">
        <v>364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365</v>
      </c>
      <c r="Z30" s="121" t="s">
        <v>420</v>
      </c>
      <c r="AA30" s="122">
        <v>1.85</v>
      </c>
    </row>
    <row r="31" spans="1:27" x14ac:dyDescent="0.3">
      <c r="A31" s="16"/>
      <c r="B31" s="11" t="s">
        <v>28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368</v>
      </c>
      <c r="Z31" s="121" t="s">
        <v>744</v>
      </c>
      <c r="AA31" s="122">
        <v>8.26</v>
      </c>
    </row>
    <row r="32" spans="1:27" x14ac:dyDescent="0.3">
      <c r="A32" s="16"/>
      <c r="B32" s="11" t="s">
        <v>803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369</v>
      </c>
      <c r="Z32" s="121" t="s">
        <v>745</v>
      </c>
      <c r="AA32" s="122">
        <v>1.8</v>
      </c>
    </row>
    <row r="33" spans="1:27" x14ac:dyDescent="0.3">
      <c r="A33" s="16"/>
      <c r="B33" s="11" t="s">
        <v>365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372</v>
      </c>
      <c r="Z33" s="121" t="s">
        <v>746</v>
      </c>
      <c r="AA33" s="122">
        <v>2.37</v>
      </c>
    </row>
    <row r="34" spans="1:27" x14ac:dyDescent="0.3">
      <c r="A34" s="16"/>
      <c r="B34" s="11" t="s">
        <v>366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367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368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369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370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33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371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35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372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373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374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375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178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376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377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179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180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37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V112"/>
  <sheetViews>
    <sheetView workbookViewId="0">
      <selection activeCell="AF18" sqref="AF18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  <col min="43" max="43" width="24.5546875" bestFit="1" customWidth="1"/>
  </cols>
  <sheetData>
    <row r="1" spans="1:48" ht="18" x14ac:dyDescent="0.35">
      <c r="A1" s="5" t="s">
        <v>263</v>
      </c>
    </row>
    <row r="4" spans="1:48" x14ac:dyDescent="0.3">
      <c r="E4" s="9"/>
      <c r="F4" s="9"/>
    </row>
    <row r="5" spans="1:48" x14ac:dyDescent="0.3">
      <c r="B5" s="8" t="s">
        <v>264</v>
      </c>
      <c r="C5" s="6"/>
      <c r="D5" s="6"/>
      <c r="E5" s="6"/>
      <c r="F5" s="6"/>
      <c r="G5" s="6"/>
      <c r="H5" s="6"/>
      <c r="I5" s="8" t="s">
        <v>265</v>
      </c>
      <c r="J5" s="6"/>
      <c r="K5" s="6"/>
      <c r="M5" s="2" t="s">
        <v>266</v>
      </c>
      <c r="Y5" s="18"/>
      <c r="AF5" s="18"/>
    </row>
    <row r="6" spans="1:48" x14ac:dyDescent="0.3">
      <c r="B6" s="6"/>
      <c r="C6" s="7" t="s">
        <v>267</v>
      </c>
      <c r="D6" s="7" t="s">
        <v>268</v>
      </c>
      <c r="E6" s="7" t="s">
        <v>269</v>
      </c>
      <c r="F6" s="7" t="s">
        <v>270</v>
      </c>
      <c r="G6" s="17" t="s">
        <v>96</v>
      </c>
      <c r="H6" s="7"/>
      <c r="I6" s="6"/>
      <c r="J6" s="7" t="s">
        <v>271</v>
      </c>
      <c r="K6" s="6"/>
      <c r="M6" s="9" t="s">
        <v>272</v>
      </c>
      <c r="Y6" s="18"/>
      <c r="Z6" s="19" t="s">
        <v>748</v>
      </c>
      <c r="AA6" s="19"/>
      <c r="AB6" s="19"/>
      <c r="AC6" s="19"/>
      <c r="AF6" s="18"/>
    </row>
    <row r="7" spans="1:48" x14ac:dyDescent="0.3">
      <c r="A7" s="12" t="s">
        <v>749</v>
      </c>
      <c r="B7" s="20"/>
      <c r="C7" s="20" t="s">
        <v>273</v>
      </c>
      <c r="D7" s="20" t="s">
        <v>274</v>
      </c>
      <c r="E7" s="20" t="s">
        <v>275</v>
      </c>
      <c r="F7" s="20" t="s">
        <v>276</v>
      </c>
      <c r="G7" s="20" t="s">
        <v>277</v>
      </c>
      <c r="H7" s="20"/>
      <c r="I7" s="20"/>
      <c r="J7" s="20" t="s">
        <v>278</v>
      </c>
      <c r="K7" s="20" t="s">
        <v>279</v>
      </c>
      <c r="N7" t="s">
        <v>280</v>
      </c>
      <c r="Y7" s="19"/>
      <c r="Z7" s="18" t="s">
        <v>750</v>
      </c>
      <c r="AD7"/>
      <c r="AE7" s="3"/>
      <c r="AG7" s="18" t="s">
        <v>750</v>
      </c>
      <c r="AQ7" s="138"/>
      <c r="AR7" s="138"/>
    </row>
    <row r="8" spans="1:48" x14ac:dyDescent="0.3">
      <c r="A8" s="12"/>
      <c r="B8" t="s">
        <v>349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323</v>
      </c>
      <c r="J8" s="15">
        <f>VLOOKUP($I8,$AF$10:$AH$18,3,)</f>
        <v>0.80900000000000005</v>
      </c>
      <c r="K8" s="15">
        <v>1.2</v>
      </c>
      <c r="M8" s="11" t="s">
        <v>485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751</v>
      </c>
      <c r="AA8" s="19"/>
      <c r="AB8" s="19"/>
      <c r="AC8" s="19"/>
      <c r="AD8" s="19"/>
      <c r="AE8" s="3"/>
      <c r="AG8" s="18" t="s">
        <v>752</v>
      </c>
      <c r="AQ8" s="121"/>
      <c r="AR8" s="122"/>
      <c r="AV8" s="121"/>
    </row>
    <row r="9" spans="1:48" x14ac:dyDescent="0.3">
      <c r="A9" s="12"/>
      <c r="B9" t="s">
        <v>350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324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273</v>
      </c>
      <c r="AB9" s="19" t="s">
        <v>274</v>
      </c>
      <c r="AC9" s="19"/>
      <c r="AD9" s="19"/>
      <c r="AE9" s="3"/>
      <c r="AH9" s="19" t="s">
        <v>278</v>
      </c>
      <c r="AQ9" s="121"/>
      <c r="AR9" s="122"/>
      <c r="AV9" s="121"/>
    </row>
    <row r="10" spans="1:48" x14ac:dyDescent="0.3">
      <c r="A10" s="12"/>
      <c r="B10" t="s">
        <v>351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611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349</v>
      </c>
      <c r="Z10" s="23" t="s">
        <v>753</v>
      </c>
      <c r="AA10" s="23">
        <v>0.99299999999999999</v>
      </c>
      <c r="AB10" s="23">
        <v>3.6</v>
      </c>
      <c r="AC10" s="23"/>
      <c r="AD10"/>
      <c r="AE10" s="3"/>
      <c r="AF10" t="s">
        <v>323</v>
      </c>
      <c r="AG10" s="23" t="s">
        <v>754</v>
      </c>
      <c r="AH10" s="23">
        <v>0.80900000000000005</v>
      </c>
      <c r="AI10" s="32"/>
      <c r="AJ10" s="32"/>
      <c r="AK10" s="32"/>
      <c r="AQ10" s="121"/>
      <c r="AR10" s="122"/>
      <c r="AV10" s="121"/>
    </row>
    <row r="11" spans="1:48" x14ac:dyDescent="0.3">
      <c r="A11" s="12"/>
      <c r="B11" t="s">
        <v>352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325</v>
      </c>
      <c r="J11" s="15">
        <f t="shared" si="2"/>
        <v>0.80900000000000005</v>
      </c>
      <c r="K11" s="15">
        <v>1.2</v>
      </c>
      <c r="Z11" s="23" t="s">
        <v>755</v>
      </c>
      <c r="AA11" s="23">
        <v>0.42899999999999999</v>
      </c>
      <c r="AB11" s="23">
        <v>3.6</v>
      </c>
      <c r="AD11"/>
      <c r="AE11" s="3"/>
      <c r="AF11" t="s">
        <v>483</v>
      </c>
      <c r="AG11" s="23" t="s">
        <v>756</v>
      </c>
      <c r="AH11" s="23">
        <v>0.77100000000000002</v>
      </c>
      <c r="AI11" s="32"/>
      <c r="AQ11" s="121"/>
      <c r="AR11" s="122"/>
      <c r="AV11" s="121"/>
    </row>
    <row r="12" spans="1:48" x14ac:dyDescent="0.3">
      <c r="A12" s="12"/>
      <c r="B12" t="s">
        <v>353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326</v>
      </c>
      <c r="J12" s="15">
        <f t="shared" si="2"/>
        <v>0.80900000000000005</v>
      </c>
      <c r="K12" s="15">
        <v>1.2</v>
      </c>
      <c r="Z12" s="23" t="s">
        <v>251</v>
      </c>
      <c r="AA12" s="23">
        <v>0.52700000000000002</v>
      </c>
      <c r="AB12" s="23">
        <v>3.6</v>
      </c>
      <c r="AC12" s="23"/>
      <c r="AD12"/>
      <c r="AE12" s="3"/>
      <c r="AF12" t="s">
        <v>20</v>
      </c>
      <c r="AG12" s="23" t="s">
        <v>757</v>
      </c>
      <c r="AH12" s="23">
        <v>0.78400000000000003</v>
      </c>
      <c r="AI12" s="32"/>
      <c r="AQ12" s="121"/>
      <c r="AR12" s="122"/>
      <c r="AV12" s="121"/>
    </row>
    <row r="13" spans="1:48" x14ac:dyDescent="0.3">
      <c r="A13" s="12"/>
      <c r="B13" t="s">
        <v>354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327</v>
      </c>
      <c r="J13" s="15">
        <f t="shared" si="2"/>
        <v>0.80900000000000005</v>
      </c>
      <c r="K13" s="15">
        <v>1.2</v>
      </c>
      <c r="Y13" t="s">
        <v>670</v>
      </c>
      <c r="Z13" s="23" t="s">
        <v>252</v>
      </c>
      <c r="AA13" s="23">
        <v>0.38600000000000001</v>
      </c>
      <c r="AB13" s="23">
        <v>3.6</v>
      </c>
      <c r="AC13" s="23"/>
      <c r="AD13"/>
      <c r="AE13" s="3"/>
      <c r="AF13" t="s">
        <v>341</v>
      </c>
      <c r="AG13" s="23" t="s">
        <v>758</v>
      </c>
      <c r="AH13" s="23">
        <v>0.72099999999999997</v>
      </c>
      <c r="AI13" s="32"/>
      <c r="AQ13" s="121"/>
      <c r="AR13" s="122"/>
      <c r="AV13" s="121"/>
    </row>
    <row r="14" spans="1:48" x14ac:dyDescent="0.3">
      <c r="A14" s="12"/>
      <c r="B14" t="s">
        <v>310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313</v>
      </c>
      <c r="J14" s="15">
        <f t="shared" si="2"/>
        <v>0.80900000000000005</v>
      </c>
      <c r="K14" s="15">
        <v>1.2</v>
      </c>
      <c r="Y14" t="s">
        <v>362</v>
      </c>
      <c r="Z14" s="23" t="s">
        <v>253</v>
      </c>
      <c r="AA14" s="23">
        <v>0.88800000000000001</v>
      </c>
      <c r="AB14" s="23">
        <v>3.6</v>
      </c>
      <c r="AC14" s="23"/>
      <c r="AD14"/>
      <c r="AE14" s="3"/>
      <c r="AF14" t="s">
        <v>342</v>
      </c>
      <c r="AG14" s="23" t="s">
        <v>759</v>
      </c>
      <c r="AH14" s="23">
        <v>0.71499999999999997</v>
      </c>
      <c r="AI14" s="32"/>
      <c r="AJ14" s="32"/>
      <c r="AQ14" s="121"/>
      <c r="AR14" s="122"/>
      <c r="AV14" s="121"/>
    </row>
    <row r="15" spans="1:48" x14ac:dyDescent="0.3">
      <c r="A15" s="12"/>
      <c r="B15" t="s">
        <v>355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328</v>
      </c>
      <c r="J15" s="15">
        <f t="shared" si="2"/>
        <v>0.80900000000000005</v>
      </c>
      <c r="K15" s="15">
        <v>1.2</v>
      </c>
      <c r="Y15" t="s">
        <v>363</v>
      </c>
      <c r="Z15" s="23" t="s">
        <v>322</v>
      </c>
      <c r="AA15" s="23">
        <v>1.3320000000000001</v>
      </c>
      <c r="AB15" s="23">
        <v>3.6</v>
      </c>
      <c r="AC15" s="23"/>
      <c r="AD15"/>
      <c r="AE15" s="3"/>
      <c r="AF15" t="s">
        <v>34</v>
      </c>
      <c r="AG15" s="23" t="s">
        <v>760</v>
      </c>
      <c r="AH15" s="23">
        <v>0.71699999999999997</v>
      </c>
      <c r="AI15" s="32"/>
      <c r="AQ15" s="121"/>
      <c r="AR15" s="122"/>
      <c r="AV15" s="121"/>
    </row>
    <row r="16" spans="1:48" x14ac:dyDescent="0.3">
      <c r="A16" s="12"/>
      <c r="B16" t="s">
        <v>312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315</v>
      </c>
      <c r="J16" s="15">
        <f t="shared" si="2"/>
        <v>0.80900000000000005</v>
      </c>
      <c r="K16" s="15">
        <v>1.2</v>
      </c>
      <c r="Z16" s="23" t="s">
        <v>317</v>
      </c>
      <c r="AA16" s="23">
        <v>0.89800000000000002</v>
      </c>
      <c r="AB16" s="23">
        <v>3.6</v>
      </c>
      <c r="AC16" s="23"/>
      <c r="AD16"/>
      <c r="AE16" s="3"/>
      <c r="AF16" t="s">
        <v>343</v>
      </c>
      <c r="AG16" s="23" t="s">
        <v>761</v>
      </c>
      <c r="AH16" s="23">
        <v>0.754</v>
      </c>
      <c r="AI16" s="32"/>
      <c r="AQ16" s="121"/>
      <c r="AR16" s="124"/>
      <c r="AV16" s="121"/>
    </row>
    <row r="17" spans="1:48" x14ac:dyDescent="0.3">
      <c r="A17" s="12"/>
      <c r="B17" t="s">
        <v>356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329</v>
      </c>
      <c r="J17" s="15">
        <f t="shared" si="2"/>
        <v>0.80900000000000005</v>
      </c>
      <c r="K17" s="15">
        <v>1.2</v>
      </c>
      <c r="Y17" t="s">
        <v>364</v>
      </c>
      <c r="Z17" s="23" t="s">
        <v>254</v>
      </c>
      <c r="AA17" s="23">
        <v>0.91100000000000003</v>
      </c>
      <c r="AB17" s="23">
        <v>3.6</v>
      </c>
      <c r="AC17" s="23"/>
      <c r="AD17"/>
      <c r="AE17" s="3"/>
      <c r="AF17" t="s">
        <v>346</v>
      </c>
      <c r="AG17" s="23" t="s">
        <v>762</v>
      </c>
      <c r="AH17" s="23">
        <v>0.90400000000000003</v>
      </c>
      <c r="AI17" s="32"/>
      <c r="AQ17" s="121"/>
      <c r="AR17" s="122"/>
      <c r="AV17" s="121"/>
    </row>
    <row r="18" spans="1:48" x14ac:dyDescent="0.3">
      <c r="A18" s="12"/>
      <c r="B18" t="s">
        <v>311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314</v>
      </c>
      <c r="J18" s="15">
        <f t="shared" si="2"/>
        <v>0.80900000000000005</v>
      </c>
      <c r="K18" s="15">
        <v>1.2</v>
      </c>
      <c r="Z18" s="23" t="s">
        <v>763</v>
      </c>
      <c r="AA18" s="23">
        <v>1.3029999999999999</v>
      </c>
      <c r="AB18" s="23">
        <v>3.6</v>
      </c>
      <c r="AC18" s="23"/>
      <c r="AD18"/>
      <c r="AE18" s="3"/>
      <c r="AF18" t="s">
        <v>36</v>
      </c>
      <c r="AG18" s="23" t="s">
        <v>764</v>
      </c>
      <c r="AH18" s="23">
        <v>0.69699999999999995</v>
      </c>
      <c r="AI18" s="32"/>
      <c r="AQ18" s="121"/>
      <c r="AR18" s="122"/>
      <c r="AV18" s="121"/>
    </row>
    <row r="19" spans="1:48" x14ac:dyDescent="0.3">
      <c r="A19" s="12"/>
      <c r="B19" t="s">
        <v>357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330</v>
      </c>
      <c r="J19" s="15">
        <f t="shared" si="2"/>
        <v>0.80900000000000005</v>
      </c>
      <c r="K19" s="15">
        <v>1.2</v>
      </c>
      <c r="Z19" s="23" t="s">
        <v>255</v>
      </c>
      <c r="AA19" s="23">
        <v>1.2829999999999999</v>
      </c>
      <c r="AB19" s="23">
        <v>3.6</v>
      </c>
      <c r="AC19" s="23"/>
      <c r="AD19"/>
      <c r="AE19" s="3"/>
      <c r="AI19" s="32"/>
      <c r="AQ19" s="121"/>
      <c r="AR19" s="122"/>
      <c r="AV19" s="121"/>
    </row>
    <row r="20" spans="1:48" x14ac:dyDescent="0.3">
      <c r="A20" s="12"/>
      <c r="B20" t="s">
        <v>358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331</v>
      </c>
      <c r="J20" s="15">
        <f t="shared" si="2"/>
        <v>0.80900000000000005</v>
      </c>
      <c r="K20" s="15">
        <v>1.2</v>
      </c>
      <c r="Z20" s="23" t="s">
        <v>765</v>
      </c>
      <c r="AA20" s="23">
        <v>1.008</v>
      </c>
      <c r="AB20" s="23">
        <v>3.6</v>
      </c>
      <c r="AD20"/>
      <c r="AE20" s="3"/>
      <c r="AI20" s="32"/>
      <c r="AQ20" s="121"/>
      <c r="AR20" s="122"/>
      <c r="AV20" s="121"/>
    </row>
    <row r="21" spans="1:48" x14ac:dyDescent="0.3">
      <c r="A21" s="12"/>
      <c r="B21" t="s">
        <v>359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332</v>
      </c>
      <c r="J21" s="15">
        <f t="shared" si="2"/>
        <v>0.80900000000000005</v>
      </c>
      <c r="K21" s="15">
        <v>1.2</v>
      </c>
      <c r="Y21" t="s">
        <v>28</v>
      </c>
      <c r="Z21" s="23" t="s">
        <v>256</v>
      </c>
      <c r="AA21" s="23">
        <v>1.0649999999999999</v>
      </c>
      <c r="AB21" s="23">
        <v>3.6</v>
      </c>
      <c r="AC21" s="23"/>
      <c r="AD21"/>
      <c r="AE21" s="3"/>
      <c r="AI21" s="32"/>
      <c r="AQ21" s="121"/>
      <c r="AR21" s="122"/>
      <c r="AV21" s="121"/>
    </row>
    <row r="22" spans="1:48" x14ac:dyDescent="0.3">
      <c r="A22" s="12"/>
      <c r="B22" t="s">
        <v>360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333</v>
      </c>
      <c r="J22" s="15">
        <f t="shared" si="2"/>
        <v>0.80900000000000005</v>
      </c>
      <c r="K22" s="15">
        <v>1.2</v>
      </c>
      <c r="Z22" s="23" t="s">
        <v>766</v>
      </c>
      <c r="AA22" s="23">
        <v>0.84299999999999997</v>
      </c>
      <c r="AB22" s="23">
        <v>3.6</v>
      </c>
      <c r="AC22" s="23"/>
      <c r="AD22"/>
      <c r="AE22" s="3"/>
      <c r="AI22" s="32"/>
      <c r="AQ22" s="121"/>
      <c r="AR22" s="122"/>
      <c r="AV22" s="121"/>
    </row>
    <row r="23" spans="1:48" x14ac:dyDescent="0.3">
      <c r="A23" s="12"/>
      <c r="B23" t="s">
        <v>361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334</v>
      </c>
      <c r="J23" s="15">
        <f t="shared" si="2"/>
        <v>0.80900000000000005</v>
      </c>
      <c r="K23" s="15">
        <v>1.2</v>
      </c>
      <c r="Z23" s="23" t="s">
        <v>767</v>
      </c>
      <c r="AA23" s="23">
        <v>0.41299999999999998</v>
      </c>
      <c r="AB23" s="23">
        <v>3.6</v>
      </c>
      <c r="AC23" s="23"/>
      <c r="AD23"/>
      <c r="AE23" s="3"/>
      <c r="AI23" s="32"/>
      <c r="AJ23" s="32"/>
      <c r="AQ23" s="121"/>
      <c r="AR23" s="122"/>
      <c r="AV23" s="121"/>
    </row>
    <row r="24" spans="1:48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257</v>
      </c>
      <c r="AA24" s="23">
        <v>0.93700000000000006</v>
      </c>
      <c r="AB24" s="23">
        <v>3.6</v>
      </c>
      <c r="AC24" s="23"/>
      <c r="AD24"/>
      <c r="AE24" s="3"/>
      <c r="AI24" s="32"/>
      <c r="AQ24" s="121"/>
      <c r="AR24" s="122"/>
      <c r="AV24" s="121"/>
    </row>
    <row r="25" spans="1:48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365</v>
      </c>
      <c r="Z25" s="23" t="s">
        <v>258</v>
      </c>
      <c r="AA25" s="23">
        <v>0.27700000000000002</v>
      </c>
      <c r="AB25" s="23">
        <v>3.6</v>
      </c>
      <c r="AC25" s="32"/>
      <c r="AD25"/>
      <c r="AE25" s="3"/>
      <c r="AI25" s="32"/>
      <c r="AQ25" s="121"/>
      <c r="AR25" s="122"/>
      <c r="AV25" s="121"/>
    </row>
    <row r="26" spans="1:48" x14ac:dyDescent="0.3">
      <c r="A26" s="12"/>
      <c r="B26" t="s">
        <v>670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483</v>
      </c>
      <c r="J26" s="15">
        <f t="shared" ref="J26" si="5">VLOOKUP($I26,$AF$10:$AH$18,3,)</f>
        <v>0.77100000000000002</v>
      </c>
      <c r="K26" s="15">
        <v>1.2</v>
      </c>
      <c r="Z26" s="23" t="s">
        <v>768</v>
      </c>
      <c r="AA26" s="23">
        <v>0.73499999999999999</v>
      </c>
      <c r="AB26" s="23">
        <v>3.6</v>
      </c>
      <c r="AC26" s="23"/>
      <c r="AD26"/>
      <c r="AE26" s="3"/>
      <c r="AI26" s="32"/>
      <c r="AQ26" s="121"/>
      <c r="AR26" s="124"/>
      <c r="AV26" s="121"/>
    </row>
    <row r="27" spans="1:48" x14ac:dyDescent="0.3">
      <c r="A27" s="12"/>
      <c r="B27" t="s">
        <v>421</v>
      </c>
      <c r="C27" s="21">
        <f>C26</f>
        <v>0.38600000000000001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486</v>
      </c>
      <c r="J27" s="15">
        <f>J26</f>
        <v>0.77100000000000002</v>
      </c>
      <c r="K27" s="15">
        <v>1.2</v>
      </c>
      <c r="Z27" s="23" t="s">
        <v>769</v>
      </c>
      <c r="AA27" s="23">
        <v>1.1399999999999999</v>
      </c>
      <c r="AB27" s="23">
        <v>3.6</v>
      </c>
      <c r="AC27" s="23"/>
      <c r="AD27"/>
      <c r="AE27" s="3"/>
      <c r="AI27" s="32"/>
      <c r="AQ27" s="121"/>
      <c r="AR27" s="122"/>
      <c r="AV27" s="121"/>
    </row>
    <row r="28" spans="1:48" x14ac:dyDescent="0.3">
      <c r="A28" s="12"/>
      <c r="B28" t="s">
        <v>362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20</v>
      </c>
      <c r="J28" s="15">
        <f>VLOOKUP($I28,$AF$10:$AH$18,3,)</f>
        <v>0.78400000000000003</v>
      </c>
      <c r="K28" s="15">
        <v>1.2</v>
      </c>
      <c r="Z28" s="23" t="s">
        <v>770</v>
      </c>
      <c r="AA28" s="23">
        <v>0.77</v>
      </c>
      <c r="AB28" s="23">
        <v>3.6</v>
      </c>
      <c r="AC28" s="23"/>
      <c r="AD28"/>
      <c r="AE28" s="3"/>
      <c r="AI28" s="32"/>
      <c r="AQ28" s="121"/>
      <c r="AR28" s="122"/>
      <c r="AV28" s="121"/>
    </row>
    <row r="29" spans="1:48" x14ac:dyDescent="0.3">
      <c r="A29" s="12"/>
      <c r="B29" t="s">
        <v>363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335</v>
      </c>
      <c r="J29" s="15">
        <f t="shared" ref="J29:J36" si="8">J28</f>
        <v>0.78400000000000003</v>
      </c>
      <c r="K29" s="15">
        <v>1.2</v>
      </c>
      <c r="Z29" s="23" t="s">
        <v>771</v>
      </c>
      <c r="AA29" s="23">
        <v>0.76900000000000002</v>
      </c>
      <c r="AB29" s="23">
        <v>3.6</v>
      </c>
      <c r="AC29" s="23"/>
      <c r="AD29"/>
      <c r="AE29" s="3"/>
      <c r="AI29" s="32"/>
      <c r="AQ29" s="121"/>
      <c r="AR29" s="122"/>
      <c r="AV29" s="121"/>
    </row>
    <row r="30" spans="1:48" x14ac:dyDescent="0.3">
      <c r="A30" s="12"/>
      <c r="B30" t="s">
        <v>364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336</v>
      </c>
      <c r="J30" s="15">
        <f t="shared" si="8"/>
        <v>0.78400000000000003</v>
      </c>
      <c r="K30" s="15">
        <v>1.2</v>
      </c>
      <c r="Y30" t="s">
        <v>366</v>
      </c>
      <c r="Z30" s="23" t="s">
        <v>259</v>
      </c>
      <c r="AA30" s="23">
        <v>0.51700000000000002</v>
      </c>
      <c r="AB30" s="23">
        <v>3.6</v>
      </c>
      <c r="AC30" s="23"/>
      <c r="AD30"/>
      <c r="AE30" s="3"/>
      <c r="AI30" s="32"/>
      <c r="AQ30" s="121"/>
      <c r="AR30" s="122"/>
      <c r="AV30" s="121"/>
    </row>
    <row r="31" spans="1:48" x14ac:dyDescent="0.3">
      <c r="A31" s="12"/>
      <c r="B31" t="s">
        <v>28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27</v>
      </c>
      <c r="J31" s="15">
        <f t="shared" si="8"/>
        <v>0.78400000000000003</v>
      </c>
      <c r="K31" s="15">
        <v>1.2</v>
      </c>
      <c r="Y31" t="s">
        <v>367</v>
      </c>
      <c r="Z31" s="23" t="s">
        <v>772</v>
      </c>
      <c r="AA31" s="23">
        <v>1.274</v>
      </c>
      <c r="AB31" s="23">
        <v>3.6</v>
      </c>
      <c r="AC31" s="23"/>
      <c r="AD31"/>
      <c r="AE31" s="3"/>
      <c r="AI31" s="32"/>
      <c r="AQ31" s="121"/>
      <c r="AR31" s="122"/>
      <c r="AV31" s="121"/>
    </row>
    <row r="32" spans="1:48" x14ac:dyDescent="0.3">
      <c r="A32" s="12"/>
      <c r="B32" t="s">
        <v>803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337</v>
      </c>
      <c r="J32" s="15">
        <f t="shared" si="8"/>
        <v>0.78400000000000003</v>
      </c>
      <c r="K32" s="15">
        <v>1.2</v>
      </c>
      <c r="Z32" s="23" t="s">
        <v>773</v>
      </c>
      <c r="AA32" s="23">
        <v>1.379</v>
      </c>
      <c r="AB32" s="23">
        <v>3.6</v>
      </c>
      <c r="AC32" s="23"/>
      <c r="AD32"/>
      <c r="AE32" s="3"/>
      <c r="AI32" s="32"/>
      <c r="AQ32" s="121"/>
      <c r="AR32" s="122"/>
      <c r="AV32" s="121"/>
    </row>
    <row r="33" spans="1:48" x14ac:dyDescent="0.3">
      <c r="A33" s="12"/>
      <c r="B33" t="s">
        <v>365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338</v>
      </c>
      <c r="J33" s="15">
        <f t="shared" si="8"/>
        <v>0.78400000000000003</v>
      </c>
      <c r="K33" s="15">
        <v>1.2</v>
      </c>
      <c r="Z33" s="23" t="s">
        <v>774</v>
      </c>
      <c r="AA33" s="23">
        <v>0.65</v>
      </c>
      <c r="AB33" s="23">
        <v>3.6</v>
      </c>
      <c r="AC33" s="23"/>
      <c r="AD33"/>
      <c r="AE33" s="3"/>
      <c r="AI33" s="32"/>
      <c r="AQ33" s="121"/>
      <c r="AR33" s="122"/>
      <c r="AV33" s="121"/>
    </row>
    <row r="34" spans="1:48" x14ac:dyDescent="0.3">
      <c r="A34" s="12"/>
      <c r="B34" t="s">
        <v>366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339</v>
      </c>
      <c r="J34" s="15">
        <f t="shared" si="8"/>
        <v>0.78400000000000003</v>
      </c>
      <c r="K34" s="15">
        <v>1.2</v>
      </c>
      <c r="Y34" t="s">
        <v>368</v>
      </c>
      <c r="Z34" s="23" t="s">
        <v>260</v>
      </c>
      <c r="AA34" s="23">
        <v>0.32</v>
      </c>
      <c r="AB34" s="23">
        <v>3.6</v>
      </c>
      <c r="AC34" s="23"/>
      <c r="AD34"/>
      <c r="AE34" s="3"/>
      <c r="AI34" s="32"/>
    </row>
    <row r="35" spans="1:48" x14ac:dyDescent="0.3">
      <c r="A35" s="12"/>
      <c r="B35" t="s">
        <v>367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309</v>
      </c>
      <c r="J35" s="15">
        <f t="shared" si="8"/>
        <v>0.78400000000000003</v>
      </c>
      <c r="K35" s="15">
        <v>1.2</v>
      </c>
      <c r="Z35" s="23" t="s">
        <v>775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48" x14ac:dyDescent="0.3">
      <c r="A36" s="12"/>
      <c r="B36" t="s">
        <v>368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340</v>
      </c>
      <c r="J36" s="15">
        <f t="shared" si="8"/>
        <v>0.78400000000000003</v>
      </c>
      <c r="K36" s="15">
        <v>1.2</v>
      </c>
      <c r="Z36" s="23" t="s">
        <v>776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48" x14ac:dyDescent="0.3">
      <c r="A37" s="12"/>
      <c r="B37" t="s">
        <v>369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341</v>
      </c>
      <c r="J37" s="15">
        <f>VLOOKUP($I37,$AF$10:$AH$18,3,)</f>
        <v>0.72099999999999997</v>
      </c>
      <c r="K37" s="15">
        <v>1.2</v>
      </c>
      <c r="Z37" s="23" t="s">
        <v>777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48" x14ac:dyDescent="0.3">
      <c r="A38" s="12"/>
      <c r="B38" t="s">
        <v>370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32</v>
      </c>
      <c r="J38" s="15">
        <f t="shared" ref="J38" si="11">J37</f>
        <v>0.72099999999999997</v>
      </c>
      <c r="K38" s="15">
        <v>1.2</v>
      </c>
      <c r="Z38" s="23" t="s">
        <v>778</v>
      </c>
      <c r="AA38" s="23">
        <v>0.224</v>
      </c>
      <c r="AB38" s="23">
        <v>3.6</v>
      </c>
      <c r="AC38" s="23"/>
      <c r="AD38"/>
      <c r="AE38" s="3"/>
      <c r="AI38" s="32"/>
    </row>
    <row r="39" spans="1:48" x14ac:dyDescent="0.3">
      <c r="A39" s="12"/>
      <c r="B39" t="s">
        <v>33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342</v>
      </c>
      <c r="J39" s="15">
        <f>VLOOKUP($I39,$AF$10:$AH$18,3,)</f>
        <v>0.71499999999999997</v>
      </c>
      <c r="K39" s="15">
        <v>1.2</v>
      </c>
      <c r="Z39" s="23" t="s">
        <v>779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48" x14ac:dyDescent="0.3">
      <c r="A40" s="12"/>
      <c r="B40" t="s">
        <v>371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34</v>
      </c>
      <c r="J40" s="15">
        <f>VLOOKUP($I40,$AF$10:$AH$18,3,)</f>
        <v>0.71699999999999997</v>
      </c>
      <c r="K40" s="15">
        <v>1.2</v>
      </c>
      <c r="Z40" s="23" t="s">
        <v>780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48" x14ac:dyDescent="0.3">
      <c r="A41" s="12"/>
      <c r="B41" t="s">
        <v>35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343</v>
      </c>
      <c r="J41" s="15">
        <f>VLOOKUP($I41,$AF$10:$AH$18,3,)</f>
        <v>0.754</v>
      </c>
      <c r="K41" s="15">
        <v>1.2</v>
      </c>
      <c r="Y41" t="s">
        <v>369</v>
      </c>
      <c r="Z41" s="23" t="s">
        <v>261</v>
      </c>
      <c r="AA41" s="23">
        <v>1.119</v>
      </c>
      <c r="AB41" s="23">
        <v>3.6</v>
      </c>
      <c r="AC41" s="23"/>
      <c r="AD41"/>
      <c r="AE41" s="3"/>
      <c r="AI41" s="32"/>
    </row>
    <row r="42" spans="1:48" x14ac:dyDescent="0.3">
      <c r="A42" s="12"/>
      <c r="B42" t="s">
        <v>372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344</v>
      </c>
      <c r="J42" s="15">
        <f>J50</f>
        <v>0.69699999999999995</v>
      </c>
      <c r="K42" s="15">
        <v>1.2</v>
      </c>
      <c r="Y42" t="s">
        <v>370</v>
      </c>
      <c r="Z42" s="23" t="s">
        <v>781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48" x14ac:dyDescent="0.3">
      <c r="A43" s="12"/>
      <c r="B43" t="s">
        <v>373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345</v>
      </c>
      <c r="J43" s="15">
        <f>J42</f>
        <v>0.69699999999999995</v>
      </c>
      <c r="K43" s="15">
        <v>1.2</v>
      </c>
      <c r="Y43" t="s">
        <v>371</v>
      </c>
      <c r="Z43" s="23" t="s">
        <v>262</v>
      </c>
      <c r="AA43" s="23">
        <v>1.258</v>
      </c>
      <c r="AB43" s="23">
        <v>3.6</v>
      </c>
      <c r="AC43" s="23"/>
      <c r="AD43"/>
      <c r="AE43" s="3"/>
      <c r="AI43" s="32"/>
    </row>
    <row r="44" spans="1:48" x14ac:dyDescent="0.3">
      <c r="A44" s="12"/>
      <c r="B44" t="s">
        <v>374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346</v>
      </c>
      <c r="J44" s="15">
        <f>VLOOKUP($I44,$AF$10:$AH$18,3,)</f>
        <v>0.90400000000000003</v>
      </c>
      <c r="K44" s="15">
        <v>1.2</v>
      </c>
      <c r="Y44" t="s">
        <v>35</v>
      </c>
      <c r="Z44" s="23" t="s">
        <v>318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48" x14ac:dyDescent="0.3">
      <c r="A45" s="12"/>
      <c r="B45" t="s">
        <v>375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175</v>
      </c>
      <c r="J45" s="15">
        <f>J43</f>
        <v>0.69699999999999995</v>
      </c>
      <c r="K45" s="15">
        <v>1.2</v>
      </c>
      <c r="Z45" s="23" t="s">
        <v>782</v>
      </c>
      <c r="AA45" s="23">
        <v>0.83</v>
      </c>
      <c r="AB45" s="23">
        <v>3.6</v>
      </c>
      <c r="AC45" s="23"/>
      <c r="AD45"/>
      <c r="AE45" s="3"/>
      <c r="AI45" s="32"/>
    </row>
    <row r="46" spans="1:48" x14ac:dyDescent="0.3">
      <c r="A46" s="12"/>
      <c r="B46" t="s">
        <v>178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347</v>
      </c>
      <c r="J46" s="15">
        <f>J45</f>
        <v>0.69699999999999995</v>
      </c>
      <c r="K46" s="15">
        <v>1.2</v>
      </c>
      <c r="Y46" t="s">
        <v>372</v>
      </c>
      <c r="Z46" s="23" t="s">
        <v>319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48" x14ac:dyDescent="0.3">
      <c r="A47" s="12"/>
      <c r="B47" t="s">
        <v>376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348</v>
      </c>
      <c r="J47" s="15">
        <f t="shared" ref="J47:J49" si="12">J46</f>
        <v>0.69699999999999995</v>
      </c>
      <c r="K47" s="15">
        <v>1.2</v>
      </c>
      <c r="Y47" t="s">
        <v>374</v>
      </c>
      <c r="Z47" s="23" t="s">
        <v>320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48" x14ac:dyDescent="0.3">
      <c r="A48" s="12"/>
      <c r="B48" t="s">
        <v>377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176</v>
      </c>
      <c r="J48" s="15">
        <f t="shared" si="12"/>
        <v>0.69699999999999995</v>
      </c>
      <c r="K48" s="15">
        <v>1.2</v>
      </c>
      <c r="Y48" t="s">
        <v>375</v>
      </c>
      <c r="Z48" s="23" t="s">
        <v>783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179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177</v>
      </c>
      <c r="J49" s="15">
        <f t="shared" si="12"/>
        <v>0.69699999999999995</v>
      </c>
      <c r="K49" s="15">
        <v>1.2</v>
      </c>
      <c r="Y49" t="s">
        <v>376</v>
      </c>
      <c r="Z49" s="23" t="s">
        <v>321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180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36</v>
      </c>
      <c r="J50" s="15">
        <f>VLOOKUP($I50,$AF$10:$AH$18,3,)</f>
        <v>0.69699999999999995</v>
      </c>
      <c r="K50" s="15">
        <v>1.2</v>
      </c>
      <c r="Y50" t="s">
        <v>377</v>
      </c>
      <c r="Z50" s="23" t="s">
        <v>784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2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281</v>
      </c>
    </row>
    <row r="2" spans="1:29" x14ac:dyDescent="0.3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7" t="s">
        <v>56</v>
      </c>
      <c r="S2" s="6" t="s">
        <v>57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0</v>
      </c>
      <c r="Y2" s="6" t="s">
        <v>62</v>
      </c>
      <c r="Z2" s="6" t="s">
        <v>63</v>
      </c>
    </row>
    <row r="3" spans="1:29" x14ac:dyDescent="0.3">
      <c r="A3" s="27" t="s">
        <v>282</v>
      </c>
    </row>
    <row r="5" spans="1:29" x14ac:dyDescent="0.3">
      <c r="A5" s="2" t="s">
        <v>283</v>
      </c>
      <c r="I5" s="2" t="s">
        <v>284</v>
      </c>
      <c r="J5" s="2"/>
      <c r="K5" s="2"/>
      <c r="L5" s="2"/>
      <c r="M5" s="2"/>
      <c r="N5" s="2"/>
      <c r="O5" s="2"/>
      <c r="P5" s="2"/>
      <c r="Q5" s="2" t="s">
        <v>285</v>
      </c>
      <c r="R5" s="2"/>
      <c r="S5" s="2"/>
      <c r="T5" s="2"/>
      <c r="U5" s="2"/>
      <c r="V5" s="2"/>
      <c r="W5" s="2"/>
      <c r="X5" s="2"/>
      <c r="Y5" s="2" t="s">
        <v>286</v>
      </c>
    </row>
    <row r="6" spans="1:29" x14ac:dyDescent="0.3">
      <c r="A6" s="9" t="s">
        <v>235</v>
      </c>
      <c r="B6" s="9"/>
      <c r="C6" s="9"/>
      <c r="D6" s="9"/>
      <c r="E6" s="9"/>
      <c r="F6" s="9"/>
      <c r="G6" s="9"/>
      <c r="H6" s="9"/>
      <c r="I6" s="9" t="s">
        <v>237</v>
      </c>
      <c r="J6" s="9"/>
      <c r="K6" s="9"/>
      <c r="L6" s="9"/>
      <c r="M6" s="9"/>
      <c r="N6" s="9"/>
      <c r="O6" s="9"/>
      <c r="P6" s="9"/>
      <c r="Q6" s="9" t="s">
        <v>239</v>
      </c>
      <c r="R6" s="9"/>
      <c r="S6" s="9"/>
      <c r="T6" s="9"/>
      <c r="U6" s="9"/>
      <c r="V6" s="9"/>
      <c r="W6" s="9"/>
      <c r="X6" s="9"/>
      <c r="Y6" s="9" t="s">
        <v>241</v>
      </c>
    </row>
    <row r="7" spans="1:29" x14ac:dyDescent="0.3">
      <c r="A7" s="11"/>
      <c r="B7" s="25" t="s">
        <v>181</v>
      </c>
      <c r="C7" s="25" t="s">
        <v>30</v>
      </c>
      <c r="D7" s="25" t="s">
        <v>29</v>
      </c>
      <c r="E7" s="4" t="s">
        <v>31</v>
      </c>
      <c r="F7" s="4"/>
      <c r="G7" s="4"/>
      <c r="H7" s="4"/>
      <c r="I7" s="11"/>
      <c r="J7" s="25" t="s">
        <v>181</v>
      </c>
      <c r="K7" s="25" t="s">
        <v>30</v>
      </c>
      <c r="L7" s="25" t="s">
        <v>29</v>
      </c>
      <c r="M7" s="4" t="s">
        <v>31</v>
      </c>
      <c r="N7" s="4"/>
      <c r="O7" s="4"/>
      <c r="P7" s="4"/>
      <c r="Q7" s="11"/>
      <c r="R7" s="25" t="s">
        <v>181</v>
      </c>
      <c r="S7" s="25" t="s">
        <v>30</v>
      </c>
      <c r="T7" s="25" t="s">
        <v>29</v>
      </c>
      <c r="U7" s="4" t="s">
        <v>31</v>
      </c>
      <c r="V7" s="4"/>
      <c r="W7" s="4"/>
      <c r="X7" s="4"/>
      <c r="Y7" s="11"/>
      <c r="Z7" s="25" t="s">
        <v>181</v>
      </c>
      <c r="AA7" s="25" t="s">
        <v>30</v>
      </c>
      <c r="AB7" s="25" t="s">
        <v>29</v>
      </c>
      <c r="AC7" s="4" t="s">
        <v>31</v>
      </c>
    </row>
    <row r="8" spans="1:29" x14ac:dyDescent="0.3">
      <c r="A8" s="11" t="str">
        <f>[4]Sets!F7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[4]Sets!F8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[4]Sets!F9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[4]Sets!F10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[4]Sets!F11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[4]Sets!F12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[4]Sets!F13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[4]Sets!F14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[4]Sets!F15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[4]Sets!F16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[4]Sets!F17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[4]Sets!F18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[4]Sets!F19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[4]Sets!F20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[4]Sets!F21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[4]Sets!F22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[4]Sets!F23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[4]Sets!F24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[4]Sets!F25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421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[4]Sets!F26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[4]Sets!F27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[4]Sets!F28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[4]Sets!F29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803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[4]Sets!F30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[4]Sets!F31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[4]Sets!F32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[4]Sets!F33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[4]Sets!F34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[4]Sets!F35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[4]Sets!F36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[4]Sets!F37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[4]Sets!F38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[4]Sets!F39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[4]Sets!F40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[4]Sets!F41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[4]Sets!F42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[4]Sets!F43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[4]Sets!F44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[4]Sets!F45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[4]Sets!F46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[4]Sets!F47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[4]Sets!F48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2023-04-19T21:11:52Z</dcterms:modified>
</cp:coreProperties>
</file>