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KENTIMGE\KENTIM\DataSpreadsheets\"/>
    </mc:Choice>
  </mc:AlternateContent>
  <xr:revisionPtr revIDLastSave="0" documentId="13_ncr:1_{1574AA99-D3B7-40D2-BCAE-7E1D9F5D8E12}" xr6:coauthVersionLast="47" xr6:coauthVersionMax="47" xr10:uidLastSave="{00000000-0000-0000-0000-000000000000}"/>
  <bookViews>
    <workbookView xWindow="-120" yWindow="-120" windowWidth="29040" windowHeight="15840" xr2:uid="{22FC1E87-AE5D-4C6B-9AFF-C347ADED5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F18" i="1"/>
  <c r="E18" i="1"/>
  <c r="E17" i="1"/>
  <c r="F17" i="1"/>
  <c r="F16" i="1" l="1"/>
  <c r="F15" i="1"/>
  <c r="F6" i="1"/>
  <c r="W43" i="1"/>
  <c r="W42" i="1"/>
  <c r="X37" i="1"/>
  <c r="X38" i="1" s="1"/>
  <c r="W37" i="1"/>
  <c r="W38" i="1" s="1"/>
  <c r="W39" i="1" s="1"/>
  <c r="E6" i="1"/>
  <c r="E16" i="1" s="1"/>
  <c r="D15" i="1"/>
  <c r="D16" i="1" s="1"/>
  <c r="V5" i="1"/>
  <c r="W5" i="1"/>
  <c r="X5" i="1"/>
  <c r="U5" i="1"/>
  <c r="W40" i="1" l="1"/>
  <c r="T5" i="1"/>
  <c r="N24" i="1"/>
  <c r="N27" i="1" s="1"/>
  <c r="N29" i="1" s="1"/>
  <c r="O12" i="1"/>
  <c r="O13" i="1" s="1"/>
  <c r="O7" i="1" s="1"/>
  <c r="O15" i="1" s="1"/>
  <c r="O17" i="1" s="1"/>
  <c r="O18" i="1" s="1"/>
  <c r="E29" i="1"/>
  <c r="O10" i="1"/>
  <c r="D10" i="1" l="1"/>
  <c r="D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Alison hughes</author>
    <author>bruno merven</author>
  </authors>
  <commentList>
    <comment ref="B6" authorId="0" shapeId="0" xr:uid="{80F56872-DC15-4245-BC74-8007487AE21C}">
      <text>
        <r>
          <rPr>
            <b/>
            <sz val="9"/>
            <color indexed="81"/>
            <rFont val="Calibri"/>
            <family val="2"/>
          </rPr>
          <t>Alison hughes:</t>
        </r>
        <r>
          <rPr>
            <sz val="9"/>
            <color indexed="81"/>
            <rFont val="Calibri"/>
            <family val="2"/>
          </rPr>
          <t xml:space="preserve">
pipeline can supply 1600GW at 90% load factor
</t>
        </r>
      </text>
    </comment>
    <comment ref="E13" authorId="1" shapeId="0" xr:uid="{50FA14C0-6D92-4C02-AF15-F17C5D159085}">
      <text>
        <r>
          <rPr>
            <b/>
            <sz val="9"/>
            <color indexed="81"/>
            <rFont val="Tahoma"/>
            <family val="2"/>
          </rPr>
          <t>bruno merven:</t>
        </r>
        <r>
          <rPr>
            <sz val="9"/>
            <color indexed="81"/>
            <rFont val="Tahoma"/>
            <family val="2"/>
          </rPr>
          <t xml:space="preserve">
assuming the 400 million includes finance chages (IDC)</t>
        </r>
      </text>
    </comment>
    <comment ref="E17" authorId="0" shapeId="0" xr:uid="{3ECDF3FB-FE4A-4D55-89FA-F6BE8875E187}">
      <text>
        <r>
          <rPr>
            <b/>
            <sz val="9"/>
            <color indexed="81"/>
            <rFont val="Calibri"/>
            <family val="2"/>
          </rPr>
          <t>Alison hughes:</t>
        </r>
        <r>
          <rPr>
            <sz val="9"/>
            <color indexed="81"/>
            <rFont val="Calibri"/>
            <family val="2"/>
          </rPr>
          <t xml:space="preserve">
number from IPCC guidelines for natural gas</t>
        </r>
      </text>
    </comment>
  </commentList>
</comments>
</file>

<file path=xl/sharedStrings.xml><?xml version="1.0" encoding="utf-8"?>
<sst xmlns="http://schemas.openxmlformats.org/spreadsheetml/2006/main" count="85" uniqueCount="74">
  <si>
    <t>Lower heating value</t>
  </si>
  <si>
    <t>million$/PJ/annnum in model</t>
  </si>
  <si>
    <t>Exchange rate</t>
  </si>
  <si>
    <t>Total CAPEX</t>
  </si>
  <si>
    <t>life</t>
  </si>
  <si>
    <t>Lead Time</t>
  </si>
  <si>
    <t>LNG Terminal</t>
  </si>
  <si>
    <t>Floating Terminal</t>
  </si>
  <si>
    <t>ULGTGRL-N</t>
  </si>
  <si>
    <t>ULGTGRLFSRU-N</t>
  </si>
  <si>
    <t>FSRU ccost estimates</t>
  </si>
  <si>
    <t>Darryl 2012</t>
  </si>
  <si>
    <t>Darryl 2023</t>
  </si>
  <si>
    <t>Globeleq 2023</t>
  </si>
  <si>
    <t>Volumes</t>
  </si>
  <si>
    <t>PJ/a</t>
  </si>
  <si>
    <t>Levelised cost</t>
  </si>
  <si>
    <t>FSRU day rate</t>
  </si>
  <si>
    <t>Annual cost</t>
  </si>
  <si>
    <t>Marine Capex</t>
  </si>
  <si>
    <t>m$</t>
  </si>
  <si>
    <t>m$/day</t>
  </si>
  <si>
    <t>capex Annualised</t>
  </si>
  <si>
    <t>Total annual</t>
  </si>
  <si>
    <t>m$/year</t>
  </si>
  <si>
    <t>Thermal plant capacity in Kenya</t>
  </si>
  <si>
    <t>HFO</t>
  </si>
  <si>
    <t>Utilization</t>
  </si>
  <si>
    <t>Efficiency</t>
  </si>
  <si>
    <t>Energy needs</t>
  </si>
  <si>
    <t>PJ</t>
  </si>
  <si>
    <t>GW</t>
  </si>
  <si>
    <t>Pipeline cost</t>
  </si>
  <si>
    <t>Total cost</t>
  </si>
  <si>
    <t>Levelized cost if only 56 PJ</t>
  </si>
  <si>
    <t>LNG cost estimates</t>
  </si>
  <si>
    <t>Volume</t>
  </si>
  <si>
    <t>Capex</t>
  </si>
  <si>
    <t>notes</t>
  </si>
  <si>
    <t>1600 MW CCGT running 50%</t>
  </si>
  <si>
    <t>Capex unit cost</t>
  </si>
  <si>
    <t>m$/Pja</t>
  </si>
  <si>
    <t>Levelized cost check</t>
  </si>
  <si>
    <t>$/GJ</t>
  </si>
  <si>
    <t>FSRU small</t>
  </si>
  <si>
    <t>FSRU conv.</t>
  </si>
  <si>
    <t>Capacity</t>
  </si>
  <si>
    <t>Cost</t>
  </si>
  <si>
    <t>Max Send out</t>
  </si>
  <si>
    <t>MMSCFD</t>
  </si>
  <si>
    <t>MTPA</t>
  </si>
  <si>
    <t>Pja</t>
  </si>
  <si>
    <t>https://www.jdsupra.com/post/contentViewerEmbed.aspx?fid=6f058694-940c-42d7-bb0d-d650e5436a2d</t>
  </si>
  <si>
    <t>$/Gja</t>
  </si>
  <si>
    <t>Capital cost</t>
  </si>
  <si>
    <t>ODC</t>
  </si>
  <si>
    <t>EPC cost</t>
  </si>
  <si>
    <t>capacity</t>
  </si>
  <si>
    <t>m$/yr</t>
  </si>
  <si>
    <t>mton</t>
  </si>
  <si>
    <t>LNG terminal capacity(throughput)</t>
  </si>
  <si>
    <t>IDC</t>
  </si>
  <si>
    <t>Annual Cost</t>
  </si>
  <si>
    <t>These costs seem way lower than Darryl's costs</t>
  </si>
  <si>
    <t>Levelized Cost</t>
  </si>
  <si>
    <t>IDC cost</t>
  </si>
  <si>
    <t>Monthly</t>
  </si>
  <si>
    <t>PJ/month</t>
  </si>
  <si>
    <t>Small Scale</t>
  </si>
  <si>
    <t>Gas supply to be modelled exogenously to cater for lumpiness of investment.</t>
  </si>
  <si>
    <t>LNG terminal to be modelled in full size (i.e. 172.8PJ) in the high gas scenario</t>
  </si>
  <si>
    <t>FSRU modelled as the minimum i.e. 1mton/a (i.e. 48PJ) in the mitigation scenario</t>
  </si>
  <si>
    <t>Levelized Cost (25% CF)</t>
  </si>
  <si>
    <t>Levelized Cost (10% 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</si>
</sst>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21</xdr:row>
      <xdr:rowOff>0</xdr:rowOff>
    </xdr:from>
    <xdr:to>
      <xdr:col>30</xdr:col>
      <xdr:colOff>84952</xdr:colOff>
      <xdr:row>31</xdr:row>
      <xdr:rowOff>180714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95E018-6BE7-F926-E1C4-A14687D5D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000500"/>
          <a:ext cx="6180952" cy="2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E569-75CB-4D55-937D-2F89F0151F57}">
  <dimension ref="B2:X43"/>
  <sheetViews>
    <sheetView tabSelected="1" workbookViewId="0">
      <selection activeCell="E18" sqref="E18"/>
    </sheetView>
  </sheetViews>
  <sheetFormatPr defaultRowHeight="15" x14ac:dyDescent="0.25"/>
  <cols>
    <col min="2" max="2" width="30.7109375" customWidth="1"/>
    <col min="3" max="3" width="11.85546875" customWidth="1"/>
    <col min="12" max="12" width="13.85546875" customWidth="1"/>
    <col min="14" max="14" width="11.140625" customWidth="1"/>
    <col min="15" max="15" width="11.5703125" customWidth="1"/>
  </cols>
  <sheetData>
    <row r="2" spans="2:24" x14ac:dyDescent="0.25">
      <c r="B2" t="s">
        <v>0</v>
      </c>
      <c r="E2" t="s">
        <v>1</v>
      </c>
      <c r="T2" t="s">
        <v>65</v>
      </c>
    </row>
    <row r="3" spans="2:24" x14ac:dyDescent="0.25">
      <c r="E3" t="s">
        <v>2</v>
      </c>
      <c r="F3">
        <v>12.9</v>
      </c>
      <c r="N3" t="s">
        <v>10</v>
      </c>
      <c r="U3">
        <v>1</v>
      </c>
      <c r="V3">
        <v>2</v>
      </c>
      <c r="W3">
        <v>3</v>
      </c>
      <c r="X3">
        <v>4</v>
      </c>
    </row>
    <row r="4" spans="2:24" x14ac:dyDescent="0.25">
      <c r="B4" s="1"/>
      <c r="C4" s="1"/>
      <c r="D4" s="1" t="s">
        <v>6</v>
      </c>
      <c r="E4" s="1" t="s">
        <v>7</v>
      </c>
      <c r="F4" t="s">
        <v>68</v>
      </c>
      <c r="U4">
        <v>0.1</v>
      </c>
      <c r="V4">
        <v>0.25</v>
      </c>
      <c r="W4">
        <v>0.6</v>
      </c>
      <c r="X4">
        <v>0.05</v>
      </c>
    </row>
    <row r="5" spans="2:24" x14ac:dyDescent="0.25">
      <c r="B5" s="1"/>
      <c r="C5" s="1"/>
      <c r="D5" s="1" t="s">
        <v>8</v>
      </c>
      <c r="E5" s="1" t="s">
        <v>9</v>
      </c>
      <c r="N5" t="s">
        <v>11</v>
      </c>
      <c r="O5" t="s">
        <v>12</v>
      </c>
      <c r="P5" t="s">
        <v>13</v>
      </c>
      <c r="Q5" t="s">
        <v>38</v>
      </c>
      <c r="T5">
        <f>SUM(U5:X5)</f>
        <v>1.2234516480000002</v>
      </c>
      <c r="U5">
        <f>U4*(1.08)^U3</f>
        <v>0.10800000000000001</v>
      </c>
      <c r="V5">
        <f t="shared" ref="V5:X5" si="0">V4*(1.08)^V3</f>
        <v>0.29160000000000003</v>
      </c>
      <c r="W5">
        <f t="shared" si="0"/>
        <v>0.75582720000000003</v>
      </c>
      <c r="X5">
        <f t="shared" si="0"/>
        <v>6.8024448000000015E-2</v>
      </c>
    </row>
    <row r="6" spans="2:24" x14ac:dyDescent="0.25">
      <c r="B6" t="s">
        <v>57</v>
      </c>
      <c r="C6" t="s">
        <v>15</v>
      </c>
      <c r="D6">
        <v>172.8</v>
      </c>
      <c r="E6" s="2">
        <f>D6/3.6*3</f>
        <v>144</v>
      </c>
      <c r="F6">
        <f>E6/3</f>
        <v>48</v>
      </c>
      <c r="L6" t="s">
        <v>14</v>
      </c>
      <c r="M6" t="s">
        <v>15</v>
      </c>
      <c r="O6">
        <v>96</v>
      </c>
    </row>
    <row r="7" spans="2:24" x14ac:dyDescent="0.25">
      <c r="B7" t="s">
        <v>60</v>
      </c>
      <c r="C7" t="s">
        <v>59</v>
      </c>
      <c r="D7">
        <v>3.6</v>
      </c>
      <c r="E7">
        <v>1</v>
      </c>
      <c r="L7" t="s">
        <v>16</v>
      </c>
      <c r="M7" t="s">
        <v>43</v>
      </c>
      <c r="O7" s="4">
        <f>O13/O6</f>
        <v>1.1096649096195061</v>
      </c>
    </row>
    <row r="8" spans="2:24" x14ac:dyDescent="0.25">
      <c r="B8" t="s">
        <v>56</v>
      </c>
      <c r="C8" t="s">
        <v>20</v>
      </c>
      <c r="D8">
        <v>845</v>
      </c>
    </row>
    <row r="9" spans="2:24" x14ac:dyDescent="0.25">
      <c r="B9" t="s">
        <v>55</v>
      </c>
      <c r="C9" t="s">
        <v>20</v>
      </c>
      <c r="D9" s="3">
        <v>68</v>
      </c>
      <c r="L9" t="s">
        <v>17</v>
      </c>
      <c r="M9" t="s">
        <v>21</v>
      </c>
      <c r="O9">
        <v>0.25</v>
      </c>
    </row>
    <row r="10" spans="2:24" x14ac:dyDescent="0.25">
      <c r="B10" t="s">
        <v>3</v>
      </c>
      <c r="C10" t="s">
        <v>20</v>
      </c>
      <c r="D10" s="3">
        <f>SUM(D8:D9)</f>
        <v>913</v>
      </c>
      <c r="E10" s="3"/>
      <c r="L10" t="s">
        <v>18</v>
      </c>
      <c r="O10">
        <f>O9*365</f>
        <v>91.25</v>
      </c>
    </row>
    <row r="11" spans="2:24" x14ac:dyDescent="0.25">
      <c r="B11" t="s">
        <v>54</v>
      </c>
      <c r="C11" t="s">
        <v>53</v>
      </c>
      <c r="D11" s="2">
        <f>+D10/D6</f>
        <v>5.2835648148148149</v>
      </c>
      <c r="E11" s="2"/>
      <c r="L11" t="s">
        <v>19</v>
      </c>
      <c r="M11" t="s">
        <v>20</v>
      </c>
      <c r="O11">
        <v>150</v>
      </c>
    </row>
    <row r="12" spans="2:24" x14ac:dyDescent="0.25">
      <c r="B12" t="s">
        <v>4</v>
      </c>
      <c r="D12" s="2">
        <v>30</v>
      </c>
      <c r="E12" s="2">
        <v>10</v>
      </c>
      <c r="L12" t="s">
        <v>22</v>
      </c>
      <c r="O12" s="2">
        <f>-PMT(0.08,20,1)*O11</f>
        <v>15.277831323472595</v>
      </c>
    </row>
    <row r="13" spans="2:24" x14ac:dyDescent="0.25">
      <c r="B13" t="s">
        <v>5</v>
      </c>
      <c r="D13">
        <v>4</v>
      </c>
      <c r="E13">
        <v>2</v>
      </c>
      <c r="L13" t="s">
        <v>23</v>
      </c>
      <c r="M13" t="s">
        <v>24</v>
      </c>
      <c r="O13" s="2">
        <f>O12+O10</f>
        <v>106.5278313234726</v>
      </c>
      <c r="P13">
        <v>100</v>
      </c>
    </row>
    <row r="14" spans="2:24" x14ac:dyDescent="0.25">
      <c r="B14" t="s">
        <v>61</v>
      </c>
      <c r="D14" s="2"/>
    </row>
    <row r="15" spans="2:24" x14ac:dyDescent="0.25">
      <c r="B15" t="s">
        <v>62</v>
      </c>
      <c r="C15" t="s">
        <v>58</v>
      </c>
      <c r="D15" s="3">
        <f>D10*T5*-PMT(0.08,D12,1)</f>
        <v>99.221251695690171</v>
      </c>
      <c r="E15" s="4">
        <v>100</v>
      </c>
      <c r="F15">
        <f>E15/3</f>
        <v>33.333333333333336</v>
      </c>
      <c r="L15" t="s">
        <v>32</v>
      </c>
      <c r="M15" t="s">
        <v>20</v>
      </c>
      <c r="O15">
        <f>(2.21-O7)*O6</f>
        <v>105.63216867652741</v>
      </c>
    </row>
    <row r="16" spans="2:24" x14ac:dyDescent="0.25">
      <c r="B16" t="s">
        <v>64</v>
      </c>
      <c r="C16" t="s">
        <v>43</v>
      </c>
      <c r="D16" s="5">
        <f>D15/D6</f>
        <v>0.57419705842413293</v>
      </c>
      <c r="E16" s="4">
        <f>E15/E6</f>
        <v>0.69444444444444442</v>
      </c>
      <c r="F16" s="4">
        <f>F15/F6</f>
        <v>0.69444444444444453</v>
      </c>
    </row>
    <row r="17" spans="2:21" x14ac:dyDescent="0.25">
      <c r="B17" t="s">
        <v>72</v>
      </c>
      <c r="C17" s="1"/>
      <c r="D17" s="4">
        <f>D16/0.25</f>
        <v>2.2967882336965317</v>
      </c>
      <c r="E17" s="4">
        <f>E16/0.25</f>
        <v>2.7777777777777777</v>
      </c>
      <c r="F17" s="4">
        <f>F16/0.25</f>
        <v>2.7777777777777781</v>
      </c>
      <c r="L17" t="s">
        <v>33</v>
      </c>
      <c r="O17" s="2">
        <f>O15+O13</f>
        <v>212.16000000000003</v>
      </c>
    </row>
    <row r="18" spans="2:21" x14ac:dyDescent="0.25">
      <c r="B18" t="s">
        <v>73</v>
      </c>
      <c r="D18" s="4">
        <f>D16/0.1</f>
        <v>5.7419705842413293</v>
      </c>
      <c r="E18" s="4">
        <f>E16/0.1</f>
        <v>6.9444444444444438</v>
      </c>
      <c r="F18" s="4">
        <f>F16/0.1</f>
        <v>6.9444444444444446</v>
      </c>
      <c r="L18" t="s">
        <v>34</v>
      </c>
      <c r="O18">
        <f>O17/56</f>
        <v>3.7885714285714291</v>
      </c>
    </row>
    <row r="20" spans="2:21" x14ac:dyDescent="0.25">
      <c r="B20" t="s">
        <v>69</v>
      </c>
      <c r="U20" t="s">
        <v>52</v>
      </c>
    </row>
    <row r="21" spans="2:21" x14ac:dyDescent="0.25">
      <c r="B21" t="s">
        <v>70</v>
      </c>
      <c r="D21" s="3"/>
      <c r="U21" t="s">
        <v>63</v>
      </c>
    </row>
    <row r="22" spans="2:21" x14ac:dyDescent="0.25">
      <c r="B22" t="s">
        <v>71</v>
      </c>
      <c r="C22" s="1"/>
      <c r="N22" t="s">
        <v>35</v>
      </c>
    </row>
    <row r="23" spans="2:21" x14ac:dyDescent="0.25">
      <c r="N23" t="s">
        <v>6</v>
      </c>
      <c r="O23" t="s">
        <v>45</v>
      </c>
      <c r="P23" t="s">
        <v>44</v>
      </c>
    </row>
    <row r="24" spans="2:21" x14ac:dyDescent="0.25">
      <c r="B24" t="s">
        <v>25</v>
      </c>
      <c r="L24" t="s">
        <v>36</v>
      </c>
      <c r="M24" t="s">
        <v>15</v>
      </c>
      <c r="N24">
        <f>1.6*0.5*31.536/0.5</f>
        <v>50.457600000000006</v>
      </c>
      <c r="Q24" t="s">
        <v>39</v>
      </c>
    </row>
    <row r="25" spans="2:21" x14ac:dyDescent="0.25">
      <c r="L25" t="s">
        <v>37</v>
      </c>
      <c r="M25" t="s">
        <v>20</v>
      </c>
      <c r="N25">
        <v>1000</v>
      </c>
    </row>
    <row r="26" spans="2:21" x14ac:dyDescent="0.25">
      <c r="B26" t="s">
        <v>26</v>
      </c>
      <c r="D26" t="s">
        <v>31</v>
      </c>
      <c r="E26">
        <v>0.7</v>
      </c>
    </row>
    <row r="27" spans="2:21" x14ac:dyDescent="0.25">
      <c r="B27" t="s">
        <v>27</v>
      </c>
      <c r="E27" s="6">
        <v>0.5</v>
      </c>
      <c r="L27" t="s">
        <v>40</v>
      </c>
      <c r="M27" t="s">
        <v>41</v>
      </c>
      <c r="N27">
        <f>N25/N24</f>
        <v>19.818619989852863</v>
      </c>
    </row>
    <row r="28" spans="2:21" x14ac:dyDescent="0.25">
      <c r="B28" t="s">
        <v>28</v>
      </c>
      <c r="E28" s="6">
        <v>0.5</v>
      </c>
    </row>
    <row r="29" spans="2:21" x14ac:dyDescent="0.25">
      <c r="B29" t="s">
        <v>29</v>
      </c>
      <c r="D29" t="s">
        <v>30</v>
      </c>
      <c r="E29">
        <f>E26*E27*8.76*3.6/E28</f>
        <v>22.075199999999999</v>
      </c>
      <c r="L29" t="s">
        <v>42</v>
      </c>
      <c r="M29" t="s">
        <v>43</v>
      </c>
      <c r="N29">
        <f>-N27*PMT(0.08,20,1)</f>
        <v>2.0185702217931611</v>
      </c>
    </row>
    <row r="34" spans="21:24" x14ac:dyDescent="0.25">
      <c r="U34" t="s">
        <v>46</v>
      </c>
    </row>
    <row r="35" spans="21:24" x14ac:dyDescent="0.25">
      <c r="U35" t="s">
        <v>47</v>
      </c>
    </row>
    <row r="36" spans="21:24" x14ac:dyDescent="0.25">
      <c r="U36" t="s">
        <v>48</v>
      </c>
      <c r="V36" t="s">
        <v>49</v>
      </c>
      <c r="W36">
        <v>170</v>
      </c>
      <c r="X36">
        <v>800</v>
      </c>
    </row>
    <row r="37" spans="21:24" x14ac:dyDescent="0.25">
      <c r="V37" t="s">
        <v>50</v>
      </c>
      <c r="W37" s="5">
        <f>W36*365*0.021/1000*0.96</f>
        <v>1.2509280000000003</v>
      </c>
      <c r="X37" s="5">
        <f>X36*365*0.021/1000*0.96</f>
        <v>5.8867199999999995</v>
      </c>
    </row>
    <row r="38" spans="21:24" x14ac:dyDescent="0.25">
      <c r="V38" t="s">
        <v>51</v>
      </c>
      <c r="W38" s="4">
        <f>W37/0.021</f>
        <v>59.568000000000012</v>
      </c>
      <c r="X38" s="4">
        <f>X37/0.021</f>
        <v>280.31999999999994</v>
      </c>
    </row>
    <row r="39" spans="21:24" x14ac:dyDescent="0.25">
      <c r="W39">
        <f>W38/1.185</f>
        <v>50.268354430379752</v>
      </c>
    </row>
    <row r="40" spans="21:24" x14ac:dyDescent="0.25">
      <c r="W40">
        <f>W36/W37</f>
        <v>135.89910850184819</v>
      </c>
    </row>
    <row r="42" spans="21:24" x14ac:dyDescent="0.25">
      <c r="U42" t="s">
        <v>66</v>
      </c>
      <c r="V42" t="s">
        <v>50</v>
      </c>
      <c r="W42">
        <f>W36*31*0.021/1000*0.96</f>
        <v>0.1062432</v>
      </c>
    </row>
    <row r="43" spans="21:24" x14ac:dyDescent="0.25">
      <c r="V43" t="s">
        <v>67</v>
      </c>
      <c r="W43">
        <f>W42/0.021</f>
        <v>5.0591999999999997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2023-02-27T08:45:07Z</dcterms:created>
  <dcterms:modified xsi:type="dcterms:W3CDTF">2023-02-28T12:13:25Z</dcterms:modified>
</cp:coreProperties>
</file>