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KENTIMGE\KENTIM\DataSpreadsheets\"/>
    </mc:Choice>
  </mc:AlternateContent>
  <xr:revisionPtr revIDLastSave="0" documentId="13_ncr:1_{1E4DE00E-5C24-4BBD-BCD2-70AD9D4230A9}" xr6:coauthVersionLast="47" xr6:coauthVersionMax="47" xr10:uidLastSave="{00000000-0000-0000-0000-000000000000}"/>
  <bookViews>
    <workbookView xWindow="780" yWindow="780" windowWidth="27720" windowHeight="14715" xr2:uid="{EB9726E6-E93B-45BF-ACBA-DB37C3726A04}"/>
  </bookViews>
  <sheets>
    <sheet name="ITEMS-Con" sheetId="1" r:id="rId1"/>
    <sheet name="ConTID" sheetId="5" r:id="rId2"/>
    <sheet name="ConTSLabour" sheetId="2" r:id="rId3"/>
    <sheet name="PWR_Lab" sheetId="3" r:id="rId4"/>
    <sheet name="Lab.Calcs.Assumptions" sheetId="4" r:id="rId5"/>
  </sheets>
  <externalReferences>
    <externalReference r:id="rId6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ConTID!$A$1:$I$29</definedName>
    <definedName name="_xlnm._FilterDatabase" localSheetId="2" hidden="1">ConTSLabour!$A$1:$AY$235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1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1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/>
  <c r="H15" i="4" s="1"/>
  <c r="F15" i="4"/>
  <c r="B2" i="4" a="1"/>
  <c r="B2" i="4" s="1"/>
  <c r="C3" i="5"/>
  <c r="N2" i="5"/>
  <c r="C2" i="5"/>
  <c r="I63" i="3"/>
  <c r="I59" i="3"/>
  <c r="I60" i="3"/>
  <c r="I61" i="3"/>
  <c r="I62" i="3"/>
  <c r="L10" i="1"/>
  <c r="C10" i="1" s="1"/>
  <c r="L11" i="1"/>
  <c r="D11" i="1" s="1"/>
  <c r="L9" i="1"/>
  <c r="D9" i="1" s="1"/>
  <c r="F27" i="4"/>
  <c r="F5" i="4"/>
  <c r="F6" i="4"/>
  <c r="F7" i="4"/>
  <c r="F8" i="4"/>
  <c r="F9" i="4"/>
  <c r="F10" i="4"/>
  <c r="F11" i="4"/>
  <c r="F12" i="4"/>
  <c r="F13" i="4"/>
  <c r="F14" i="4"/>
  <c r="F16" i="4"/>
  <c r="F17" i="4"/>
  <c r="F18" i="4"/>
  <c r="F19" i="4"/>
  <c r="F20" i="4"/>
  <c r="F21" i="4"/>
  <c r="F22" i="4"/>
  <c r="F23" i="4"/>
  <c r="F24" i="4"/>
  <c r="F25" i="4"/>
  <c r="F4" i="4"/>
  <c r="L14" i="1" l="1"/>
  <c r="C14" i="1" s="1"/>
  <c r="C8" i="5" s="1"/>
  <c r="C14" i="5" s="1"/>
  <c r="C20" i="5" s="1"/>
  <c r="C9" i="1"/>
  <c r="C2" i="2" s="1"/>
  <c r="E8" i="2" s="1"/>
  <c r="L12" i="1"/>
  <c r="C11" i="1"/>
  <c r="C11" i="5" s="1"/>
  <c r="C23" i="5" s="1"/>
  <c r="C26" i="5" s="1"/>
  <c r="C3" i="2"/>
  <c r="E9" i="2" s="1"/>
  <c r="C10" i="5"/>
  <c r="L13" i="1"/>
  <c r="D10" i="1"/>
  <c r="D2" i="4"/>
  <c r="C2" i="4"/>
  <c r="I1" i="4" a="1"/>
  <c r="I1" i="4" s="1"/>
  <c r="J91" i="4"/>
  <c r="G30" i="4"/>
  <c r="G31" i="4"/>
  <c r="G32" i="4"/>
  <c r="G33" i="4"/>
  <c r="G29" i="4"/>
  <c r="G27" i="4"/>
  <c r="L17" i="1" l="1"/>
  <c r="D17" i="1" s="1"/>
  <c r="D14" i="1"/>
  <c r="C17" i="5"/>
  <c r="C9" i="5"/>
  <c r="C21" i="5" s="1"/>
  <c r="C24" i="5" s="1"/>
  <c r="L15" i="1"/>
  <c r="D12" i="1"/>
  <c r="C12" i="1"/>
  <c r="C6" i="5" s="1"/>
  <c r="C12" i="5" s="1"/>
  <c r="C18" i="5" s="1"/>
  <c r="C4" i="2"/>
  <c r="E10" i="2" s="1"/>
  <c r="C16" i="5"/>
  <c r="C22" i="5"/>
  <c r="C25" i="5" s="1"/>
  <c r="L16" i="1"/>
  <c r="D13" i="1"/>
  <c r="C13" i="1"/>
  <c r="C7" i="5" s="1"/>
  <c r="C13" i="5" s="1"/>
  <c r="C19" i="5" s="1"/>
  <c r="K83" i="4"/>
  <c r="K82" i="4"/>
  <c r="H35" i="4"/>
  <c r="K81" i="4"/>
  <c r="B3" i="4" s="1" a="1"/>
  <c r="K1" i="4"/>
  <c r="J1" i="4"/>
  <c r="O26" i="4" s="1"/>
  <c r="L1" i="4"/>
  <c r="G6" i="4"/>
  <c r="G8" i="4"/>
  <c r="L20" i="1" l="1"/>
  <c r="L23" i="1" s="1"/>
  <c r="C17" i="1"/>
  <c r="E8" i="5" s="1"/>
  <c r="D20" i="5" s="1"/>
  <c r="D26" i="5" s="1"/>
  <c r="C15" i="5"/>
  <c r="L18" i="1"/>
  <c r="D15" i="1"/>
  <c r="C15" i="1"/>
  <c r="E6" i="5" s="1"/>
  <c r="D18" i="5" s="1"/>
  <c r="D24" i="5" s="1"/>
  <c r="C16" i="1"/>
  <c r="E7" i="5" s="1"/>
  <c r="D19" i="5" s="1"/>
  <c r="D25" i="5" s="1"/>
  <c r="D16" i="1"/>
  <c r="L19" i="1"/>
  <c r="C20" i="1"/>
  <c r="E11" i="5" s="1"/>
  <c r="D23" i="5" s="1"/>
  <c r="B3" i="4"/>
  <c r="B15" i="4" s="1"/>
  <c r="C3" i="4"/>
  <c r="C15" i="4" s="1"/>
  <c r="J15" i="4" s="1"/>
  <c r="D3" i="4"/>
  <c r="D15" i="4" s="1"/>
  <c r="K15" i="4" s="1"/>
  <c r="I2" i="4"/>
  <c r="J2" i="4"/>
  <c r="K2" i="4"/>
  <c r="L2" i="4"/>
  <c r="G4" i="4"/>
  <c r="G5" i="4"/>
  <c r="G7" i="4"/>
  <c r="G9" i="4"/>
  <c r="G10" i="4"/>
  <c r="G11" i="4"/>
  <c r="G12" i="4"/>
  <c r="G13" i="4"/>
  <c r="G14" i="4"/>
  <c r="G16" i="4"/>
  <c r="G17" i="4"/>
  <c r="G18" i="4"/>
  <c r="G19" i="4"/>
  <c r="G20" i="4"/>
  <c r="G21" i="4"/>
  <c r="G22" i="4"/>
  <c r="G23" i="4"/>
  <c r="G24" i="4"/>
  <c r="R42" i="4" s="1"/>
  <c r="G25" i="4"/>
  <c r="M35" i="4"/>
  <c r="Z52" i="4"/>
  <c r="J53" i="4"/>
  <c r="L53" i="4" s="1"/>
  <c r="N53" i="4"/>
  <c r="O53" i="4" s="1"/>
  <c r="W53" i="4"/>
  <c r="Y53" i="4" s="1"/>
  <c r="AB53" i="4" s="1"/>
  <c r="J54" i="4"/>
  <c r="K54" i="4"/>
  <c r="K55" i="4" s="1"/>
  <c r="N54" i="4"/>
  <c r="W54" i="4"/>
  <c r="Y54" i="4" s="1"/>
  <c r="AB54" i="4" s="1"/>
  <c r="J55" i="4"/>
  <c r="N55" i="4"/>
  <c r="S55" i="4"/>
  <c r="W55" i="4"/>
  <c r="Y55" i="4" s="1"/>
  <c r="AB55" i="4" s="1"/>
  <c r="J56" i="4"/>
  <c r="N56" i="4"/>
  <c r="O56" i="4" s="1"/>
  <c r="S56" i="4"/>
  <c r="S58" i="4" s="1"/>
  <c r="S60" i="4" s="1"/>
  <c r="S62" i="4" s="1"/>
  <c r="S64" i="4" s="1"/>
  <c r="S66" i="4" s="1"/>
  <c r="S68" i="4" s="1"/>
  <c r="S70" i="4" s="1"/>
  <c r="S72" i="4" s="1"/>
  <c r="S74" i="4" s="1"/>
  <c r="S76" i="4" s="1"/>
  <c r="S78" i="4" s="1"/>
  <c r="S80" i="4" s="1"/>
  <c r="S82" i="4" s="1"/>
  <c r="W56" i="4"/>
  <c r="AB56" i="4"/>
  <c r="J57" i="4"/>
  <c r="K57" i="4"/>
  <c r="K58" i="4" s="1"/>
  <c r="M57" i="4"/>
  <c r="M58" i="4" s="1"/>
  <c r="N58" i="4" s="1"/>
  <c r="W57" i="4"/>
  <c r="Y57" i="4" s="1"/>
  <c r="AB57" i="4" s="1"/>
  <c r="J58" i="4"/>
  <c r="W58" i="4"/>
  <c r="Y58" i="4" s="1"/>
  <c r="AB58" i="4" s="1"/>
  <c r="J59" i="4"/>
  <c r="L59" i="4" s="1"/>
  <c r="N59" i="4"/>
  <c r="P59" i="4" s="1"/>
  <c r="Q59" i="4" s="1"/>
  <c r="W59" i="4"/>
  <c r="AB59" i="4"/>
  <c r="J60" i="4"/>
  <c r="L60" i="4" s="1"/>
  <c r="M60" i="4"/>
  <c r="M61" i="4" s="1"/>
  <c r="N61" i="4" s="1"/>
  <c r="O61" i="4" s="1"/>
  <c r="W60" i="4"/>
  <c r="Y60" i="4" s="1"/>
  <c r="AB60" i="4" s="1"/>
  <c r="J61" i="4"/>
  <c r="L61" i="4" s="1"/>
  <c r="W61" i="4"/>
  <c r="Y61" i="4" s="1"/>
  <c r="AB61" i="4" s="1"/>
  <c r="W62" i="4"/>
  <c r="Y62" i="4"/>
  <c r="AB62" i="4" s="1"/>
  <c r="W63" i="4"/>
  <c r="Y63" i="4" s="1"/>
  <c r="AB63" i="4" s="1"/>
  <c r="W64" i="4"/>
  <c r="Y64" i="4" s="1"/>
  <c r="AB64" i="4" s="1"/>
  <c r="W65" i="4"/>
  <c r="Y65" i="4" s="1"/>
  <c r="AB65" i="4" s="1"/>
  <c r="Z68" i="4"/>
  <c r="AB68" i="4"/>
  <c r="AC68" i="4" s="1"/>
  <c r="J74" i="4" s="1"/>
  <c r="J75" i="4" s="1"/>
  <c r="AA75" i="4"/>
  <c r="Z76" i="4"/>
  <c r="AA76" i="4" s="1"/>
  <c r="AA77" i="4"/>
  <c r="AA78" i="4"/>
  <c r="Y79" i="4"/>
  <c r="H91" i="4"/>
  <c r="N103" i="4"/>
  <c r="I104" i="4"/>
  <c r="N104" i="4" s="1"/>
  <c r="F106" i="4"/>
  <c r="F107" i="4" s="1"/>
  <c r="G106" i="4"/>
  <c r="M106" i="4"/>
  <c r="M107" i="4" s="1"/>
  <c r="M137" i="4" s="1"/>
  <c r="H111" i="4"/>
  <c r="F127" i="4"/>
  <c r="I129" i="4"/>
  <c r="F131" i="4"/>
  <c r="H131" i="4"/>
  <c r="F132" i="4"/>
  <c r="H132" i="4"/>
  <c r="F133" i="4"/>
  <c r="H133" i="4"/>
  <c r="F134" i="4"/>
  <c r="H134" i="4"/>
  <c r="R47" i="4" s="1"/>
  <c r="F135" i="4"/>
  <c r="H135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E11" i="2" a="1"/>
  <c r="E11" i="2" s="1"/>
  <c r="AX12" i="2"/>
  <c r="E12" i="2" s="1" a="1"/>
  <c r="E12" i="2" s="1"/>
  <c r="AY12" i="2"/>
  <c r="AY13" i="2" s="1"/>
  <c r="O15" i="4" l="1"/>
  <c r="I15" i="4"/>
  <c r="O59" i="4"/>
  <c r="AY14" i="2"/>
  <c r="D20" i="1"/>
  <c r="L21" i="1"/>
  <c r="C18" i="1"/>
  <c r="E9" i="5" s="1"/>
  <c r="D21" i="5" s="1"/>
  <c r="D18" i="1"/>
  <c r="C23" i="1"/>
  <c r="D23" i="1"/>
  <c r="L22" i="1"/>
  <c r="C19" i="1"/>
  <c r="E10" i="5" s="1"/>
  <c r="D22" i="5" s="1"/>
  <c r="D19" i="1"/>
  <c r="P56" i="4"/>
  <c r="Q56" i="4" s="1"/>
  <c r="N60" i="4"/>
  <c r="O60" i="4" s="1"/>
  <c r="O65" i="4" s="1"/>
  <c r="N57" i="4"/>
  <c r="O57" i="4" s="1"/>
  <c r="P61" i="4"/>
  <c r="Q61" i="4" s="1"/>
  <c r="J64" i="4"/>
  <c r="B9" i="4"/>
  <c r="P53" i="4"/>
  <c r="Q53" i="4" s="1"/>
  <c r="L56" i="4"/>
  <c r="L58" i="4"/>
  <c r="L71" i="4" s="1"/>
  <c r="N74" i="4"/>
  <c r="N75" i="4" s="1"/>
  <c r="N72" i="4" s="1"/>
  <c r="P58" i="4"/>
  <c r="Q58" i="4" s="1"/>
  <c r="H71" i="4" s="1"/>
  <c r="H137" i="4"/>
  <c r="I132" i="4" s="1"/>
  <c r="J65" i="4"/>
  <c r="P55" i="4"/>
  <c r="Q55" i="4" s="1"/>
  <c r="G71" i="4" s="1"/>
  <c r="Q42" i="4"/>
  <c r="S42" i="4" s="1"/>
  <c r="P54" i="4"/>
  <c r="Q54" i="4" s="1"/>
  <c r="G70" i="4" s="1"/>
  <c r="L54" i="4"/>
  <c r="L63" i="4" s="1"/>
  <c r="K70" i="4" s="1"/>
  <c r="K72" i="4" s="1"/>
  <c r="AX13" i="2"/>
  <c r="AX14" i="2" s="1"/>
  <c r="AX6" i="2"/>
  <c r="H112" i="4"/>
  <c r="K137" i="4"/>
  <c r="I105" i="4"/>
  <c r="N105" i="4" s="1"/>
  <c r="N106" i="4" s="1"/>
  <c r="H107" i="4" s="1"/>
  <c r="H93" i="4"/>
  <c r="H94" i="4" s="1"/>
  <c r="H96" i="4" s="1"/>
  <c r="L57" i="4"/>
  <c r="O54" i="4"/>
  <c r="O63" i="4" s="1"/>
  <c r="G75" i="4" s="1"/>
  <c r="Z81" i="4"/>
  <c r="Z82" i="4" s="1"/>
  <c r="O58" i="4"/>
  <c r="O55" i="4"/>
  <c r="R48" i="4"/>
  <c r="L65" i="4"/>
  <c r="S57" i="4"/>
  <c r="F137" i="4"/>
  <c r="P60" i="4"/>
  <c r="Q60" i="4" s="1"/>
  <c r="G26" i="4"/>
  <c r="H9" i="4"/>
  <c r="J63" i="4"/>
  <c r="L55" i="4"/>
  <c r="K71" i="4" s="1"/>
  <c r="L70" i="4" l="1"/>
  <c r="AY15" i="2"/>
  <c r="AY16" i="2" s="1"/>
  <c r="AY17" i="2" s="1"/>
  <c r="AX15" i="2"/>
  <c r="AX16" i="2" s="1"/>
  <c r="AX17" i="2" s="1"/>
  <c r="D21" i="1"/>
  <c r="C21" i="1"/>
  <c r="D22" i="1"/>
  <c r="C22" i="1"/>
  <c r="C29" i="5"/>
  <c r="C7" i="2"/>
  <c r="C10" i="2" s="1"/>
  <c r="C13" i="2" s="1"/>
  <c r="C16" i="2" s="1"/>
  <c r="C19" i="2" s="1"/>
  <c r="C22" i="2" s="1"/>
  <c r="C25" i="2" s="1"/>
  <c r="C28" i="2" s="1"/>
  <c r="C31" i="2" s="1"/>
  <c r="C34" i="2" s="1"/>
  <c r="C37" i="2" s="1"/>
  <c r="C40" i="2" s="1"/>
  <c r="C43" i="2" s="1"/>
  <c r="C46" i="2" s="1"/>
  <c r="C49" i="2" s="1"/>
  <c r="C52" i="2" s="1"/>
  <c r="C55" i="2" s="1"/>
  <c r="C58" i="2" s="1"/>
  <c r="C61" i="2" s="1"/>
  <c r="C64" i="2" s="1"/>
  <c r="C67" i="2" s="1"/>
  <c r="C70" i="2" s="1"/>
  <c r="C73" i="2" s="1"/>
  <c r="C76" i="2" s="1"/>
  <c r="C79" i="2" s="1"/>
  <c r="C82" i="2" s="1"/>
  <c r="C85" i="2" s="1"/>
  <c r="C88" i="2" s="1"/>
  <c r="C91" i="2" s="1"/>
  <c r="C94" i="2" s="1"/>
  <c r="C97" i="2" s="1"/>
  <c r="C100" i="2" s="1"/>
  <c r="C103" i="2" s="1"/>
  <c r="C106" i="2" s="1"/>
  <c r="C109" i="2" s="1"/>
  <c r="C112" i="2" s="1"/>
  <c r="C115" i="2" s="1"/>
  <c r="C118" i="2" s="1"/>
  <c r="C121" i="2" s="1"/>
  <c r="C124" i="2" s="1"/>
  <c r="C127" i="2" s="1"/>
  <c r="C130" i="2" s="1"/>
  <c r="C133" i="2" s="1"/>
  <c r="C136" i="2" s="1"/>
  <c r="C139" i="2" s="1"/>
  <c r="C142" i="2" s="1"/>
  <c r="C145" i="2" s="1"/>
  <c r="C148" i="2" s="1"/>
  <c r="C151" i="2" s="1"/>
  <c r="C154" i="2" s="1"/>
  <c r="C157" i="2" s="1"/>
  <c r="C160" i="2" s="1"/>
  <c r="C163" i="2" s="1"/>
  <c r="C166" i="2" s="1"/>
  <c r="C169" i="2" s="1"/>
  <c r="C172" i="2" s="1"/>
  <c r="C175" i="2" s="1"/>
  <c r="C178" i="2" s="1"/>
  <c r="C181" i="2" s="1"/>
  <c r="C184" i="2" s="1"/>
  <c r="C187" i="2" s="1"/>
  <c r="C190" i="2" s="1"/>
  <c r="C193" i="2" s="1"/>
  <c r="C196" i="2" s="1"/>
  <c r="C199" i="2" s="1"/>
  <c r="C202" i="2" s="1"/>
  <c r="C205" i="2" s="1"/>
  <c r="C208" i="2" s="1"/>
  <c r="C211" i="2" s="1"/>
  <c r="C214" i="2" s="1"/>
  <c r="C217" i="2" s="1"/>
  <c r="C220" i="2" s="1"/>
  <c r="C223" i="2" s="1"/>
  <c r="C226" i="2" s="1"/>
  <c r="C229" i="2" s="1"/>
  <c r="C232" i="2" s="1"/>
  <c r="C235" i="2" s="1"/>
  <c r="P57" i="4"/>
  <c r="Q57" i="4" s="1"/>
  <c r="H70" i="4" s="1"/>
  <c r="H73" i="4" s="1"/>
  <c r="O64" i="4"/>
  <c r="H75" i="4" s="1"/>
  <c r="C28" i="4"/>
  <c r="C9" i="4"/>
  <c r="D28" i="4"/>
  <c r="D9" i="4"/>
  <c r="G73" i="4"/>
  <c r="H24" i="4"/>
  <c r="C24" i="4"/>
  <c r="J24" i="4" s="1"/>
  <c r="B24" i="4"/>
  <c r="D24" i="4"/>
  <c r="B14" i="4"/>
  <c r="C14" i="4"/>
  <c r="D14" i="4"/>
  <c r="B28" i="4"/>
  <c r="L64" i="4"/>
  <c r="I106" i="4"/>
  <c r="I135" i="4"/>
  <c r="I134" i="4"/>
  <c r="I133" i="4"/>
  <c r="K75" i="4"/>
  <c r="I131" i="4"/>
  <c r="H113" i="4"/>
  <c r="N107" i="4"/>
  <c r="G133" i="4"/>
  <c r="G132" i="4"/>
  <c r="J132" i="4" s="1"/>
  <c r="G134" i="4"/>
  <c r="Y81" i="4"/>
  <c r="Y82" i="4" s="1"/>
  <c r="AA82" i="4" s="1"/>
  <c r="R41" i="4"/>
  <c r="R43" i="4" s="1"/>
  <c r="H14" i="4"/>
  <c r="R44" i="4"/>
  <c r="S59" i="4"/>
  <c r="S61" i="4" s="1"/>
  <c r="S63" i="4" s="1"/>
  <c r="S65" i="4" s="1"/>
  <c r="S67" i="4" s="1"/>
  <c r="S69" i="4" s="1"/>
  <c r="S71" i="4" s="1"/>
  <c r="S73" i="4" s="1"/>
  <c r="S75" i="4" s="1"/>
  <c r="S77" i="4" s="1"/>
  <c r="S79" i="4" s="1"/>
  <c r="S81" i="4" s="1"/>
  <c r="X60" i="4"/>
  <c r="E13" i="2" a="1"/>
  <c r="E13" i="2" s="1"/>
  <c r="I9" i="4"/>
  <c r="G135" i="4"/>
  <c r="R46" i="4"/>
  <c r="R45" i="4"/>
  <c r="L75" i="4"/>
  <c r="G131" i="4"/>
  <c r="L72" i="4" l="1"/>
  <c r="O28" i="4"/>
  <c r="AX18" i="2"/>
  <c r="AY18" i="2"/>
  <c r="AY19" i="2" s="1"/>
  <c r="C27" i="5"/>
  <c r="C5" i="2"/>
  <c r="C8" i="2" s="1"/>
  <c r="C11" i="2" s="1"/>
  <c r="C14" i="2" s="1"/>
  <c r="C17" i="2" s="1"/>
  <c r="C20" i="2" s="1"/>
  <c r="C23" i="2" s="1"/>
  <c r="C26" i="2" s="1"/>
  <c r="C29" i="2" s="1"/>
  <c r="C32" i="2" s="1"/>
  <c r="C35" i="2" s="1"/>
  <c r="C38" i="2" s="1"/>
  <c r="C41" i="2" s="1"/>
  <c r="C44" i="2" s="1"/>
  <c r="C47" i="2" s="1"/>
  <c r="C50" i="2" s="1"/>
  <c r="C53" i="2" s="1"/>
  <c r="C56" i="2" s="1"/>
  <c r="C59" i="2" s="1"/>
  <c r="C62" i="2" s="1"/>
  <c r="C65" i="2" s="1"/>
  <c r="C68" i="2" s="1"/>
  <c r="C71" i="2" s="1"/>
  <c r="C74" i="2" s="1"/>
  <c r="C77" i="2" s="1"/>
  <c r="C80" i="2" s="1"/>
  <c r="C83" i="2" s="1"/>
  <c r="C86" i="2" s="1"/>
  <c r="C89" i="2" s="1"/>
  <c r="C92" i="2" s="1"/>
  <c r="C95" i="2" s="1"/>
  <c r="C98" i="2" s="1"/>
  <c r="C101" i="2" s="1"/>
  <c r="C104" i="2" s="1"/>
  <c r="C107" i="2" s="1"/>
  <c r="C110" i="2" s="1"/>
  <c r="C113" i="2" s="1"/>
  <c r="C116" i="2" s="1"/>
  <c r="C119" i="2" s="1"/>
  <c r="C122" i="2" s="1"/>
  <c r="C125" i="2" s="1"/>
  <c r="C128" i="2" s="1"/>
  <c r="C131" i="2" s="1"/>
  <c r="C134" i="2" s="1"/>
  <c r="C137" i="2" s="1"/>
  <c r="C140" i="2" s="1"/>
  <c r="C143" i="2" s="1"/>
  <c r="C146" i="2" s="1"/>
  <c r="C149" i="2" s="1"/>
  <c r="C152" i="2" s="1"/>
  <c r="C155" i="2" s="1"/>
  <c r="C158" i="2" s="1"/>
  <c r="C161" i="2" s="1"/>
  <c r="C164" i="2" s="1"/>
  <c r="C167" i="2" s="1"/>
  <c r="C170" i="2" s="1"/>
  <c r="C173" i="2" s="1"/>
  <c r="C176" i="2" s="1"/>
  <c r="C179" i="2" s="1"/>
  <c r="C182" i="2" s="1"/>
  <c r="C185" i="2" s="1"/>
  <c r="C188" i="2" s="1"/>
  <c r="C191" i="2" s="1"/>
  <c r="C194" i="2" s="1"/>
  <c r="C197" i="2" s="1"/>
  <c r="C200" i="2" s="1"/>
  <c r="C203" i="2" s="1"/>
  <c r="C206" i="2" s="1"/>
  <c r="C209" i="2" s="1"/>
  <c r="C212" i="2" s="1"/>
  <c r="C215" i="2" s="1"/>
  <c r="C218" i="2" s="1"/>
  <c r="C221" i="2" s="1"/>
  <c r="C224" i="2" s="1"/>
  <c r="C227" i="2" s="1"/>
  <c r="C230" i="2" s="1"/>
  <c r="C233" i="2" s="1"/>
  <c r="C28" i="5"/>
  <c r="C6" i="2"/>
  <c r="C9" i="2" s="1"/>
  <c r="C12" i="2" s="1"/>
  <c r="C15" i="2" s="1"/>
  <c r="C18" i="2" s="1"/>
  <c r="C21" i="2" s="1"/>
  <c r="C24" i="2" s="1"/>
  <c r="C27" i="2" s="1"/>
  <c r="C30" i="2" s="1"/>
  <c r="C33" i="2" s="1"/>
  <c r="C36" i="2" s="1"/>
  <c r="C39" i="2" s="1"/>
  <c r="C42" i="2" s="1"/>
  <c r="C45" i="2" s="1"/>
  <c r="C48" i="2" s="1"/>
  <c r="C51" i="2" s="1"/>
  <c r="C54" i="2" s="1"/>
  <c r="C57" i="2" s="1"/>
  <c r="C60" i="2" s="1"/>
  <c r="C63" i="2" s="1"/>
  <c r="C66" i="2" s="1"/>
  <c r="C69" i="2" s="1"/>
  <c r="C72" i="2" s="1"/>
  <c r="C75" i="2" s="1"/>
  <c r="C78" i="2" s="1"/>
  <c r="C81" i="2" s="1"/>
  <c r="C84" i="2" s="1"/>
  <c r="C87" i="2" s="1"/>
  <c r="C90" i="2" s="1"/>
  <c r="C93" i="2" s="1"/>
  <c r="C96" i="2" s="1"/>
  <c r="C99" i="2" s="1"/>
  <c r="C102" i="2" s="1"/>
  <c r="C105" i="2" s="1"/>
  <c r="C108" i="2" s="1"/>
  <c r="C111" i="2" s="1"/>
  <c r="C114" i="2" s="1"/>
  <c r="C117" i="2" s="1"/>
  <c r="C120" i="2" s="1"/>
  <c r="C123" i="2" s="1"/>
  <c r="C126" i="2" s="1"/>
  <c r="C129" i="2" s="1"/>
  <c r="C132" i="2" s="1"/>
  <c r="C135" i="2" s="1"/>
  <c r="C138" i="2" s="1"/>
  <c r="C141" i="2" s="1"/>
  <c r="C144" i="2" s="1"/>
  <c r="C147" i="2" s="1"/>
  <c r="C150" i="2" s="1"/>
  <c r="C153" i="2" s="1"/>
  <c r="C156" i="2" s="1"/>
  <c r="C159" i="2" s="1"/>
  <c r="C162" i="2" s="1"/>
  <c r="C165" i="2" s="1"/>
  <c r="C168" i="2" s="1"/>
  <c r="C171" i="2" s="1"/>
  <c r="C174" i="2" s="1"/>
  <c r="C177" i="2" s="1"/>
  <c r="C180" i="2" s="1"/>
  <c r="C183" i="2" s="1"/>
  <c r="C186" i="2" s="1"/>
  <c r="C189" i="2" s="1"/>
  <c r="C192" i="2" s="1"/>
  <c r="C195" i="2" s="1"/>
  <c r="C198" i="2" s="1"/>
  <c r="C201" i="2" s="1"/>
  <c r="C204" i="2" s="1"/>
  <c r="C207" i="2" s="1"/>
  <c r="C210" i="2" s="1"/>
  <c r="C213" i="2" s="1"/>
  <c r="C216" i="2" s="1"/>
  <c r="C219" i="2" s="1"/>
  <c r="C222" i="2" s="1"/>
  <c r="C225" i="2" s="1"/>
  <c r="C228" i="2" s="1"/>
  <c r="C231" i="2" s="1"/>
  <c r="C234" i="2" s="1"/>
  <c r="O14" i="4"/>
  <c r="I24" i="4"/>
  <c r="O24" i="4"/>
  <c r="O9" i="4"/>
  <c r="X57" i="4"/>
  <c r="J9" i="4"/>
  <c r="J133" i="4"/>
  <c r="K133" i="4" s="1"/>
  <c r="L133" i="4" s="1"/>
  <c r="E30" i="4" s="1"/>
  <c r="F30" i="4" s="1"/>
  <c r="K9" i="4"/>
  <c r="X59" i="4"/>
  <c r="AC59" i="4" s="1"/>
  <c r="J134" i="4"/>
  <c r="K134" i="4" s="1"/>
  <c r="L134" i="4" s="1"/>
  <c r="E29" i="4" s="1"/>
  <c r="F29" i="4" s="1"/>
  <c r="X62" i="4"/>
  <c r="Z62" i="4" s="1"/>
  <c r="X54" i="4"/>
  <c r="Z54" i="4" s="1"/>
  <c r="B16" i="4"/>
  <c r="C16" i="4"/>
  <c r="D16" i="4"/>
  <c r="B21" i="4"/>
  <c r="D21" i="4"/>
  <c r="C21" i="4"/>
  <c r="H10" i="4"/>
  <c r="B10" i="4"/>
  <c r="F43" i="3" s="1" a="1"/>
  <c r="F43" i="3" s="1"/>
  <c r="C10" i="4"/>
  <c r="G43" i="3" s="1" a="1"/>
  <c r="G43" i="3" s="1"/>
  <c r="D10" i="4"/>
  <c r="K10" i="4" s="1"/>
  <c r="H27" i="4"/>
  <c r="Q44" i="4" s="1"/>
  <c r="S44" i="4" s="1"/>
  <c r="C27" i="4"/>
  <c r="G59" i="3" s="1" a="1"/>
  <c r="G59" i="3" s="1"/>
  <c r="D27" i="4"/>
  <c r="H59" i="3" s="1" a="1"/>
  <c r="H59" i="3" s="1"/>
  <c r="J131" i="4"/>
  <c r="K131" i="4" s="1"/>
  <c r="L131" i="4" s="1"/>
  <c r="J135" i="4"/>
  <c r="K135" i="4" s="1"/>
  <c r="L135" i="4" s="1"/>
  <c r="E33" i="4" s="1"/>
  <c r="F33" i="4" s="1"/>
  <c r="K24" i="4"/>
  <c r="X65" i="4"/>
  <c r="AC65" i="4" s="1"/>
  <c r="X64" i="4"/>
  <c r="Z64" i="4" s="1"/>
  <c r="X63" i="4"/>
  <c r="AC63" i="4" s="1"/>
  <c r="X58" i="4"/>
  <c r="Z58" i="4" s="1"/>
  <c r="J14" i="4"/>
  <c r="R49" i="4"/>
  <c r="I14" i="4"/>
  <c r="K14" i="4"/>
  <c r="M75" i="4"/>
  <c r="Z60" i="4"/>
  <c r="AC60" i="4"/>
  <c r="F108" i="4"/>
  <c r="H108" i="4"/>
  <c r="AC57" i="4"/>
  <c r="Z57" i="4"/>
  <c r="X55" i="4"/>
  <c r="B27" i="4"/>
  <c r="Z59" i="4"/>
  <c r="X61" i="4"/>
  <c r="M108" i="4"/>
  <c r="H16" i="4"/>
  <c r="X53" i="4"/>
  <c r="M132" i="4"/>
  <c r="N132" i="4" s="1"/>
  <c r="K132" i="4"/>
  <c r="L132" i="4" s="1"/>
  <c r="X56" i="4"/>
  <c r="H43" i="3" l="1" a="1"/>
  <c r="H43" i="3" s="1"/>
  <c r="AY20" i="2"/>
  <c r="AX19" i="2"/>
  <c r="AX20" i="2" s="1"/>
  <c r="O21" i="4"/>
  <c r="O16" i="4"/>
  <c r="F59" i="3" a="1"/>
  <c r="F59" i="3" s="1"/>
  <c r="O27" i="4"/>
  <c r="O10" i="4"/>
  <c r="AC54" i="4"/>
  <c r="AC62" i="4"/>
  <c r="M135" i="4"/>
  <c r="N135" i="4" s="1"/>
  <c r="M133" i="4"/>
  <c r="N133" i="4" s="1"/>
  <c r="H29" i="4"/>
  <c r="B29" i="4"/>
  <c r="D29" i="4"/>
  <c r="H60" i="3" s="1" a="1"/>
  <c r="H60" i="3" s="1"/>
  <c r="C29" i="4"/>
  <c r="G60" i="3" s="1" a="1"/>
  <c r="G60" i="3" s="1"/>
  <c r="H30" i="4"/>
  <c r="B30" i="4"/>
  <c r="C30" i="4"/>
  <c r="G61" i="3" s="1" a="1"/>
  <c r="G61" i="3" s="1"/>
  <c r="D30" i="4"/>
  <c r="H61" i="3" s="1" a="1"/>
  <c r="H61" i="3" s="1"/>
  <c r="H33" i="4"/>
  <c r="B33" i="4"/>
  <c r="C33" i="4"/>
  <c r="D33" i="4"/>
  <c r="M134" i="4"/>
  <c r="N134" i="4" s="1"/>
  <c r="J10" i="4"/>
  <c r="G37" i="3" a="1"/>
  <c r="G37" i="3" s="1"/>
  <c r="H37" i="3" a="1"/>
  <c r="H37" i="3" s="1"/>
  <c r="F37" i="3" a="1"/>
  <c r="F37" i="3" s="1"/>
  <c r="E32" i="4"/>
  <c r="F32" i="4" s="1"/>
  <c r="E31" i="4"/>
  <c r="F31" i="4" s="1"/>
  <c r="B11" i="4"/>
  <c r="C11" i="4"/>
  <c r="D11" i="4"/>
  <c r="M131" i="4"/>
  <c r="N131" i="4" s="1"/>
  <c r="I10" i="4"/>
  <c r="Z65" i="4"/>
  <c r="AC64" i="4"/>
  <c r="AC58" i="4"/>
  <c r="H11" i="4"/>
  <c r="Z63" i="4"/>
  <c r="K27" i="4"/>
  <c r="J27" i="4"/>
  <c r="H21" i="4"/>
  <c r="AC55" i="4"/>
  <c r="Z55" i="4"/>
  <c r="AC56" i="4"/>
  <c r="Z56" i="4"/>
  <c r="AC53" i="4"/>
  <c r="Z53" i="4"/>
  <c r="Z74" i="4"/>
  <c r="AA74" i="4" s="1"/>
  <c r="Z66" i="4"/>
  <c r="M74" i="4" s="1"/>
  <c r="AC66" i="4"/>
  <c r="AC82" i="4" s="1"/>
  <c r="I75" i="4" s="1"/>
  <c r="M72" i="4" s="1"/>
  <c r="H97" i="4"/>
  <c r="H98" i="4" s="1"/>
  <c r="I27" i="4"/>
  <c r="K16" i="4"/>
  <c r="Z61" i="4"/>
  <c r="AC61" i="4"/>
  <c r="I16" i="4"/>
  <c r="J16" i="4"/>
  <c r="AX21" i="2" l="1"/>
  <c r="AY21" i="2"/>
  <c r="O33" i="4"/>
  <c r="O11" i="4"/>
  <c r="F61" i="3" a="1"/>
  <c r="F61" i="3" s="1"/>
  <c r="O30" i="4"/>
  <c r="F60" i="3" a="1"/>
  <c r="F60" i="3" s="1"/>
  <c r="O29" i="4"/>
  <c r="H31" i="4"/>
  <c r="Q48" i="4" s="1"/>
  <c r="S48" i="4" s="1"/>
  <c r="C31" i="4"/>
  <c r="G62" i="3" s="1" a="1"/>
  <c r="G62" i="3" s="1"/>
  <c r="D31" i="4"/>
  <c r="H62" i="3" s="1" a="1"/>
  <c r="H62" i="3" s="1"/>
  <c r="B31" i="4"/>
  <c r="H32" i="4"/>
  <c r="Q47" i="4" s="1"/>
  <c r="S47" i="4" s="1"/>
  <c r="B32" i="4"/>
  <c r="C32" i="4"/>
  <c r="G63" i="3" s="1" a="1"/>
  <c r="G63" i="3" s="1"/>
  <c r="D32" i="4"/>
  <c r="H63" i="3" s="1" a="1"/>
  <c r="H63" i="3" s="1"/>
  <c r="K11" i="4"/>
  <c r="J11" i="4"/>
  <c r="B12" i="4"/>
  <c r="C12" i="4"/>
  <c r="J12" i="4" s="1"/>
  <c r="D12" i="4"/>
  <c r="K12" i="4" s="1"/>
  <c r="I11" i="4"/>
  <c r="B13" i="4"/>
  <c r="C13" i="4"/>
  <c r="D13" i="4"/>
  <c r="H12" i="4"/>
  <c r="H8" i="4"/>
  <c r="C22" i="4"/>
  <c r="D22" i="4"/>
  <c r="B22" i="4"/>
  <c r="B7" i="4"/>
  <c r="C7" i="4"/>
  <c r="D7" i="4"/>
  <c r="J29" i="4"/>
  <c r="J33" i="4"/>
  <c r="I33" i="4"/>
  <c r="I74" i="4"/>
  <c r="K21" i="4"/>
  <c r="H13" i="4"/>
  <c r="H22" i="4"/>
  <c r="K33" i="4"/>
  <c r="I29" i="4"/>
  <c r="J30" i="4"/>
  <c r="H7" i="4"/>
  <c r="Q46" i="4"/>
  <c r="S46" i="4" s="1"/>
  <c r="I30" i="4"/>
  <c r="J21" i="4"/>
  <c r="K29" i="4"/>
  <c r="K30" i="4"/>
  <c r="I21" i="4"/>
  <c r="AX22" i="2" l="1"/>
  <c r="AY22" i="2"/>
  <c r="O22" i="4"/>
  <c r="F62" i="3" a="1"/>
  <c r="F62" i="3" s="1"/>
  <c r="O31" i="4"/>
  <c r="I12" i="4"/>
  <c r="O12" i="4"/>
  <c r="O7" i="4"/>
  <c r="K31" i="4"/>
  <c r="F63" i="3" a="1"/>
  <c r="F63" i="3" s="1"/>
  <c r="O32" i="4"/>
  <c r="I31" i="4"/>
  <c r="O13" i="4"/>
  <c r="J31" i="4"/>
  <c r="H28" i="4"/>
  <c r="Q45" i="4" s="1"/>
  <c r="S45" i="4" s="1"/>
  <c r="J32" i="4"/>
  <c r="I32" i="4"/>
  <c r="H11" i="3" a="1"/>
  <c r="H11" i="3" s="1"/>
  <c r="H7" i="3" a="1"/>
  <c r="H7" i="3" s="1"/>
  <c r="H10" i="3" a="1"/>
  <c r="H10" i="3" s="1"/>
  <c r="H6" i="3" a="1"/>
  <c r="H6" i="3" s="1"/>
  <c r="H9" i="3" a="1"/>
  <c r="H9" i="3" s="1"/>
  <c r="H8" i="3" a="1"/>
  <c r="H8" i="3" s="1"/>
  <c r="I7" i="4"/>
  <c r="F10" i="3" a="1"/>
  <c r="F10" i="3" s="1"/>
  <c r="F6" i="3" a="1"/>
  <c r="F6" i="3" s="1"/>
  <c r="F9" i="3" a="1"/>
  <c r="F9" i="3" s="1"/>
  <c r="F11" i="3" a="1"/>
  <c r="F11" i="3" s="1"/>
  <c r="F7" i="3" a="1"/>
  <c r="F7" i="3" s="1"/>
  <c r="F8" i="3" a="1"/>
  <c r="F8" i="3" s="1"/>
  <c r="G7" i="3" a="1"/>
  <c r="G7" i="3" s="1"/>
  <c r="G10" i="3" a="1"/>
  <c r="G10" i="3" s="1"/>
  <c r="G6" i="3" a="1"/>
  <c r="G6" i="3" s="1"/>
  <c r="G9" i="3" a="1"/>
  <c r="G9" i="3" s="1"/>
  <c r="G11" i="3" a="1"/>
  <c r="G11" i="3" s="1"/>
  <c r="G8" i="3" a="1"/>
  <c r="G8" i="3" s="1"/>
  <c r="K32" i="4"/>
  <c r="B5" i="4"/>
  <c r="C5" i="4"/>
  <c r="D5" i="4"/>
  <c r="C4" i="4"/>
  <c r="D4" i="4"/>
  <c r="D23" i="4"/>
  <c r="C23" i="4"/>
  <c r="B23" i="4"/>
  <c r="B8" i="4"/>
  <c r="C8" i="4"/>
  <c r="D8" i="4"/>
  <c r="K7" i="4"/>
  <c r="H5" i="4"/>
  <c r="B4" i="4"/>
  <c r="H4" i="4"/>
  <c r="K13" i="4"/>
  <c r="I13" i="4"/>
  <c r="J13" i="4"/>
  <c r="K22" i="4"/>
  <c r="J22" i="4"/>
  <c r="H23" i="4"/>
  <c r="E14" i="2" a="1"/>
  <c r="E14" i="2" s="1"/>
  <c r="J7" i="4"/>
  <c r="I22" i="4"/>
  <c r="F30" i="3" l="1" a="1"/>
  <c r="F30" i="3" s="1"/>
  <c r="F32" i="3" a="1"/>
  <c r="F32" i="3" s="1"/>
  <c r="F26" i="3" a="1"/>
  <c r="F26" i="3" s="1"/>
  <c r="F35" i="3" a="1"/>
  <c r="F35" i="3" s="1"/>
  <c r="F34" i="3" a="1"/>
  <c r="F34" i="3" s="1"/>
  <c r="F31" i="3" a="1"/>
  <c r="F31" i="3" s="1"/>
  <c r="F33" i="3" a="1"/>
  <c r="F33" i="3" s="1"/>
  <c r="F25" i="3" a="1"/>
  <c r="F25" i="3" s="1"/>
  <c r="F24" i="3" a="1"/>
  <c r="F24" i="3" s="1"/>
  <c r="F27" i="3" a="1"/>
  <c r="F27" i="3" s="1"/>
  <c r="F29" i="3" a="1"/>
  <c r="F29" i="3" s="1"/>
  <c r="F28" i="3" a="1"/>
  <c r="F28" i="3" s="1"/>
  <c r="G30" i="3" a="1"/>
  <c r="G30" i="3" s="1"/>
  <c r="G25" i="3" a="1"/>
  <c r="G25" i="3" s="1"/>
  <c r="G34" i="3" a="1"/>
  <c r="G34" i="3" s="1"/>
  <c r="G24" i="3" a="1"/>
  <c r="G24" i="3" s="1"/>
  <c r="G33" i="3" a="1"/>
  <c r="G33" i="3" s="1"/>
  <c r="G26" i="3" a="1"/>
  <c r="G26" i="3" s="1"/>
  <c r="G32" i="3" a="1"/>
  <c r="G32" i="3" s="1"/>
  <c r="G35" i="3" a="1"/>
  <c r="G35" i="3" s="1"/>
  <c r="G31" i="3" a="1"/>
  <c r="G31" i="3" s="1"/>
  <c r="G29" i="3" a="1"/>
  <c r="G29" i="3" s="1"/>
  <c r="G28" i="3" a="1"/>
  <c r="G28" i="3" s="1"/>
  <c r="G27" i="3" a="1"/>
  <c r="G27" i="3" s="1"/>
  <c r="H30" i="3" a="1"/>
  <c r="H30" i="3" s="1"/>
  <c r="H34" i="3" a="1"/>
  <c r="H34" i="3" s="1"/>
  <c r="H26" i="3" a="1"/>
  <c r="H26" i="3" s="1"/>
  <c r="H33" i="3" a="1"/>
  <c r="H33" i="3" s="1"/>
  <c r="H25" i="3" a="1"/>
  <c r="H25" i="3" s="1"/>
  <c r="H35" i="3" a="1"/>
  <c r="H35" i="3" s="1"/>
  <c r="H24" i="3" a="1"/>
  <c r="H24" i="3" s="1"/>
  <c r="H32" i="3" a="1"/>
  <c r="H32" i="3" s="1"/>
  <c r="H31" i="3" a="1"/>
  <c r="H31" i="3" s="1"/>
  <c r="H29" i="3" a="1"/>
  <c r="H29" i="3" s="1"/>
  <c r="H28" i="3" a="1"/>
  <c r="H28" i="3" s="1"/>
  <c r="H27" i="3" a="1"/>
  <c r="H27" i="3" s="1"/>
  <c r="AX23" i="2"/>
  <c r="AY23" i="2"/>
  <c r="O23" i="4"/>
  <c r="O5" i="4"/>
  <c r="O4" i="4"/>
  <c r="O8" i="4"/>
  <c r="Q49" i="4"/>
  <c r="S49" i="4" s="1"/>
  <c r="G38" i="3" a="1"/>
  <c r="G38" i="3" s="1"/>
  <c r="G42" i="3" a="1"/>
  <c r="G42" i="3" s="1"/>
  <c r="G41" i="3" a="1"/>
  <c r="G41" i="3" s="1"/>
  <c r="G40" i="3" a="1"/>
  <c r="G40" i="3" s="1"/>
  <c r="G39" i="3" a="1"/>
  <c r="G39" i="3" s="1"/>
  <c r="H39" i="3" a="1"/>
  <c r="H39" i="3" s="1"/>
  <c r="H38" i="3" a="1"/>
  <c r="H38" i="3" s="1"/>
  <c r="H42" i="3" a="1"/>
  <c r="H42" i="3" s="1"/>
  <c r="H41" i="3" a="1"/>
  <c r="H41" i="3" s="1"/>
  <c r="H40" i="3" a="1"/>
  <c r="H40" i="3" s="1"/>
  <c r="H4" i="3" a="1"/>
  <c r="H4" i="3" s="1"/>
  <c r="H2" i="3" a="1"/>
  <c r="H2" i="3" s="1"/>
  <c r="J13" i="2" s="1" a="1"/>
  <c r="J13" i="2" s="1"/>
  <c r="H3" i="3" a="1"/>
  <c r="H3" i="3" s="1"/>
  <c r="H12" i="3" a="1"/>
  <c r="H12" i="3" s="1"/>
  <c r="H19" i="3" a="1"/>
  <c r="H19" i="3" s="1"/>
  <c r="H14" i="3" a="1"/>
  <c r="H14" i="3" s="1"/>
  <c r="H21" i="3" a="1"/>
  <c r="H21" i="3" s="1"/>
  <c r="H17" i="3" a="1"/>
  <c r="H17" i="3" s="1"/>
  <c r="H15" i="3" a="1"/>
  <c r="H15" i="3" s="1"/>
  <c r="H23" i="3" a="1"/>
  <c r="H23" i="3" s="1"/>
  <c r="H18" i="3" a="1"/>
  <c r="H18" i="3" s="1"/>
  <c r="H16" i="3" a="1"/>
  <c r="H16" i="3" s="1"/>
  <c r="H22" i="3" a="1"/>
  <c r="H22" i="3" s="1"/>
  <c r="H13" i="3" a="1"/>
  <c r="H13" i="3" s="1"/>
  <c r="F4" i="3" a="1"/>
  <c r="F4" i="3" s="1"/>
  <c r="F3" i="3" a="1"/>
  <c r="F3" i="3" s="1"/>
  <c r="J14" i="2" s="1" a="1"/>
  <c r="J14" i="2" s="1"/>
  <c r="G17" i="3" a="1"/>
  <c r="G17" i="3" s="1"/>
  <c r="G15" i="3" a="1"/>
  <c r="G15" i="3" s="1"/>
  <c r="G23" i="3" a="1"/>
  <c r="G23" i="3" s="1"/>
  <c r="G21" i="3" a="1"/>
  <c r="G21" i="3" s="1"/>
  <c r="G16" i="3" a="1"/>
  <c r="G16" i="3" s="1"/>
  <c r="G22" i="3" a="1"/>
  <c r="G22" i="3" s="1"/>
  <c r="G14" i="3" a="1"/>
  <c r="G14" i="3" s="1"/>
  <c r="G13" i="3" a="1"/>
  <c r="G13" i="3" s="1"/>
  <c r="G12" i="3" a="1"/>
  <c r="G12" i="3" s="1"/>
  <c r="G19" i="3" a="1"/>
  <c r="G19" i="3" s="1"/>
  <c r="G18" i="3" a="1"/>
  <c r="G18" i="3" s="1"/>
  <c r="G4" i="3" a="1"/>
  <c r="G4" i="3" s="1"/>
  <c r="G2" i="3" a="1"/>
  <c r="G2" i="3" s="1"/>
  <c r="J12" i="2" s="1" a="1"/>
  <c r="J12" i="2" s="1"/>
  <c r="G3" i="3" a="1"/>
  <c r="G3" i="3" s="1"/>
  <c r="J15" i="2" s="1" a="1"/>
  <c r="J15" i="2" s="1"/>
  <c r="F17" i="3" a="1"/>
  <c r="F17" i="3" s="1"/>
  <c r="F14" i="3" a="1"/>
  <c r="F14" i="3" s="1"/>
  <c r="F15" i="3" a="1"/>
  <c r="F15" i="3" s="1"/>
  <c r="F23" i="3" a="1"/>
  <c r="F23" i="3" s="1"/>
  <c r="F16" i="3" a="1"/>
  <c r="F16" i="3" s="1"/>
  <c r="F22" i="3" a="1"/>
  <c r="F22" i="3" s="1"/>
  <c r="F13" i="3" a="1"/>
  <c r="F13" i="3" s="1"/>
  <c r="F12" i="3" a="1"/>
  <c r="F12" i="3" s="1"/>
  <c r="F19" i="3" a="1"/>
  <c r="F19" i="3" s="1"/>
  <c r="F18" i="3" a="1"/>
  <c r="F18" i="3" s="1"/>
  <c r="F21" i="3" a="1"/>
  <c r="F21" i="3" s="1"/>
  <c r="J8" i="4"/>
  <c r="F38" i="3" a="1"/>
  <c r="F38" i="3" s="1"/>
  <c r="F40" i="3" a="1"/>
  <c r="F40" i="3" s="1"/>
  <c r="F42" i="3" a="1"/>
  <c r="F42" i="3" s="1"/>
  <c r="F41" i="3" a="1"/>
  <c r="F41" i="3" s="1"/>
  <c r="F39" i="3" a="1"/>
  <c r="F39" i="3" s="1"/>
  <c r="K8" i="4"/>
  <c r="D25" i="4"/>
  <c r="B25" i="4"/>
  <c r="C25" i="4"/>
  <c r="I8" i="4"/>
  <c r="H6" i="4"/>
  <c r="C20" i="4"/>
  <c r="G36" i="3" s="1" a="1"/>
  <c r="G36" i="3" s="1"/>
  <c r="B20" i="4"/>
  <c r="D20" i="4"/>
  <c r="H36" i="3" s="1" a="1"/>
  <c r="H36" i="3" s="1"/>
  <c r="J5" i="4"/>
  <c r="K23" i="4"/>
  <c r="E15" i="2" a="1"/>
  <c r="E15" i="2" s="1"/>
  <c r="K5" i="4"/>
  <c r="I23" i="4"/>
  <c r="J23" i="4"/>
  <c r="I5" i="4"/>
  <c r="K4" i="4"/>
  <c r="J4" i="4"/>
  <c r="H25" i="4"/>
  <c r="H20" i="4"/>
  <c r="I4" i="4"/>
  <c r="F2" i="3" a="1"/>
  <c r="F2" i="3" s="1"/>
  <c r="J11" i="2" s="1" a="1"/>
  <c r="J11" i="2" s="1"/>
  <c r="AX24" i="2" l="1"/>
  <c r="AY24" i="2"/>
  <c r="O25" i="4"/>
  <c r="F36" i="3" a="1"/>
  <c r="F36" i="3" s="1"/>
  <c r="O20" i="4"/>
  <c r="J16" i="2" a="1"/>
  <c r="J16" i="2" s="1"/>
  <c r="H46" i="3" a="1"/>
  <c r="H46" i="3" s="1"/>
  <c r="H56" i="3" a="1"/>
  <c r="H56" i="3" s="1"/>
  <c r="H51" i="3" a="1"/>
  <c r="H51" i="3" s="1"/>
  <c r="H55" i="3" a="1"/>
  <c r="H55" i="3" s="1"/>
  <c r="H54" i="3" a="1"/>
  <c r="H54" i="3" s="1"/>
  <c r="H53" i="3" a="1"/>
  <c r="H53" i="3" s="1"/>
  <c r="H49" i="3" a="1"/>
  <c r="H49" i="3" s="1"/>
  <c r="H57" i="3" a="1"/>
  <c r="H57" i="3" s="1"/>
  <c r="H52" i="3" a="1"/>
  <c r="H52" i="3" s="1"/>
  <c r="H48" i="3" a="1"/>
  <c r="H48" i="3" s="1"/>
  <c r="H45" i="3" a="1"/>
  <c r="H45" i="3" s="1"/>
  <c r="H47" i="3" a="1"/>
  <c r="H47" i="3" s="1"/>
  <c r="H58" i="3" a="1"/>
  <c r="H58" i="3" s="1"/>
  <c r="H44" i="3" a="1"/>
  <c r="H44" i="3" s="1"/>
  <c r="H50" i="3" a="1"/>
  <c r="H50" i="3" s="1"/>
  <c r="G51" i="3" a="1"/>
  <c r="G51" i="3" s="1"/>
  <c r="G55" i="3" a="1"/>
  <c r="G55" i="3" s="1"/>
  <c r="G54" i="3" a="1"/>
  <c r="G54" i="3" s="1"/>
  <c r="G53" i="3" a="1"/>
  <c r="G53" i="3" s="1"/>
  <c r="G49" i="3" a="1"/>
  <c r="G49" i="3" s="1"/>
  <c r="G48" i="3" a="1"/>
  <c r="G48" i="3" s="1"/>
  <c r="G57" i="3" a="1"/>
  <c r="G57" i="3" s="1"/>
  <c r="G52" i="3" a="1"/>
  <c r="G52" i="3" s="1"/>
  <c r="G45" i="3" a="1"/>
  <c r="G45" i="3" s="1"/>
  <c r="G46" i="3" a="1"/>
  <c r="G46" i="3" s="1"/>
  <c r="G47" i="3" a="1"/>
  <c r="G47" i="3" s="1"/>
  <c r="G44" i="3" a="1"/>
  <c r="G44" i="3" s="1"/>
  <c r="G58" i="3" a="1"/>
  <c r="G58" i="3" s="1"/>
  <c r="G50" i="3" a="1"/>
  <c r="G50" i="3" s="1"/>
  <c r="G56" i="3" a="1"/>
  <c r="G56" i="3" s="1"/>
  <c r="F53" i="3" a="1"/>
  <c r="F53" i="3" s="1"/>
  <c r="F49" i="3" a="1"/>
  <c r="F49" i="3" s="1"/>
  <c r="F48" i="3" a="1"/>
  <c r="F48" i="3" s="1"/>
  <c r="F57" i="3" a="1"/>
  <c r="F57" i="3" s="1"/>
  <c r="F52" i="3" a="1"/>
  <c r="F52" i="3" s="1"/>
  <c r="F46" i="3" a="1"/>
  <c r="F46" i="3" s="1"/>
  <c r="F45" i="3" a="1"/>
  <c r="F45" i="3" s="1"/>
  <c r="F47" i="3" a="1"/>
  <c r="F47" i="3" s="1"/>
  <c r="F44" i="3" a="1"/>
  <c r="F44" i="3" s="1"/>
  <c r="F58" i="3" a="1"/>
  <c r="F58" i="3" s="1"/>
  <c r="F50" i="3" a="1"/>
  <c r="F50" i="3" s="1"/>
  <c r="F56" i="3" a="1"/>
  <c r="F56" i="3" s="1"/>
  <c r="F51" i="3" a="1"/>
  <c r="F51" i="3" s="1"/>
  <c r="F55" i="3" a="1"/>
  <c r="F55" i="3" s="1"/>
  <c r="F54" i="3" a="1"/>
  <c r="F54" i="3" s="1"/>
  <c r="B19" i="4"/>
  <c r="D19" i="4"/>
  <c r="C19" i="4"/>
  <c r="B6" i="4"/>
  <c r="F20" i="3" s="1" a="1"/>
  <c r="F20" i="3" s="1"/>
  <c r="C6" i="4"/>
  <c r="G20" i="3" s="1" a="1"/>
  <c r="G20" i="3" s="1"/>
  <c r="D6" i="4"/>
  <c r="B18" i="4"/>
  <c r="C18" i="4"/>
  <c r="D18" i="4"/>
  <c r="B17" i="4"/>
  <c r="C17" i="4"/>
  <c r="D17" i="4"/>
  <c r="K20" i="4"/>
  <c r="H18" i="4"/>
  <c r="J20" i="4"/>
  <c r="K25" i="4"/>
  <c r="H19" i="4"/>
  <c r="J25" i="4"/>
  <c r="I25" i="4"/>
  <c r="H17" i="4"/>
  <c r="E16" i="2" a="1"/>
  <c r="E16" i="2" s="1"/>
  <c r="I20" i="4"/>
  <c r="O18" i="4" l="1"/>
  <c r="H5" i="3" a="1"/>
  <c r="H5" i="3" s="1"/>
  <c r="H20" i="3" a="1"/>
  <c r="H20" i="3" s="1"/>
  <c r="AX25" i="2"/>
  <c r="AY25" i="2"/>
  <c r="O17" i="4"/>
  <c r="F5" i="3" a="1"/>
  <c r="F5" i="3" s="1"/>
  <c r="O6" i="4"/>
  <c r="O19" i="4"/>
  <c r="J6" i="4"/>
  <c r="G5" i="3" a="1"/>
  <c r="G5" i="3" s="1"/>
  <c r="I6" i="4"/>
  <c r="D34" i="4"/>
  <c r="C34" i="4"/>
  <c r="K6" i="4"/>
  <c r="H26" i="4"/>
  <c r="Q41" i="4" s="1"/>
  <c r="K19" i="4"/>
  <c r="J17" i="4"/>
  <c r="K17" i="4"/>
  <c r="K18" i="4"/>
  <c r="I17" i="4"/>
  <c r="B34" i="4"/>
  <c r="I18" i="4"/>
  <c r="J19" i="4"/>
  <c r="J18" i="4"/>
  <c r="I19" i="4"/>
  <c r="AX26" i="2" l="1"/>
  <c r="AY26" i="2"/>
  <c r="H34" i="4"/>
  <c r="Q43" i="4"/>
  <c r="S43" i="4" s="1"/>
  <c r="S41" i="4"/>
  <c r="Q50" i="4"/>
  <c r="AY27" i="2" l="1"/>
  <c r="AX27" i="2"/>
  <c r="J17" i="2" a="1"/>
  <c r="J17" i="2" s="1"/>
  <c r="E17" i="2" a="1"/>
  <c r="E17" i="2" s="1"/>
  <c r="AX28" i="2" l="1"/>
  <c r="AY28" i="2"/>
  <c r="J18" i="2" a="1"/>
  <c r="J18" i="2" s="1"/>
  <c r="E18" i="2" a="1"/>
  <c r="E18" i="2" s="1"/>
  <c r="AX29" i="2" l="1"/>
  <c r="AY29" i="2"/>
  <c r="J19" i="2" a="1"/>
  <c r="J19" i="2" s="1"/>
  <c r="E19" i="2" a="1"/>
  <c r="E19" i="2" s="1"/>
  <c r="AY30" i="2" l="1"/>
  <c r="AX30" i="2"/>
  <c r="J20" i="2" a="1"/>
  <c r="J20" i="2" s="1"/>
  <c r="J21" i="2" a="1"/>
  <c r="J21" i="2" s="1"/>
  <c r="E20" i="2" a="1"/>
  <c r="E20" i="2" s="1"/>
  <c r="AX31" i="2" l="1"/>
  <c r="AY31" i="2"/>
  <c r="E21" i="2" a="1"/>
  <c r="E21" i="2" s="1"/>
  <c r="AX32" i="2" l="1"/>
  <c r="AY32" i="2"/>
  <c r="J22" i="2" a="1"/>
  <c r="J22" i="2" s="1"/>
  <c r="E22" i="2" a="1"/>
  <c r="E22" i="2" s="1"/>
  <c r="AY33" i="2" l="1"/>
  <c r="AX33" i="2"/>
  <c r="J23" i="2" a="1"/>
  <c r="J23" i="2" s="1"/>
  <c r="E23" i="2" a="1"/>
  <c r="E23" i="2" s="1"/>
  <c r="AX34" i="2" l="1"/>
  <c r="AY34" i="2"/>
  <c r="J24" i="2" a="1"/>
  <c r="J24" i="2" s="1"/>
  <c r="J25" i="2" a="1"/>
  <c r="J25" i="2" s="1"/>
  <c r="E24" i="2" a="1"/>
  <c r="E24" i="2" s="1"/>
  <c r="AY35" i="2" l="1"/>
  <c r="AX35" i="2"/>
  <c r="E25" i="2" a="1"/>
  <c r="E25" i="2" s="1"/>
  <c r="AY36" i="2" l="1"/>
  <c r="AX36" i="2"/>
  <c r="J26" i="2" a="1"/>
  <c r="J26" i="2" s="1"/>
  <c r="E26" i="2" a="1"/>
  <c r="E26" i="2" s="1"/>
  <c r="AX37" i="2" l="1"/>
  <c r="AY37" i="2"/>
  <c r="J27" i="2" a="1"/>
  <c r="J27" i="2" s="1"/>
  <c r="E27" i="2" a="1"/>
  <c r="E27" i="2" s="1"/>
  <c r="AX38" i="2" l="1"/>
  <c r="AY38" i="2"/>
  <c r="J28" i="2" a="1"/>
  <c r="J28" i="2" s="1"/>
  <c r="E28" i="2" a="1"/>
  <c r="E28" i="2" s="1"/>
  <c r="AY39" i="2" l="1"/>
  <c r="AX39" i="2"/>
  <c r="J29" i="2" a="1"/>
  <c r="J29" i="2" s="1"/>
  <c r="AY40" i="2" l="1"/>
  <c r="AX40" i="2"/>
  <c r="E29" i="2" a="1"/>
  <c r="E29" i="2" s="1"/>
  <c r="AY41" i="2" l="1"/>
  <c r="AX41" i="2"/>
  <c r="J30" i="2" a="1"/>
  <c r="J30" i="2" s="1"/>
  <c r="E30" i="2" a="1"/>
  <c r="E30" i="2" s="1"/>
  <c r="AX42" i="2" l="1"/>
  <c r="AY42" i="2"/>
  <c r="J31" i="2" a="1"/>
  <c r="J31" i="2" s="1"/>
  <c r="E31" i="2" a="1"/>
  <c r="E31" i="2" s="1"/>
  <c r="AY43" i="2" l="1"/>
  <c r="AX43" i="2"/>
  <c r="J32" i="2" a="1"/>
  <c r="J32" i="2" s="1"/>
  <c r="J33" i="2" a="1"/>
  <c r="J33" i="2" s="1"/>
  <c r="E32" i="2" a="1"/>
  <c r="E32" i="2" s="1"/>
  <c r="AX44" i="2" l="1"/>
  <c r="AY44" i="2"/>
  <c r="E33" i="2" a="1"/>
  <c r="E33" i="2" s="1"/>
  <c r="J34" i="2" a="1"/>
  <c r="J34" i="2" s="1"/>
  <c r="AY45" i="2" l="1"/>
  <c r="AX45" i="2"/>
  <c r="E34" i="2" a="1"/>
  <c r="E34" i="2" s="1"/>
  <c r="AX46" i="2" l="1"/>
  <c r="AY46" i="2"/>
  <c r="J35" i="2" a="1"/>
  <c r="J35" i="2" s="1"/>
  <c r="E35" i="2" a="1"/>
  <c r="E35" i="2" s="1"/>
  <c r="AX47" i="2" l="1"/>
  <c r="AY47" i="2"/>
  <c r="J36" i="2" a="1"/>
  <c r="J36" i="2" s="1"/>
  <c r="E36" i="2" a="1"/>
  <c r="E36" i="2" s="1"/>
  <c r="AY48" i="2" l="1"/>
  <c r="AX48" i="2"/>
  <c r="J37" i="2" a="1"/>
  <c r="J37" i="2" s="1"/>
  <c r="E37" i="2" a="1"/>
  <c r="E37" i="2" s="1"/>
  <c r="AX49" i="2" l="1"/>
  <c r="AY49" i="2"/>
  <c r="J38" i="2" a="1"/>
  <c r="J38" i="2" s="1"/>
  <c r="E38" i="2" a="1"/>
  <c r="E38" i="2" s="1"/>
  <c r="AY50" i="2" l="1"/>
  <c r="AX50" i="2"/>
  <c r="J39" i="2" a="1"/>
  <c r="J39" i="2" s="1"/>
  <c r="E39" i="2" a="1"/>
  <c r="E39" i="2" s="1"/>
  <c r="AY51" i="2" l="1"/>
  <c r="AX51" i="2"/>
  <c r="J40" i="2" a="1"/>
  <c r="J40" i="2" s="1"/>
  <c r="E40" i="2" a="1"/>
  <c r="E40" i="2" s="1"/>
  <c r="AX52" i="2" l="1"/>
  <c r="AY52" i="2"/>
  <c r="J41" i="2" a="1"/>
  <c r="J41" i="2" s="1"/>
  <c r="E41" i="2" a="1"/>
  <c r="E41" i="2" s="1"/>
  <c r="AX53" i="2" l="1"/>
  <c r="AY53" i="2"/>
  <c r="J42" i="2" a="1"/>
  <c r="J42" i="2" s="1"/>
  <c r="E42" i="2" a="1"/>
  <c r="E42" i="2" s="1"/>
  <c r="AX54" i="2" l="1"/>
  <c r="AY54" i="2"/>
  <c r="J43" i="2" a="1"/>
  <c r="J43" i="2" s="1"/>
  <c r="E43" i="2" a="1"/>
  <c r="E43" i="2" s="1"/>
  <c r="AX55" i="2" l="1"/>
  <c r="AY55" i="2"/>
  <c r="J44" i="2" a="1"/>
  <c r="J44" i="2" s="1"/>
  <c r="AX56" i="2" l="1"/>
  <c r="AY56" i="2"/>
  <c r="E44" i="2" a="1"/>
  <c r="E44" i="2" s="1"/>
  <c r="AY57" i="2" l="1"/>
  <c r="AX57" i="2"/>
  <c r="J45" i="2" a="1"/>
  <c r="J45" i="2" s="1"/>
  <c r="E45" i="2" a="1"/>
  <c r="E45" i="2" s="1"/>
  <c r="AX58" i="2" l="1"/>
  <c r="AY58" i="2"/>
  <c r="J46" i="2" a="1"/>
  <c r="J46" i="2" s="1"/>
  <c r="E46" i="2" a="1"/>
  <c r="E46" i="2" s="1"/>
  <c r="AY59" i="2" l="1"/>
  <c r="AX59" i="2"/>
  <c r="J47" i="2" a="1"/>
  <c r="J47" i="2" s="1"/>
  <c r="E47" i="2" a="1"/>
  <c r="E47" i="2" s="1"/>
  <c r="AX60" i="2" l="1"/>
  <c r="AY60" i="2"/>
  <c r="J48" i="2" a="1"/>
  <c r="J48" i="2" s="1"/>
  <c r="E48" i="2" a="1"/>
  <c r="E48" i="2" s="1"/>
  <c r="AY61" i="2" l="1"/>
  <c r="AX61" i="2"/>
  <c r="J49" i="2" a="1"/>
  <c r="J49" i="2" s="1"/>
  <c r="E49" i="2" a="1"/>
  <c r="E49" i="2" s="1"/>
  <c r="AX62" i="2" l="1"/>
  <c r="AY62" i="2"/>
  <c r="J50" i="2" a="1"/>
  <c r="J50" i="2" s="1"/>
  <c r="E50" i="2" a="1"/>
  <c r="E50" i="2" s="1"/>
  <c r="AX63" i="2" l="1"/>
  <c r="AY63" i="2"/>
  <c r="J51" i="2" a="1"/>
  <c r="J51" i="2" s="1"/>
  <c r="J52" i="2" a="1"/>
  <c r="J52" i="2" s="1"/>
  <c r="E51" i="2" a="1"/>
  <c r="E51" i="2" s="1"/>
  <c r="AX64" i="2" l="1"/>
  <c r="AY64" i="2"/>
  <c r="E52" i="2" a="1"/>
  <c r="E52" i="2" s="1"/>
  <c r="AX65" i="2" l="1"/>
  <c r="AY65" i="2"/>
  <c r="J53" i="2" a="1"/>
  <c r="J53" i="2" s="1"/>
  <c r="E53" i="2" a="1"/>
  <c r="E53" i="2" s="1"/>
  <c r="AX66" i="2" l="1"/>
  <c r="AY66" i="2"/>
  <c r="J54" i="2" a="1"/>
  <c r="J54" i="2" s="1"/>
  <c r="E54" i="2" a="1"/>
  <c r="E54" i="2" s="1"/>
  <c r="AX67" i="2" l="1"/>
  <c r="AY67" i="2"/>
  <c r="J55" i="2" a="1"/>
  <c r="J55" i="2" s="1"/>
  <c r="E55" i="2" a="1"/>
  <c r="E55" i="2" s="1"/>
  <c r="AX68" i="2" l="1"/>
  <c r="AY68" i="2"/>
  <c r="J56" i="2" a="1"/>
  <c r="J56" i="2" s="1"/>
  <c r="E56" i="2" a="1"/>
  <c r="E56" i="2" s="1"/>
  <c r="AY69" i="2" l="1"/>
  <c r="AX69" i="2"/>
  <c r="J57" i="2" a="1"/>
  <c r="J57" i="2" s="1"/>
  <c r="E57" i="2" a="1"/>
  <c r="E57" i="2" s="1"/>
  <c r="AX70" i="2" l="1"/>
  <c r="AY70" i="2"/>
  <c r="J58" i="2" a="1"/>
  <c r="J58" i="2" s="1"/>
  <c r="E58" i="2" a="1"/>
  <c r="E58" i="2" s="1"/>
  <c r="AY71" i="2" l="1"/>
  <c r="AX71" i="2"/>
  <c r="J59" i="2" a="1"/>
  <c r="J59" i="2" s="1"/>
  <c r="E59" i="2" a="1"/>
  <c r="E59" i="2" s="1"/>
  <c r="AY72" i="2" l="1"/>
  <c r="AX72" i="2"/>
  <c r="J60" i="2" a="1"/>
  <c r="J60" i="2" s="1"/>
  <c r="E60" i="2" a="1"/>
  <c r="E60" i="2" s="1"/>
  <c r="AX73" i="2" l="1"/>
  <c r="AY73" i="2"/>
  <c r="J61" i="2" a="1"/>
  <c r="J61" i="2" s="1"/>
  <c r="E61" i="2" a="1"/>
  <c r="E61" i="2" s="1"/>
  <c r="AY74" i="2" l="1"/>
  <c r="AX74" i="2"/>
  <c r="J62" i="2" a="1"/>
  <c r="J62" i="2" s="1"/>
  <c r="J63" i="2" a="1"/>
  <c r="J63" i="2" s="1"/>
  <c r="E62" i="2" a="1"/>
  <c r="E62" i="2" s="1"/>
  <c r="AX75" i="2" l="1"/>
  <c r="AY75" i="2"/>
  <c r="E63" i="2" a="1"/>
  <c r="E63" i="2" s="1"/>
  <c r="AX76" i="2" l="1"/>
  <c r="AY76" i="2"/>
  <c r="J64" i="2" a="1"/>
  <c r="J64" i="2" s="1"/>
  <c r="E64" i="2" a="1"/>
  <c r="E64" i="2" s="1"/>
  <c r="AY77" i="2" l="1"/>
  <c r="AX77" i="2"/>
  <c r="J65" i="2" a="1"/>
  <c r="J65" i="2" s="1"/>
  <c r="AY78" i="2" l="1"/>
  <c r="AX78" i="2"/>
  <c r="E65" i="2" a="1"/>
  <c r="E65" i="2" s="1"/>
  <c r="J66" i="2" a="1"/>
  <c r="J66" i="2" s="1"/>
  <c r="AX79" i="2" l="1"/>
  <c r="AY79" i="2"/>
  <c r="E66" i="2" a="1"/>
  <c r="E66" i="2" s="1"/>
  <c r="AX80" i="2" l="1"/>
  <c r="AY80" i="2"/>
  <c r="J67" i="2" a="1"/>
  <c r="J67" i="2" s="1"/>
  <c r="E67" i="2" a="1"/>
  <c r="E67" i="2" s="1"/>
  <c r="AY81" i="2" l="1"/>
  <c r="AX81" i="2"/>
  <c r="J68" i="2" a="1"/>
  <c r="J68" i="2" s="1"/>
  <c r="E68" i="2" a="1"/>
  <c r="E68" i="2" s="1"/>
  <c r="AY82" i="2" l="1"/>
  <c r="AX82" i="2"/>
  <c r="J69" i="2" a="1"/>
  <c r="J69" i="2" s="1"/>
  <c r="E69" i="2" a="1"/>
  <c r="E69" i="2" s="1"/>
  <c r="AX83" i="2" l="1"/>
  <c r="AY83" i="2"/>
  <c r="J70" i="2" a="1"/>
  <c r="J70" i="2" s="1"/>
  <c r="E70" i="2" a="1"/>
  <c r="E70" i="2" s="1"/>
  <c r="AX84" i="2" l="1"/>
  <c r="AY84" i="2"/>
  <c r="J71" i="2" a="1"/>
  <c r="J71" i="2" s="1"/>
  <c r="AX85" i="2" l="1"/>
  <c r="AY85" i="2"/>
  <c r="E71" i="2" a="1"/>
  <c r="E71" i="2" s="1"/>
  <c r="J72" i="2" a="1"/>
  <c r="J72" i="2" s="1"/>
  <c r="AX86" i="2" l="1"/>
  <c r="AY86" i="2"/>
  <c r="E72" i="2" a="1"/>
  <c r="E72" i="2" s="1"/>
  <c r="AY87" i="2" l="1"/>
  <c r="AX87" i="2"/>
  <c r="J73" i="2" a="1"/>
  <c r="J73" i="2" s="1"/>
  <c r="E73" i="2" a="1"/>
  <c r="E73" i="2" s="1"/>
  <c r="AY88" i="2" l="1"/>
  <c r="AX88" i="2"/>
  <c r="J74" i="2" a="1"/>
  <c r="J74" i="2" s="1"/>
  <c r="AX89" i="2" l="1"/>
  <c r="AY89" i="2"/>
  <c r="E74" i="2" a="1"/>
  <c r="E74" i="2" s="1"/>
  <c r="J75" i="2" a="1"/>
  <c r="J75" i="2" s="1"/>
  <c r="AY90" i="2" l="1"/>
  <c r="AX90" i="2"/>
  <c r="E75" i="2" a="1"/>
  <c r="E75" i="2" s="1"/>
  <c r="J76" i="2" a="1"/>
  <c r="J76" i="2" s="1"/>
  <c r="AX91" i="2" l="1"/>
  <c r="AY91" i="2"/>
  <c r="E76" i="2" a="1"/>
  <c r="E76" i="2" s="1"/>
  <c r="AX92" i="2" l="1"/>
  <c r="AY92" i="2"/>
  <c r="J77" i="2" a="1"/>
  <c r="J77" i="2" s="1"/>
  <c r="E77" i="2" a="1"/>
  <c r="E77" i="2" s="1"/>
  <c r="AX93" i="2" l="1"/>
  <c r="AY93" i="2"/>
  <c r="J78" i="2" a="1"/>
  <c r="J78" i="2" s="1"/>
  <c r="J79" i="2" a="1"/>
  <c r="J79" i="2" s="1"/>
  <c r="E78" i="2" a="1"/>
  <c r="E78" i="2" s="1"/>
  <c r="AX94" i="2" l="1"/>
  <c r="AY94" i="2"/>
  <c r="E79" i="2" a="1"/>
  <c r="E79" i="2" s="1"/>
  <c r="AX95" i="2" l="1"/>
  <c r="AY95" i="2"/>
  <c r="J80" i="2" a="1"/>
  <c r="J80" i="2" s="1"/>
  <c r="AX96" i="2" l="1"/>
  <c r="AY96" i="2"/>
  <c r="E80" i="2" a="1"/>
  <c r="E80" i="2" s="1"/>
  <c r="J81" i="2" a="1"/>
  <c r="J81" i="2" s="1"/>
  <c r="AX97" i="2" l="1"/>
  <c r="AY97" i="2"/>
  <c r="E81" i="2" a="1"/>
  <c r="E81" i="2" s="1"/>
  <c r="AX98" i="2" l="1"/>
  <c r="AY98" i="2"/>
  <c r="J82" i="2" a="1"/>
  <c r="J82" i="2" s="1"/>
  <c r="E82" i="2" a="1"/>
  <c r="E82" i="2" s="1"/>
  <c r="AY99" i="2" l="1"/>
  <c r="AX99" i="2"/>
  <c r="J83" i="2" a="1"/>
  <c r="J83" i="2" s="1"/>
  <c r="E83" i="2" a="1"/>
  <c r="E83" i="2" s="1"/>
  <c r="AX100" i="2" l="1"/>
  <c r="AY100" i="2"/>
  <c r="J84" i="2" a="1"/>
  <c r="J84" i="2" s="1"/>
  <c r="J85" i="2" a="1"/>
  <c r="J85" i="2" s="1"/>
  <c r="E84" i="2" a="1"/>
  <c r="E84" i="2" s="1"/>
  <c r="AY101" i="2" l="1"/>
  <c r="AX101" i="2"/>
  <c r="E85" i="2" a="1"/>
  <c r="E85" i="2" s="1"/>
  <c r="AX102" i="2" l="1"/>
  <c r="AY102" i="2"/>
  <c r="J86" i="2" a="1"/>
  <c r="J86" i="2" s="1"/>
  <c r="AY103" i="2" l="1"/>
  <c r="AX103" i="2"/>
  <c r="E86" i="2" a="1"/>
  <c r="E86" i="2" s="1"/>
  <c r="AX104" i="2" l="1"/>
  <c r="AY104" i="2"/>
  <c r="J87" i="2" a="1"/>
  <c r="J87" i="2" s="1"/>
  <c r="E87" i="2" a="1"/>
  <c r="E87" i="2" s="1"/>
  <c r="AX105" i="2" l="1"/>
  <c r="AY105" i="2"/>
  <c r="J88" i="2" a="1"/>
  <c r="J88" i="2" s="1"/>
  <c r="E88" i="2" a="1"/>
  <c r="E88" i="2" s="1"/>
  <c r="AX106" i="2" l="1"/>
  <c r="AY106" i="2"/>
  <c r="J89" i="2" a="1"/>
  <c r="J89" i="2" s="1"/>
  <c r="AY107" i="2" l="1"/>
  <c r="AX107" i="2"/>
  <c r="J90" i="2" a="1"/>
  <c r="J90" i="2" s="1"/>
  <c r="E89" i="2" a="1"/>
  <c r="E89" i="2" s="1"/>
  <c r="AY108" i="2" l="1"/>
  <c r="AX108" i="2"/>
  <c r="E90" i="2" a="1"/>
  <c r="E90" i="2" s="1"/>
  <c r="AY109" i="2" l="1"/>
  <c r="AX109" i="2"/>
  <c r="J91" i="2" a="1"/>
  <c r="J91" i="2" s="1"/>
  <c r="E91" i="2" a="1"/>
  <c r="E91" i="2" s="1"/>
  <c r="AX110" i="2" l="1"/>
  <c r="AY110" i="2"/>
  <c r="J92" i="2" a="1"/>
  <c r="J92" i="2" s="1"/>
  <c r="J93" i="2" a="1"/>
  <c r="J93" i="2" s="1"/>
  <c r="E92" i="2" a="1"/>
  <c r="E92" i="2" s="1"/>
  <c r="AY111" i="2" l="1"/>
  <c r="AX111" i="2"/>
  <c r="J94" i="2" a="1"/>
  <c r="J94" i="2" s="1"/>
  <c r="E93" i="2" a="1"/>
  <c r="E93" i="2" s="1"/>
  <c r="AX112" i="2" l="1"/>
  <c r="AY112" i="2"/>
  <c r="E94" i="2" a="1"/>
  <c r="E94" i="2" s="1"/>
  <c r="AX113" i="2" l="1"/>
  <c r="AY113" i="2"/>
  <c r="J95" i="2" a="1"/>
  <c r="J95" i="2" s="1"/>
  <c r="AX114" i="2" l="1"/>
  <c r="AY114" i="2"/>
  <c r="E95" i="2" a="1"/>
  <c r="E95" i="2" s="1"/>
  <c r="AX115" i="2" l="1"/>
  <c r="AY115" i="2"/>
  <c r="J96" i="2" a="1"/>
  <c r="J96" i="2" s="1"/>
  <c r="J97" i="2" a="1"/>
  <c r="J97" i="2" s="1"/>
  <c r="E96" i="2" a="1"/>
  <c r="E96" i="2" s="1"/>
  <c r="AX116" i="2" l="1"/>
  <c r="AY116" i="2"/>
  <c r="E97" i="2" a="1"/>
  <c r="E97" i="2" s="1"/>
  <c r="AY117" i="2" l="1"/>
  <c r="AX117" i="2"/>
  <c r="J98" i="2" a="1"/>
  <c r="J98" i="2" s="1"/>
  <c r="J99" i="2" a="1"/>
  <c r="J99" i="2" s="1"/>
  <c r="E98" i="2" a="1"/>
  <c r="E98" i="2" s="1"/>
  <c r="AX118" i="2" l="1"/>
  <c r="AY118" i="2"/>
  <c r="E99" i="2" a="1"/>
  <c r="E99" i="2" s="1"/>
  <c r="J100" i="2" a="1"/>
  <c r="J100" i="2" s="1"/>
  <c r="AX119" i="2" l="1"/>
  <c r="AY119" i="2"/>
  <c r="E100" i="2" a="1"/>
  <c r="E100" i="2" s="1"/>
  <c r="AY120" i="2" l="1"/>
  <c r="AX120" i="2"/>
  <c r="J101" i="2" a="1"/>
  <c r="J101" i="2" s="1"/>
  <c r="E101" i="2" a="1"/>
  <c r="E101" i="2" s="1"/>
  <c r="AX121" i="2" l="1"/>
  <c r="AY121" i="2"/>
  <c r="J102" i="2" a="1"/>
  <c r="J102" i="2" s="1"/>
  <c r="J103" i="2" a="1"/>
  <c r="J103" i="2" s="1"/>
  <c r="E102" i="2" a="1"/>
  <c r="E102" i="2" s="1"/>
  <c r="AY122" i="2" l="1"/>
  <c r="AX122" i="2"/>
  <c r="E103" i="2" a="1"/>
  <c r="E103" i="2" s="1"/>
  <c r="AX123" i="2" l="1"/>
  <c r="AY123" i="2"/>
  <c r="J104" i="2" a="1"/>
  <c r="J104" i="2" s="1"/>
  <c r="E104" i="2" a="1"/>
  <c r="E104" i="2" s="1"/>
  <c r="AX124" i="2" l="1"/>
  <c r="AY124" i="2"/>
  <c r="J105" i="2" a="1"/>
  <c r="J105" i="2" s="1"/>
  <c r="E105" i="2" a="1"/>
  <c r="E105" i="2" s="1"/>
  <c r="AY125" i="2" l="1"/>
  <c r="AX125" i="2"/>
  <c r="J106" i="2" a="1"/>
  <c r="J106" i="2" s="1"/>
  <c r="E106" i="2" a="1"/>
  <c r="E106" i="2" s="1"/>
  <c r="AY126" i="2" l="1"/>
  <c r="AX126" i="2"/>
  <c r="J107" i="2" a="1"/>
  <c r="J107" i="2" s="1"/>
  <c r="E107" i="2" a="1"/>
  <c r="E107" i="2" s="1"/>
  <c r="AX127" i="2" l="1"/>
  <c r="AY127" i="2"/>
  <c r="J108" i="2" a="1"/>
  <c r="J108" i="2" s="1"/>
  <c r="E108" i="2" a="1"/>
  <c r="E108" i="2" s="1"/>
  <c r="AY128" i="2" l="1"/>
  <c r="AX128" i="2"/>
  <c r="J109" i="2" a="1"/>
  <c r="J109" i="2" s="1"/>
  <c r="E109" i="2" a="1"/>
  <c r="E109" i="2" s="1"/>
  <c r="AX129" i="2" l="1"/>
  <c r="AY129" i="2"/>
  <c r="J110" i="2" a="1"/>
  <c r="J110" i="2" s="1"/>
  <c r="E110" i="2" a="1"/>
  <c r="E110" i="2" s="1"/>
  <c r="AX130" i="2" l="1"/>
  <c r="AY130" i="2"/>
  <c r="J111" i="2" a="1"/>
  <c r="J111" i="2" s="1"/>
  <c r="E111" i="2" a="1"/>
  <c r="E111" i="2" s="1"/>
  <c r="AX131" i="2" l="1"/>
  <c r="AY131" i="2"/>
  <c r="J112" i="2" a="1"/>
  <c r="J112" i="2" s="1"/>
  <c r="E112" i="2" a="1"/>
  <c r="E112" i="2" s="1"/>
  <c r="AX132" i="2" l="1"/>
  <c r="AY132" i="2"/>
  <c r="J113" i="2" a="1"/>
  <c r="J113" i="2" s="1"/>
  <c r="J114" i="2" a="1"/>
  <c r="J114" i="2" s="1"/>
  <c r="E113" i="2" a="1"/>
  <c r="E113" i="2" s="1"/>
  <c r="AY133" i="2" l="1"/>
  <c r="AX133" i="2"/>
  <c r="E114" i="2" a="1"/>
  <c r="E114" i="2" s="1"/>
  <c r="AX134" i="2" l="1"/>
  <c r="AY134" i="2"/>
  <c r="J115" i="2" a="1"/>
  <c r="J115" i="2" s="1"/>
  <c r="E115" i="2" a="1"/>
  <c r="E115" i="2" s="1"/>
  <c r="AX135" i="2" l="1"/>
  <c r="AY135" i="2"/>
  <c r="J116" i="2" a="1"/>
  <c r="J116" i="2" s="1"/>
  <c r="E116" i="2" a="1"/>
  <c r="E116" i="2" s="1"/>
  <c r="AY136" i="2" l="1"/>
  <c r="AX136" i="2"/>
  <c r="J117" i="2" a="1"/>
  <c r="J117" i="2" s="1"/>
  <c r="J118" i="2" a="1"/>
  <c r="J118" i="2" s="1"/>
  <c r="E117" i="2" a="1"/>
  <c r="E117" i="2" s="1"/>
  <c r="AX137" i="2" l="1"/>
  <c r="AY137" i="2"/>
  <c r="E118" i="2" a="1"/>
  <c r="E118" i="2" s="1"/>
  <c r="AX138" i="2" l="1"/>
  <c r="AY138" i="2"/>
  <c r="J119" i="2" a="1"/>
  <c r="J119" i="2" s="1"/>
  <c r="AX139" i="2" l="1"/>
  <c r="AY139" i="2"/>
  <c r="E119" i="2" a="1"/>
  <c r="E119" i="2" s="1"/>
  <c r="AY140" i="2" l="1"/>
  <c r="AX140" i="2"/>
  <c r="J120" i="2" a="1"/>
  <c r="J120" i="2" s="1"/>
  <c r="E120" i="2" a="1"/>
  <c r="E120" i="2" s="1"/>
  <c r="AX141" i="2" l="1"/>
  <c r="AY141" i="2"/>
  <c r="J121" i="2" a="1"/>
  <c r="J121" i="2" s="1"/>
  <c r="E121" i="2" a="1"/>
  <c r="E121" i="2" s="1"/>
  <c r="AY142" i="2" l="1"/>
  <c r="AX142" i="2"/>
  <c r="J122" i="2" a="1"/>
  <c r="J122" i="2" s="1"/>
  <c r="E122" i="2" a="1"/>
  <c r="E122" i="2" s="1"/>
  <c r="AY143" i="2" l="1"/>
  <c r="AX143" i="2"/>
  <c r="J123" i="2" a="1"/>
  <c r="J123" i="2" s="1"/>
  <c r="E123" i="2" a="1"/>
  <c r="E123" i="2" s="1"/>
  <c r="AY144" i="2" l="1"/>
  <c r="AX144" i="2"/>
  <c r="J124" i="2" a="1"/>
  <c r="J124" i="2" s="1"/>
  <c r="E124" i="2" a="1"/>
  <c r="E124" i="2" s="1"/>
  <c r="AY145" i="2" l="1"/>
  <c r="AX145" i="2"/>
  <c r="E125" i="2" a="1"/>
  <c r="E125" i="2" s="1"/>
  <c r="J125" i="2" a="1"/>
  <c r="J125" i="2" s="1"/>
  <c r="AX146" i="2" l="1"/>
  <c r="AY146" i="2"/>
  <c r="E126" i="2" a="1"/>
  <c r="E126" i="2" s="1"/>
  <c r="J126" i="2" a="1"/>
  <c r="J126" i="2" s="1"/>
  <c r="AX147" i="2" l="1"/>
  <c r="AY147" i="2"/>
  <c r="E127" i="2" a="1"/>
  <c r="E127" i="2" s="1"/>
  <c r="J127" i="2" a="1"/>
  <c r="J127" i="2" s="1"/>
  <c r="AX148" i="2" l="1"/>
  <c r="AY148" i="2"/>
  <c r="E128" i="2" a="1"/>
  <c r="E128" i="2" s="1"/>
  <c r="J128" i="2" a="1"/>
  <c r="J128" i="2" s="1"/>
  <c r="AY149" i="2" l="1"/>
  <c r="AX149" i="2"/>
  <c r="E129" i="2" a="1"/>
  <c r="E129" i="2" s="1"/>
  <c r="J129" i="2" a="1"/>
  <c r="J129" i="2" s="1"/>
  <c r="AX150" i="2" l="1"/>
  <c r="AY150" i="2"/>
  <c r="E130" i="2" a="1"/>
  <c r="E130" i="2" s="1"/>
  <c r="J130" i="2" a="1"/>
  <c r="J130" i="2" s="1"/>
  <c r="AY151" i="2" l="1"/>
  <c r="AX151" i="2"/>
  <c r="E131" i="2" a="1"/>
  <c r="E131" i="2" s="1"/>
  <c r="J131" i="2" a="1"/>
  <c r="J131" i="2" s="1"/>
  <c r="AX152" i="2" l="1"/>
  <c r="AY152" i="2"/>
  <c r="E132" i="2" a="1"/>
  <c r="E132" i="2" s="1"/>
  <c r="J132" i="2" a="1"/>
  <c r="J132" i="2" s="1"/>
  <c r="AY153" i="2" l="1"/>
  <c r="AX153" i="2"/>
  <c r="E133" i="2" a="1"/>
  <c r="E133" i="2" s="1"/>
  <c r="J133" i="2" a="1"/>
  <c r="J133" i="2" s="1"/>
  <c r="AX154" i="2" l="1"/>
  <c r="AY154" i="2"/>
  <c r="E134" i="2" a="1"/>
  <c r="E134" i="2" s="1"/>
  <c r="J134" i="2" a="1"/>
  <c r="J134" i="2" s="1"/>
  <c r="AY155" i="2" l="1"/>
  <c r="AX155" i="2"/>
  <c r="E135" i="2" a="1"/>
  <c r="E135" i="2" s="1"/>
  <c r="J135" i="2" a="1"/>
  <c r="J135" i="2" s="1"/>
  <c r="AX156" i="2" l="1"/>
  <c r="AY156" i="2"/>
  <c r="E136" i="2" a="1"/>
  <c r="E136" i="2" s="1"/>
  <c r="J136" i="2" a="1"/>
  <c r="J136" i="2" s="1"/>
  <c r="AY157" i="2" l="1"/>
  <c r="AX157" i="2"/>
  <c r="E137" i="2" a="1"/>
  <c r="E137" i="2" s="1"/>
  <c r="J137" i="2" a="1"/>
  <c r="J137" i="2" s="1"/>
  <c r="AY158" i="2" l="1"/>
  <c r="AX158" i="2"/>
  <c r="E138" i="2" a="1"/>
  <c r="E138" i="2" s="1"/>
  <c r="J138" i="2" a="1"/>
  <c r="J138" i="2" s="1"/>
  <c r="AX159" i="2" l="1"/>
  <c r="AY159" i="2"/>
  <c r="E139" i="2" a="1"/>
  <c r="E139" i="2" s="1"/>
  <c r="J139" i="2" a="1"/>
  <c r="J139" i="2" s="1"/>
  <c r="AX160" i="2" l="1"/>
  <c r="AY160" i="2"/>
  <c r="E140" i="2" a="1"/>
  <c r="E140" i="2" s="1"/>
  <c r="J140" i="2" a="1"/>
  <c r="J140" i="2" s="1"/>
  <c r="AY161" i="2" l="1"/>
  <c r="AX161" i="2"/>
  <c r="E141" i="2" a="1"/>
  <c r="E141" i="2" s="1"/>
  <c r="J141" i="2" a="1"/>
  <c r="J141" i="2" s="1"/>
  <c r="AY162" i="2" l="1"/>
  <c r="AX162" i="2"/>
  <c r="E142" i="2" a="1"/>
  <c r="E142" i="2" s="1"/>
  <c r="J142" i="2" a="1"/>
  <c r="J142" i="2" s="1"/>
  <c r="AX163" i="2" l="1"/>
  <c r="AY163" i="2"/>
  <c r="E143" i="2" a="1"/>
  <c r="E143" i="2" s="1"/>
  <c r="J143" i="2" a="1"/>
  <c r="J143" i="2" s="1"/>
  <c r="AY164" i="2" l="1"/>
  <c r="AX164" i="2"/>
  <c r="E144" i="2" a="1"/>
  <c r="E144" i="2" s="1"/>
  <c r="J144" i="2" a="1"/>
  <c r="J144" i="2" s="1"/>
  <c r="AX165" i="2" l="1"/>
  <c r="AY165" i="2"/>
  <c r="E145" i="2" a="1"/>
  <c r="E145" i="2" s="1"/>
  <c r="J145" i="2" a="1"/>
  <c r="J145" i="2" s="1"/>
  <c r="AX166" i="2" l="1"/>
  <c r="AY166" i="2"/>
  <c r="E146" i="2" a="1"/>
  <c r="E146" i="2" s="1"/>
  <c r="J146" i="2" a="1"/>
  <c r="J146" i="2" s="1"/>
  <c r="AX167" i="2" l="1"/>
  <c r="AY167" i="2"/>
  <c r="E147" i="2" a="1"/>
  <c r="E147" i="2" s="1"/>
  <c r="J147" i="2" a="1"/>
  <c r="J147" i="2" s="1"/>
  <c r="AY168" i="2" l="1"/>
  <c r="AX168" i="2"/>
  <c r="E148" i="2" a="1"/>
  <c r="E148" i="2" s="1"/>
  <c r="J148" i="2" a="1"/>
  <c r="J148" i="2" s="1"/>
  <c r="AX169" i="2" l="1"/>
  <c r="AY169" i="2"/>
  <c r="E149" i="2" a="1"/>
  <c r="E149" i="2" s="1"/>
  <c r="J149" i="2" a="1"/>
  <c r="J149" i="2" s="1"/>
  <c r="AY170" i="2" l="1"/>
  <c r="AX170" i="2"/>
  <c r="E150" i="2" a="1"/>
  <c r="E150" i="2" s="1"/>
  <c r="J150" i="2" a="1"/>
  <c r="J150" i="2" s="1"/>
  <c r="AY171" i="2" l="1"/>
  <c r="AX171" i="2"/>
  <c r="E151" i="2" a="1"/>
  <c r="E151" i="2" s="1"/>
  <c r="J151" i="2" a="1"/>
  <c r="J151" i="2" s="1"/>
  <c r="AY172" i="2" l="1"/>
  <c r="AX172" i="2"/>
  <c r="E152" i="2" a="1"/>
  <c r="E152" i="2" s="1"/>
  <c r="J152" i="2" a="1"/>
  <c r="J152" i="2" s="1"/>
  <c r="AX173" i="2" l="1"/>
  <c r="AY173" i="2"/>
  <c r="E153" i="2" a="1"/>
  <c r="E153" i="2" s="1"/>
  <c r="J153" i="2" a="1"/>
  <c r="J153" i="2" s="1"/>
  <c r="AX174" i="2" l="1"/>
  <c r="AY174" i="2"/>
  <c r="E154" i="2" a="1"/>
  <c r="E154" i="2" s="1"/>
  <c r="J154" i="2" a="1"/>
  <c r="J154" i="2" s="1"/>
  <c r="AX175" i="2" l="1"/>
  <c r="AY175" i="2"/>
  <c r="E155" i="2" a="1"/>
  <c r="E155" i="2" s="1"/>
  <c r="J155" i="2" a="1"/>
  <c r="J155" i="2" s="1"/>
  <c r="AY176" i="2" l="1"/>
  <c r="AX176" i="2"/>
  <c r="E156" i="2" a="1"/>
  <c r="E156" i="2" s="1"/>
  <c r="J156" i="2" a="1"/>
  <c r="J156" i="2" s="1"/>
  <c r="AX177" i="2" l="1"/>
  <c r="AY177" i="2"/>
  <c r="E157" i="2" a="1"/>
  <c r="E157" i="2" s="1"/>
  <c r="J157" i="2" a="1"/>
  <c r="J157" i="2" s="1"/>
  <c r="AX178" i="2" l="1"/>
  <c r="AY178" i="2"/>
  <c r="E158" i="2" a="1"/>
  <c r="E158" i="2" s="1"/>
  <c r="J158" i="2" a="1"/>
  <c r="J158" i="2" s="1"/>
  <c r="AY179" i="2" l="1"/>
  <c r="AX179" i="2"/>
  <c r="E159" i="2" a="1"/>
  <c r="E159" i="2" s="1"/>
  <c r="J159" i="2" a="1"/>
  <c r="J159" i="2" s="1"/>
  <c r="AX180" i="2" l="1"/>
  <c r="AY180" i="2"/>
  <c r="E160" i="2" a="1"/>
  <c r="E160" i="2" s="1"/>
  <c r="J160" i="2" a="1"/>
  <c r="J160" i="2" s="1"/>
  <c r="AX181" i="2" l="1"/>
  <c r="AY181" i="2"/>
  <c r="E161" i="2" a="1"/>
  <c r="E161" i="2" s="1"/>
  <c r="J161" i="2" a="1"/>
  <c r="J161" i="2" s="1"/>
  <c r="AY182" i="2" l="1"/>
  <c r="AX182" i="2"/>
  <c r="E162" i="2" a="1"/>
  <c r="E162" i="2" s="1"/>
  <c r="J162" i="2" a="1"/>
  <c r="J162" i="2" s="1"/>
  <c r="AX183" i="2" l="1"/>
  <c r="AY183" i="2"/>
  <c r="E163" i="2" a="1"/>
  <c r="E163" i="2" s="1"/>
  <c r="J163" i="2" a="1"/>
  <c r="J163" i="2" s="1"/>
  <c r="AX184" i="2" l="1"/>
  <c r="AY184" i="2"/>
  <c r="E164" i="2" a="1"/>
  <c r="E164" i="2" s="1"/>
  <c r="J164" i="2" a="1"/>
  <c r="J164" i="2" s="1"/>
  <c r="AX185" i="2" l="1"/>
  <c r="AY185" i="2"/>
  <c r="E165" i="2" a="1"/>
  <c r="E165" i="2" s="1"/>
  <c r="J165" i="2" a="1"/>
  <c r="J165" i="2" s="1"/>
  <c r="AX186" i="2" l="1"/>
  <c r="AY186" i="2"/>
  <c r="E166" i="2" a="1"/>
  <c r="E166" i="2" s="1"/>
  <c r="J166" i="2" a="1"/>
  <c r="J166" i="2" s="1"/>
  <c r="AX187" i="2" l="1"/>
  <c r="AY187" i="2"/>
  <c r="E167" i="2" a="1"/>
  <c r="E167" i="2" s="1"/>
  <c r="J167" i="2" a="1"/>
  <c r="J167" i="2" s="1"/>
  <c r="AX188" i="2" l="1"/>
  <c r="AY188" i="2"/>
  <c r="E168" i="2" a="1"/>
  <c r="E168" i="2" s="1"/>
  <c r="J168" i="2" a="1"/>
  <c r="J168" i="2" s="1"/>
  <c r="AX189" i="2" l="1"/>
  <c r="AY189" i="2"/>
  <c r="E169" i="2" a="1"/>
  <c r="E169" i="2" s="1"/>
  <c r="J169" i="2" a="1"/>
  <c r="J169" i="2" s="1"/>
  <c r="AX190" i="2" l="1"/>
  <c r="AY190" i="2"/>
  <c r="E170" i="2" a="1"/>
  <c r="E170" i="2" s="1"/>
  <c r="J170" i="2" a="1"/>
  <c r="J170" i="2" s="1"/>
  <c r="AX191" i="2" l="1"/>
  <c r="AY191" i="2"/>
  <c r="E171" i="2" a="1"/>
  <c r="E171" i="2" s="1"/>
  <c r="J171" i="2" a="1"/>
  <c r="J171" i="2" s="1"/>
  <c r="AY192" i="2" l="1"/>
  <c r="AX192" i="2"/>
  <c r="E172" i="2" a="1"/>
  <c r="E172" i="2" s="1"/>
  <c r="J172" i="2" a="1"/>
  <c r="J172" i="2" s="1"/>
  <c r="AX193" i="2" l="1"/>
  <c r="AY193" i="2"/>
  <c r="E173" i="2" a="1"/>
  <c r="E173" i="2" s="1"/>
  <c r="J173" i="2" a="1"/>
  <c r="J173" i="2" s="1"/>
  <c r="AY194" i="2" l="1"/>
  <c r="AX194" i="2"/>
  <c r="E174" i="2" a="1"/>
  <c r="E174" i="2" s="1"/>
  <c r="J174" i="2" a="1"/>
  <c r="J174" i="2" s="1"/>
  <c r="AY195" i="2" l="1"/>
  <c r="AX195" i="2"/>
  <c r="E175" i="2" a="1"/>
  <c r="E175" i="2" s="1"/>
  <c r="J175" i="2" a="1"/>
  <c r="J175" i="2" s="1"/>
  <c r="AX196" i="2" l="1"/>
  <c r="AY196" i="2"/>
  <c r="E176" i="2" a="1"/>
  <c r="E176" i="2" s="1"/>
  <c r="J176" i="2" a="1"/>
  <c r="J176" i="2" s="1"/>
  <c r="AX197" i="2" l="1"/>
  <c r="AY197" i="2"/>
  <c r="E177" i="2" a="1"/>
  <c r="E177" i="2" s="1"/>
  <c r="J177" i="2" a="1"/>
  <c r="J177" i="2" s="1"/>
  <c r="AX198" i="2" l="1"/>
  <c r="AY198" i="2"/>
  <c r="E178" i="2" a="1"/>
  <c r="E178" i="2" s="1"/>
  <c r="J178" i="2" a="1"/>
  <c r="J178" i="2" s="1"/>
  <c r="AY199" i="2" l="1"/>
  <c r="AX199" i="2"/>
  <c r="E179" i="2" a="1"/>
  <c r="E179" i="2" s="1"/>
  <c r="J179" i="2" a="1"/>
  <c r="J179" i="2" s="1"/>
  <c r="AX200" i="2" l="1"/>
  <c r="AY200" i="2"/>
  <c r="E180" i="2" a="1"/>
  <c r="E180" i="2" s="1"/>
  <c r="J180" i="2" a="1"/>
  <c r="J180" i="2" s="1"/>
  <c r="AX201" i="2" l="1"/>
  <c r="AY201" i="2"/>
  <c r="E181" i="2" a="1"/>
  <c r="E181" i="2" s="1"/>
  <c r="J181" i="2" a="1"/>
  <c r="J181" i="2" s="1"/>
  <c r="AX202" i="2" l="1"/>
  <c r="AY202" i="2"/>
  <c r="E182" i="2" a="1"/>
  <c r="E182" i="2" s="1"/>
  <c r="J182" i="2" a="1"/>
  <c r="J182" i="2" s="1"/>
  <c r="AY203" i="2" l="1"/>
  <c r="AX203" i="2"/>
  <c r="E183" i="2" a="1"/>
  <c r="E183" i="2" s="1"/>
  <c r="J183" i="2" a="1"/>
  <c r="J183" i="2" s="1"/>
  <c r="AX204" i="2" l="1"/>
  <c r="AY204" i="2"/>
  <c r="E184" i="2" a="1"/>
  <c r="E184" i="2" s="1"/>
  <c r="J184" i="2" a="1"/>
  <c r="J184" i="2" s="1"/>
  <c r="AY205" i="2" l="1"/>
  <c r="AX205" i="2"/>
  <c r="E185" i="2" a="1"/>
  <c r="E185" i="2" s="1"/>
  <c r="J185" i="2" a="1"/>
  <c r="J185" i="2" s="1"/>
  <c r="AY206" i="2" l="1"/>
  <c r="AX206" i="2"/>
  <c r="E186" i="2" a="1"/>
  <c r="E186" i="2" s="1"/>
  <c r="J186" i="2" a="1"/>
  <c r="J186" i="2" s="1"/>
  <c r="AY207" i="2" l="1"/>
  <c r="AX207" i="2"/>
  <c r="E187" i="2" a="1"/>
  <c r="E187" i="2" s="1"/>
  <c r="J187" i="2" a="1"/>
  <c r="J187" i="2" s="1"/>
  <c r="AY208" i="2" l="1"/>
  <c r="AX208" i="2"/>
  <c r="E188" i="2" a="1"/>
  <c r="E188" i="2" s="1"/>
  <c r="J188" i="2" a="1"/>
  <c r="J188" i="2" s="1"/>
  <c r="AY209" i="2" l="1"/>
  <c r="AX209" i="2"/>
  <c r="E189" i="2" a="1"/>
  <c r="E189" i="2" s="1"/>
  <c r="J189" i="2" a="1"/>
  <c r="J189" i="2" s="1"/>
  <c r="AY210" i="2" l="1"/>
  <c r="AX210" i="2"/>
  <c r="E190" i="2" a="1"/>
  <c r="E190" i="2" s="1"/>
  <c r="J190" i="2" a="1"/>
  <c r="J190" i="2" s="1"/>
  <c r="AX211" i="2" l="1"/>
  <c r="AY211" i="2"/>
  <c r="E191" i="2" a="1"/>
  <c r="E191" i="2" s="1"/>
  <c r="J191" i="2" a="1"/>
  <c r="J191" i="2" s="1"/>
  <c r="AX212" i="2" l="1"/>
  <c r="AY212" i="2"/>
  <c r="E192" i="2" a="1"/>
  <c r="E192" i="2" s="1"/>
  <c r="J192" i="2" a="1"/>
  <c r="J192" i="2" s="1"/>
  <c r="AY213" i="2" l="1"/>
  <c r="AX213" i="2"/>
  <c r="E193" i="2" a="1"/>
  <c r="E193" i="2" s="1"/>
  <c r="J193" i="2" a="1"/>
  <c r="J193" i="2" s="1"/>
  <c r="AY214" i="2" l="1"/>
  <c r="AX214" i="2"/>
  <c r="E194" i="2" a="1"/>
  <c r="E194" i="2" s="1"/>
  <c r="J194" i="2" a="1"/>
  <c r="J194" i="2" s="1"/>
  <c r="AX215" i="2" l="1"/>
  <c r="AY215" i="2"/>
  <c r="E195" i="2" a="1"/>
  <c r="E195" i="2" s="1"/>
  <c r="J195" i="2" a="1"/>
  <c r="J195" i="2" s="1"/>
  <c r="AX216" i="2" l="1"/>
  <c r="AY216" i="2"/>
  <c r="E196" i="2" a="1"/>
  <c r="E196" i="2" s="1"/>
  <c r="J196" i="2" a="1"/>
  <c r="J196" i="2" s="1"/>
  <c r="AX217" i="2" l="1"/>
  <c r="AY217" i="2"/>
  <c r="E197" i="2" a="1"/>
  <c r="E197" i="2" s="1"/>
  <c r="J197" i="2" a="1"/>
  <c r="J197" i="2" s="1"/>
  <c r="AX218" i="2" l="1"/>
  <c r="AY218" i="2"/>
  <c r="E198" i="2" a="1"/>
  <c r="E198" i="2" s="1"/>
  <c r="J198" i="2" a="1"/>
  <c r="J198" i="2" s="1"/>
  <c r="AY219" i="2" l="1"/>
  <c r="AX219" i="2"/>
  <c r="E199" i="2" a="1"/>
  <c r="E199" i="2" s="1"/>
  <c r="J199" i="2" a="1"/>
  <c r="J199" i="2" s="1"/>
  <c r="AX220" i="2" l="1"/>
  <c r="AY220" i="2"/>
  <c r="E200" i="2" a="1"/>
  <c r="E200" i="2" s="1"/>
  <c r="J200" i="2" a="1"/>
  <c r="J200" i="2" s="1"/>
  <c r="AY221" i="2" l="1"/>
  <c r="AX221" i="2"/>
  <c r="E201" i="2" a="1"/>
  <c r="E201" i="2" s="1"/>
  <c r="J201" i="2" a="1"/>
  <c r="J201" i="2" s="1"/>
  <c r="AX222" i="2" l="1"/>
  <c r="AY222" i="2"/>
  <c r="E202" i="2" a="1"/>
  <c r="E202" i="2" s="1"/>
  <c r="J202" i="2" a="1"/>
  <c r="J202" i="2" s="1"/>
  <c r="AX223" i="2" l="1"/>
  <c r="AY223" i="2"/>
  <c r="E203" i="2" a="1"/>
  <c r="E203" i="2" s="1"/>
  <c r="J203" i="2" a="1"/>
  <c r="J203" i="2" s="1"/>
  <c r="AY224" i="2" l="1"/>
  <c r="AX224" i="2"/>
  <c r="E204" i="2" a="1"/>
  <c r="E204" i="2" s="1"/>
  <c r="J204" i="2" a="1"/>
  <c r="J204" i="2" s="1"/>
  <c r="AX225" i="2" l="1"/>
  <c r="AY225" i="2"/>
  <c r="E205" i="2" a="1"/>
  <c r="E205" i="2" s="1"/>
  <c r="J205" i="2" a="1"/>
  <c r="J205" i="2" s="1"/>
  <c r="AX226" i="2" l="1"/>
  <c r="AY226" i="2"/>
  <c r="E206" i="2" a="1"/>
  <c r="E206" i="2" s="1"/>
  <c r="J206" i="2" a="1"/>
  <c r="J206" i="2" s="1"/>
  <c r="AY227" i="2" l="1"/>
  <c r="AX227" i="2"/>
  <c r="E207" i="2" a="1"/>
  <c r="E207" i="2" s="1"/>
  <c r="J207" i="2" a="1"/>
  <c r="J207" i="2" s="1"/>
  <c r="AY228" i="2" l="1"/>
  <c r="AX228" i="2"/>
  <c r="E208" i="2" a="1"/>
  <c r="E208" i="2" s="1"/>
  <c r="J208" i="2" a="1"/>
  <c r="J208" i="2" s="1"/>
  <c r="AX229" i="2" l="1"/>
  <c r="AY229" i="2"/>
  <c r="E209" i="2" a="1"/>
  <c r="E209" i="2" s="1"/>
  <c r="J209" i="2" a="1"/>
  <c r="J209" i="2" s="1"/>
  <c r="AY230" i="2" l="1"/>
  <c r="AX230" i="2"/>
  <c r="E210" i="2" a="1"/>
  <c r="E210" i="2" s="1"/>
  <c r="J210" i="2" a="1"/>
  <c r="J210" i="2" s="1"/>
  <c r="AX231" i="2" l="1"/>
  <c r="AY231" i="2"/>
  <c r="E211" i="2" a="1"/>
  <c r="E211" i="2" s="1"/>
  <c r="J211" i="2" a="1"/>
  <c r="J211" i="2" s="1"/>
  <c r="AY232" i="2" l="1"/>
  <c r="AX232" i="2"/>
  <c r="E212" i="2" a="1"/>
  <c r="E212" i="2" s="1"/>
  <c r="J212" i="2" a="1"/>
  <c r="J212" i="2" s="1"/>
  <c r="AX233" i="2" l="1"/>
  <c r="AY233" i="2"/>
  <c r="E213" i="2" a="1"/>
  <c r="E213" i="2" s="1"/>
  <c r="J213" i="2" a="1"/>
  <c r="J213" i="2" s="1"/>
  <c r="AY234" i="2" l="1"/>
  <c r="AX234" i="2"/>
  <c r="E214" i="2" a="1"/>
  <c r="E214" i="2" s="1"/>
  <c r="J214" i="2" a="1"/>
  <c r="J214" i="2" s="1"/>
  <c r="AX235" i="2" l="1"/>
  <c r="AY235" i="2"/>
  <c r="E215" i="2" a="1"/>
  <c r="E215" i="2" s="1"/>
  <c r="J215" i="2" a="1"/>
  <c r="J215" i="2" s="1"/>
  <c r="E216" i="2" l="1" a="1"/>
  <c r="E216" i="2" s="1"/>
  <c r="J216" i="2" a="1"/>
  <c r="J216" i="2" s="1"/>
  <c r="E217" i="2" l="1" a="1"/>
  <c r="E217" i="2" s="1"/>
  <c r="J217" i="2" a="1"/>
  <c r="J217" i="2" s="1"/>
  <c r="E218" i="2" l="1" a="1"/>
  <c r="E218" i="2" s="1"/>
  <c r="J218" i="2" a="1"/>
  <c r="J218" i="2" s="1"/>
  <c r="E219" i="2" l="1" a="1"/>
  <c r="E219" i="2" s="1"/>
  <c r="J219" i="2" a="1"/>
  <c r="J219" i="2" s="1"/>
  <c r="E220" i="2" l="1" a="1"/>
  <c r="E220" i="2" s="1"/>
  <c r="J220" i="2" a="1"/>
  <c r="J220" i="2" s="1"/>
  <c r="E221" i="2" l="1" a="1"/>
  <c r="E221" i="2" s="1"/>
  <c r="J221" i="2" a="1"/>
  <c r="J221" i="2" s="1"/>
  <c r="E222" i="2" l="1" a="1"/>
  <c r="E222" i="2" s="1"/>
  <c r="J222" i="2" a="1"/>
  <c r="J222" i="2" s="1"/>
  <c r="E223" i="2" l="1" a="1"/>
  <c r="E223" i="2" s="1"/>
  <c r="J223" i="2" a="1"/>
  <c r="J223" i="2" s="1"/>
  <c r="E224" i="2" l="1" a="1"/>
  <c r="E224" i="2" s="1"/>
  <c r="J224" i="2" a="1"/>
  <c r="J224" i="2" s="1"/>
  <c r="E225" i="2" l="1" a="1"/>
  <c r="E225" i="2" s="1"/>
  <c r="J225" i="2" a="1"/>
  <c r="J225" i="2" s="1"/>
  <c r="E226" i="2" l="1" a="1"/>
  <c r="E226" i="2" s="1"/>
  <c r="J226" i="2" a="1"/>
  <c r="J226" i="2" s="1"/>
  <c r="J227" i="2" l="1" a="1"/>
  <c r="J227" i="2" s="1"/>
  <c r="E227" i="2" a="1"/>
  <c r="E227" i="2" s="1"/>
  <c r="J228" i="2" l="1" a="1"/>
  <c r="J228" i="2" s="1"/>
  <c r="E228" i="2" a="1"/>
  <c r="E228" i="2" s="1"/>
  <c r="J229" i="2" l="1" a="1"/>
  <c r="J229" i="2" s="1"/>
  <c r="E229" i="2" a="1"/>
  <c r="E229" i="2" s="1"/>
  <c r="J230" i="2" l="1" a="1"/>
  <c r="J230" i="2" s="1"/>
  <c r="E230" i="2" a="1"/>
  <c r="E230" i="2" s="1"/>
  <c r="J231" i="2" l="1" a="1"/>
  <c r="J231" i="2" s="1"/>
  <c r="E231" i="2" a="1"/>
  <c r="E231" i="2" s="1"/>
  <c r="J232" i="2" l="1" a="1"/>
  <c r="J232" i="2" s="1"/>
  <c r="E232" i="2" a="1"/>
  <c r="E232" i="2" s="1"/>
  <c r="E233" i="2" l="1" a="1"/>
  <c r="E233" i="2" s="1"/>
  <c r="J233" i="2" a="1"/>
  <c r="J233" i="2" s="1"/>
  <c r="E234" i="2" l="1" a="1"/>
  <c r="E234" i="2" s="1"/>
  <c r="J234" i="2" a="1"/>
  <c r="J234" i="2" s="1"/>
  <c r="E235" i="2" l="1" a="1"/>
  <c r="E235" i="2" s="1"/>
  <c r="J235" i="2" a="1"/>
  <c r="J23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7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<sst xmlns="http://schemas.openxmlformats.org/spreadsheetml/2006/main" count="9876" uniqueCount="482">
  <si>
    <t>UC_N,UCRT</t>
  </si>
  <si>
    <t>uconstraint</t>
  </si>
  <si>
    <t>C</t>
  </si>
  <si>
    <t>COM,NRG,ANNUAL,FOSSIL</t>
  </si>
  <si>
    <t>PJ</t>
  </si>
  <si>
    <t>E</t>
  </si>
  <si>
    <t>PRC,PRE,ANNUAL,IRE</t>
  </si>
  <si>
    <t>PJ,PJa</t>
  </si>
  <si>
    <t>T</t>
  </si>
  <si>
    <t>PRC,PRE,ANNUAL</t>
  </si>
  <si>
    <t>Max NCAP PV</t>
  </si>
  <si>
    <t>UCNCAP_PV</t>
  </si>
  <si>
    <t>Max NCAP gas</t>
  </si>
  <si>
    <t>UCNCAP_GAS</t>
  </si>
  <si>
    <t>dummy technology tracking the sum of centralised generation over and above peak grid demand'</t>
  </si>
  <si>
    <t>UCCAP_DUMETR</t>
  </si>
  <si>
    <t>Energy Reserve Margin on ELCC</t>
  </si>
  <si>
    <t>UCCAP_ERMELC</t>
  </si>
  <si>
    <t>Capacity Reserve Margin on ELCC</t>
  </si>
  <si>
    <t>UCCAP_RMELCC</t>
  </si>
  <si>
    <t>UC_N,UCRT,UCRULE</t>
  </si>
  <si>
    <t>Constraint on dispatchable techs</t>
  </si>
  <si>
    <t>UCACT_FIRM</t>
  </si>
  <si>
    <t>Battery constraint</t>
  </si>
  <si>
    <t>UCCAP_BATR</t>
  </si>
  <si>
    <t>REGION1</t>
  </si>
  <si>
    <t>ITEMS</t>
  </si>
  <si>
    <t>null</t>
  </si>
  <si>
    <t>-</t>
  </si>
  <si>
    <t>LHS</t>
  </si>
  <si>
    <t>UC_CAP</t>
  </si>
  <si>
    <t>ANNUAL</t>
  </si>
  <si>
    <t>UC_ACT</t>
  </si>
  <si>
    <t>FX</t>
  </si>
  <si>
    <t>UC__RHSRT</t>
  </si>
  <si>
    <t>Labour-Group</t>
  </si>
  <si>
    <t>PRC</t>
  </si>
  <si>
    <t>ACTGRP</t>
  </si>
  <si>
    <t>ACT_EFF</t>
  </si>
  <si>
    <t>TS DATA</t>
  </si>
  <si>
    <t>EDist Industry</t>
  </si>
  <si>
    <t>Power</t>
  </si>
  <si>
    <t>Edist Transport</t>
  </si>
  <si>
    <t>EDist Residential</t>
  </si>
  <si>
    <t>Y</t>
  </si>
  <si>
    <t>EDist Commercial</t>
  </si>
  <si>
    <t>EDist Agriculture</t>
  </si>
  <si>
    <t>EOil</t>
  </si>
  <si>
    <t>ENuclear</t>
  </si>
  <si>
    <t>EGas</t>
  </si>
  <si>
    <t>ECoal_WB</t>
  </si>
  <si>
    <t>ECoal</t>
  </si>
  <si>
    <t>ECoal_CB</t>
  </si>
  <si>
    <t>EBattery</t>
  </si>
  <si>
    <t>EBattery-Residential</t>
  </si>
  <si>
    <t>EBattery-Industry</t>
  </si>
  <si>
    <t>EBattery-Commerce</t>
  </si>
  <si>
    <t>EWind</t>
  </si>
  <si>
    <t>ECSP</t>
  </si>
  <si>
    <t>EPV</t>
  </si>
  <si>
    <t>EPV_Grid</t>
  </si>
  <si>
    <t>EHydro</t>
  </si>
  <si>
    <t>EImports</t>
  </si>
  <si>
    <t>Imports</t>
  </si>
  <si>
    <t>EBiomass</t>
  </si>
  <si>
    <t>EPumpStorage</t>
  </si>
  <si>
    <t>ELE in recent run</t>
  </si>
  <si>
    <t>Index in Ref Table</t>
  </si>
  <si>
    <t>TechDescription</t>
  </si>
  <si>
    <t>Subsubsector</t>
  </si>
  <si>
    <t>Subsector</t>
  </si>
  <si>
    <t>Sector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</si>
  <si>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</si>
  <si>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</si>
  <si>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</si>
  <si>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</si>
  <si>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</si>
  <si>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</si>
  <si>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</si>
  <si>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</si>
  <si>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</si>
  <si>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</si>
  <si>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</si>
  <si>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</si>
  <si>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</si>
  <si>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</si>
  <si>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</si>
  <si>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</si>
  <si>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</si>
  <si>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</si>
  <si>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</si>
  <si>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</si>
  <si>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</si>
  <si>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</si>
  <si>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</si>
  <si>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</si>
  <si>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</si>
  <si>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</si>
  <si>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</si>
  <si>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</si>
  <si>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</si>
  <si>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</si>
  <si>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</si>
  <si>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</si>
  <si>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</si>
  <si>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</si>
  <si>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</si>
  <si>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</si>
  <si>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</si>
  <si>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</si>
  <si>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</si>
  <si>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</si>
  <si>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</si>
  <si>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</si>
  <si>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</si>
  <si>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</si>
  <si>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</si>
  <si>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</si>
  <si>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</si>
  <si>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</si>
  <si>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</si>
  <si>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</si>
  <si>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</si>
  <si>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</si>
  <si>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</si>
  <si>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</si>
  <si>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</si>
  <si>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</si>
  <si>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</si>
  <si>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</si>
  <si>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</si>
  <si>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</si>
  <si>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</si>
  <si>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</si>
  <si>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</si>
  <si>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</si>
  <si>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</si>
  <si>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</si>
  <si>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</si>
  <si>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</si>
  <si>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</si>
  <si>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</si>
  <si>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</si>
  <si>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</si>
  <si>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</si>
  <si>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</si>
  <si>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</si>
  <si>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</si>
  <si>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</si>
  <si>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</si>
  <si>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</si>
  <si>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</si>
  <si>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</si>
  <si>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</si>
  <si>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</si>
  <si>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</si>
  <si>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</si>
  <si>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</si>
  <si>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</si>
  <si>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</si>
  <si>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</si>
  <si>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</si>
  <si>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</si>
  <si>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</si>
  <si>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</si>
  <si>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</si>
  <si>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</si>
  <si>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</si>
  <si>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</si>
  <si>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</si>
  <si>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</si>
  <si>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</si>
  <si>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</si>
  <si>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</si>
  <si>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</si>
  <si>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</si>
  <si>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</si>
  <si>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</si>
  <si>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</si>
  <si>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</si>
  <si>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</si>
  <si>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</si>
  <si>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</si>
  <si>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</si>
  <si>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</si>
  <si>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</si>
  <si>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</si>
  <si>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</si>
  <si>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</si>
  <si>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</si>
  <si>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</si>
  <si>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</si>
  <si>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</si>
  <si>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</si>
  <si>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</si>
  <si>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</si>
  <si>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</si>
  <si>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</si>
  <si>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</si>
  <si>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</si>
  <si>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</si>
  <si>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</si>
  <si>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</si>
  <si>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</si>
  <si>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</si>
  <si>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</si>
  <si>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</si>
  <si>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</si>
  <si>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</si>
  <si>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</si>
  <si>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</si>
  <si>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</si>
  <si>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</si>
  <si>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</si>
  <si>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</si>
  <si>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</si>
  <si>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</si>
  <si>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</si>
  <si>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</si>
  <si>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</si>
  <si>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</si>
  <si>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</si>
  <si>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</si>
  <si>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</si>
  <si>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</si>
  <si>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</si>
  <si>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</si>
  <si>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</si>
  <si>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</si>
  <si>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</si>
  <si>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</si>
  <si>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</si>
  <si>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</si>
  <si>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</si>
  <si>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</si>
  <si>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</si>
  <si>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</si>
  <si>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</si>
  <si>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</si>
  <si>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 xml:space="preserve">Generic Bagasse                                   </t>
  </si>
  <si>
    <t xml:space="preserve">Generic Wood                                      </t>
  </si>
  <si>
    <t xml:space="preserve">Generic Geothermal                                </t>
  </si>
  <si>
    <t xml:space="preserve">Generic Hydro With Dam                            </t>
  </si>
  <si>
    <t>EHydroDam</t>
  </si>
  <si>
    <t>EHydroROR</t>
  </si>
  <si>
    <t xml:space="preserve">Generic Hydro ROR                                 </t>
  </si>
  <si>
    <t xml:space="preserve">Generic Hydro Small                               </t>
  </si>
  <si>
    <t xml:space="preserve">Generic PV System (utility)                       </t>
  </si>
  <si>
    <t xml:space="preserve">Solar PV Zone 001                                 </t>
  </si>
  <si>
    <t xml:space="preserve">Solar PV Zone 002                                 </t>
  </si>
  <si>
    <t xml:space="preserve">Solar PV Zone 003                                 </t>
  </si>
  <si>
    <t xml:space="preserve">Solar PV Zone 004                                 </t>
  </si>
  <si>
    <t xml:space="preserve">Solar PV Zone 005                                 </t>
  </si>
  <si>
    <t>EPV_Dist</t>
  </si>
  <si>
    <t xml:space="preserve">Generic PV system (roof top - rural)              </t>
  </si>
  <si>
    <t xml:space="preserve">Generic PV with 2h Battery (roof top - rural)     </t>
  </si>
  <si>
    <t xml:space="preserve">Generic PV system (roof top - urban)              </t>
  </si>
  <si>
    <t>Generic PV system (roof top - commercial buildings</t>
  </si>
  <si>
    <t xml:space="preserve">Generic Solar thermal with Gas co-firing          </t>
  </si>
  <si>
    <t xml:space="preserve">Generic Solar thermal with Storage                </t>
  </si>
  <si>
    <t xml:space="preserve">Generic Wind                                      </t>
  </si>
  <si>
    <t xml:space="preserve">Wind Zone 001                                     </t>
  </si>
  <si>
    <t xml:space="preserve">Wind Zone 002                                     </t>
  </si>
  <si>
    <t xml:space="preserve">Wind Zone 003                                     </t>
  </si>
  <si>
    <t xml:space="preserve">Wind Zone 004                                     </t>
  </si>
  <si>
    <t xml:space="preserve">Wind Zone 005                                     </t>
  </si>
  <si>
    <t>Ebattery_Grid</t>
  </si>
  <si>
    <t xml:space="preserve">Generic battery                                   </t>
  </si>
  <si>
    <t xml:space="preserve">Generic Coal                                      </t>
  </si>
  <si>
    <t xml:space="preserve">Generic Gas Combined Cycle                        </t>
  </si>
  <si>
    <t xml:space="preserve">Generic Gas Open Cycle                            </t>
  </si>
  <si>
    <t xml:space="preserve">Imports of Electricity                            </t>
  </si>
  <si>
    <t xml:space="preserve">Generic HFO                                       </t>
  </si>
  <si>
    <t>Generic Diesel/Gasoline 1kW system (commercial bui</t>
  </si>
  <si>
    <t xml:space="preserve">Generic Diesel Centralized                        </t>
  </si>
  <si>
    <t xml:space="preserve">Generic Diesel 100 kW system (Industry)           </t>
  </si>
  <si>
    <t xml:space="preserve">Generic Diesel/Gasoline 1kW system (rural)        </t>
  </si>
  <si>
    <t xml:space="preserve">Generic Diesel/Gasoline 1kW system (urban)        </t>
  </si>
  <si>
    <t>TakeOrPayContracts-Gas</t>
  </si>
  <si>
    <t>TakeOrPayContracts-Diesel</t>
  </si>
  <si>
    <t>EDist Urban</t>
  </si>
  <si>
    <t>Edist Rural</t>
  </si>
  <si>
    <t>Ehydro</t>
  </si>
  <si>
    <t>Base Year Capacity</t>
  </si>
  <si>
    <t>aelec</t>
  </si>
  <si>
    <t>flab-rn</t>
  </si>
  <si>
    <t>BASE</t>
  </si>
  <si>
    <t>flab-rp</t>
  </si>
  <si>
    <t>flab-rs</t>
  </si>
  <si>
    <t>South Africa</t>
  </si>
  <si>
    <t>Ghana</t>
  </si>
  <si>
    <t>Adjustment Factor</t>
  </si>
  <si>
    <t>EDist Rural</t>
  </si>
  <si>
    <t>Edist Urban</t>
  </si>
  <si>
    <t>SA numbers</t>
  </si>
  <si>
    <t>*</t>
  </si>
  <si>
    <t>EP_</t>
  </si>
  <si>
    <t>MIN_</t>
  </si>
  <si>
    <t>PWR_</t>
  </si>
  <si>
    <t>UCPWR_</t>
  </si>
  <si>
    <t xml:space="preserve">Power - Supply - </t>
  </si>
  <si>
    <t>Supply - Factor-</t>
  </si>
  <si>
    <t>Factor-</t>
  </si>
  <si>
    <t>Power - Factor-</t>
  </si>
  <si>
    <t>User Constraint Power - Factor-</t>
  </si>
  <si>
    <t>TID DATA</t>
  </si>
  <si>
    <t>UC_R_EACH</t>
  </si>
  <si>
    <t>PRC_ACTUNT</t>
  </si>
  <si>
    <t>PRC_CAPACT</t>
  </si>
  <si>
    <t>TOP-OUT</t>
  </si>
  <si>
    <t>TOP-IN</t>
  </si>
  <si>
    <t>flab-n</t>
  </si>
  <si>
    <t>KEBMST00</t>
  </si>
  <si>
    <t>KEBMST01</t>
  </si>
  <si>
    <t xml:space="preserve">Mumias                                            </t>
  </si>
  <si>
    <t>KEBMST10</t>
  </si>
  <si>
    <t xml:space="preserve">Kwala                                             </t>
  </si>
  <si>
    <t>KEBWST00</t>
  </si>
  <si>
    <t>KEGOCV00</t>
  </si>
  <si>
    <t>EGeoThermal</t>
  </si>
  <si>
    <t>KEGOCV01</t>
  </si>
  <si>
    <t xml:space="preserve">Olkaria_2                                         </t>
  </si>
  <si>
    <t>KEGOCV02</t>
  </si>
  <si>
    <t xml:space="preserve">Olkaria_1and4                                     </t>
  </si>
  <si>
    <t>KEGOCV03</t>
  </si>
  <si>
    <t xml:space="preserve">Eburru                                            </t>
  </si>
  <si>
    <t>KEGOCV10</t>
  </si>
  <si>
    <t xml:space="preserve">Olkarai_V                                         </t>
  </si>
  <si>
    <t>KEGOCV11</t>
  </si>
  <si>
    <t xml:space="preserve">Baringo                                           </t>
  </si>
  <si>
    <t>KEGOCV12</t>
  </si>
  <si>
    <t xml:space="preserve">Suswa/Suswa2                                      </t>
  </si>
  <si>
    <t>KEGOCV13</t>
  </si>
  <si>
    <t xml:space="preserve">Silali                                            </t>
  </si>
  <si>
    <t>KEGOCV14</t>
  </si>
  <si>
    <t xml:space="preserve">OLKWH1                                            </t>
  </si>
  <si>
    <t>KEGOCV15</t>
  </si>
  <si>
    <t xml:space="preserve">OLKWH2                                            </t>
  </si>
  <si>
    <t>KEGOCV16</t>
  </si>
  <si>
    <t xml:space="preserve">ORPower4-plant2and3                               </t>
  </si>
  <si>
    <t>KEGOCV17</t>
  </si>
  <si>
    <t xml:space="preserve">Orpower4-plant1and4                               </t>
  </si>
  <si>
    <t>KEGOCV18</t>
  </si>
  <si>
    <t xml:space="preserve">MENWH                                             </t>
  </si>
  <si>
    <t>KEGOCV20</t>
  </si>
  <si>
    <t xml:space="preserve">KY_New_Geo                                        </t>
  </si>
  <si>
    <t>KEHYDM00</t>
  </si>
  <si>
    <t>KEHYDT01</t>
  </si>
  <si>
    <t xml:space="preserve">Kiambere                                          </t>
  </si>
  <si>
    <t>KEHYDT02</t>
  </si>
  <si>
    <t xml:space="preserve">Turkwell                                          </t>
  </si>
  <si>
    <t>KEHYDT03</t>
  </si>
  <si>
    <t xml:space="preserve">Kamburu/Masinga                                   </t>
  </si>
  <si>
    <t>KEHYRO00</t>
  </si>
  <si>
    <t>KEHYRO04</t>
  </si>
  <si>
    <t xml:space="preserve">Gitaru                                            </t>
  </si>
  <si>
    <t>KEHYRO05</t>
  </si>
  <si>
    <t xml:space="preserve">Sondu_Miriu                                       </t>
  </si>
  <si>
    <t>KEHYRO06</t>
  </si>
  <si>
    <t xml:space="preserve">Kindaruma                                         </t>
  </si>
  <si>
    <t>KEHYRO07</t>
  </si>
  <si>
    <t xml:space="preserve">Sangoro                                           </t>
  </si>
  <si>
    <t>KEHYRO08</t>
  </si>
  <si>
    <t xml:space="preserve">Tana                                              </t>
  </si>
  <si>
    <t>KEHYRO10</t>
  </si>
  <si>
    <t xml:space="preserve">Kindaruma_opt                                     </t>
  </si>
  <si>
    <t>KEHYRO20</t>
  </si>
  <si>
    <t xml:space="preserve">LowerGrand                                        </t>
  </si>
  <si>
    <t>KEHYRO21</t>
  </si>
  <si>
    <t xml:space="preserve">Karura                                            </t>
  </si>
  <si>
    <t>KEHYRO22</t>
  </si>
  <si>
    <t xml:space="preserve">HighGrand                                         </t>
  </si>
  <si>
    <t>KEHYMI00</t>
  </si>
  <si>
    <t>KEHYMI09</t>
  </si>
  <si>
    <t xml:space="preserve">KY_Small_hydro_and_IPP                            </t>
  </si>
  <si>
    <t>KESOPC00</t>
  </si>
  <si>
    <t>KESOPCZ001</t>
  </si>
  <si>
    <t>KESOPCZ002</t>
  </si>
  <si>
    <t>KESOPCZ003</t>
  </si>
  <si>
    <t>KESOPCZ004</t>
  </si>
  <si>
    <t>KESOPCZ005</t>
  </si>
  <si>
    <t>KESOPCZ006</t>
  </si>
  <si>
    <t xml:space="preserve">Solar PV Zone 006                                 </t>
  </si>
  <si>
    <t>KESOPCZ007</t>
  </si>
  <si>
    <t xml:space="preserve">Solar PV Zone 007                                 </t>
  </si>
  <si>
    <t>KESOPCZ008</t>
  </si>
  <si>
    <t xml:space="preserve">Solar PV Zone 008                                 </t>
  </si>
  <si>
    <t>KESOPCZ009</t>
  </si>
  <si>
    <t xml:space="preserve">Solar PV Zone 009                                 </t>
  </si>
  <si>
    <t>KESOPCZ010</t>
  </si>
  <si>
    <t xml:space="preserve">Solar PV Zone 010                                 </t>
  </si>
  <si>
    <t>KESOPCE001</t>
  </si>
  <si>
    <t xml:space="preserve">Garissa/Selankei Solar                            </t>
  </si>
  <si>
    <t>KESOPR00</t>
  </si>
  <si>
    <t>KESOPS00</t>
  </si>
  <si>
    <t>KESOPU00</t>
  </si>
  <si>
    <t>KESOPB00</t>
  </si>
  <si>
    <t>KESOTG00</t>
  </si>
  <si>
    <t>KESOTN00</t>
  </si>
  <si>
    <t xml:space="preserve">Generic Solar thermal no storage                  </t>
  </si>
  <si>
    <t>KESOTS00</t>
  </si>
  <si>
    <t>KEWDLC00</t>
  </si>
  <si>
    <t>KEWDLCZ001</t>
  </si>
  <si>
    <t>KEWDLCZ002</t>
  </si>
  <si>
    <t>KEWDLCZ003</t>
  </si>
  <si>
    <t>KEWDLCZ004</t>
  </si>
  <si>
    <t>KEWDLCZ005</t>
  </si>
  <si>
    <t>KEWDLCZ006</t>
  </si>
  <si>
    <t xml:space="preserve">Wind Zone 006                                     </t>
  </si>
  <si>
    <t>KEWDLCZ007</t>
  </si>
  <si>
    <t xml:space="preserve">Wind Zone 007                                     </t>
  </si>
  <si>
    <t>KEWDLCZ008</t>
  </si>
  <si>
    <t xml:space="preserve">Wind Zone 008                                     </t>
  </si>
  <si>
    <t>KEWDLCZ009</t>
  </si>
  <si>
    <t xml:space="preserve">Wind Zone 009                                     </t>
  </si>
  <si>
    <t>KEWDLCZ010</t>
  </si>
  <si>
    <t xml:space="preserve">Wind Zone 010                                     </t>
  </si>
  <si>
    <t>KEWDLCE001</t>
  </si>
  <si>
    <t xml:space="preserve">Lake Turkana                                      </t>
  </si>
  <si>
    <t>KEWDLCE002</t>
  </si>
  <si>
    <t xml:space="preserve">Ngong_phase1-3                                    </t>
  </si>
  <si>
    <t>KEWDLCE003</t>
  </si>
  <si>
    <t xml:space="preserve">Kipeto                                            </t>
  </si>
  <si>
    <t>KEWDLCZDP09</t>
  </si>
  <si>
    <t xml:space="preserve">Wind Zone DP_Site ID 09                           </t>
  </si>
  <si>
    <t>KEWDLCZH08</t>
  </si>
  <si>
    <t xml:space="preserve">Wind Zone H_Site ID 08                            </t>
  </si>
  <si>
    <t>KEBATC00</t>
  </si>
  <si>
    <t>KECOSC00</t>
  </si>
  <si>
    <t>ECoal_New</t>
  </si>
  <si>
    <t>KECOSC10</t>
  </si>
  <si>
    <t xml:space="preserve">KY_Coal/KY_Coal2                                  </t>
  </si>
  <si>
    <t>KECOSC11</t>
  </si>
  <si>
    <t xml:space="preserve">KE-ST-SUBCRI_35                                   </t>
  </si>
  <si>
    <t>KENUPW00</t>
  </si>
  <si>
    <t xml:space="preserve">Generic Nuclear                                   </t>
  </si>
  <si>
    <t>KENUPW20</t>
  </si>
  <si>
    <t xml:space="preserve">KY_Nuclear                                        </t>
  </si>
  <si>
    <t>KENGCC00</t>
  </si>
  <si>
    <t>KENGCC10</t>
  </si>
  <si>
    <t xml:space="preserve">KY_LNG                                            </t>
  </si>
  <si>
    <t>KENGSC00</t>
  </si>
  <si>
    <t>KEDSSC00</t>
  </si>
  <si>
    <t xml:space="preserve">Generic Diesel Open Cycle                         </t>
  </si>
  <si>
    <t>KEEL00I00</t>
  </si>
  <si>
    <t>KEHFRC00</t>
  </si>
  <si>
    <t>KEHFRC01</t>
  </si>
  <si>
    <t xml:space="preserve">Kipevu_II/Rabai                                   </t>
  </si>
  <si>
    <t>KEHFRC02</t>
  </si>
  <si>
    <t xml:space="preserve">Iberafrica_IPP/Iberafrica_3_IPP                   </t>
  </si>
  <si>
    <t>KEHFRC10</t>
  </si>
  <si>
    <t xml:space="preserve">Triumph/GULF/THIKA                                </t>
  </si>
  <si>
    <t>KEHFSC02</t>
  </si>
  <si>
    <t xml:space="preserve">Tsavo_Muhoroni                                    </t>
  </si>
  <si>
    <t>KEDSRB00</t>
  </si>
  <si>
    <t>KEDSRC00</t>
  </si>
  <si>
    <t>KEDSRC01</t>
  </si>
  <si>
    <t xml:space="preserve">Kipevu_I                                          </t>
  </si>
  <si>
    <t>KEDSRI00</t>
  </si>
  <si>
    <t>KEDSRR00</t>
  </si>
  <si>
    <t>KEDSRU00</t>
  </si>
  <si>
    <t>KEEL00T00</t>
  </si>
  <si>
    <t>KEEL00TDC</t>
  </si>
  <si>
    <t>KEBM00X00</t>
  </si>
  <si>
    <t>KEBW00X00</t>
  </si>
  <si>
    <t>KECO00X00</t>
  </si>
  <si>
    <t>KEDS00I00</t>
  </si>
  <si>
    <t>KEEL00TUI</t>
  </si>
  <si>
    <t>KEGO00X00</t>
  </si>
  <si>
    <t>KEHF00I00</t>
  </si>
  <si>
    <t>KEHY00X00</t>
  </si>
  <si>
    <t>KEHY01X00</t>
  </si>
  <si>
    <t>KEHY02X00</t>
  </si>
  <si>
    <t>KEHY03X00</t>
  </si>
  <si>
    <t>KEHYDM01</t>
  </si>
  <si>
    <t>KEHYDM02</t>
  </si>
  <si>
    <t>KEHYDM03</t>
  </si>
  <si>
    <t>KENG00I00</t>
  </si>
  <si>
    <t>KENGSC11</t>
  </si>
  <si>
    <t>KENU00X00</t>
  </si>
  <si>
    <t>KESO00X00</t>
  </si>
  <si>
    <t>KEWD00X00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</si>
</sst>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6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1" fillId="3" borderId="1" applyNumberFormat="0" applyAlignment="0" applyProtection="0"/>
  </cellStyleXfs>
  <cellXfs count="36">
    <xf numFmtId="0" fontId="0" fillId="0" borderId="0" xfId="0"/>
    <xf numFmtId="4" fontId="0" fillId="0" borderId="0" xfId="0" applyNumberFormat="1"/>
    <xf numFmtId="0" fontId="6" fillId="0" borderId="0" xfId="2"/>
    <xf numFmtId="0" fontId="3" fillId="0" borderId="0" xfId="3"/>
    <xf numFmtId="0" fontId="3" fillId="0" borderId="0" xfId="4"/>
    <xf numFmtId="164" fontId="3" fillId="0" borderId="0" xfId="4" applyNumberFormat="1"/>
    <xf numFmtId="164" fontId="4" fillId="2" borderId="0" xfId="1" applyNumberFormat="1"/>
    <xf numFmtId="2" fontId="3" fillId="0" borderId="0" xfId="4" applyNumberFormat="1"/>
    <xf numFmtId="9" fontId="0" fillId="0" borderId="0" xfId="5" applyFont="1"/>
    <xf numFmtId="0" fontId="3" fillId="0" borderId="0" xfId="4" applyAlignment="1">
      <alignment wrapText="1"/>
    </xf>
    <xf numFmtId="0" fontId="5" fillId="0" borderId="0" xfId="4" applyFont="1"/>
    <xf numFmtId="0" fontId="7" fillId="0" borderId="0" xfId="3" applyFont="1"/>
    <xf numFmtId="0" fontId="4" fillId="2" borderId="0" xfId="1"/>
    <xf numFmtId="0" fontId="3" fillId="0" borderId="0" xfId="4" quotePrefix="1"/>
    <xf numFmtId="165" fontId="3" fillId="0" borderId="0" xfId="4" applyNumberFormat="1"/>
    <xf numFmtId="166" fontId="0" fillId="0" borderId="0" xfId="5" applyNumberFormat="1" applyFont="1"/>
    <xf numFmtId="168" fontId="7" fillId="0" borderId="0" xfId="6" applyNumberFormat="1"/>
    <xf numFmtId="1" fontId="3" fillId="0" borderId="0" xfId="4" applyNumberFormat="1"/>
    <xf numFmtId="168" fontId="4" fillId="2" borderId="0" xfId="1" applyNumberFormat="1"/>
    <xf numFmtId="1" fontId="4" fillId="2" borderId="0" xfId="1" applyNumberFormat="1"/>
    <xf numFmtId="0" fontId="8" fillId="0" borderId="0" xfId="7"/>
    <xf numFmtId="9" fontId="3" fillId="0" borderId="0" xfId="4" applyNumberFormat="1"/>
    <xf numFmtId="169" fontId="3" fillId="0" borderId="0" xfId="4" applyNumberFormat="1"/>
    <xf numFmtId="169" fontId="4" fillId="2" borderId="0" xfId="1" applyNumberFormat="1"/>
    <xf numFmtId="165" fontId="4" fillId="2" borderId="0" xfId="1" applyNumberFormat="1"/>
    <xf numFmtId="168" fontId="3" fillId="0" borderId="0" xfId="4" applyNumberFormat="1"/>
    <xf numFmtId="169" fontId="0" fillId="0" borderId="0" xfId="8" applyNumberFormat="1" applyFont="1"/>
    <xf numFmtId="165" fontId="5" fillId="0" borderId="0" xfId="4" applyNumberFormat="1" applyFont="1"/>
    <xf numFmtId="2" fontId="5" fillId="0" borderId="0" xfId="4" applyNumberFormat="1" applyFont="1"/>
    <xf numFmtId="1" fontId="5" fillId="0" borderId="0" xfId="4" applyNumberFormat="1" applyFont="1"/>
    <xf numFmtId="164" fontId="5" fillId="0" borderId="0" xfId="4" applyNumberFormat="1" applyFont="1"/>
    <xf numFmtId="170" fontId="3" fillId="0" borderId="0" xfId="4" applyNumberFormat="1"/>
    <xf numFmtId="0" fontId="2" fillId="0" borderId="0" xfId="4" applyFont="1"/>
    <xf numFmtId="0" fontId="11" fillId="3" borderId="1" xfId="9"/>
    <xf numFmtId="0" fontId="3" fillId="0" borderId="0" xfId="4" applyAlignment="1">
      <alignment horizontal="center"/>
    </xf>
    <xf numFmtId="0" fontId="1" fillId="0" borderId="0" xfId="4" applyFont="1"/>
  </cellXfs>
  <cellStyles count="10">
    <cellStyle name="Comma 2 4" xfId="8" xr:uid="{0B4AD4E4-2701-43A1-A6A0-2E758F876049}"/>
    <cellStyle name="Comma 3 2" xfId="6" xr:uid="{C956F096-C3AF-48EF-8709-3F7F6F6900B8}"/>
    <cellStyle name="Good" xfId="1" builtinId="26"/>
    <cellStyle name="Hyperlink 2 2" xfId="7" xr:uid="{0E7A8F77-6D21-464A-9EBD-E3540060CEF5}"/>
    <cellStyle name="Input" xfId="9" builtinId="20"/>
    <cellStyle name="Normal" xfId="0" builtinId="0"/>
    <cellStyle name="Normal 13" xfId="2" xr:uid="{BADB7EDE-5072-436B-8980-EF3EF0F4B6A5}"/>
    <cellStyle name="Normal 4 3" xfId="3" xr:uid="{EC977E73-72BE-4936-A9A0-CB8488D8DA67}"/>
    <cellStyle name="Normal 6" xfId="4" xr:uid="{B9F03D62-C970-48E9-B631-4148E58365E3}"/>
    <cellStyle name="Percent 2 3" xfId="5" xr:uid="{DE93A1E0-6973-4635-9681-33D71A631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'Lab.Calcs.Assumptions'!$F$102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'Lab.Calcs.Assumptions'!$F$103:$F$107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B33-855C-110940FEEBD4}"/>
            </c:ext>
          </c:extLst>
        </c:ser>
        <c:ser>
          <c:idx val="1"/>
          <c:order val="1"/>
          <c:tx>
            <c:strRef>
              <c:f>'Lab.Calcs.Assumptions'!$G$102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'Lab.Calcs.Assumptions'!$G$103:$G$107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F-4B33-855C-110940FEEBD4}"/>
            </c:ext>
          </c:extLst>
        </c:ser>
        <c:ser>
          <c:idx val="2"/>
          <c:order val="2"/>
          <c:tx>
            <c:strRef>
              <c:f>'Lab.Calcs.Assumptions'!$H$102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'Lab.Calcs.Assumptions'!$H$103:$H$107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6F-4B33-855C-110940FEEBD4}"/>
            </c:ext>
          </c:extLst>
        </c:ser>
        <c:ser>
          <c:idx val="3"/>
          <c:order val="3"/>
          <c:tx>
            <c:strRef>
              <c:f>'Lab.Calcs.Assumptions'!$I$102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'Lab.Calcs.Assumptions'!$I$103:$I$107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6F-4B33-855C-110940FEEBD4}"/>
            </c:ext>
          </c:extLst>
        </c:ser>
        <c:ser>
          <c:idx val="4"/>
          <c:order val="4"/>
          <c:tx>
            <c:strRef>
              <c:f>'Lab.Calcs.Assumptions'!$J$102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'Lab.Calcs.Assumptions'!$J$103:$J$107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6F-4B33-855C-110940FEEBD4}"/>
            </c:ext>
          </c:extLst>
        </c:ser>
        <c:ser>
          <c:idx val="5"/>
          <c:order val="5"/>
          <c:tx>
            <c:strRef>
              <c:f>'Lab.Calcs.Assumptions'!$K$102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'Lab.Calcs.Assumptions'!$K$103:$K$107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6F-4B33-855C-110940FEEBD4}"/>
            </c:ext>
          </c:extLst>
        </c:ser>
        <c:ser>
          <c:idx val="6"/>
          <c:order val="6"/>
          <c:tx>
            <c:strRef>
              <c:f>'Lab.Calcs.Assumptions'!$L$102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'Lab.Calcs.Assumptions'!$L$103:$L$107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6F-4B33-855C-110940FEEBD4}"/>
            </c:ext>
          </c:extLst>
        </c:ser>
        <c:ser>
          <c:idx val="7"/>
          <c:order val="7"/>
          <c:tx>
            <c:strRef>
              <c:f>'Lab.Calcs.Assumptions'!$M$102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'Lab.Calcs.Assumptions'!$M$103:$M$107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6F-4B33-855C-110940FE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'Lab.Calcs.Assumptions'!$F$102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'Lab.Calcs.Assumptions'!$F$104:$F$107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C-461D-A935-BBD72F80B244}"/>
            </c:ext>
          </c:extLst>
        </c:ser>
        <c:ser>
          <c:idx val="1"/>
          <c:order val="1"/>
          <c:tx>
            <c:strRef>
              <c:f>'Lab.Calcs.Assumptions'!$G$102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'Lab.Calcs.Assumptions'!$G$104:$G$107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C-461D-A935-BBD72F80B244}"/>
            </c:ext>
          </c:extLst>
        </c:ser>
        <c:ser>
          <c:idx val="2"/>
          <c:order val="2"/>
          <c:tx>
            <c:strRef>
              <c:f>'Lab.Calcs.Assumptions'!$H$102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'Lab.Calcs.Assumptions'!$H$104:$H$107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C-461D-A935-BBD72F80B244}"/>
            </c:ext>
          </c:extLst>
        </c:ser>
        <c:ser>
          <c:idx val="3"/>
          <c:order val="3"/>
          <c:tx>
            <c:strRef>
              <c:f>'Lab.Calcs.Assumptions'!$I$102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'Lab.Calcs.Assumptions'!$I$104:$I$107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C-461D-A935-BBD72F80B244}"/>
            </c:ext>
          </c:extLst>
        </c:ser>
        <c:ser>
          <c:idx val="4"/>
          <c:order val="4"/>
          <c:tx>
            <c:strRef>
              <c:f>'Lab.Calcs.Assumptions'!$J$102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'Lab.Calcs.Assumptions'!$J$104:$J$107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D31C-461D-A935-BBD72F80B244}"/>
            </c:ext>
          </c:extLst>
        </c:ser>
        <c:ser>
          <c:idx val="5"/>
          <c:order val="5"/>
          <c:tx>
            <c:strRef>
              <c:f>'Lab.Calcs.Assumptions'!$K$102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'Lab.Calcs.Assumptions'!$K$104:$K$107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D31C-461D-A935-BBD72F80B244}"/>
            </c:ext>
          </c:extLst>
        </c:ser>
        <c:ser>
          <c:idx val="6"/>
          <c:order val="6"/>
          <c:tx>
            <c:strRef>
              <c:f>'Lab.Calcs.Assumptions'!$L$102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'Lab.Calcs.Assumptions'!$L$104:$L$107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D31C-461D-A935-BBD72F80B244}"/>
            </c:ext>
          </c:extLst>
        </c:ser>
        <c:ser>
          <c:idx val="7"/>
          <c:order val="7"/>
          <c:tx>
            <c:strRef>
              <c:f>'Lab.Calcs.Assumptions'!$M$102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'Lab.Calcs.Assumptions'!$M$104:$M$107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1C-461D-A935-BBD72F80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523875</xdr:colOff>
      <xdr:row>6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7D9CC3CC-C2B9-481C-AE87-4596B678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50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66A71FAA-CBF5-4182-8D5F-17299CC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632C84A3-72FB-4C84-83A6-E06CD6BE4C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BF379947-2B86-49A4-B436-8D419B06F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DA538D2F-5E78-4BE1-86B0-C2ED8036B7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38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C42BE45D-F98B-4E35-9472-54C0382BD52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74</xdr:row>
      <xdr:rowOff>171450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4991543B-062E-4CFC-8B90-BAEB9119D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1445895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84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124AC736-3EC4-430F-A003-14F8C9E8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92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68B7671B-52FC-4356-A374-70B6D3FA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89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6109F2E7-3E90-4F4F-AFA6-4E659F3E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111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2E1DD8DF-73F0-479B-823F-F2D33080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107</xdr:row>
      <xdr:rowOff>185736</xdr:rowOff>
    </xdr:from>
    <xdr:to>
      <xdr:col>6</xdr:col>
      <xdr:colOff>676274</xdr:colOff>
      <xdr:row>125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8EBC885-201A-40F9-9E2F-BA6F6F4C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108</xdr:row>
      <xdr:rowOff>19050</xdr:rowOff>
    </xdr:from>
    <xdr:to>
      <xdr:col>12</xdr:col>
      <xdr:colOff>381000</xdr:colOff>
      <xdr:row>125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CF38D0-AC25-451E-9672-FAD1DEB0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71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655E868-8076-4A96-82F1-DC9705D3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PWR_REL.xlsx" TargetMode="External"/><Relationship Id="rId1" Type="http://schemas.openxmlformats.org/officeDocument/2006/relationships/externalLinkPath" Target="/Models/SATIMGE/SATIM/DataSpreadsheets/TCH_PWR_R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erveMargin Inputs"/>
      <sheetName val="ITEMS-Con"/>
      <sheetName val="ConTID"/>
      <sheetName val="ConTSRM"/>
      <sheetName val="ConTSERM"/>
      <sheetName val="ConTSTRANSDUM"/>
      <sheetName val="ConTSOth"/>
      <sheetName val="ProcDataRM"/>
      <sheetName val="ConTSLabour"/>
      <sheetName val="PWR_Lab"/>
      <sheetName val="Lab.Calcs.Assumptions"/>
      <sheetName val="SAM"/>
      <sheetName val="From SAM"/>
      <sheetName val="ElecBY"/>
    </sheetNames>
    <sheetDataSet>
      <sheetData sheetId="0"/>
      <sheetData sheetId="1">
        <row r="2">
          <cell r="C2" t="str">
            <v>UCCAP_BATR</v>
          </cell>
        </row>
        <row r="3">
          <cell r="C3" t="str">
            <v>UCACT_FIRM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8">
          <cell r="Q28">
            <v>0.11001900000000001</v>
          </cell>
        </row>
        <row r="29">
          <cell r="Q29">
            <v>0.11275</v>
          </cell>
        </row>
        <row r="30">
          <cell r="Q30">
            <v>0.17319399999999999</v>
          </cell>
        </row>
        <row r="31">
          <cell r="Q31">
            <v>0.39577200000000001</v>
          </cell>
        </row>
        <row r="32">
          <cell r="V32">
            <v>23.198</v>
          </cell>
        </row>
      </sheetData>
      <sheetData sheetId="13">
        <row r="58">
          <cell r="G58">
            <v>0.91200000000000003</v>
          </cell>
        </row>
        <row r="59">
          <cell r="G59">
            <v>6.0609000000000002</v>
          </cell>
        </row>
        <row r="60">
          <cell r="G60">
            <v>1.2666999999999999</v>
          </cell>
        </row>
        <row r="61">
          <cell r="G61">
            <v>1.7473000000000001</v>
          </cell>
        </row>
        <row r="62">
          <cell r="G62">
            <v>0.56020000000000003</v>
          </cell>
        </row>
        <row r="63">
          <cell r="G63">
            <v>3.5015000000000001</v>
          </cell>
        </row>
        <row r="64">
          <cell r="G64">
            <v>4.1947999999999999</v>
          </cell>
        </row>
        <row r="65">
          <cell r="G65">
            <v>2.8782000000000001</v>
          </cell>
        </row>
        <row r="66">
          <cell r="G66">
            <v>0.8427</v>
          </cell>
        </row>
        <row r="67">
          <cell r="G67">
            <v>1.4596</v>
          </cell>
        </row>
        <row r="68">
          <cell r="G68">
            <v>1.3541000000000001</v>
          </cell>
        </row>
        <row r="69">
          <cell r="G69">
            <v>10.6821</v>
          </cell>
        </row>
        <row r="70">
          <cell r="G70">
            <v>0.45069999999999999</v>
          </cell>
        </row>
        <row r="71">
          <cell r="G71">
            <v>0.97140000000000004</v>
          </cell>
        </row>
        <row r="77">
          <cell r="F77">
            <v>34.200000000000003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3EB8-092B-4E9D-8F0F-D919F61EBCDA}">
  <sheetPr codeName="Sheet1">
    <tabColor theme="4"/>
  </sheetPr>
  <dimension ref="A1:N23"/>
  <sheetViews>
    <sheetView tabSelected="1" workbookViewId="0">
      <selection activeCell="K12" sqref="K12"/>
    </sheetView>
  </sheetViews>
  <sheetFormatPr defaultRowHeight="12.75" x14ac:dyDescent="0.2"/>
  <cols>
    <col min="3" max="3" width="16.28515625" bestFit="1" customWidth="1"/>
    <col min="4" max="4" width="36.85546875" customWidth="1"/>
    <col min="5" max="5" width="10.140625" bestFit="1" customWidth="1"/>
    <col min="6" max="6" width="19.5703125" bestFit="1" customWidth="1"/>
  </cols>
  <sheetData>
    <row r="1" spans="1:14" x14ac:dyDescent="0.2">
      <c r="A1" t="s">
        <v>26</v>
      </c>
      <c r="B1" t="s">
        <v>25</v>
      </c>
      <c r="K1" t="s">
        <v>295</v>
      </c>
      <c r="L1" t="s">
        <v>295</v>
      </c>
      <c r="M1" t="s">
        <v>295</v>
      </c>
      <c r="N1" t="s">
        <v>295</v>
      </c>
    </row>
    <row r="2" spans="1:14" x14ac:dyDescent="0.2">
      <c r="B2" t="s">
        <v>2</v>
      </c>
      <c r="C2" t="s">
        <v>24</v>
      </c>
      <c r="D2" t="s">
        <v>23</v>
      </c>
      <c r="E2" t="s">
        <v>1</v>
      </c>
      <c r="F2" t="s">
        <v>20</v>
      </c>
      <c r="K2" s="2"/>
    </row>
    <row r="3" spans="1:14" x14ac:dyDescent="0.2">
      <c r="B3" t="s">
        <v>2</v>
      </c>
      <c r="C3" t="s">
        <v>22</v>
      </c>
      <c r="D3" t="s">
        <v>21</v>
      </c>
      <c r="E3" t="s">
        <v>1</v>
      </c>
      <c r="F3" t="s">
        <v>20</v>
      </c>
    </row>
    <row r="4" spans="1:14" x14ac:dyDescent="0.2">
      <c r="B4" t="s">
        <v>2</v>
      </c>
      <c r="C4" t="s">
        <v>19</v>
      </c>
      <c r="D4" t="s">
        <v>18</v>
      </c>
      <c r="E4" t="s">
        <v>1</v>
      </c>
      <c r="F4" t="s">
        <v>0</v>
      </c>
    </row>
    <row r="5" spans="1:14" x14ac:dyDescent="0.2">
      <c r="B5" t="s">
        <v>2</v>
      </c>
      <c r="C5" t="s">
        <v>17</v>
      </c>
      <c r="D5" t="s">
        <v>16</v>
      </c>
      <c r="E5" t="s">
        <v>1</v>
      </c>
      <c r="F5" t="s">
        <v>0</v>
      </c>
    </row>
    <row r="6" spans="1:14" x14ac:dyDescent="0.2">
      <c r="B6" t="s">
        <v>2</v>
      </c>
      <c r="C6" t="s">
        <v>15</v>
      </c>
      <c r="D6" t="s">
        <v>14</v>
      </c>
      <c r="E6" t="s">
        <v>1</v>
      </c>
      <c r="F6" t="s">
        <v>0</v>
      </c>
    </row>
    <row r="7" spans="1:14" x14ac:dyDescent="0.2">
      <c r="B7" t="s">
        <v>2</v>
      </c>
      <c r="C7" t="s">
        <v>13</v>
      </c>
      <c r="D7" t="s">
        <v>12</v>
      </c>
      <c r="E7" t="s">
        <v>1</v>
      </c>
      <c r="F7" t="s">
        <v>0</v>
      </c>
    </row>
    <row r="8" spans="1:14" x14ac:dyDescent="0.2">
      <c r="B8" t="s">
        <v>2</v>
      </c>
      <c r="C8" t="s">
        <v>11</v>
      </c>
      <c r="D8" t="s">
        <v>10</v>
      </c>
      <c r="E8" t="s">
        <v>1</v>
      </c>
      <c r="F8" t="s">
        <v>0</v>
      </c>
    </row>
    <row r="9" spans="1:14" x14ac:dyDescent="0.2">
      <c r="B9" t="s">
        <v>8</v>
      </c>
      <c r="C9" t="str">
        <f>M9&amp;L9</f>
        <v>EP_FLAB-N</v>
      </c>
      <c r="D9" s="1" t="str">
        <f>N9&amp;L9</f>
        <v>Power - Supply - FLAB-N</v>
      </c>
      <c r="E9" t="s">
        <v>7</v>
      </c>
      <c r="F9" t="s">
        <v>9</v>
      </c>
      <c r="K9" t="s">
        <v>311</v>
      </c>
      <c r="L9" t="str">
        <f>UPPER(K9)</f>
        <v>FLAB-N</v>
      </c>
      <c r="M9" t="s">
        <v>296</v>
      </c>
      <c r="N9" t="s">
        <v>300</v>
      </c>
    </row>
    <row r="10" spans="1:14" x14ac:dyDescent="0.2">
      <c r="B10" t="s">
        <v>8</v>
      </c>
      <c r="C10" t="str">
        <f t="shared" ref="C10:C23" si="0">M10&amp;L10</f>
        <v>EP_FLAB-P</v>
      </c>
      <c r="D10" s="1" t="str">
        <f t="shared" ref="D10:D23" si="1">N10&amp;L10</f>
        <v>Power - Supply - FLAB-P</v>
      </c>
      <c r="E10" t="s">
        <v>7</v>
      </c>
      <c r="F10" t="s">
        <v>9</v>
      </c>
      <c r="K10" t="s">
        <v>147</v>
      </c>
      <c r="L10" t="str">
        <f t="shared" ref="L10:L11" si="2">UPPER(K10)</f>
        <v>FLAB-P</v>
      </c>
      <c r="M10" t="s">
        <v>296</v>
      </c>
      <c r="N10" t="s">
        <v>300</v>
      </c>
    </row>
    <row r="11" spans="1:14" x14ac:dyDescent="0.2">
      <c r="B11" t="s">
        <v>8</v>
      </c>
      <c r="C11" t="str">
        <f t="shared" si="0"/>
        <v>EP_FLAB-S</v>
      </c>
      <c r="D11" s="1" t="str">
        <f t="shared" si="1"/>
        <v>Power - Supply - FLAB-S</v>
      </c>
      <c r="E11" t="s">
        <v>7</v>
      </c>
      <c r="F11" t="s">
        <v>9</v>
      </c>
      <c r="K11" t="s">
        <v>143</v>
      </c>
      <c r="L11" t="str">
        <f t="shared" si="2"/>
        <v>FLAB-S</v>
      </c>
      <c r="M11" t="s">
        <v>296</v>
      </c>
      <c r="N11" t="s">
        <v>300</v>
      </c>
    </row>
    <row r="12" spans="1:14" x14ac:dyDescent="0.2">
      <c r="B12" t="s">
        <v>8</v>
      </c>
      <c r="C12" t="str">
        <f t="shared" si="0"/>
        <v>MIN_FLAB-N</v>
      </c>
      <c r="D12" s="1" t="str">
        <f t="shared" si="1"/>
        <v>Supply - Factor-FLAB-N</v>
      </c>
      <c r="E12" t="s">
        <v>7</v>
      </c>
      <c r="F12" t="s">
        <v>6</v>
      </c>
      <c r="L12" t="str">
        <f>L9</f>
        <v>FLAB-N</v>
      </c>
      <c r="M12" t="s">
        <v>297</v>
      </c>
      <c r="N12" t="s">
        <v>301</v>
      </c>
    </row>
    <row r="13" spans="1:14" x14ac:dyDescent="0.2">
      <c r="B13" t="s">
        <v>8</v>
      </c>
      <c r="C13" t="str">
        <f t="shared" si="0"/>
        <v>MIN_FLAB-P</v>
      </c>
      <c r="D13" s="1" t="str">
        <f t="shared" si="1"/>
        <v>Supply - Factor-FLAB-P</v>
      </c>
      <c r="E13" t="s">
        <v>7</v>
      </c>
      <c r="F13" t="s">
        <v>6</v>
      </c>
      <c r="L13" t="str">
        <f>L10</f>
        <v>FLAB-P</v>
      </c>
      <c r="M13" t="s">
        <v>297</v>
      </c>
      <c r="N13" t="s">
        <v>301</v>
      </c>
    </row>
    <row r="14" spans="1:14" x14ac:dyDescent="0.2">
      <c r="B14" t="s">
        <v>8</v>
      </c>
      <c r="C14" t="str">
        <f t="shared" si="0"/>
        <v>MIN_FLAB-S</v>
      </c>
      <c r="D14" s="1" t="str">
        <f t="shared" si="1"/>
        <v>Supply - Factor-FLAB-S</v>
      </c>
      <c r="E14" t="s">
        <v>7</v>
      </c>
      <c r="F14" t="s">
        <v>6</v>
      </c>
      <c r="L14" t="str">
        <f>L11</f>
        <v>FLAB-S</v>
      </c>
      <c r="M14" t="s">
        <v>297</v>
      </c>
      <c r="N14" t="s">
        <v>301</v>
      </c>
    </row>
    <row r="15" spans="1:14" x14ac:dyDescent="0.2">
      <c r="B15" t="s">
        <v>5</v>
      </c>
      <c r="C15" t="str">
        <f t="shared" si="0"/>
        <v>FLAB-N</v>
      </c>
      <c r="D15" s="1" t="str">
        <f t="shared" si="1"/>
        <v>Factor-FLAB-N</v>
      </c>
      <c r="E15" t="s">
        <v>4</v>
      </c>
      <c r="F15" t="s">
        <v>3</v>
      </c>
      <c r="L15" t="str">
        <f>L12</f>
        <v>FLAB-N</v>
      </c>
      <c r="N15" t="s">
        <v>302</v>
      </c>
    </row>
    <row r="16" spans="1:14" x14ac:dyDescent="0.2">
      <c r="B16" t="s">
        <v>5</v>
      </c>
      <c r="C16" t="str">
        <f t="shared" si="0"/>
        <v>FLAB-P</v>
      </c>
      <c r="D16" s="1" t="str">
        <f t="shared" si="1"/>
        <v>Factor-FLAB-P</v>
      </c>
      <c r="E16" t="s">
        <v>4</v>
      </c>
      <c r="F16" t="s">
        <v>3</v>
      </c>
      <c r="L16" t="str">
        <f>L13</f>
        <v>FLAB-P</v>
      </c>
      <c r="N16" t="s">
        <v>302</v>
      </c>
    </row>
    <row r="17" spans="2:14" x14ac:dyDescent="0.2">
      <c r="B17" t="s">
        <v>5</v>
      </c>
      <c r="C17" t="str">
        <f t="shared" si="0"/>
        <v>FLAB-S</v>
      </c>
      <c r="D17" s="1" t="str">
        <f t="shared" si="1"/>
        <v>Factor-FLAB-S</v>
      </c>
      <c r="E17" t="s">
        <v>4</v>
      </c>
      <c r="F17" t="s">
        <v>3</v>
      </c>
      <c r="L17" t="str">
        <f>L14</f>
        <v>FLAB-S</v>
      </c>
      <c r="N17" t="s">
        <v>302</v>
      </c>
    </row>
    <row r="18" spans="2:14" x14ac:dyDescent="0.2">
      <c r="B18" t="s">
        <v>5</v>
      </c>
      <c r="C18" t="str">
        <f t="shared" si="0"/>
        <v>PWR_FLAB-N</v>
      </c>
      <c r="D18" s="1" t="str">
        <f t="shared" si="1"/>
        <v>Power - Factor-FLAB-N</v>
      </c>
      <c r="E18" t="s">
        <v>4</v>
      </c>
      <c r="F18" t="s">
        <v>3</v>
      </c>
      <c r="L18" t="str">
        <f>L15</f>
        <v>FLAB-N</v>
      </c>
      <c r="M18" t="s">
        <v>298</v>
      </c>
      <c r="N18" t="s">
        <v>303</v>
      </c>
    </row>
    <row r="19" spans="2:14" x14ac:dyDescent="0.2">
      <c r="B19" t="s">
        <v>5</v>
      </c>
      <c r="C19" t="str">
        <f t="shared" si="0"/>
        <v>PWR_FLAB-P</v>
      </c>
      <c r="D19" s="1" t="str">
        <f t="shared" si="1"/>
        <v>Power - Factor-FLAB-P</v>
      </c>
      <c r="E19" t="s">
        <v>4</v>
      </c>
      <c r="F19" t="s">
        <v>3</v>
      </c>
      <c r="L19" t="str">
        <f>L16</f>
        <v>FLAB-P</v>
      </c>
      <c r="M19" t="s">
        <v>298</v>
      </c>
      <c r="N19" t="s">
        <v>303</v>
      </c>
    </row>
    <row r="20" spans="2:14" x14ac:dyDescent="0.2">
      <c r="B20" t="s">
        <v>5</v>
      </c>
      <c r="C20" t="str">
        <f t="shared" si="0"/>
        <v>PWR_FLAB-S</v>
      </c>
      <c r="D20" s="1" t="str">
        <f t="shared" si="1"/>
        <v>Power - Factor-FLAB-S</v>
      </c>
      <c r="E20" t="s">
        <v>4</v>
      </c>
      <c r="F20" t="s">
        <v>3</v>
      </c>
      <c r="L20" t="str">
        <f>L17</f>
        <v>FLAB-S</v>
      </c>
      <c r="M20" t="s">
        <v>298</v>
      </c>
      <c r="N20" t="s">
        <v>303</v>
      </c>
    </row>
    <row r="21" spans="2:14" x14ac:dyDescent="0.2">
      <c r="B21" t="s">
        <v>2</v>
      </c>
      <c r="C21" t="str">
        <f t="shared" si="0"/>
        <v>UCPWR_FLAB-N</v>
      </c>
      <c r="D21" s="1" t="str">
        <f t="shared" si="1"/>
        <v>User Constraint Power - Factor-FLAB-N</v>
      </c>
      <c r="E21" t="s">
        <v>1</v>
      </c>
      <c r="F21" t="s">
        <v>0</v>
      </c>
      <c r="L21" t="str">
        <f>L18</f>
        <v>FLAB-N</v>
      </c>
      <c r="M21" t="s">
        <v>299</v>
      </c>
      <c r="N21" t="s">
        <v>304</v>
      </c>
    </row>
    <row r="22" spans="2:14" x14ac:dyDescent="0.2">
      <c r="B22" t="s">
        <v>2</v>
      </c>
      <c r="C22" t="str">
        <f t="shared" si="0"/>
        <v>UCPWR_FLAB-P</v>
      </c>
      <c r="D22" s="1" t="str">
        <f t="shared" si="1"/>
        <v>User Constraint Power - Factor-FLAB-P</v>
      </c>
      <c r="E22" t="s">
        <v>1</v>
      </c>
      <c r="F22" t="s">
        <v>0</v>
      </c>
      <c r="L22" t="str">
        <f>L19</f>
        <v>FLAB-P</v>
      </c>
      <c r="M22" t="s">
        <v>299</v>
      </c>
      <c r="N22" t="s">
        <v>304</v>
      </c>
    </row>
    <row r="23" spans="2:14" x14ac:dyDescent="0.2">
      <c r="B23" t="s">
        <v>2</v>
      </c>
      <c r="C23" t="str">
        <f t="shared" si="0"/>
        <v>UCPWR_FLAB-S</v>
      </c>
      <c r="D23" s="1" t="str">
        <f t="shared" si="1"/>
        <v>User Constraint Power - Factor-FLAB-S</v>
      </c>
      <c r="E23" t="s">
        <v>1</v>
      </c>
      <c r="F23" t="s">
        <v>0</v>
      </c>
      <c r="L23" t="str">
        <f>L20</f>
        <v>FLAB-S</v>
      </c>
      <c r="M23" t="s">
        <v>299</v>
      </c>
      <c r="N2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60E-97B8-4C75-8057-7DFEA3C17003}">
  <sheetPr codeName="Sheet5">
    <tabColor theme="4"/>
  </sheetPr>
  <dimension ref="A1:N29"/>
  <sheetViews>
    <sheetView workbookViewId="0">
      <selection activeCell="A9" sqref="A9:XFD69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305</v>
      </c>
      <c r="B1" t="s">
        <v>25</v>
      </c>
    </row>
    <row r="2" spans="1:14" x14ac:dyDescent="0.2">
      <c r="B2" t="s">
        <v>306</v>
      </c>
      <c r="C2" t="str">
        <f>'[1]ITEMS-Con'!C2</f>
        <v>UCCAP_BATR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>
        <v>1</v>
      </c>
      <c r="N2" s="2" t="str">
        <f ca="1">MID(CELL("filename",N1),FIND("]",CELL("filename",N1))+1,255)</f>
        <v>ConTID</v>
      </c>
    </row>
    <row r="3" spans="1:14" x14ac:dyDescent="0.2">
      <c r="B3" t="s">
        <v>306</v>
      </c>
      <c r="C3" t="str">
        <f>'[1]ITEMS-Con'!C3</f>
        <v>UCACT_FIRM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>
        <v>1</v>
      </c>
    </row>
    <row r="4" spans="1:14" x14ac:dyDescent="0.2">
      <c r="B4" t="s">
        <v>306</v>
      </c>
      <c r="C4" t="s">
        <v>17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>
        <v>1</v>
      </c>
    </row>
    <row r="5" spans="1:14" x14ac:dyDescent="0.2">
      <c r="B5" t="s">
        <v>306</v>
      </c>
      <c r="C5" t="s">
        <v>19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1</v>
      </c>
    </row>
    <row r="6" spans="1:14" x14ac:dyDescent="0.2">
      <c r="B6" t="s">
        <v>307</v>
      </c>
      <c r="C6" t="str">
        <f>'ITEMS-Con'!C12</f>
        <v>MIN_FLAB-N</v>
      </c>
      <c r="D6" t="s">
        <v>28</v>
      </c>
      <c r="E6" t="str">
        <f>'ITEMS-Con'!C15</f>
        <v>FLAB-N</v>
      </c>
      <c r="F6" t="s">
        <v>28</v>
      </c>
      <c r="G6" t="s">
        <v>28</v>
      </c>
      <c r="H6" t="s">
        <v>28</v>
      </c>
      <c r="I6">
        <v>1</v>
      </c>
    </row>
    <row r="7" spans="1:14" x14ac:dyDescent="0.2">
      <c r="B7" t="s">
        <v>307</v>
      </c>
      <c r="C7" t="str">
        <f>'ITEMS-Con'!C13</f>
        <v>MIN_FLAB-P</v>
      </c>
      <c r="D7" t="s">
        <v>28</v>
      </c>
      <c r="E7" t="str">
        <f>'ITEMS-Con'!C16</f>
        <v>FLAB-P</v>
      </c>
      <c r="F7" t="s">
        <v>28</v>
      </c>
      <c r="G7" t="s">
        <v>28</v>
      </c>
      <c r="H7" t="s">
        <v>28</v>
      </c>
      <c r="I7">
        <v>1</v>
      </c>
    </row>
    <row r="8" spans="1:14" x14ac:dyDescent="0.2">
      <c r="B8" t="s">
        <v>307</v>
      </c>
      <c r="C8" t="str">
        <f>'ITEMS-Con'!C14</f>
        <v>MIN_FLAB-S</v>
      </c>
      <c r="D8" t="s">
        <v>28</v>
      </c>
      <c r="E8" t="str">
        <f>'ITEMS-Con'!C17</f>
        <v>FLAB-S</v>
      </c>
      <c r="F8" t="s">
        <v>28</v>
      </c>
      <c r="G8" t="s">
        <v>28</v>
      </c>
      <c r="H8" t="s">
        <v>28</v>
      </c>
      <c r="I8">
        <v>1</v>
      </c>
    </row>
    <row r="9" spans="1:14" x14ac:dyDescent="0.2">
      <c r="B9" t="s">
        <v>307</v>
      </c>
      <c r="C9" t="str">
        <f>'ITEMS-Con'!C9</f>
        <v>EP_FLAB-N</v>
      </c>
      <c r="D9" t="s">
        <v>28</v>
      </c>
      <c r="E9" t="str">
        <f>'ITEMS-Con'!C18</f>
        <v>PWR_FLAB-N</v>
      </c>
      <c r="F9" t="s">
        <v>28</v>
      </c>
      <c r="G9" t="s">
        <v>28</v>
      </c>
      <c r="H9" t="s">
        <v>28</v>
      </c>
      <c r="I9">
        <v>1</v>
      </c>
    </row>
    <row r="10" spans="1:14" x14ac:dyDescent="0.2">
      <c r="B10" t="s">
        <v>307</v>
      </c>
      <c r="C10" t="str">
        <f>'ITEMS-Con'!C10</f>
        <v>EP_FLAB-P</v>
      </c>
      <c r="D10" t="s">
        <v>28</v>
      </c>
      <c r="E10" t="str">
        <f>'ITEMS-Con'!C19</f>
        <v>PWR_FLAB-P</v>
      </c>
      <c r="F10" t="s">
        <v>28</v>
      </c>
      <c r="G10" t="s">
        <v>28</v>
      </c>
      <c r="H10" t="s">
        <v>28</v>
      </c>
      <c r="I10">
        <v>1</v>
      </c>
    </row>
    <row r="11" spans="1:14" x14ac:dyDescent="0.2">
      <c r="B11" t="s">
        <v>307</v>
      </c>
      <c r="C11" t="str">
        <f>'ITEMS-Con'!C11</f>
        <v>EP_FLAB-S</v>
      </c>
      <c r="D11" t="s">
        <v>28</v>
      </c>
      <c r="E11" t="str">
        <f>'ITEMS-Con'!C20</f>
        <v>PWR_FLAB-S</v>
      </c>
      <c r="F11" t="s">
        <v>28</v>
      </c>
      <c r="G11" t="s">
        <v>28</v>
      </c>
      <c r="H11" t="s">
        <v>28</v>
      </c>
      <c r="I11">
        <v>1</v>
      </c>
    </row>
    <row r="12" spans="1:14" x14ac:dyDescent="0.2">
      <c r="B12" t="s">
        <v>308</v>
      </c>
      <c r="C12" t="str">
        <f>C6</f>
        <v>MIN_FLAB-N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>
        <v>1</v>
      </c>
    </row>
    <row r="13" spans="1:14" x14ac:dyDescent="0.2">
      <c r="B13" t="s">
        <v>308</v>
      </c>
      <c r="C13" t="str">
        <f>C7</f>
        <v>MIN_FLAB-P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>
        <v>1</v>
      </c>
    </row>
    <row r="14" spans="1:14" x14ac:dyDescent="0.2">
      <c r="B14" t="s">
        <v>308</v>
      </c>
      <c r="C14" t="str">
        <f>C8</f>
        <v>MIN_FLAB-S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>
        <v>1</v>
      </c>
    </row>
    <row r="15" spans="1:14" x14ac:dyDescent="0.2">
      <c r="B15" t="s">
        <v>308</v>
      </c>
      <c r="C15" t="str">
        <f>C9</f>
        <v>EP_FLAB-N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>
        <v>1</v>
      </c>
    </row>
    <row r="16" spans="1:14" x14ac:dyDescent="0.2">
      <c r="B16" t="s">
        <v>308</v>
      </c>
      <c r="C16" t="str">
        <f>C10</f>
        <v>EP_FLAB-P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>
        <v>1</v>
      </c>
    </row>
    <row r="17" spans="2:9" x14ac:dyDescent="0.2">
      <c r="B17" t="s">
        <v>308</v>
      </c>
      <c r="C17" t="str">
        <f>C11</f>
        <v>EP_FLAB-S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>
        <v>1</v>
      </c>
    </row>
    <row r="18" spans="2:9" x14ac:dyDescent="0.2">
      <c r="B18" t="s">
        <v>309</v>
      </c>
      <c r="C18" t="str">
        <f>C12</f>
        <v>MIN_FLAB-N</v>
      </c>
      <c r="D18" t="str">
        <f>E6</f>
        <v>FLAB-N</v>
      </c>
      <c r="E18" t="s">
        <v>28</v>
      </c>
      <c r="F18" t="s">
        <v>28</v>
      </c>
      <c r="G18" t="s">
        <v>28</v>
      </c>
      <c r="H18" t="s">
        <v>28</v>
      </c>
      <c r="I18">
        <v>1</v>
      </c>
    </row>
    <row r="19" spans="2:9" x14ac:dyDescent="0.2">
      <c r="B19" t="s">
        <v>309</v>
      </c>
      <c r="C19" t="str">
        <f>C13</f>
        <v>MIN_FLAB-P</v>
      </c>
      <c r="D19" t="str">
        <f>E7</f>
        <v>FLAB-P</v>
      </c>
      <c r="E19" t="s">
        <v>28</v>
      </c>
      <c r="F19" t="s">
        <v>28</v>
      </c>
      <c r="G19" t="s">
        <v>28</v>
      </c>
      <c r="H19" t="s">
        <v>28</v>
      </c>
      <c r="I19">
        <v>1</v>
      </c>
    </row>
    <row r="20" spans="2:9" x14ac:dyDescent="0.2">
      <c r="B20" t="s">
        <v>309</v>
      </c>
      <c r="C20" t="str">
        <f>C14</f>
        <v>MIN_FLAB-S</v>
      </c>
      <c r="D20" t="str">
        <f>E8</f>
        <v>FLAB-S</v>
      </c>
      <c r="E20" t="s">
        <v>28</v>
      </c>
      <c r="F20" t="s">
        <v>28</v>
      </c>
      <c r="G20" t="s">
        <v>28</v>
      </c>
      <c r="H20" t="s">
        <v>28</v>
      </c>
      <c r="I20">
        <v>1</v>
      </c>
    </row>
    <row r="21" spans="2:9" x14ac:dyDescent="0.2">
      <c r="B21" t="s">
        <v>309</v>
      </c>
      <c r="C21" t="str">
        <f>C9</f>
        <v>EP_FLAB-N</v>
      </c>
      <c r="D21" t="str">
        <f>E9</f>
        <v>PWR_FLAB-N</v>
      </c>
      <c r="E21" t="s">
        <v>28</v>
      </c>
      <c r="F21" t="s">
        <v>28</v>
      </c>
      <c r="G21" t="s">
        <v>28</v>
      </c>
      <c r="H21" t="s">
        <v>28</v>
      </c>
      <c r="I21">
        <v>1</v>
      </c>
    </row>
    <row r="22" spans="2:9" x14ac:dyDescent="0.2">
      <c r="B22" t="s">
        <v>309</v>
      </c>
      <c r="C22" t="str">
        <f>C10</f>
        <v>EP_FLAB-P</v>
      </c>
      <c r="D22" t="str">
        <f>E10</f>
        <v>PWR_FLAB-P</v>
      </c>
      <c r="E22" t="s">
        <v>28</v>
      </c>
      <c r="F22" t="s">
        <v>28</v>
      </c>
      <c r="G22" t="s">
        <v>28</v>
      </c>
      <c r="H22" t="s">
        <v>28</v>
      </c>
      <c r="I22">
        <v>1</v>
      </c>
    </row>
    <row r="23" spans="2:9" x14ac:dyDescent="0.2">
      <c r="B23" t="s">
        <v>309</v>
      </c>
      <c r="C23" t="str">
        <f>C11</f>
        <v>EP_FLAB-S</v>
      </c>
      <c r="D23" t="str">
        <f>E11</f>
        <v>PWR_FLAB-S</v>
      </c>
      <c r="E23" t="s">
        <v>28</v>
      </c>
      <c r="F23" t="s">
        <v>28</v>
      </c>
      <c r="G23" t="s">
        <v>28</v>
      </c>
      <c r="H23" t="s">
        <v>28</v>
      </c>
      <c r="I23">
        <v>1</v>
      </c>
    </row>
    <row r="24" spans="2:9" x14ac:dyDescent="0.2">
      <c r="B24" t="s">
        <v>310</v>
      </c>
      <c r="C24" t="str">
        <f>C21</f>
        <v>EP_FLAB-N</v>
      </c>
      <c r="D24" t="str">
        <f>D18</f>
        <v>FLAB-N</v>
      </c>
      <c r="E24" t="s">
        <v>28</v>
      </c>
      <c r="F24" t="s">
        <v>28</v>
      </c>
      <c r="G24" t="s">
        <v>28</v>
      </c>
      <c r="H24" t="s">
        <v>28</v>
      </c>
      <c r="I24">
        <v>1</v>
      </c>
    </row>
    <row r="25" spans="2:9" x14ac:dyDescent="0.2">
      <c r="B25" t="s">
        <v>310</v>
      </c>
      <c r="C25" t="str">
        <f>C22</f>
        <v>EP_FLAB-P</v>
      </c>
      <c r="D25" t="str">
        <f>D19</f>
        <v>FLAB-P</v>
      </c>
      <c r="E25" t="s">
        <v>28</v>
      </c>
      <c r="F25" t="s">
        <v>28</v>
      </c>
      <c r="G25" t="s">
        <v>28</v>
      </c>
      <c r="H25" t="s">
        <v>28</v>
      </c>
      <c r="I25">
        <v>1</v>
      </c>
    </row>
    <row r="26" spans="2:9" x14ac:dyDescent="0.2">
      <c r="B26" t="s">
        <v>310</v>
      </c>
      <c r="C26" t="str">
        <f>C23</f>
        <v>EP_FLAB-S</v>
      </c>
      <c r="D26" t="str">
        <f>D20</f>
        <v>FLAB-S</v>
      </c>
      <c r="E26" t="s">
        <v>28</v>
      </c>
      <c r="F26" t="s">
        <v>28</v>
      </c>
      <c r="G26" t="s">
        <v>28</v>
      </c>
      <c r="H26" t="s">
        <v>28</v>
      </c>
      <c r="I26">
        <v>1</v>
      </c>
    </row>
    <row r="27" spans="2:9" x14ac:dyDescent="0.2">
      <c r="B27" t="s">
        <v>306</v>
      </c>
      <c r="C27" t="str">
        <f>'ITEMS-Con'!C21</f>
        <v>UCPWR_FLAB-N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>
        <v>1</v>
      </c>
    </row>
    <row r="28" spans="2:9" x14ac:dyDescent="0.2">
      <c r="B28" t="s">
        <v>306</v>
      </c>
      <c r="C28" t="str">
        <f>'ITEMS-Con'!C22</f>
        <v>UCPWR_FLAB-P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>
        <v>1</v>
      </c>
    </row>
    <row r="29" spans="2:9" x14ac:dyDescent="0.2">
      <c r="B29" t="s">
        <v>306</v>
      </c>
      <c r="C29" t="str">
        <f>'ITEMS-Con'!C23</f>
        <v>UCPWR_FLAB-S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>
        <v>1</v>
      </c>
    </row>
  </sheetData>
  <autoFilter ref="A1:I29" xr:uid="{F41B760E-97B8-4C75-8057-7DFEA3C170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09E-9AA5-4FC9-868B-07DD8EDA52E9}">
  <sheetPr codeName="Sheet2">
    <tabColor theme="5"/>
  </sheetPr>
  <dimension ref="A1:AY235"/>
  <sheetViews>
    <sheetView topLeftCell="Y1" workbookViewId="0">
      <selection activeCell="AX6" sqref="AX6"/>
    </sheetView>
  </sheetViews>
  <sheetFormatPr defaultRowHeight="15" x14ac:dyDescent="0.25"/>
  <cols>
    <col min="1" max="1" width="8.28515625" style="3" bestFit="1" customWidth="1"/>
    <col min="2" max="2" width="12.28515625" style="3" bestFit="1" customWidth="1"/>
    <col min="3" max="3" width="16.42578125" style="3" bestFit="1" customWidth="1"/>
    <col min="4" max="4" width="8.140625" style="3" bestFit="1" customWidth="1"/>
    <col min="5" max="5" width="12.140625" style="3" bestFit="1" customWidth="1"/>
    <col min="6" max="6" width="1.7109375" style="3" bestFit="1" customWidth="1"/>
    <col min="7" max="7" width="8.5703125" style="3" bestFit="1" customWidth="1"/>
    <col min="8" max="8" width="3.42578125" style="3" bestFit="1" customWidth="1"/>
    <col min="9" max="9" width="2" style="3" bestFit="1" customWidth="1"/>
    <col min="10" max="10" width="12" style="3" bestFit="1" customWidth="1"/>
    <col min="11" max="11" width="10" style="3" bestFit="1" customWidth="1"/>
    <col min="12" max="22" width="8" style="3" bestFit="1" customWidth="1"/>
    <col min="23" max="23" width="7" style="3" bestFit="1" customWidth="1"/>
    <col min="24" max="33" width="8" style="3" bestFit="1" customWidth="1"/>
    <col min="34" max="34" width="7" style="3" bestFit="1" customWidth="1"/>
    <col min="35" max="40" width="8" style="3" bestFit="1" customWidth="1"/>
    <col min="41" max="41" width="7" style="3" bestFit="1" customWidth="1"/>
    <col min="42" max="42" width="4.42578125" style="3" bestFit="1" customWidth="1"/>
    <col min="43" max="16384" width="9.140625" style="3"/>
  </cols>
  <sheetData>
    <row r="1" spans="1:51" x14ac:dyDescent="0.25">
      <c r="A1" s="3" t="s">
        <v>39</v>
      </c>
      <c r="B1" s="3" t="s">
        <v>25</v>
      </c>
    </row>
    <row r="2" spans="1:51" x14ac:dyDescent="0.25">
      <c r="B2" s="3" t="s">
        <v>38</v>
      </c>
      <c r="C2" s="3" t="str">
        <f>'ITEMS-Con'!C9</f>
        <v>EP_FLAB-N</v>
      </c>
      <c r="D2" s="3" t="s">
        <v>28</v>
      </c>
      <c r="E2" s="3" t="s">
        <v>37</v>
      </c>
      <c r="F2" s="3" t="s">
        <v>28</v>
      </c>
      <c r="G2" s="3" t="s">
        <v>31</v>
      </c>
      <c r="H2" s="3" t="s">
        <v>28</v>
      </c>
      <c r="I2" s="3">
        <v>0</v>
      </c>
      <c r="J2" s="3">
        <v>1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</row>
    <row r="3" spans="1:51" x14ac:dyDescent="0.25">
      <c r="B3" s="3" t="s">
        <v>38</v>
      </c>
      <c r="C3" s="3" t="str">
        <f>'ITEMS-Con'!C10</f>
        <v>EP_FLAB-P</v>
      </c>
      <c r="D3" s="3" t="s">
        <v>28</v>
      </c>
      <c r="E3" s="3" t="s">
        <v>37</v>
      </c>
      <c r="F3" s="3" t="s">
        <v>28</v>
      </c>
      <c r="G3" s="3" t="s">
        <v>31</v>
      </c>
      <c r="H3" s="3" t="s">
        <v>28</v>
      </c>
      <c r="I3" s="3">
        <v>0</v>
      </c>
      <c r="J3" s="3">
        <v>1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</row>
    <row r="4" spans="1:51" x14ac:dyDescent="0.25">
      <c r="B4" s="3" t="s">
        <v>38</v>
      </c>
      <c r="C4" s="3" t="str">
        <f>'ITEMS-Con'!C11</f>
        <v>EP_FLAB-S</v>
      </c>
      <c r="D4" s="3" t="s">
        <v>28</v>
      </c>
      <c r="E4" s="3" t="s">
        <v>37</v>
      </c>
      <c r="F4" s="3" t="s">
        <v>28</v>
      </c>
      <c r="G4" s="3" t="s">
        <v>31</v>
      </c>
      <c r="H4" s="3" t="s">
        <v>28</v>
      </c>
      <c r="I4" s="3">
        <v>0</v>
      </c>
      <c r="J4" s="3">
        <v>1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</row>
    <row r="5" spans="1:51" x14ac:dyDescent="0.25">
      <c r="B5" s="3" t="s">
        <v>34</v>
      </c>
      <c r="C5" s="3" t="str">
        <f>'ITEMS-Con'!C21</f>
        <v>UCPWR_FLAB-N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33</v>
      </c>
      <c r="I5" s="3">
        <v>3</v>
      </c>
      <c r="J5" s="3">
        <v>0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</row>
    <row r="6" spans="1:51" x14ac:dyDescent="0.25">
      <c r="B6" s="3" t="s">
        <v>34</v>
      </c>
      <c r="C6" s="3" t="str">
        <f>'ITEMS-Con'!C22</f>
        <v>UCPWR_FLAB-P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33</v>
      </c>
      <c r="I6" s="3">
        <v>3</v>
      </c>
      <c r="J6" s="3">
        <v>0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  <c r="AX6" s="3">
        <f>COUNTIF(PWR_Lab!I2:I126,"&gt;0")</f>
        <v>62</v>
      </c>
      <c r="AY6" s="3">
        <v>3</v>
      </c>
    </row>
    <row r="7" spans="1:51" x14ac:dyDescent="0.25">
      <c r="B7" s="3" t="s">
        <v>34</v>
      </c>
      <c r="C7" s="3" t="str">
        <f>'ITEMS-Con'!C23</f>
        <v>UCPWR_FLAB-S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33</v>
      </c>
      <c r="I7" s="3">
        <v>3</v>
      </c>
      <c r="J7" s="3">
        <v>0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  <c r="AX7" s="3" t="s">
        <v>36</v>
      </c>
      <c r="AY7" s="3" t="s">
        <v>35</v>
      </c>
    </row>
    <row r="8" spans="1:51" x14ac:dyDescent="0.25">
      <c r="B8" s="3" t="s">
        <v>32</v>
      </c>
      <c r="C8" s="3" t="str">
        <f>C5</f>
        <v>UCPWR_FLAB-N</v>
      </c>
      <c r="D8" s="3" t="s">
        <v>29</v>
      </c>
      <c r="E8" s="3" t="str">
        <f>C2</f>
        <v>EP_FLAB-N</v>
      </c>
      <c r="F8" s="3" t="s">
        <v>28</v>
      </c>
      <c r="G8" s="3" t="s">
        <v>31</v>
      </c>
      <c r="H8" s="3" t="s">
        <v>28</v>
      </c>
      <c r="I8" s="3">
        <v>3</v>
      </c>
      <c r="J8" s="3">
        <v>1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</row>
    <row r="9" spans="1:51" x14ac:dyDescent="0.25">
      <c r="B9" s="3" t="s">
        <v>32</v>
      </c>
      <c r="C9" s="3" t="str">
        <f>C6</f>
        <v>UCPWR_FLAB-P</v>
      </c>
      <c r="D9" s="3" t="s">
        <v>29</v>
      </c>
      <c r="E9" s="3" t="str">
        <f>C3</f>
        <v>EP_FLAB-P</v>
      </c>
      <c r="F9" s="3" t="s">
        <v>28</v>
      </c>
      <c r="G9" s="3" t="s">
        <v>31</v>
      </c>
      <c r="H9" s="3" t="s">
        <v>28</v>
      </c>
      <c r="I9" s="3">
        <v>3</v>
      </c>
      <c r="J9" s="3">
        <v>1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</row>
    <row r="10" spans="1:51" x14ac:dyDescent="0.25">
      <c r="B10" s="3" t="s">
        <v>32</v>
      </c>
      <c r="C10" s="3" t="str">
        <f>C7</f>
        <v>UCPWR_FLAB-S</v>
      </c>
      <c r="D10" s="3" t="s">
        <v>29</v>
      </c>
      <c r="E10" s="3" t="str">
        <f>C4</f>
        <v>EP_FLAB-S</v>
      </c>
      <c r="F10" s="3" t="s">
        <v>28</v>
      </c>
      <c r="G10" s="3" t="s">
        <v>31</v>
      </c>
      <c r="H10" s="3" t="s">
        <v>28</v>
      </c>
      <c r="I10" s="3">
        <v>3</v>
      </c>
      <c r="J10" s="3">
        <v>1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</row>
    <row r="11" spans="1:51" x14ac:dyDescent="0.25">
      <c r="B11" s="3" t="s">
        <v>30</v>
      </c>
      <c r="C11" s="3" t="str">
        <f>C8</f>
        <v>UCPWR_FLAB-N</v>
      </c>
      <c r="D11" s="3" t="s">
        <v>29</v>
      </c>
      <c r="E11" s="3" t="str" cm="1">
        <f t="array" ref="E11">INDEX(PWR_Lab!$A$2:$A$126,AX11)</f>
        <v>KEBMST00</v>
      </c>
      <c r="F11" s="3" t="s">
        <v>28</v>
      </c>
      <c r="G11" s="3" t="s">
        <v>28</v>
      </c>
      <c r="H11" s="3" t="s">
        <v>28</v>
      </c>
      <c r="I11" s="3">
        <v>3</v>
      </c>
      <c r="J11" s="3" cm="1">
        <f t="array" ref="J11">-INDEX(PWR_Lab!$F$2:$H$126,AX11,AY11)</f>
        <v>-0.36715999999999999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X11" s="3">
        <v>1</v>
      </c>
      <c r="AY11" s="3">
        <v>1</v>
      </c>
    </row>
    <row r="12" spans="1:51" x14ac:dyDescent="0.25">
      <c r="B12" s="3" t="s">
        <v>30</v>
      </c>
      <c r="C12" s="3" t="str">
        <f>C9</f>
        <v>UCPWR_FLAB-P</v>
      </c>
      <c r="D12" s="3" t="s">
        <v>29</v>
      </c>
      <c r="E12" s="3" t="str" cm="1">
        <f t="array" ref="E12">INDEX(PWR_Lab!$A$2:$A$126,AX12)</f>
        <v>KEBMST00</v>
      </c>
      <c r="F12" s="3" t="s">
        <v>28</v>
      </c>
      <c r="G12" s="3" t="s">
        <v>28</v>
      </c>
      <c r="H12" s="3" t="s">
        <v>28</v>
      </c>
      <c r="I12" s="3">
        <v>3</v>
      </c>
      <c r="J12" s="3" cm="1">
        <f t="array" ref="J12">-INDEX(PWR_Lab!$F$2:$H$126,AX12,AY12)</f>
        <v>-0.37652999999999998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X12" s="3">
        <f>IF(AY11=$AY$6,AX11+1,AX11)</f>
        <v>1</v>
      </c>
      <c r="AY12" s="3">
        <f>IF(AY11=$AY$6,1,AY11+1)</f>
        <v>2</v>
      </c>
    </row>
    <row r="13" spans="1:51" x14ac:dyDescent="0.25">
      <c r="B13" s="3" t="s">
        <v>30</v>
      </c>
      <c r="C13" s="3" t="str">
        <f>C10</f>
        <v>UCPWR_FLAB-S</v>
      </c>
      <c r="D13" s="3" t="s">
        <v>29</v>
      </c>
      <c r="E13" s="3" t="str" cm="1">
        <f t="array" ref="E13">INDEX(PWR_Lab!$A$2:$A$126,AX13)</f>
        <v>KEBMST00</v>
      </c>
      <c r="F13" s="3" t="s">
        <v>28</v>
      </c>
      <c r="G13" s="3" t="s">
        <v>28</v>
      </c>
      <c r="H13" s="3" t="s">
        <v>28</v>
      </c>
      <c r="I13" s="3">
        <v>3</v>
      </c>
      <c r="J13" s="3" cm="1">
        <f t="array" ref="J13">-INDEX(PWR_Lab!$F$2:$H$126,AX13,AY13)</f>
        <v>-0.36501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  <c r="AX13" s="3">
        <f>IF(AY12=$AY$6,AX12+1,AX12)</f>
        <v>1</v>
      </c>
      <c r="AY13" s="3">
        <f>IF(AY12=$AY$6,1,AY12+1)</f>
        <v>3</v>
      </c>
    </row>
    <row r="14" spans="1:51" x14ac:dyDescent="0.25">
      <c r="B14" s="3" t="s">
        <v>30</v>
      </c>
      <c r="C14" s="3" t="str">
        <f>C11</f>
        <v>UCPWR_FLAB-N</v>
      </c>
      <c r="D14" s="3" t="s">
        <v>29</v>
      </c>
      <c r="E14" s="3" t="str" cm="1">
        <f t="array" ref="E14">INDEX(PWR_Lab!$A$2:$A$126,AX14)</f>
        <v>KEBMST01</v>
      </c>
      <c r="F14" s="3" t="s">
        <v>28</v>
      </c>
      <c r="G14" s="3" t="s">
        <v>28</v>
      </c>
      <c r="H14" s="3" t="s">
        <v>28</v>
      </c>
      <c r="I14" s="3">
        <v>3</v>
      </c>
      <c r="J14" s="3" cm="1">
        <f t="array" ref="J14">-INDEX(PWR_Lab!$F$2:$H$126,AX14,AY14)</f>
        <v>-0.36715999999999999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  <c r="AX14" s="3">
        <f t="shared" ref="AX14:AX77" si="0">IF(AY13=$AY$6,AX13+1,AX13)</f>
        <v>2</v>
      </c>
      <c r="AY14" s="3">
        <f t="shared" ref="AY14:AY77" si="1">IF(AY13=$AY$6,1,AY13+1)</f>
        <v>1</v>
      </c>
    </row>
    <row r="15" spans="1:51" x14ac:dyDescent="0.25">
      <c r="B15" s="3" t="s">
        <v>30</v>
      </c>
      <c r="C15" s="3" t="str">
        <f>C12</f>
        <v>UCPWR_FLAB-P</v>
      </c>
      <c r="D15" s="3" t="s">
        <v>29</v>
      </c>
      <c r="E15" s="3" t="str" cm="1">
        <f t="array" ref="E15">INDEX(PWR_Lab!$A$2:$A$126,AX15)</f>
        <v>KEBMST01</v>
      </c>
      <c r="F15" s="3" t="s">
        <v>28</v>
      </c>
      <c r="G15" s="3" t="s">
        <v>28</v>
      </c>
      <c r="H15" s="3" t="s">
        <v>28</v>
      </c>
      <c r="I15" s="3">
        <v>3</v>
      </c>
      <c r="J15" s="3" cm="1">
        <f t="array" ref="J15">-INDEX(PWR_Lab!$F$2:$H$126,AX15,AY15)</f>
        <v>-0.37652999999999998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X15" s="3">
        <f t="shared" si="0"/>
        <v>2</v>
      </c>
      <c r="AY15" s="3">
        <f t="shared" si="1"/>
        <v>2</v>
      </c>
    </row>
    <row r="16" spans="1:51" x14ac:dyDescent="0.25">
      <c r="B16" s="3" t="s">
        <v>30</v>
      </c>
      <c r="C16" s="3" t="str">
        <f>C13</f>
        <v>UCPWR_FLAB-S</v>
      </c>
      <c r="D16" s="3" t="s">
        <v>29</v>
      </c>
      <c r="E16" s="3" t="str" cm="1">
        <f t="array" ref="E16">INDEX(PWR_Lab!$A$2:$A$126,AX16)</f>
        <v>KEBMST01</v>
      </c>
      <c r="F16" s="3" t="s">
        <v>28</v>
      </c>
      <c r="G16" s="3" t="s">
        <v>28</v>
      </c>
      <c r="H16" s="3" t="s">
        <v>28</v>
      </c>
      <c r="I16" s="3">
        <v>3</v>
      </c>
      <c r="J16" s="3" cm="1">
        <f t="array" ref="J16">-INDEX(PWR_Lab!$F$2:$H$126,AX16,AY16)</f>
        <v>-0.36501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X16" s="3">
        <f t="shared" si="0"/>
        <v>2</v>
      </c>
      <c r="AY16" s="3">
        <f t="shared" si="1"/>
        <v>3</v>
      </c>
    </row>
    <row r="17" spans="2:51" x14ac:dyDescent="0.25">
      <c r="B17" s="3" t="s">
        <v>30</v>
      </c>
      <c r="C17" s="3" t="str">
        <f>C14</f>
        <v>UCPWR_FLAB-N</v>
      </c>
      <c r="D17" s="3" t="s">
        <v>29</v>
      </c>
      <c r="E17" s="3" t="str" cm="1">
        <f t="array" ref="E17">INDEX(PWR_Lab!$A$2:$A$126,AX17)</f>
        <v>KEBMST10</v>
      </c>
      <c r="F17" s="3" t="s">
        <v>28</v>
      </c>
      <c r="G17" s="3" t="s">
        <v>28</v>
      </c>
      <c r="H17" s="3" t="s">
        <v>28</v>
      </c>
      <c r="I17" s="3">
        <v>3</v>
      </c>
      <c r="J17" s="3" cm="1">
        <f t="array" ref="J17">-INDEX(PWR_Lab!$F$2:$H$126,AX17,AY17)</f>
        <v>-0.36715999999999999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  <c r="AX17" s="3">
        <f t="shared" si="0"/>
        <v>3</v>
      </c>
      <c r="AY17" s="3">
        <f t="shared" si="1"/>
        <v>1</v>
      </c>
    </row>
    <row r="18" spans="2:51" x14ac:dyDescent="0.25">
      <c r="B18" s="3" t="s">
        <v>30</v>
      </c>
      <c r="C18" s="3" t="str">
        <f>C15</f>
        <v>UCPWR_FLAB-P</v>
      </c>
      <c r="D18" s="3" t="s">
        <v>29</v>
      </c>
      <c r="E18" s="3" t="str" cm="1">
        <f t="array" ref="E18">INDEX(PWR_Lab!$A$2:$A$126,AX18)</f>
        <v>KEBMST10</v>
      </c>
      <c r="F18" s="3" t="s">
        <v>28</v>
      </c>
      <c r="G18" s="3" t="s">
        <v>28</v>
      </c>
      <c r="H18" s="3" t="s">
        <v>28</v>
      </c>
      <c r="I18" s="3">
        <v>3</v>
      </c>
      <c r="J18" s="3" cm="1">
        <f t="array" ref="J18">-INDEX(PWR_Lab!$F$2:$H$126,AX18,AY18)</f>
        <v>-0.37652999999999998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X18" s="3">
        <f t="shared" si="0"/>
        <v>3</v>
      </c>
      <c r="AY18" s="3">
        <f t="shared" si="1"/>
        <v>2</v>
      </c>
    </row>
    <row r="19" spans="2:51" x14ac:dyDescent="0.25">
      <c r="B19" s="3" t="s">
        <v>30</v>
      </c>
      <c r="C19" s="3" t="str">
        <f>C16</f>
        <v>UCPWR_FLAB-S</v>
      </c>
      <c r="D19" s="3" t="s">
        <v>29</v>
      </c>
      <c r="E19" s="3" t="str" cm="1">
        <f t="array" ref="E19">INDEX(PWR_Lab!$A$2:$A$126,AX19)</f>
        <v>KEBMST10</v>
      </c>
      <c r="F19" s="3" t="s">
        <v>28</v>
      </c>
      <c r="G19" s="3" t="s">
        <v>28</v>
      </c>
      <c r="H19" s="3" t="s">
        <v>28</v>
      </c>
      <c r="I19" s="3">
        <v>3</v>
      </c>
      <c r="J19" s="3" cm="1">
        <f t="array" ref="J19">-INDEX(PWR_Lab!$F$2:$H$126,AX19,AY19)</f>
        <v>-0.36501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  <c r="AX19" s="3">
        <f t="shared" si="0"/>
        <v>3</v>
      </c>
      <c r="AY19" s="3">
        <f t="shared" si="1"/>
        <v>3</v>
      </c>
    </row>
    <row r="20" spans="2:51" x14ac:dyDescent="0.25">
      <c r="B20" s="3" t="s">
        <v>30</v>
      </c>
      <c r="C20" s="3" t="str">
        <f>C17</f>
        <v>UCPWR_FLAB-N</v>
      </c>
      <c r="D20" s="3" t="s">
        <v>29</v>
      </c>
      <c r="E20" s="3" t="str" cm="1">
        <f t="array" ref="E20">INDEX(PWR_Lab!$A$2:$A$126,AX20)</f>
        <v>KEBWST00</v>
      </c>
      <c r="F20" s="3" t="s">
        <v>28</v>
      </c>
      <c r="G20" s="3" t="s">
        <v>28</v>
      </c>
      <c r="H20" s="3" t="s">
        <v>28</v>
      </c>
      <c r="I20" s="3">
        <v>3</v>
      </c>
      <c r="J20" s="3" cm="1">
        <f t="array" ref="J20">-INDEX(PWR_Lab!$F$2:$H$126,AX20,AY20)</f>
        <v>-0.36715999999999999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  <c r="AX20" s="3">
        <f t="shared" si="0"/>
        <v>4</v>
      </c>
      <c r="AY20" s="3">
        <f t="shared" si="1"/>
        <v>1</v>
      </c>
    </row>
    <row r="21" spans="2:51" x14ac:dyDescent="0.25">
      <c r="B21" s="3" t="s">
        <v>30</v>
      </c>
      <c r="C21" s="3" t="str">
        <f>C18</f>
        <v>UCPWR_FLAB-P</v>
      </c>
      <c r="D21" s="3" t="s">
        <v>29</v>
      </c>
      <c r="E21" s="3" t="str" cm="1">
        <f t="array" ref="E21">INDEX(PWR_Lab!$A$2:$A$126,AX21)</f>
        <v>KEBWST00</v>
      </c>
      <c r="F21" s="3" t="s">
        <v>28</v>
      </c>
      <c r="G21" s="3" t="s">
        <v>28</v>
      </c>
      <c r="H21" s="3" t="s">
        <v>28</v>
      </c>
      <c r="I21" s="3">
        <v>3</v>
      </c>
      <c r="J21" s="3" cm="1">
        <f t="array" ref="J21">-INDEX(PWR_Lab!$F$2:$H$126,AX21,AY21)</f>
        <v>-0.37652999999999998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  <c r="AX21" s="3">
        <f t="shared" si="0"/>
        <v>4</v>
      </c>
      <c r="AY21" s="3">
        <f t="shared" si="1"/>
        <v>2</v>
      </c>
    </row>
    <row r="22" spans="2:51" x14ac:dyDescent="0.25">
      <c r="B22" s="3" t="s">
        <v>30</v>
      </c>
      <c r="C22" s="3" t="str">
        <f>C19</f>
        <v>UCPWR_FLAB-S</v>
      </c>
      <c r="D22" s="3" t="s">
        <v>29</v>
      </c>
      <c r="E22" s="3" t="str" cm="1">
        <f t="array" ref="E22">INDEX(PWR_Lab!$A$2:$A$126,AX22)</f>
        <v>KEBWST00</v>
      </c>
      <c r="F22" s="3" t="s">
        <v>28</v>
      </c>
      <c r="G22" s="3" t="s">
        <v>28</v>
      </c>
      <c r="H22" s="3" t="s">
        <v>28</v>
      </c>
      <c r="I22" s="3">
        <v>3</v>
      </c>
      <c r="J22" s="3" cm="1">
        <f t="array" ref="J22">-INDEX(PWR_Lab!$F$2:$H$126,AX22,AY22)</f>
        <v>-0.36501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  <c r="AX22" s="3">
        <f t="shared" si="0"/>
        <v>4</v>
      </c>
      <c r="AY22" s="3">
        <f t="shared" si="1"/>
        <v>3</v>
      </c>
    </row>
    <row r="23" spans="2:51" x14ac:dyDescent="0.25">
      <c r="B23" s="3" t="s">
        <v>30</v>
      </c>
      <c r="C23" s="3" t="str">
        <f>C20</f>
        <v>UCPWR_FLAB-N</v>
      </c>
      <c r="D23" s="3" t="s">
        <v>29</v>
      </c>
      <c r="E23" s="3" t="str" cm="1">
        <f t="array" ref="E23">INDEX(PWR_Lab!$A$2:$A$126,AX23)</f>
        <v>KEGOCV00</v>
      </c>
      <c r="F23" s="3" t="s">
        <v>28</v>
      </c>
      <c r="G23" s="3" t="s">
        <v>28</v>
      </c>
      <c r="H23" s="3" t="s">
        <v>28</v>
      </c>
      <c r="I23" s="3">
        <v>3</v>
      </c>
      <c r="J23" s="3" cm="1">
        <f t="array" ref="J23">-INDEX(PWR_Lab!$F$2:$H$126,AX23,AY23)</f>
        <v>-0.50729000000000002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  <c r="AX23" s="3">
        <f t="shared" si="0"/>
        <v>5</v>
      </c>
      <c r="AY23" s="3">
        <f t="shared" si="1"/>
        <v>1</v>
      </c>
    </row>
    <row r="24" spans="2:51" x14ac:dyDescent="0.25">
      <c r="B24" s="3" t="s">
        <v>30</v>
      </c>
      <c r="C24" s="3" t="str">
        <f>C21</f>
        <v>UCPWR_FLAB-P</v>
      </c>
      <c r="D24" s="3" t="s">
        <v>29</v>
      </c>
      <c r="E24" s="3" t="str" cm="1">
        <f t="array" ref="E24">INDEX(PWR_Lab!$A$2:$A$126,AX24)</f>
        <v>KEGOCV00</v>
      </c>
      <c r="F24" s="3" t="s">
        <v>28</v>
      </c>
      <c r="G24" s="3" t="s">
        <v>28</v>
      </c>
      <c r="H24" s="3" t="s">
        <v>28</v>
      </c>
      <c r="I24" s="3">
        <v>3</v>
      </c>
      <c r="J24" s="3" cm="1">
        <f t="array" ref="J24">-INDEX(PWR_Lab!$F$2:$H$126,AX24,AY24)</f>
        <v>-0.52022999999999997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  <c r="AX24" s="3">
        <f t="shared" si="0"/>
        <v>5</v>
      </c>
      <c r="AY24" s="3">
        <f t="shared" si="1"/>
        <v>2</v>
      </c>
    </row>
    <row r="25" spans="2:51" x14ac:dyDescent="0.25">
      <c r="B25" s="3" t="s">
        <v>30</v>
      </c>
      <c r="C25" s="3" t="str">
        <f>C22</f>
        <v>UCPWR_FLAB-S</v>
      </c>
      <c r="D25" s="3" t="s">
        <v>29</v>
      </c>
      <c r="E25" s="3" t="str" cm="1">
        <f t="array" ref="E25">INDEX(PWR_Lab!$A$2:$A$126,AX25)</f>
        <v>KEGOCV00</v>
      </c>
      <c r="F25" s="3" t="s">
        <v>28</v>
      </c>
      <c r="G25" s="3" t="s">
        <v>28</v>
      </c>
      <c r="H25" s="3" t="s">
        <v>28</v>
      </c>
      <c r="I25" s="3">
        <v>3</v>
      </c>
      <c r="J25" s="3" cm="1">
        <f t="array" ref="J25">-INDEX(PWR_Lab!$F$2:$H$126,AX25,AY25)</f>
        <v>-0.50431000000000004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  <c r="AX25" s="3">
        <f t="shared" si="0"/>
        <v>5</v>
      </c>
      <c r="AY25" s="3">
        <f t="shared" si="1"/>
        <v>3</v>
      </c>
    </row>
    <row r="26" spans="2:51" x14ac:dyDescent="0.25">
      <c r="B26" s="3" t="s">
        <v>30</v>
      </c>
      <c r="C26" s="3" t="str">
        <f>C23</f>
        <v>UCPWR_FLAB-N</v>
      </c>
      <c r="D26" s="3" t="s">
        <v>29</v>
      </c>
      <c r="E26" s="3" t="str" cm="1">
        <f t="array" ref="E26">INDEX(PWR_Lab!$A$2:$A$126,AX26)</f>
        <v>KEGOCV01</v>
      </c>
      <c r="F26" s="3" t="s">
        <v>28</v>
      </c>
      <c r="G26" s="3" t="s">
        <v>28</v>
      </c>
      <c r="H26" s="3" t="s">
        <v>28</v>
      </c>
      <c r="I26" s="3">
        <v>3</v>
      </c>
      <c r="J26" s="3" cm="1">
        <f t="array" ref="J26">-INDEX(PWR_Lab!$F$2:$H$126,AX26,AY26)</f>
        <v>-0.50729000000000002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X26" s="3">
        <f t="shared" si="0"/>
        <v>6</v>
      </c>
      <c r="AY26" s="3">
        <f t="shared" si="1"/>
        <v>1</v>
      </c>
    </row>
    <row r="27" spans="2:51" x14ac:dyDescent="0.25">
      <c r="B27" s="3" t="s">
        <v>30</v>
      </c>
      <c r="C27" s="3" t="str">
        <f>C24</f>
        <v>UCPWR_FLAB-P</v>
      </c>
      <c r="D27" s="3" t="s">
        <v>29</v>
      </c>
      <c r="E27" s="3" t="str" cm="1">
        <f t="array" ref="E27">INDEX(PWR_Lab!$A$2:$A$126,AX27)</f>
        <v>KEGOCV01</v>
      </c>
      <c r="F27" s="3" t="s">
        <v>28</v>
      </c>
      <c r="G27" s="3" t="s">
        <v>28</v>
      </c>
      <c r="H27" s="3" t="s">
        <v>28</v>
      </c>
      <c r="I27" s="3">
        <v>3</v>
      </c>
      <c r="J27" s="3" cm="1">
        <f t="array" ref="J27">-INDEX(PWR_Lab!$F$2:$H$126,AX27,AY27)</f>
        <v>-0.52022999999999997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X27" s="3">
        <f t="shared" si="0"/>
        <v>6</v>
      </c>
      <c r="AY27" s="3">
        <f t="shared" si="1"/>
        <v>2</v>
      </c>
    </row>
    <row r="28" spans="2:51" x14ac:dyDescent="0.25">
      <c r="B28" s="3" t="s">
        <v>30</v>
      </c>
      <c r="C28" s="3" t="str">
        <f>C25</f>
        <v>UCPWR_FLAB-S</v>
      </c>
      <c r="D28" s="3" t="s">
        <v>29</v>
      </c>
      <c r="E28" s="3" t="str" cm="1">
        <f t="array" ref="E28">INDEX(PWR_Lab!$A$2:$A$126,AX28)</f>
        <v>KEGOCV01</v>
      </c>
      <c r="F28" s="3" t="s">
        <v>28</v>
      </c>
      <c r="G28" s="3" t="s">
        <v>28</v>
      </c>
      <c r="H28" s="3" t="s">
        <v>28</v>
      </c>
      <c r="I28" s="3">
        <v>3</v>
      </c>
      <c r="J28" s="3" cm="1">
        <f t="array" ref="J28">-INDEX(PWR_Lab!$F$2:$H$126,AX28,AY28)</f>
        <v>-0.50431000000000004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X28" s="3">
        <f t="shared" si="0"/>
        <v>6</v>
      </c>
      <c r="AY28" s="3">
        <f t="shared" si="1"/>
        <v>3</v>
      </c>
    </row>
    <row r="29" spans="2:51" x14ac:dyDescent="0.25">
      <c r="B29" s="3" t="s">
        <v>30</v>
      </c>
      <c r="C29" s="3" t="str">
        <f>C26</f>
        <v>UCPWR_FLAB-N</v>
      </c>
      <c r="D29" s="3" t="s">
        <v>29</v>
      </c>
      <c r="E29" s="3" t="str" cm="1">
        <f t="array" ref="E29">INDEX(PWR_Lab!$A$2:$A$126,AX29)</f>
        <v>KEGOCV02</v>
      </c>
      <c r="F29" s="3" t="s">
        <v>28</v>
      </c>
      <c r="G29" s="3" t="s">
        <v>28</v>
      </c>
      <c r="H29" s="3" t="s">
        <v>28</v>
      </c>
      <c r="I29" s="3">
        <v>3</v>
      </c>
      <c r="J29" s="3" cm="1">
        <f t="array" ref="J29">-INDEX(PWR_Lab!$F$2:$H$126,AX29,AY29)</f>
        <v>-0.50729000000000002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X29" s="3">
        <f t="shared" si="0"/>
        <v>7</v>
      </c>
      <c r="AY29" s="3">
        <f t="shared" si="1"/>
        <v>1</v>
      </c>
    </row>
    <row r="30" spans="2:51" x14ac:dyDescent="0.25">
      <c r="B30" s="3" t="s">
        <v>30</v>
      </c>
      <c r="C30" s="3" t="str">
        <f>C27</f>
        <v>UCPWR_FLAB-P</v>
      </c>
      <c r="D30" s="3" t="s">
        <v>29</v>
      </c>
      <c r="E30" s="3" t="str" cm="1">
        <f t="array" ref="E30">INDEX(PWR_Lab!$A$2:$A$126,AX30)</f>
        <v>KEGOCV02</v>
      </c>
      <c r="F30" s="3" t="s">
        <v>28</v>
      </c>
      <c r="G30" s="3" t="s">
        <v>28</v>
      </c>
      <c r="H30" s="3" t="s">
        <v>28</v>
      </c>
      <c r="I30" s="3">
        <v>3</v>
      </c>
      <c r="J30" s="3" cm="1">
        <f t="array" ref="J30">-INDEX(PWR_Lab!$F$2:$H$126,AX30,AY30)</f>
        <v>-0.52022999999999997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X30" s="3">
        <f t="shared" si="0"/>
        <v>7</v>
      </c>
      <c r="AY30" s="3">
        <f t="shared" si="1"/>
        <v>2</v>
      </c>
    </row>
    <row r="31" spans="2:51" x14ac:dyDescent="0.25">
      <c r="B31" s="3" t="s">
        <v>30</v>
      </c>
      <c r="C31" s="3" t="str">
        <f>C28</f>
        <v>UCPWR_FLAB-S</v>
      </c>
      <c r="D31" s="3" t="s">
        <v>29</v>
      </c>
      <c r="E31" s="3" t="str" cm="1">
        <f t="array" ref="E31">INDEX(PWR_Lab!$A$2:$A$126,AX31)</f>
        <v>KEGOCV02</v>
      </c>
      <c r="F31" s="3" t="s">
        <v>28</v>
      </c>
      <c r="G31" s="3" t="s">
        <v>28</v>
      </c>
      <c r="H31" s="3" t="s">
        <v>28</v>
      </c>
      <c r="I31" s="3">
        <v>3</v>
      </c>
      <c r="J31" s="3" cm="1">
        <f t="array" ref="J31">-INDEX(PWR_Lab!$F$2:$H$126,AX31,AY31)</f>
        <v>-0.50431000000000004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X31" s="3">
        <f t="shared" si="0"/>
        <v>7</v>
      </c>
      <c r="AY31" s="3">
        <f t="shared" si="1"/>
        <v>3</v>
      </c>
    </row>
    <row r="32" spans="2:51" x14ac:dyDescent="0.25">
      <c r="B32" s="3" t="s">
        <v>30</v>
      </c>
      <c r="C32" s="3" t="str">
        <f>C29</f>
        <v>UCPWR_FLAB-N</v>
      </c>
      <c r="D32" s="3" t="s">
        <v>29</v>
      </c>
      <c r="E32" s="3" t="str" cm="1">
        <f t="array" ref="E32">INDEX(PWR_Lab!$A$2:$A$126,AX32)</f>
        <v>KEGOCV03</v>
      </c>
      <c r="F32" s="3" t="s">
        <v>28</v>
      </c>
      <c r="G32" s="3" t="s">
        <v>28</v>
      </c>
      <c r="H32" s="3" t="s">
        <v>28</v>
      </c>
      <c r="I32" s="3">
        <v>3</v>
      </c>
      <c r="J32" s="3" cm="1">
        <f t="array" ref="J32">-INDEX(PWR_Lab!$F$2:$H$126,AX32,AY32)</f>
        <v>-0.50729000000000002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X32" s="3">
        <f t="shared" si="0"/>
        <v>8</v>
      </c>
      <c r="AY32" s="3">
        <f t="shared" si="1"/>
        <v>1</v>
      </c>
    </row>
    <row r="33" spans="2:51" x14ac:dyDescent="0.25">
      <c r="B33" s="3" t="s">
        <v>30</v>
      </c>
      <c r="C33" s="3" t="str">
        <f>C30</f>
        <v>UCPWR_FLAB-P</v>
      </c>
      <c r="D33" s="3" t="s">
        <v>29</v>
      </c>
      <c r="E33" s="3" t="str" cm="1">
        <f t="array" ref="E33">INDEX(PWR_Lab!$A$2:$A$126,AX33)</f>
        <v>KEGOCV03</v>
      </c>
      <c r="F33" s="3" t="s">
        <v>28</v>
      </c>
      <c r="G33" s="3" t="s">
        <v>28</v>
      </c>
      <c r="H33" s="3" t="s">
        <v>28</v>
      </c>
      <c r="I33" s="3">
        <v>3</v>
      </c>
      <c r="J33" s="3" cm="1">
        <f t="array" ref="J33">-INDEX(PWR_Lab!$F$2:$H$126,AX33,AY33)</f>
        <v>-0.52022999999999997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X33" s="3">
        <f t="shared" si="0"/>
        <v>8</v>
      </c>
      <c r="AY33" s="3">
        <f t="shared" si="1"/>
        <v>2</v>
      </c>
    </row>
    <row r="34" spans="2:51" x14ac:dyDescent="0.25">
      <c r="B34" s="3" t="s">
        <v>30</v>
      </c>
      <c r="C34" s="3" t="str">
        <f>C31</f>
        <v>UCPWR_FLAB-S</v>
      </c>
      <c r="D34" s="3" t="s">
        <v>29</v>
      </c>
      <c r="E34" s="3" t="str" cm="1">
        <f t="array" ref="E34">INDEX(PWR_Lab!$A$2:$A$126,AX34)</f>
        <v>KEGOCV03</v>
      </c>
      <c r="F34" s="3" t="s">
        <v>28</v>
      </c>
      <c r="G34" s="3" t="s">
        <v>28</v>
      </c>
      <c r="H34" s="3" t="s">
        <v>28</v>
      </c>
      <c r="I34" s="3">
        <v>3</v>
      </c>
      <c r="J34" s="3" cm="1">
        <f t="array" ref="J34">-INDEX(PWR_Lab!$F$2:$H$126,AX34,AY34)</f>
        <v>-0.50431000000000004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X34" s="3">
        <f t="shared" si="0"/>
        <v>8</v>
      </c>
      <c r="AY34" s="3">
        <f t="shared" si="1"/>
        <v>3</v>
      </c>
    </row>
    <row r="35" spans="2:51" x14ac:dyDescent="0.25">
      <c r="B35" s="3" t="s">
        <v>30</v>
      </c>
      <c r="C35" s="3" t="str">
        <f>C32</f>
        <v>UCPWR_FLAB-N</v>
      </c>
      <c r="D35" s="3" t="s">
        <v>29</v>
      </c>
      <c r="E35" s="3" t="str" cm="1">
        <f t="array" ref="E35">INDEX(PWR_Lab!$A$2:$A$126,AX35)</f>
        <v>KEGOCV10</v>
      </c>
      <c r="F35" s="3" t="s">
        <v>28</v>
      </c>
      <c r="G35" s="3" t="s">
        <v>28</v>
      </c>
      <c r="H35" s="3" t="s">
        <v>28</v>
      </c>
      <c r="I35" s="3">
        <v>3</v>
      </c>
      <c r="J35" s="3" cm="1">
        <f t="array" ref="J35">-INDEX(PWR_Lab!$F$2:$H$126,AX35,AY35)</f>
        <v>-0.50729000000000002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X35" s="3">
        <f t="shared" si="0"/>
        <v>9</v>
      </c>
      <c r="AY35" s="3">
        <f t="shared" si="1"/>
        <v>1</v>
      </c>
    </row>
    <row r="36" spans="2:51" x14ac:dyDescent="0.25">
      <c r="B36" s="3" t="s">
        <v>30</v>
      </c>
      <c r="C36" s="3" t="str">
        <f>C33</f>
        <v>UCPWR_FLAB-P</v>
      </c>
      <c r="D36" s="3" t="s">
        <v>29</v>
      </c>
      <c r="E36" s="3" t="str" cm="1">
        <f t="array" ref="E36">INDEX(PWR_Lab!$A$2:$A$126,AX36)</f>
        <v>KEGOCV10</v>
      </c>
      <c r="F36" s="3" t="s">
        <v>28</v>
      </c>
      <c r="G36" s="3" t="s">
        <v>28</v>
      </c>
      <c r="H36" s="3" t="s">
        <v>28</v>
      </c>
      <c r="I36" s="3">
        <v>3</v>
      </c>
      <c r="J36" s="3" cm="1">
        <f t="array" ref="J36">-INDEX(PWR_Lab!$F$2:$H$126,AX36,AY36)</f>
        <v>-0.52022999999999997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27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X36" s="3">
        <f t="shared" si="0"/>
        <v>9</v>
      </c>
      <c r="AY36" s="3">
        <f t="shared" si="1"/>
        <v>2</v>
      </c>
    </row>
    <row r="37" spans="2:51" x14ac:dyDescent="0.25">
      <c r="B37" s="3" t="s">
        <v>30</v>
      </c>
      <c r="C37" s="3" t="str">
        <f>C34</f>
        <v>UCPWR_FLAB-S</v>
      </c>
      <c r="D37" s="3" t="s">
        <v>29</v>
      </c>
      <c r="E37" s="3" t="str" cm="1">
        <f t="array" ref="E37">INDEX(PWR_Lab!$A$2:$A$126,AX37)</f>
        <v>KEGOCV10</v>
      </c>
      <c r="F37" s="3" t="s">
        <v>28</v>
      </c>
      <c r="G37" s="3" t="s">
        <v>28</v>
      </c>
      <c r="H37" s="3" t="s">
        <v>28</v>
      </c>
      <c r="I37" s="3">
        <v>3</v>
      </c>
      <c r="J37" s="3" cm="1">
        <f t="array" ref="J37">-INDEX(PWR_Lab!$F$2:$H$126,AX37,AY37)</f>
        <v>-0.50431000000000004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X37" s="3">
        <f t="shared" si="0"/>
        <v>9</v>
      </c>
      <c r="AY37" s="3">
        <f t="shared" si="1"/>
        <v>3</v>
      </c>
    </row>
    <row r="38" spans="2:51" x14ac:dyDescent="0.25">
      <c r="B38" s="3" t="s">
        <v>30</v>
      </c>
      <c r="C38" s="3" t="str">
        <f>C35</f>
        <v>UCPWR_FLAB-N</v>
      </c>
      <c r="D38" s="3" t="s">
        <v>29</v>
      </c>
      <c r="E38" s="3" t="str" cm="1">
        <f t="array" ref="E38">INDEX(PWR_Lab!$A$2:$A$126,AX38)</f>
        <v>KEGOCV11</v>
      </c>
      <c r="F38" s="3" t="s">
        <v>28</v>
      </c>
      <c r="G38" s="3" t="s">
        <v>28</v>
      </c>
      <c r="H38" s="3" t="s">
        <v>28</v>
      </c>
      <c r="I38" s="3">
        <v>3</v>
      </c>
      <c r="J38" s="3" cm="1">
        <f t="array" ref="J38">-INDEX(PWR_Lab!$F$2:$H$126,AX38,AY38)</f>
        <v>-0.50729000000000002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27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X38" s="3">
        <f t="shared" si="0"/>
        <v>10</v>
      </c>
      <c r="AY38" s="3">
        <f t="shared" si="1"/>
        <v>1</v>
      </c>
    </row>
    <row r="39" spans="2:51" x14ac:dyDescent="0.25">
      <c r="B39" s="3" t="s">
        <v>30</v>
      </c>
      <c r="C39" s="3" t="str">
        <f>C36</f>
        <v>UCPWR_FLAB-P</v>
      </c>
      <c r="D39" s="3" t="s">
        <v>29</v>
      </c>
      <c r="E39" s="3" t="str" cm="1">
        <f t="array" ref="E39">INDEX(PWR_Lab!$A$2:$A$126,AX39)</f>
        <v>KEGOCV11</v>
      </c>
      <c r="F39" s="3" t="s">
        <v>28</v>
      </c>
      <c r="G39" s="3" t="s">
        <v>28</v>
      </c>
      <c r="H39" s="3" t="s">
        <v>28</v>
      </c>
      <c r="I39" s="3">
        <v>3</v>
      </c>
      <c r="J39" s="3" cm="1">
        <f t="array" ref="J39">-INDEX(PWR_Lab!$F$2:$H$126,AX39,AY39)</f>
        <v>-0.52022999999999997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X39" s="3">
        <f t="shared" si="0"/>
        <v>10</v>
      </c>
      <c r="AY39" s="3">
        <f t="shared" si="1"/>
        <v>2</v>
      </c>
    </row>
    <row r="40" spans="2:51" x14ac:dyDescent="0.25">
      <c r="B40" s="3" t="s">
        <v>30</v>
      </c>
      <c r="C40" s="3" t="str">
        <f>C37</f>
        <v>UCPWR_FLAB-S</v>
      </c>
      <c r="D40" s="3" t="s">
        <v>29</v>
      </c>
      <c r="E40" s="3" t="str" cm="1">
        <f t="array" ref="E40">INDEX(PWR_Lab!$A$2:$A$126,AX40)</f>
        <v>KEGOCV11</v>
      </c>
      <c r="F40" s="3" t="s">
        <v>28</v>
      </c>
      <c r="G40" s="3" t="s">
        <v>28</v>
      </c>
      <c r="H40" s="3" t="s">
        <v>28</v>
      </c>
      <c r="I40" s="3">
        <v>3</v>
      </c>
      <c r="J40" s="3" cm="1">
        <f t="array" ref="J40">-INDEX(PWR_Lab!$F$2:$H$126,AX40,AY40)</f>
        <v>-0.50431000000000004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X40" s="3">
        <f t="shared" si="0"/>
        <v>10</v>
      </c>
      <c r="AY40" s="3">
        <f t="shared" si="1"/>
        <v>3</v>
      </c>
    </row>
    <row r="41" spans="2:51" x14ac:dyDescent="0.25">
      <c r="B41" s="3" t="s">
        <v>30</v>
      </c>
      <c r="C41" s="3" t="str">
        <f>C38</f>
        <v>UCPWR_FLAB-N</v>
      </c>
      <c r="D41" s="3" t="s">
        <v>29</v>
      </c>
      <c r="E41" s="3" t="str" cm="1">
        <f t="array" ref="E41">INDEX(PWR_Lab!$A$2:$A$126,AX41)</f>
        <v>KEGOCV12</v>
      </c>
      <c r="F41" s="3" t="s">
        <v>28</v>
      </c>
      <c r="G41" s="3" t="s">
        <v>28</v>
      </c>
      <c r="H41" s="3" t="s">
        <v>28</v>
      </c>
      <c r="I41" s="3">
        <v>3</v>
      </c>
      <c r="J41" s="3" cm="1">
        <f t="array" ref="J41">-INDEX(PWR_Lab!$F$2:$H$126,AX41,AY41)</f>
        <v>-0.50729000000000002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X41" s="3">
        <f t="shared" si="0"/>
        <v>11</v>
      </c>
      <c r="AY41" s="3">
        <f t="shared" si="1"/>
        <v>1</v>
      </c>
    </row>
    <row r="42" spans="2:51" x14ac:dyDescent="0.25">
      <c r="B42" s="3" t="s">
        <v>30</v>
      </c>
      <c r="C42" s="3" t="str">
        <f>C39</f>
        <v>UCPWR_FLAB-P</v>
      </c>
      <c r="D42" s="3" t="s">
        <v>29</v>
      </c>
      <c r="E42" s="3" t="str" cm="1">
        <f t="array" ref="E42">INDEX(PWR_Lab!$A$2:$A$126,AX42)</f>
        <v>KEGOCV12</v>
      </c>
      <c r="F42" s="3" t="s">
        <v>28</v>
      </c>
      <c r="G42" s="3" t="s">
        <v>28</v>
      </c>
      <c r="H42" s="3" t="s">
        <v>28</v>
      </c>
      <c r="I42" s="3">
        <v>3</v>
      </c>
      <c r="J42" s="3" cm="1">
        <f t="array" ref="J42">-INDEX(PWR_Lab!$F$2:$H$126,AX42,AY42)</f>
        <v>-0.52022999999999997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X42" s="3">
        <f t="shared" si="0"/>
        <v>11</v>
      </c>
      <c r="AY42" s="3">
        <f t="shared" si="1"/>
        <v>2</v>
      </c>
    </row>
    <row r="43" spans="2:51" x14ac:dyDescent="0.25">
      <c r="B43" s="3" t="s">
        <v>30</v>
      </c>
      <c r="C43" s="3" t="str">
        <f>C40</f>
        <v>UCPWR_FLAB-S</v>
      </c>
      <c r="D43" s="3" t="s">
        <v>29</v>
      </c>
      <c r="E43" s="3" t="str" cm="1">
        <f t="array" ref="E43">INDEX(PWR_Lab!$A$2:$A$126,AX43)</f>
        <v>KEGOCV12</v>
      </c>
      <c r="F43" s="3" t="s">
        <v>28</v>
      </c>
      <c r="G43" s="3" t="s">
        <v>28</v>
      </c>
      <c r="H43" s="3" t="s">
        <v>28</v>
      </c>
      <c r="I43" s="3">
        <v>3</v>
      </c>
      <c r="J43" s="3" cm="1">
        <f t="array" ref="J43">-INDEX(PWR_Lab!$F$2:$H$126,AX43,AY43)</f>
        <v>-0.50431000000000004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X43" s="3">
        <f t="shared" si="0"/>
        <v>11</v>
      </c>
      <c r="AY43" s="3">
        <f t="shared" si="1"/>
        <v>3</v>
      </c>
    </row>
    <row r="44" spans="2:51" x14ac:dyDescent="0.25">
      <c r="B44" s="3" t="s">
        <v>30</v>
      </c>
      <c r="C44" s="3" t="str">
        <f>C41</f>
        <v>UCPWR_FLAB-N</v>
      </c>
      <c r="D44" s="3" t="s">
        <v>29</v>
      </c>
      <c r="E44" s="3" t="str" cm="1">
        <f t="array" ref="E44">INDEX(PWR_Lab!$A$2:$A$126,AX44)</f>
        <v>KEGOCV13</v>
      </c>
      <c r="F44" s="3" t="s">
        <v>28</v>
      </c>
      <c r="G44" s="3" t="s">
        <v>28</v>
      </c>
      <c r="H44" s="3" t="s">
        <v>28</v>
      </c>
      <c r="I44" s="3">
        <v>3</v>
      </c>
      <c r="J44" s="3" cm="1">
        <f t="array" ref="J44">-INDEX(PWR_Lab!$F$2:$H$126,AX44,AY44)</f>
        <v>-0.50729000000000002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X44" s="3">
        <f t="shared" si="0"/>
        <v>12</v>
      </c>
      <c r="AY44" s="3">
        <f t="shared" si="1"/>
        <v>1</v>
      </c>
    </row>
    <row r="45" spans="2:51" x14ac:dyDescent="0.25">
      <c r="B45" s="3" t="s">
        <v>30</v>
      </c>
      <c r="C45" s="3" t="str">
        <f>C42</f>
        <v>UCPWR_FLAB-P</v>
      </c>
      <c r="D45" s="3" t="s">
        <v>29</v>
      </c>
      <c r="E45" s="3" t="str" cm="1">
        <f t="array" ref="E45">INDEX(PWR_Lab!$A$2:$A$126,AX45)</f>
        <v>KEGOCV13</v>
      </c>
      <c r="F45" s="3" t="s">
        <v>28</v>
      </c>
      <c r="G45" s="3" t="s">
        <v>28</v>
      </c>
      <c r="H45" s="3" t="s">
        <v>28</v>
      </c>
      <c r="I45" s="3">
        <v>3</v>
      </c>
      <c r="J45" s="3" cm="1">
        <f t="array" ref="J45">-INDEX(PWR_Lab!$F$2:$H$126,AX45,AY45)</f>
        <v>-0.52022999999999997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X45" s="3">
        <f t="shared" si="0"/>
        <v>12</v>
      </c>
      <c r="AY45" s="3">
        <f t="shared" si="1"/>
        <v>2</v>
      </c>
    </row>
    <row r="46" spans="2:51" x14ac:dyDescent="0.25">
      <c r="B46" s="3" t="s">
        <v>30</v>
      </c>
      <c r="C46" s="3" t="str">
        <f>C43</f>
        <v>UCPWR_FLAB-S</v>
      </c>
      <c r="D46" s="3" t="s">
        <v>29</v>
      </c>
      <c r="E46" s="3" t="str" cm="1">
        <f t="array" ref="E46">INDEX(PWR_Lab!$A$2:$A$126,AX46)</f>
        <v>KEGOCV13</v>
      </c>
      <c r="F46" s="3" t="s">
        <v>28</v>
      </c>
      <c r="G46" s="3" t="s">
        <v>28</v>
      </c>
      <c r="H46" s="3" t="s">
        <v>28</v>
      </c>
      <c r="I46" s="3">
        <v>3</v>
      </c>
      <c r="J46" s="3" cm="1">
        <f t="array" ref="J46">-INDEX(PWR_Lab!$F$2:$H$126,AX46,AY46)</f>
        <v>-0.50431000000000004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X46" s="3">
        <f t="shared" si="0"/>
        <v>12</v>
      </c>
      <c r="AY46" s="3">
        <f t="shared" si="1"/>
        <v>3</v>
      </c>
    </row>
    <row r="47" spans="2:51" x14ac:dyDescent="0.25">
      <c r="B47" s="3" t="s">
        <v>30</v>
      </c>
      <c r="C47" s="3" t="str">
        <f>C44</f>
        <v>UCPWR_FLAB-N</v>
      </c>
      <c r="D47" s="3" t="s">
        <v>29</v>
      </c>
      <c r="E47" s="3" t="str" cm="1">
        <f t="array" ref="E47">INDEX(PWR_Lab!$A$2:$A$126,AX47)</f>
        <v>KEGOCV14</v>
      </c>
      <c r="F47" s="3" t="s">
        <v>28</v>
      </c>
      <c r="G47" s="3" t="s">
        <v>28</v>
      </c>
      <c r="H47" s="3" t="s">
        <v>28</v>
      </c>
      <c r="I47" s="3">
        <v>3</v>
      </c>
      <c r="J47" s="3" cm="1">
        <f t="array" ref="J47">-INDEX(PWR_Lab!$F$2:$H$126,AX47,AY47)</f>
        <v>-0.50729000000000002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X47" s="3">
        <f t="shared" si="0"/>
        <v>13</v>
      </c>
      <c r="AY47" s="3">
        <f t="shared" si="1"/>
        <v>1</v>
      </c>
    </row>
    <row r="48" spans="2:51" x14ac:dyDescent="0.25">
      <c r="B48" s="3" t="s">
        <v>30</v>
      </c>
      <c r="C48" s="3" t="str">
        <f>C45</f>
        <v>UCPWR_FLAB-P</v>
      </c>
      <c r="D48" s="3" t="s">
        <v>29</v>
      </c>
      <c r="E48" s="3" t="str" cm="1">
        <f t="array" ref="E48">INDEX(PWR_Lab!$A$2:$A$126,AX48)</f>
        <v>KEGOCV14</v>
      </c>
      <c r="F48" s="3" t="s">
        <v>28</v>
      </c>
      <c r="G48" s="3" t="s">
        <v>28</v>
      </c>
      <c r="H48" s="3" t="s">
        <v>28</v>
      </c>
      <c r="I48" s="3">
        <v>3</v>
      </c>
      <c r="J48" s="3" cm="1">
        <f t="array" ref="J48">-INDEX(PWR_Lab!$F$2:$H$126,AX48,AY48)</f>
        <v>-0.52022999999999997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27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X48" s="3">
        <f t="shared" si="0"/>
        <v>13</v>
      </c>
      <c r="AY48" s="3">
        <f t="shared" si="1"/>
        <v>2</v>
      </c>
    </row>
    <row r="49" spans="2:51" x14ac:dyDescent="0.25">
      <c r="B49" s="3" t="s">
        <v>30</v>
      </c>
      <c r="C49" s="3" t="str">
        <f>C46</f>
        <v>UCPWR_FLAB-S</v>
      </c>
      <c r="D49" s="3" t="s">
        <v>29</v>
      </c>
      <c r="E49" s="3" t="str" cm="1">
        <f t="array" ref="E49">INDEX(PWR_Lab!$A$2:$A$126,AX49)</f>
        <v>KEGOCV14</v>
      </c>
      <c r="F49" s="3" t="s">
        <v>28</v>
      </c>
      <c r="G49" s="3" t="s">
        <v>28</v>
      </c>
      <c r="H49" s="3" t="s">
        <v>28</v>
      </c>
      <c r="I49" s="3">
        <v>3</v>
      </c>
      <c r="J49" s="3" cm="1">
        <f t="array" ref="J49">-INDEX(PWR_Lab!$F$2:$H$126,AX49,AY49)</f>
        <v>-0.50431000000000004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X49" s="3">
        <f t="shared" si="0"/>
        <v>13</v>
      </c>
      <c r="AY49" s="3">
        <f t="shared" si="1"/>
        <v>3</v>
      </c>
    </row>
    <row r="50" spans="2:51" x14ac:dyDescent="0.25">
      <c r="B50" s="3" t="s">
        <v>30</v>
      </c>
      <c r="C50" s="3" t="str">
        <f>C47</f>
        <v>UCPWR_FLAB-N</v>
      </c>
      <c r="D50" s="3" t="s">
        <v>29</v>
      </c>
      <c r="E50" s="3" t="str" cm="1">
        <f t="array" ref="E50">INDEX(PWR_Lab!$A$2:$A$126,AX50)</f>
        <v>KEGOCV15</v>
      </c>
      <c r="F50" s="3" t="s">
        <v>28</v>
      </c>
      <c r="G50" s="3" t="s">
        <v>28</v>
      </c>
      <c r="H50" s="3" t="s">
        <v>28</v>
      </c>
      <c r="I50" s="3">
        <v>3</v>
      </c>
      <c r="J50" s="3" cm="1">
        <f t="array" ref="J50">-INDEX(PWR_Lab!$F$2:$H$126,AX50,AY50)</f>
        <v>-0.50729000000000002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X50" s="3">
        <f t="shared" si="0"/>
        <v>14</v>
      </c>
      <c r="AY50" s="3">
        <f t="shared" si="1"/>
        <v>1</v>
      </c>
    </row>
    <row r="51" spans="2:51" x14ac:dyDescent="0.25">
      <c r="B51" s="3" t="s">
        <v>30</v>
      </c>
      <c r="C51" s="3" t="str">
        <f>C48</f>
        <v>UCPWR_FLAB-P</v>
      </c>
      <c r="D51" s="3" t="s">
        <v>29</v>
      </c>
      <c r="E51" s="3" t="str" cm="1">
        <f t="array" ref="E51">INDEX(PWR_Lab!$A$2:$A$126,AX51)</f>
        <v>KEGOCV15</v>
      </c>
      <c r="F51" s="3" t="s">
        <v>28</v>
      </c>
      <c r="G51" s="3" t="s">
        <v>28</v>
      </c>
      <c r="H51" s="3" t="s">
        <v>28</v>
      </c>
      <c r="I51" s="3">
        <v>3</v>
      </c>
      <c r="J51" s="3" cm="1">
        <f t="array" ref="J51">-INDEX(PWR_Lab!$F$2:$H$126,AX51,AY51)</f>
        <v>-0.52022999999999997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X51" s="3">
        <f t="shared" si="0"/>
        <v>14</v>
      </c>
      <c r="AY51" s="3">
        <f t="shared" si="1"/>
        <v>2</v>
      </c>
    </row>
    <row r="52" spans="2:51" x14ac:dyDescent="0.25">
      <c r="B52" s="3" t="s">
        <v>30</v>
      </c>
      <c r="C52" s="3" t="str">
        <f>C49</f>
        <v>UCPWR_FLAB-S</v>
      </c>
      <c r="D52" s="3" t="s">
        <v>29</v>
      </c>
      <c r="E52" s="3" t="str" cm="1">
        <f t="array" ref="E52">INDEX(PWR_Lab!$A$2:$A$126,AX52)</f>
        <v>KEGOCV15</v>
      </c>
      <c r="F52" s="3" t="s">
        <v>28</v>
      </c>
      <c r="G52" s="3" t="s">
        <v>28</v>
      </c>
      <c r="H52" s="3" t="s">
        <v>28</v>
      </c>
      <c r="I52" s="3">
        <v>3</v>
      </c>
      <c r="J52" s="3" cm="1">
        <f t="array" ref="J52">-INDEX(PWR_Lab!$F$2:$H$126,AX52,AY52)</f>
        <v>-0.50431000000000004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X52" s="3">
        <f t="shared" si="0"/>
        <v>14</v>
      </c>
      <c r="AY52" s="3">
        <f t="shared" si="1"/>
        <v>3</v>
      </c>
    </row>
    <row r="53" spans="2:51" x14ac:dyDescent="0.25">
      <c r="B53" s="3" t="s">
        <v>30</v>
      </c>
      <c r="C53" s="3" t="str">
        <f>C50</f>
        <v>UCPWR_FLAB-N</v>
      </c>
      <c r="D53" s="3" t="s">
        <v>29</v>
      </c>
      <c r="E53" s="3" t="str" cm="1">
        <f t="array" ref="E53">INDEX(PWR_Lab!$A$2:$A$126,AX53)</f>
        <v>KEGOCV16</v>
      </c>
      <c r="F53" s="3" t="s">
        <v>28</v>
      </c>
      <c r="G53" s="3" t="s">
        <v>28</v>
      </c>
      <c r="H53" s="3" t="s">
        <v>28</v>
      </c>
      <c r="I53" s="3">
        <v>3</v>
      </c>
      <c r="J53" s="3" cm="1">
        <f t="array" ref="J53">-INDEX(PWR_Lab!$F$2:$H$126,AX53,AY53)</f>
        <v>-0.50729000000000002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X53" s="3">
        <f t="shared" si="0"/>
        <v>15</v>
      </c>
      <c r="AY53" s="3">
        <f t="shared" si="1"/>
        <v>1</v>
      </c>
    </row>
    <row r="54" spans="2:51" x14ac:dyDescent="0.25">
      <c r="B54" s="3" t="s">
        <v>30</v>
      </c>
      <c r="C54" s="3" t="str">
        <f>C51</f>
        <v>UCPWR_FLAB-P</v>
      </c>
      <c r="D54" s="3" t="s">
        <v>29</v>
      </c>
      <c r="E54" s="3" t="str" cm="1">
        <f t="array" ref="E54">INDEX(PWR_Lab!$A$2:$A$126,AX54)</f>
        <v>KEGOCV16</v>
      </c>
      <c r="F54" s="3" t="s">
        <v>28</v>
      </c>
      <c r="G54" s="3" t="s">
        <v>28</v>
      </c>
      <c r="H54" s="3" t="s">
        <v>28</v>
      </c>
      <c r="I54" s="3">
        <v>3</v>
      </c>
      <c r="J54" s="3" cm="1">
        <f t="array" ref="J54">-INDEX(PWR_Lab!$F$2:$H$126,AX54,AY54)</f>
        <v>-0.52022999999999997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X54" s="3">
        <f t="shared" si="0"/>
        <v>15</v>
      </c>
      <c r="AY54" s="3">
        <f t="shared" si="1"/>
        <v>2</v>
      </c>
    </row>
    <row r="55" spans="2:51" x14ac:dyDescent="0.25">
      <c r="B55" s="3" t="s">
        <v>30</v>
      </c>
      <c r="C55" s="3" t="str">
        <f>C52</f>
        <v>UCPWR_FLAB-S</v>
      </c>
      <c r="D55" s="3" t="s">
        <v>29</v>
      </c>
      <c r="E55" s="3" t="str" cm="1">
        <f t="array" ref="E55">INDEX(PWR_Lab!$A$2:$A$126,AX55)</f>
        <v>KEGOCV16</v>
      </c>
      <c r="F55" s="3" t="s">
        <v>28</v>
      </c>
      <c r="G55" s="3" t="s">
        <v>28</v>
      </c>
      <c r="H55" s="3" t="s">
        <v>28</v>
      </c>
      <c r="I55" s="3">
        <v>3</v>
      </c>
      <c r="J55" s="3" cm="1">
        <f t="array" ref="J55">-INDEX(PWR_Lab!$F$2:$H$126,AX55,AY55)</f>
        <v>-0.50431000000000004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27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X55" s="3">
        <f t="shared" si="0"/>
        <v>15</v>
      </c>
      <c r="AY55" s="3">
        <f t="shared" si="1"/>
        <v>3</v>
      </c>
    </row>
    <row r="56" spans="2:51" x14ac:dyDescent="0.25">
      <c r="B56" s="3" t="s">
        <v>30</v>
      </c>
      <c r="C56" s="3" t="str">
        <f>C53</f>
        <v>UCPWR_FLAB-N</v>
      </c>
      <c r="D56" s="3" t="s">
        <v>29</v>
      </c>
      <c r="E56" s="3" t="str" cm="1">
        <f t="array" ref="E56">INDEX(PWR_Lab!$A$2:$A$126,AX56)</f>
        <v>KEGOCV17</v>
      </c>
      <c r="F56" s="3" t="s">
        <v>28</v>
      </c>
      <c r="G56" s="3" t="s">
        <v>28</v>
      </c>
      <c r="H56" s="3" t="s">
        <v>28</v>
      </c>
      <c r="I56" s="3">
        <v>3</v>
      </c>
      <c r="J56" s="3" cm="1">
        <f t="array" ref="J56">-INDEX(PWR_Lab!$F$2:$H$126,AX56,AY56)</f>
        <v>-0.50729000000000002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X56" s="3">
        <f t="shared" si="0"/>
        <v>16</v>
      </c>
      <c r="AY56" s="3">
        <f t="shared" si="1"/>
        <v>1</v>
      </c>
    </row>
    <row r="57" spans="2:51" x14ac:dyDescent="0.25">
      <c r="B57" s="3" t="s">
        <v>30</v>
      </c>
      <c r="C57" s="3" t="str">
        <f>C54</f>
        <v>UCPWR_FLAB-P</v>
      </c>
      <c r="D57" s="3" t="s">
        <v>29</v>
      </c>
      <c r="E57" s="3" t="str" cm="1">
        <f t="array" ref="E57">INDEX(PWR_Lab!$A$2:$A$126,AX57)</f>
        <v>KEGOCV17</v>
      </c>
      <c r="F57" s="3" t="s">
        <v>28</v>
      </c>
      <c r="G57" s="3" t="s">
        <v>28</v>
      </c>
      <c r="H57" s="3" t="s">
        <v>28</v>
      </c>
      <c r="I57" s="3">
        <v>3</v>
      </c>
      <c r="J57" s="3" cm="1">
        <f t="array" ref="J57">-INDEX(PWR_Lab!$F$2:$H$126,AX57,AY57)</f>
        <v>-0.52022999999999997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X57" s="3">
        <f t="shared" si="0"/>
        <v>16</v>
      </c>
      <c r="AY57" s="3">
        <f t="shared" si="1"/>
        <v>2</v>
      </c>
    </row>
    <row r="58" spans="2:51" x14ac:dyDescent="0.25">
      <c r="B58" s="3" t="s">
        <v>30</v>
      </c>
      <c r="C58" s="3" t="str">
        <f>C55</f>
        <v>UCPWR_FLAB-S</v>
      </c>
      <c r="D58" s="3" t="s">
        <v>29</v>
      </c>
      <c r="E58" s="3" t="str" cm="1">
        <f t="array" ref="E58">INDEX(PWR_Lab!$A$2:$A$126,AX58)</f>
        <v>KEGOCV17</v>
      </c>
      <c r="F58" s="3" t="s">
        <v>28</v>
      </c>
      <c r="G58" s="3" t="s">
        <v>28</v>
      </c>
      <c r="H58" s="3" t="s">
        <v>28</v>
      </c>
      <c r="I58" s="3">
        <v>3</v>
      </c>
      <c r="J58" s="3" cm="1">
        <f t="array" ref="J58">-INDEX(PWR_Lab!$F$2:$H$126,AX58,AY58)</f>
        <v>-0.50431000000000004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X58" s="3">
        <f t="shared" si="0"/>
        <v>16</v>
      </c>
      <c r="AY58" s="3">
        <f t="shared" si="1"/>
        <v>3</v>
      </c>
    </row>
    <row r="59" spans="2:51" x14ac:dyDescent="0.25">
      <c r="B59" s="3" t="s">
        <v>30</v>
      </c>
      <c r="C59" s="3" t="str">
        <f>C56</f>
        <v>UCPWR_FLAB-N</v>
      </c>
      <c r="D59" s="3" t="s">
        <v>29</v>
      </c>
      <c r="E59" s="3" t="str" cm="1">
        <f t="array" ref="E59">INDEX(PWR_Lab!$A$2:$A$126,AX59)</f>
        <v>KEGOCV18</v>
      </c>
      <c r="F59" s="3" t="s">
        <v>28</v>
      </c>
      <c r="G59" s="3" t="s">
        <v>28</v>
      </c>
      <c r="H59" s="3" t="s">
        <v>28</v>
      </c>
      <c r="I59" s="3">
        <v>3</v>
      </c>
      <c r="J59" s="3" cm="1">
        <f t="array" ref="J59">-INDEX(PWR_Lab!$F$2:$H$126,AX59,AY59)</f>
        <v>-0.50729000000000002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X59" s="3">
        <f t="shared" si="0"/>
        <v>17</v>
      </c>
      <c r="AY59" s="3">
        <f t="shared" si="1"/>
        <v>1</v>
      </c>
    </row>
    <row r="60" spans="2:51" x14ac:dyDescent="0.25">
      <c r="B60" s="3" t="s">
        <v>30</v>
      </c>
      <c r="C60" s="3" t="str">
        <f>C57</f>
        <v>UCPWR_FLAB-P</v>
      </c>
      <c r="D60" s="3" t="s">
        <v>29</v>
      </c>
      <c r="E60" s="3" t="str" cm="1">
        <f t="array" ref="E60">INDEX(PWR_Lab!$A$2:$A$126,AX60)</f>
        <v>KEGOCV18</v>
      </c>
      <c r="F60" s="3" t="s">
        <v>28</v>
      </c>
      <c r="G60" s="3" t="s">
        <v>28</v>
      </c>
      <c r="H60" s="3" t="s">
        <v>28</v>
      </c>
      <c r="I60" s="3">
        <v>3</v>
      </c>
      <c r="J60" s="3" cm="1">
        <f t="array" ref="J60">-INDEX(PWR_Lab!$F$2:$H$126,AX60,AY60)</f>
        <v>-0.52022999999999997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X60" s="3">
        <f t="shared" si="0"/>
        <v>17</v>
      </c>
      <c r="AY60" s="3">
        <f t="shared" si="1"/>
        <v>2</v>
      </c>
    </row>
    <row r="61" spans="2:51" x14ac:dyDescent="0.25">
      <c r="B61" s="3" t="s">
        <v>30</v>
      </c>
      <c r="C61" s="3" t="str">
        <f>C58</f>
        <v>UCPWR_FLAB-S</v>
      </c>
      <c r="D61" s="3" t="s">
        <v>29</v>
      </c>
      <c r="E61" s="3" t="str" cm="1">
        <f t="array" ref="E61">INDEX(PWR_Lab!$A$2:$A$126,AX61)</f>
        <v>KEGOCV18</v>
      </c>
      <c r="F61" s="3" t="s">
        <v>28</v>
      </c>
      <c r="G61" s="3" t="s">
        <v>28</v>
      </c>
      <c r="H61" s="3" t="s">
        <v>28</v>
      </c>
      <c r="I61" s="3">
        <v>3</v>
      </c>
      <c r="J61" s="3" cm="1">
        <f t="array" ref="J61">-INDEX(PWR_Lab!$F$2:$H$126,AX61,AY61)</f>
        <v>-0.50431000000000004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X61" s="3">
        <f t="shared" si="0"/>
        <v>17</v>
      </c>
      <c r="AY61" s="3">
        <f t="shared" si="1"/>
        <v>3</v>
      </c>
    </row>
    <row r="62" spans="2:51" x14ac:dyDescent="0.25">
      <c r="B62" s="3" t="s">
        <v>30</v>
      </c>
      <c r="C62" s="3" t="str">
        <f>C59</f>
        <v>UCPWR_FLAB-N</v>
      </c>
      <c r="D62" s="3" t="s">
        <v>29</v>
      </c>
      <c r="E62" s="3" t="str" cm="1">
        <f t="array" ref="E62">INDEX(PWR_Lab!$A$2:$A$126,AX62)</f>
        <v>KEGOCV20</v>
      </c>
      <c r="F62" s="3" t="s">
        <v>28</v>
      </c>
      <c r="G62" s="3" t="s">
        <v>28</v>
      </c>
      <c r="H62" s="3" t="s">
        <v>28</v>
      </c>
      <c r="I62" s="3">
        <v>3</v>
      </c>
      <c r="J62" s="3" cm="1">
        <f t="array" ref="J62">-INDEX(PWR_Lab!$F$2:$H$126,AX62,AY62)</f>
        <v>-0.50729000000000002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X62" s="3">
        <f t="shared" si="0"/>
        <v>18</v>
      </c>
      <c r="AY62" s="3">
        <f t="shared" si="1"/>
        <v>1</v>
      </c>
    </row>
    <row r="63" spans="2:51" x14ac:dyDescent="0.25">
      <c r="B63" s="3" t="s">
        <v>30</v>
      </c>
      <c r="C63" s="3" t="str">
        <f>C60</f>
        <v>UCPWR_FLAB-P</v>
      </c>
      <c r="D63" s="3" t="s">
        <v>29</v>
      </c>
      <c r="E63" s="3" t="str" cm="1">
        <f t="array" ref="E63">INDEX(PWR_Lab!$A$2:$A$126,AX63)</f>
        <v>KEGOCV20</v>
      </c>
      <c r="F63" s="3" t="s">
        <v>28</v>
      </c>
      <c r="G63" s="3" t="s">
        <v>28</v>
      </c>
      <c r="H63" s="3" t="s">
        <v>28</v>
      </c>
      <c r="I63" s="3">
        <v>3</v>
      </c>
      <c r="J63" s="3" cm="1">
        <f t="array" ref="J63">-INDEX(PWR_Lab!$F$2:$H$126,AX63,AY63)</f>
        <v>-0.52022999999999997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X63" s="3">
        <f t="shared" si="0"/>
        <v>18</v>
      </c>
      <c r="AY63" s="3">
        <f t="shared" si="1"/>
        <v>2</v>
      </c>
    </row>
    <row r="64" spans="2:51" x14ac:dyDescent="0.25">
      <c r="B64" s="3" t="s">
        <v>30</v>
      </c>
      <c r="C64" s="3" t="str">
        <f>C61</f>
        <v>UCPWR_FLAB-S</v>
      </c>
      <c r="D64" s="3" t="s">
        <v>29</v>
      </c>
      <c r="E64" s="3" t="str" cm="1">
        <f t="array" ref="E64">INDEX(PWR_Lab!$A$2:$A$126,AX64)</f>
        <v>KEGOCV20</v>
      </c>
      <c r="F64" s="3" t="s">
        <v>28</v>
      </c>
      <c r="G64" s="3" t="s">
        <v>28</v>
      </c>
      <c r="H64" s="3" t="s">
        <v>28</v>
      </c>
      <c r="I64" s="3">
        <v>3</v>
      </c>
      <c r="J64" s="3" cm="1">
        <f t="array" ref="J64">-INDEX(PWR_Lab!$F$2:$H$126,AX64,AY64)</f>
        <v>-0.50431000000000004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27</v>
      </c>
      <c r="AM64" s="3" t="s">
        <v>27</v>
      </c>
      <c r="AN64" s="3" t="s">
        <v>27</v>
      </c>
      <c r="AO64" s="3" t="s">
        <v>27</v>
      </c>
      <c r="AP64" s="3" t="s">
        <v>27</v>
      </c>
      <c r="AX64" s="3">
        <f t="shared" si="0"/>
        <v>18</v>
      </c>
      <c r="AY64" s="3">
        <f t="shared" si="1"/>
        <v>3</v>
      </c>
    </row>
    <row r="65" spans="2:51" x14ac:dyDescent="0.25">
      <c r="B65" s="3" t="s">
        <v>30</v>
      </c>
      <c r="C65" s="3" t="str">
        <f>C62</f>
        <v>UCPWR_FLAB-N</v>
      </c>
      <c r="D65" s="3" t="s">
        <v>29</v>
      </c>
      <c r="E65" s="3" t="str" cm="1">
        <f t="array" ref="E65">INDEX(PWR_Lab!$A$2:$A$126,AX65)</f>
        <v>KEHYDM00</v>
      </c>
      <c r="F65" s="3" t="s">
        <v>28</v>
      </c>
      <c r="G65" s="3" t="s">
        <v>28</v>
      </c>
      <c r="H65" s="3" t="s">
        <v>28</v>
      </c>
      <c r="I65" s="3">
        <v>3</v>
      </c>
      <c r="J65" s="3" cm="1">
        <f t="array" ref="J65">-INDEX(PWR_Lab!$F$2:$H$126,AX65,AY65)</f>
        <v>-0.36715999999999999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X65" s="3">
        <f t="shared" si="0"/>
        <v>19</v>
      </c>
      <c r="AY65" s="3">
        <f t="shared" si="1"/>
        <v>1</v>
      </c>
    </row>
    <row r="66" spans="2:51" x14ac:dyDescent="0.25">
      <c r="B66" s="3" t="s">
        <v>30</v>
      </c>
      <c r="C66" s="3" t="str">
        <f>C63</f>
        <v>UCPWR_FLAB-P</v>
      </c>
      <c r="D66" s="3" t="s">
        <v>29</v>
      </c>
      <c r="E66" s="3" t="str" cm="1">
        <f t="array" ref="E66">INDEX(PWR_Lab!$A$2:$A$126,AX66)</f>
        <v>KEHYDM00</v>
      </c>
      <c r="F66" s="3" t="s">
        <v>28</v>
      </c>
      <c r="G66" s="3" t="s">
        <v>28</v>
      </c>
      <c r="H66" s="3" t="s">
        <v>28</v>
      </c>
      <c r="I66" s="3">
        <v>3</v>
      </c>
      <c r="J66" s="3" cm="1">
        <f t="array" ref="J66">-INDEX(PWR_Lab!$F$2:$H$126,AX66,AY66)</f>
        <v>-0.37652999999999998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X66" s="3">
        <f t="shared" si="0"/>
        <v>19</v>
      </c>
      <c r="AY66" s="3">
        <f t="shared" si="1"/>
        <v>2</v>
      </c>
    </row>
    <row r="67" spans="2:51" x14ac:dyDescent="0.25">
      <c r="B67" s="3" t="s">
        <v>30</v>
      </c>
      <c r="C67" s="3" t="str">
        <f>C64</f>
        <v>UCPWR_FLAB-S</v>
      </c>
      <c r="D67" s="3" t="s">
        <v>29</v>
      </c>
      <c r="E67" s="3" t="str" cm="1">
        <f t="array" ref="E67">INDEX(PWR_Lab!$A$2:$A$126,AX67)</f>
        <v>KEHYDM00</v>
      </c>
      <c r="F67" s="3" t="s">
        <v>28</v>
      </c>
      <c r="G67" s="3" t="s">
        <v>28</v>
      </c>
      <c r="H67" s="3" t="s">
        <v>28</v>
      </c>
      <c r="I67" s="3">
        <v>3</v>
      </c>
      <c r="J67" s="3" cm="1">
        <f t="array" ref="J67">-INDEX(PWR_Lab!$F$2:$H$126,AX67,AY67)</f>
        <v>-0.36501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X67" s="3">
        <f t="shared" si="0"/>
        <v>19</v>
      </c>
      <c r="AY67" s="3">
        <f t="shared" si="1"/>
        <v>3</v>
      </c>
    </row>
    <row r="68" spans="2:51" x14ac:dyDescent="0.25">
      <c r="B68" s="3" t="s">
        <v>30</v>
      </c>
      <c r="C68" s="3" t="str">
        <f>C65</f>
        <v>UCPWR_FLAB-N</v>
      </c>
      <c r="D68" s="3" t="s">
        <v>29</v>
      </c>
      <c r="E68" s="3" t="str" cm="1">
        <f t="array" ref="E68">INDEX(PWR_Lab!$A$2:$A$126,AX68)</f>
        <v>KEHYDT01</v>
      </c>
      <c r="F68" s="3" t="s">
        <v>28</v>
      </c>
      <c r="G68" s="3" t="s">
        <v>28</v>
      </c>
      <c r="H68" s="3" t="s">
        <v>28</v>
      </c>
      <c r="I68" s="3">
        <v>3</v>
      </c>
      <c r="J68" s="3" cm="1">
        <f t="array" ref="J68">-INDEX(PWR_Lab!$F$2:$H$126,AX68,AY68)</f>
        <v>-0.36715999999999999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27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X68" s="3">
        <f t="shared" si="0"/>
        <v>20</v>
      </c>
      <c r="AY68" s="3">
        <f t="shared" si="1"/>
        <v>1</v>
      </c>
    </row>
    <row r="69" spans="2:51" x14ac:dyDescent="0.25">
      <c r="B69" s="3" t="s">
        <v>30</v>
      </c>
      <c r="C69" s="3" t="str">
        <f>C66</f>
        <v>UCPWR_FLAB-P</v>
      </c>
      <c r="D69" s="3" t="s">
        <v>29</v>
      </c>
      <c r="E69" s="3" t="str" cm="1">
        <f t="array" ref="E69">INDEX(PWR_Lab!$A$2:$A$126,AX69)</f>
        <v>KEHYDT01</v>
      </c>
      <c r="F69" s="3" t="s">
        <v>28</v>
      </c>
      <c r="G69" s="3" t="s">
        <v>28</v>
      </c>
      <c r="H69" s="3" t="s">
        <v>28</v>
      </c>
      <c r="I69" s="3">
        <v>3</v>
      </c>
      <c r="J69" s="3" cm="1">
        <f t="array" ref="J69">-INDEX(PWR_Lab!$F$2:$H$126,AX69,AY69)</f>
        <v>-0.37652999999999998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27</v>
      </c>
      <c r="AM69" s="3" t="s">
        <v>27</v>
      </c>
      <c r="AN69" s="3" t="s">
        <v>27</v>
      </c>
      <c r="AO69" s="3" t="s">
        <v>27</v>
      </c>
      <c r="AP69" s="3" t="s">
        <v>27</v>
      </c>
      <c r="AX69" s="3">
        <f t="shared" si="0"/>
        <v>20</v>
      </c>
      <c r="AY69" s="3">
        <f t="shared" si="1"/>
        <v>2</v>
      </c>
    </row>
    <row r="70" spans="2:51" x14ac:dyDescent="0.25">
      <c r="B70" s="3" t="s">
        <v>30</v>
      </c>
      <c r="C70" s="3" t="str">
        <f>C67</f>
        <v>UCPWR_FLAB-S</v>
      </c>
      <c r="D70" s="3" t="s">
        <v>29</v>
      </c>
      <c r="E70" s="3" t="str" cm="1">
        <f t="array" ref="E70">INDEX(PWR_Lab!$A$2:$A$126,AX70)</f>
        <v>KEHYDT01</v>
      </c>
      <c r="F70" s="3" t="s">
        <v>28</v>
      </c>
      <c r="G70" s="3" t="s">
        <v>28</v>
      </c>
      <c r="H70" s="3" t="s">
        <v>28</v>
      </c>
      <c r="I70" s="3">
        <v>3</v>
      </c>
      <c r="J70" s="3" cm="1">
        <f t="array" ref="J70">-INDEX(PWR_Lab!$F$2:$H$126,AX70,AY70)</f>
        <v>-0.36501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X70" s="3">
        <f t="shared" si="0"/>
        <v>20</v>
      </c>
      <c r="AY70" s="3">
        <f t="shared" si="1"/>
        <v>3</v>
      </c>
    </row>
    <row r="71" spans="2:51" x14ac:dyDescent="0.25">
      <c r="B71" s="3" t="s">
        <v>30</v>
      </c>
      <c r="C71" s="3" t="str">
        <f>C68</f>
        <v>UCPWR_FLAB-N</v>
      </c>
      <c r="D71" s="3" t="s">
        <v>29</v>
      </c>
      <c r="E71" s="3" t="str" cm="1">
        <f t="array" ref="E71">INDEX(PWR_Lab!$A$2:$A$126,AX71)</f>
        <v>KEHYDT02</v>
      </c>
      <c r="F71" s="3" t="s">
        <v>28</v>
      </c>
      <c r="G71" s="3" t="s">
        <v>28</v>
      </c>
      <c r="H71" s="3" t="s">
        <v>28</v>
      </c>
      <c r="I71" s="3">
        <v>3</v>
      </c>
      <c r="J71" s="3" cm="1">
        <f t="array" ref="J71">-INDEX(PWR_Lab!$F$2:$H$126,AX71,AY71)</f>
        <v>-0.36715999999999999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X71" s="3">
        <f t="shared" si="0"/>
        <v>21</v>
      </c>
      <c r="AY71" s="3">
        <f t="shared" si="1"/>
        <v>1</v>
      </c>
    </row>
    <row r="72" spans="2:51" x14ac:dyDescent="0.25">
      <c r="B72" s="3" t="s">
        <v>30</v>
      </c>
      <c r="C72" s="3" t="str">
        <f>C69</f>
        <v>UCPWR_FLAB-P</v>
      </c>
      <c r="D72" s="3" t="s">
        <v>29</v>
      </c>
      <c r="E72" s="3" t="str" cm="1">
        <f t="array" ref="E72">INDEX(PWR_Lab!$A$2:$A$126,AX72)</f>
        <v>KEHYDT02</v>
      </c>
      <c r="F72" s="3" t="s">
        <v>28</v>
      </c>
      <c r="G72" s="3" t="s">
        <v>28</v>
      </c>
      <c r="H72" s="3" t="s">
        <v>28</v>
      </c>
      <c r="I72" s="3">
        <v>3</v>
      </c>
      <c r="J72" s="3" cm="1">
        <f t="array" ref="J72">-INDEX(PWR_Lab!$F$2:$H$126,AX72,AY72)</f>
        <v>-0.37652999999999998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X72" s="3">
        <f t="shared" si="0"/>
        <v>21</v>
      </c>
      <c r="AY72" s="3">
        <f t="shared" si="1"/>
        <v>2</v>
      </c>
    </row>
    <row r="73" spans="2:51" x14ac:dyDescent="0.25">
      <c r="B73" s="3" t="s">
        <v>30</v>
      </c>
      <c r="C73" s="3" t="str">
        <f>C70</f>
        <v>UCPWR_FLAB-S</v>
      </c>
      <c r="D73" s="3" t="s">
        <v>29</v>
      </c>
      <c r="E73" s="3" t="str" cm="1">
        <f t="array" ref="E73">INDEX(PWR_Lab!$A$2:$A$126,AX73)</f>
        <v>KEHYDT02</v>
      </c>
      <c r="F73" s="3" t="s">
        <v>28</v>
      </c>
      <c r="G73" s="3" t="s">
        <v>28</v>
      </c>
      <c r="H73" s="3" t="s">
        <v>28</v>
      </c>
      <c r="I73" s="3">
        <v>3</v>
      </c>
      <c r="J73" s="3" cm="1">
        <f t="array" ref="J73">-INDEX(PWR_Lab!$F$2:$H$126,AX73,AY73)</f>
        <v>-0.36501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X73" s="3">
        <f t="shared" si="0"/>
        <v>21</v>
      </c>
      <c r="AY73" s="3">
        <f t="shared" si="1"/>
        <v>3</v>
      </c>
    </row>
    <row r="74" spans="2:51" x14ac:dyDescent="0.25">
      <c r="B74" s="3" t="s">
        <v>30</v>
      </c>
      <c r="C74" s="3" t="str">
        <f>C71</f>
        <v>UCPWR_FLAB-N</v>
      </c>
      <c r="D74" s="3" t="s">
        <v>29</v>
      </c>
      <c r="E74" s="3" t="str" cm="1">
        <f t="array" ref="E74">INDEX(PWR_Lab!$A$2:$A$126,AX74)</f>
        <v>KEHYDT03</v>
      </c>
      <c r="F74" s="3" t="s">
        <v>28</v>
      </c>
      <c r="G74" s="3" t="s">
        <v>28</v>
      </c>
      <c r="H74" s="3" t="s">
        <v>28</v>
      </c>
      <c r="I74" s="3">
        <v>3</v>
      </c>
      <c r="J74" s="3" cm="1">
        <f t="array" ref="J74">-INDEX(PWR_Lab!$F$2:$H$126,AX74,AY74)</f>
        <v>-0.36715999999999999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X74" s="3">
        <f t="shared" si="0"/>
        <v>22</v>
      </c>
      <c r="AY74" s="3">
        <f t="shared" si="1"/>
        <v>1</v>
      </c>
    </row>
    <row r="75" spans="2:51" x14ac:dyDescent="0.25">
      <c r="B75" s="3" t="s">
        <v>30</v>
      </c>
      <c r="C75" s="3" t="str">
        <f>C72</f>
        <v>UCPWR_FLAB-P</v>
      </c>
      <c r="D75" s="3" t="s">
        <v>29</v>
      </c>
      <c r="E75" s="3" t="str" cm="1">
        <f t="array" ref="E75">INDEX(PWR_Lab!$A$2:$A$126,AX75)</f>
        <v>KEHYDT03</v>
      </c>
      <c r="F75" s="3" t="s">
        <v>28</v>
      </c>
      <c r="G75" s="3" t="s">
        <v>28</v>
      </c>
      <c r="H75" s="3" t="s">
        <v>28</v>
      </c>
      <c r="I75" s="3">
        <v>3</v>
      </c>
      <c r="J75" s="3" cm="1">
        <f t="array" ref="J75">-INDEX(PWR_Lab!$F$2:$H$126,AX75,AY75)</f>
        <v>-0.37652999999999998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X75" s="3">
        <f t="shared" si="0"/>
        <v>22</v>
      </c>
      <c r="AY75" s="3">
        <f t="shared" si="1"/>
        <v>2</v>
      </c>
    </row>
    <row r="76" spans="2:51" x14ac:dyDescent="0.25">
      <c r="B76" s="3" t="s">
        <v>30</v>
      </c>
      <c r="C76" s="3" t="str">
        <f>C73</f>
        <v>UCPWR_FLAB-S</v>
      </c>
      <c r="D76" s="3" t="s">
        <v>29</v>
      </c>
      <c r="E76" s="3" t="str" cm="1">
        <f t="array" ref="E76">INDEX(PWR_Lab!$A$2:$A$126,AX76)</f>
        <v>KEHYDT03</v>
      </c>
      <c r="F76" s="3" t="s">
        <v>28</v>
      </c>
      <c r="G76" s="3" t="s">
        <v>28</v>
      </c>
      <c r="H76" s="3" t="s">
        <v>28</v>
      </c>
      <c r="I76" s="3">
        <v>3</v>
      </c>
      <c r="J76" s="3" cm="1">
        <f t="array" ref="J76">-INDEX(PWR_Lab!$F$2:$H$126,AX76,AY76)</f>
        <v>-0.36501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27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X76" s="3">
        <f t="shared" si="0"/>
        <v>22</v>
      </c>
      <c r="AY76" s="3">
        <f t="shared" si="1"/>
        <v>3</v>
      </c>
    </row>
    <row r="77" spans="2:51" x14ac:dyDescent="0.25">
      <c r="B77" s="3" t="s">
        <v>30</v>
      </c>
      <c r="C77" s="3" t="str">
        <f>C74</f>
        <v>UCPWR_FLAB-N</v>
      </c>
      <c r="D77" s="3" t="s">
        <v>29</v>
      </c>
      <c r="E77" s="3" t="str" cm="1">
        <f t="array" ref="E77">INDEX(PWR_Lab!$A$2:$A$126,AX77)</f>
        <v>KEHYRO00</v>
      </c>
      <c r="F77" s="3" t="s">
        <v>28</v>
      </c>
      <c r="G77" s="3" t="s">
        <v>28</v>
      </c>
      <c r="H77" s="3" t="s">
        <v>28</v>
      </c>
      <c r="I77" s="3">
        <v>3</v>
      </c>
      <c r="J77" s="3" cm="1">
        <f t="array" ref="J77">-INDEX(PWR_Lab!$F$2:$H$126,AX77,AY77)</f>
        <v>-0.36715999999999999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27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X77" s="3">
        <f t="shared" si="0"/>
        <v>23</v>
      </c>
      <c r="AY77" s="3">
        <f t="shared" si="1"/>
        <v>1</v>
      </c>
    </row>
    <row r="78" spans="2:51" x14ac:dyDescent="0.25">
      <c r="B78" s="3" t="s">
        <v>30</v>
      </c>
      <c r="C78" s="3" t="str">
        <f>C75</f>
        <v>UCPWR_FLAB-P</v>
      </c>
      <c r="D78" s="3" t="s">
        <v>29</v>
      </c>
      <c r="E78" s="3" t="str" cm="1">
        <f t="array" ref="E78">INDEX(PWR_Lab!$A$2:$A$126,AX78)</f>
        <v>KEHYRO00</v>
      </c>
      <c r="F78" s="3" t="s">
        <v>28</v>
      </c>
      <c r="G78" s="3" t="s">
        <v>28</v>
      </c>
      <c r="H78" s="3" t="s">
        <v>28</v>
      </c>
      <c r="I78" s="3">
        <v>3</v>
      </c>
      <c r="J78" s="3" cm="1">
        <f t="array" ref="J78">-INDEX(PWR_Lab!$F$2:$H$126,AX78,AY78)</f>
        <v>-0.37652999999999998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X78" s="3">
        <f t="shared" ref="AX78:AX141" si="2">IF(AY77=$AY$6,AX77+1,AX77)</f>
        <v>23</v>
      </c>
      <c r="AY78" s="3">
        <f t="shared" ref="AY78:AY141" si="3">IF(AY77=$AY$6,1,AY77+1)</f>
        <v>2</v>
      </c>
    </row>
    <row r="79" spans="2:51" x14ac:dyDescent="0.25">
      <c r="B79" s="3" t="s">
        <v>30</v>
      </c>
      <c r="C79" s="3" t="str">
        <f>C76</f>
        <v>UCPWR_FLAB-S</v>
      </c>
      <c r="D79" s="3" t="s">
        <v>29</v>
      </c>
      <c r="E79" s="3" t="str" cm="1">
        <f t="array" ref="E79">INDEX(PWR_Lab!$A$2:$A$126,AX79)</f>
        <v>KEHYRO00</v>
      </c>
      <c r="F79" s="3" t="s">
        <v>28</v>
      </c>
      <c r="G79" s="3" t="s">
        <v>28</v>
      </c>
      <c r="H79" s="3" t="s">
        <v>28</v>
      </c>
      <c r="I79" s="3">
        <v>3</v>
      </c>
      <c r="J79" s="3" cm="1">
        <f t="array" ref="J79">-INDEX(PWR_Lab!$F$2:$H$126,AX79,AY79)</f>
        <v>-0.36501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X79" s="3">
        <f t="shared" si="2"/>
        <v>23</v>
      </c>
      <c r="AY79" s="3">
        <f t="shared" si="3"/>
        <v>3</v>
      </c>
    </row>
    <row r="80" spans="2:51" x14ac:dyDescent="0.25">
      <c r="B80" s="3" t="s">
        <v>30</v>
      </c>
      <c r="C80" s="3" t="str">
        <f>C77</f>
        <v>UCPWR_FLAB-N</v>
      </c>
      <c r="D80" s="3" t="s">
        <v>29</v>
      </c>
      <c r="E80" s="3" t="str" cm="1">
        <f t="array" ref="E80">INDEX(PWR_Lab!$A$2:$A$126,AX80)</f>
        <v>KEHYRO04</v>
      </c>
      <c r="F80" s="3" t="s">
        <v>28</v>
      </c>
      <c r="G80" s="3" t="s">
        <v>28</v>
      </c>
      <c r="H80" s="3" t="s">
        <v>28</v>
      </c>
      <c r="I80" s="3">
        <v>3</v>
      </c>
      <c r="J80" s="3" cm="1">
        <f t="array" ref="J80">-INDEX(PWR_Lab!$F$2:$H$126,AX80,AY80)</f>
        <v>-0.36715999999999999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27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X80" s="3">
        <f t="shared" si="2"/>
        <v>24</v>
      </c>
      <c r="AY80" s="3">
        <f t="shared" si="3"/>
        <v>1</v>
      </c>
    </row>
    <row r="81" spans="2:51" x14ac:dyDescent="0.25">
      <c r="B81" s="3" t="s">
        <v>30</v>
      </c>
      <c r="C81" s="3" t="str">
        <f>C78</f>
        <v>UCPWR_FLAB-P</v>
      </c>
      <c r="D81" s="3" t="s">
        <v>29</v>
      </c>
      <c r="E81" s="3" t="str" cm="1">
        <f t="array" ref="E81">INDEX(PWR_Lab!$A$2:$A$126,AX81)</f>
        <v>KEHYRO04</v>
      </c>
      <c r="F81" s="3" t="s">
        <v>28</v>
      </c>
      <c r="G81" s="3" t="s">
        <v>28</v>
      </c>
      <c r="H81" s="3" t="s">
        <v>28</v>
      </c>
      <c r="I81" s="3">
        <v>3</v>
      </c>
      <c r="J81" s="3" cm="1">
        <f t="array" ref="J81">-INDEX(PWR_Lab!$F$2:$H$126,AX81,AY81)</f>
        <v>-0.37652999999999998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X81" s="3">
        <f t="shared" si="2"/>
        <v>24</v>
      </c>
      <c r="AY81" s="3">
        <f t="shared" si="3"/>
        <v>2</v>
      </c>
    </row>
    <row r="82" spans="2:51" x14ac:dyDescent="0.25">
      <c r="B82" s="3" t="s">
        <v>30</v>
      </c>
      <c r="C82" s="3" t="str">
        <f>C79</f>
        <v>UCPWR_FLAB-S</v>
      </c>
      <c r="D82" s="3" t="s">
        <v>29</v>
      </c>
      <c r="E82" s="3" t="str" cm="1">
        <f t="array" ref="E82">INDEX(PWR_Lab!$A$2:$A$126,AX82)</f>
        <v>KEHYRO04</v>
      </c>
      <c r="F82" s="3" t="s">
        <v>28</v>
      </c>
      <c r="G82" s="3" t="s">
        <v>28</v>
      </c>
      <c r="H82" s="3" t="s">
        <v>28</v>
      </c>
      <c r="I82" s="3">
        <v>3</v>
      </c>
      <c r="J82" s="3" cm="1">
        <f t="array" ref="J82">-INDEX(PWR_Lab!$F$2:$H$126,AX82,AY82)</f>
        <v>-0.36501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27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X82" s="3">
        <f t="shared" si="2"/>
        <v>24</v>
      </c>
      <c r="AY82" s="3">
        <f t="shared" si="3"/>
        <v>3</v>
      </c>
    </row>
    <row r="83" spans="2:51" x14ac:dyDescent="0.25">
      <c r="B83" s="3" t="s">
        <v>30</v>
      </c>
      <c r="C83" s="3" t="str">
        <f>C80</f>
        <v>UCPWR_FLAB-N</v>
      </c>
      <c r="D83" s="3" t="s">
        <v>29</v>
      </c>
      <c r="E83" s="3" t="str" cm="1">
        <f t="array" ref="E83">INDEX(PWR_Lab!$A$2:$A$126,AX83)</f>
        <v>KEHYRO05</v>
      </c>
      <c r="F83" s="3" t="s">
        <v>28</v>
      </c>
      <c r="G83" s="3" t="s">
        <v>28</v>
      </c>
      <c r="H83" s="3" t="s">
        <v>28</v>
      </c>
      <c r="I83" s="3">
        <v>3</v>
      </c>
      <c r="J83" s="3" cm="1">
        <f t="array" ref="J83">-INDEX(PWR_Lab!$F$2:$H$126,AX83,AY83)</f>
        <v>-0.36715999999999999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27</v>
      </c>
      <c r="AB83" s="3" t="s">
        <v>27</v>
      </c>
      <c r="AC83" s="3" t="s">
        <v>27</v>
      </c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X83" s="3">
        <f t="shared" si="2"/>
        <v>25</v>
      </c>
      <c r="AY83" s="3">
        <f t="shared" si="3"/>
        <v>1</v>
      </c>
    </row>
    <row r="84" spans="2:51" x14ac:dyDescent="0.25">
      <c r="B84" s="3" t="s">
        <v>30</v>
      </c>
      <c r="C84" s="3" t="str">
        <f>C81</f>
        <v>UCPWR_FLAB-P</v>
      </c>
      <c r="D84" s="3" t="s">
        <v>29</v>
      </c>
      <c r="E84" s="3" t="str" cm="1">
        <f t="array" ref="E84">INDEX(PWR_Lab!$A$2:$A$126,AX84)</f>
        <v>KEHYRO05</v>
      </c>
      <c r="F84" s="3" t="s">
        <v>28</v>
      </c>
      <c r="G84" s="3" t="s">
        <v>28</v>
      </c>
      <c r="H84" s="3" t="s">
        <v>28</v>
      </c>
      <c r="I84" s="3">
        <v>3</v>
      </c>
      <c r="J84" s="3" cm="1">
        <f t="array" ref="J84">-INDEX(PWR_Lab!$F$2:$H$126,AX84,AY84)</f>
        <v>-0.37652999999999998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27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X84" s="3">
        <f t="shared" si="2"/>
        <v>25</v>
      </c>
      <c r="AY84" s="3">
        <f t="shared" si="3"/>
        <v>2</v>
      </c>
    </row>
    <row r="85" spans="2:51" x14ac:dyDescent="0.25">
      <c r="B85" s="3" t="s">
        <v>30</v>
      </c>
      <c r="C85" s="3" t="str">
        <f>C82</f>
        <v>UCPWR_FLAB-S</v>
      </c>
      <c r="D85" s="3" t="s">
        <v>29</v>
      </c>
      <c r="E85" s="3" t="str" cm="1">
        <f t="array" ref="E85">INDEX(PWR_Lab!$A$2:$A$126,AX85)</f>
        <v>KEHYRO05</v>
      </c>
      <c r="F85" s="3" t="s">
        <v>28</v>
      </c>
      <c r="G85" s="3" t="s">
        <v>28</v>
      </c>
      <c r="H85" s="3" t="s">
        <v>28</v>
      </c>
      <c r="I85" s="3">
        <v>3</v>
      </c>
      <c r="J85" s="3" cm="1">
        <f t="array" ref="J85">-INDEX(PWR_Lab!$F$2:$H$126,AX85,AY85)</f>
        <v>-0.36501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27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27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X85" s="3">
        <f t="shared" si="2"/>
        <v>25</v>
      </c>
      <c r="AY85" s="3">
        <f t="shared" si="3"/>
        <v>3</v>
      </c>
    </row>
    <row r="86" spans="2:51" x14ac:dyDescent="0.25">
      <c r="B86" s="3" t="s">
        <v>30</v>
      </c>
      <c r="C86" s="3" t="str">
        <f>C83</f>
        <v>UCPWR_FLAB-N</v>
      </c>
      <c r="D86" s="3" t="s">
        <v>29</v>
      </c>
      <c r="E86" s="3" t="str" cm="1">
        <f t="array" ref="E86">INDEX(PWR_Lab!$A$2:$A$126,AX86)</f>
        <v>KEHYRO06</v>
      </c>
      <c r="F86" s="3" t="s">
        <v>28</v>
      </c>
      <c r="G86" s="3" t="s">
        <v>28</v>
      </c>
      <c r="H86" s="3" t="s">
        <v>28</v>
      </c>
      <c r="I86" s="3">
        <v>3</v>
      </c>
      <c r="J86" s="3" cm="1">
        <f t="array" ref="J86">-INDEX(PWR_Lab!$F$2:$H$126,AX86,AY86)</f>
        <v>-0.36715999999999999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27</v>
      </c>
      <c r="AB86" s="3" t="s">
        <v>27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27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X86" s="3">
        <f t="shared" si="2"/>
        <v>26</v>
      </c>
      <c r="AY86" s="3">
        <f t="shared" si="3"/>
        <v>1</v>
      </c>
    </row>
    <row r="87" spans="2:51" x14ac:dyDescent="0.25">
      <c r="B87" s="3" t="s">
        <v>30</v>
      </c>
      <c r="C87" s="3" t="str">
        <f>C84</f>
        <v>UCPWR_FLAB-P</v>
      </c>
      <c r="D87" s="3" t="s">
        <v>29</v>
      </c>
      <c r="E87" s="3" t="str" cm="1">
        <f t="array" ref="E87">INDEX(PWR_Lab!$A$2:$A$126,AX87)</f>
        <v>KEHYRO06</v>
      </c>
      <c r="F87" s="3" t="s">
        <v>28</v>
      </c>
      <c r="G87" s="3" t="s">
        <v>28</v>
      </c>
      <c r="H87" s="3" t="s">
        <v>28</v>
      </c>
      <c r="I87" s="3">
        <v>3</v>
      </c>
      <c r="J87" s="3" cm="1">
        <f t="array" ref="J87">-INDEX(PWR_Lab!$F$2:$H$126,AX87,AY87)</f>
        <v>-0.37652999999999998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27</v>
      </c>
      <c r="AB87" s="3" t="s">
        <v>27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27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X87" s="3">
        <f t="shared" si="2"/>
        <v>26</v>
      </c>
      <c r="AY87" s="3">
        <f t="shared" si="3"/>
        <v>2</v>
      </c>
    </row>
    <row r="88" spans="2:51" x14ac:dyDescent="0.25">
      <c r="B88" s="3" t="s">
        <v>30</v>
      </c>
      <c r="C88" s="3" t="str">
        <f>C85</f>
        <v>UCPWR_FLAB-S</v>
      </c>
      <c r="D88" s="3" t="s">
        <v>29</v>
      </c>
      <c r="E88" s="3" t="str" cm="1">
        <f t="array" ref="E88">INDEX(PWR_Lab!$A$2:$A$126,AX88)</f>
        <v>KEHYRO06</v>
      </c>
      <c r="F88" s="3" t="s">
        <v>28</v>
      </c>
      <c r="G88" s="3" t="s">
        <v>28</v>
      </c>
      <c r="H88" s="3" t="s">
        <v>28</v>
      </c>
      <c r="I88" s="3">
        <v>3</v>
      </c>
      <c r="J88" s="3" cm="1">
        <f t="array" ref="J88">-INDEX(PWR_Lab!$F$2:$H$126,AX88,AY88)</f>
        <v>-0.36501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27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X88" s="3">
        <f t="shared" si="2"/>
        <v>26</v>
      </c>
      <c r="AY88" s="3">
        <f t="shared" si="3"/>
        <v>3</v>
      </c>
    </row>
    <row r="89" spans="2:51" x14ac:dyDescent="0.25">
      <c r="B89" s="3" t="s">
        <v>30</v>
      </c>
      <c r="C89" s="3" t="str">
        <f>C86</f>
        <v>UCPWR_FLAB-N</v>
      </c>
      <c r="D89" s="3" t="s">
        <v>29</v>
      </c>
      <c r="E89" s="3" t="str" cm="1">
        <f t="array" ref="E89">INDEX(PWR_Lab!$A$2:$A$126,AX89)</f>
        <v>KEHYRO07</v>
      </c>
      <c r="F89" s="3" t="s">
        <v>28</v>
      </c>
      <c r="G89" s="3" t="s">
        <v>28</v>
      </c>
      <c r="H89" s="3" t="s">
        <v>28</v>
      </c>
      <c r="I89" s="3">
        <v>3</v>
      </c>
      <c r="J89" s="3" cm="1">
        <f t="array" ref="J89">-INDEX(PWR_Lab!$F$2:$H$126,AX89,AY89)</f>
        <v>-0.36715999999999999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X89" s="3">
        <f t="shared" si="2"/>
        <v>27</v>
      </c>
      <c r="AY89" s="3">
        <f t="shared" si="3"/>
        <v>1</v>
      </c>
    </row>
    <row r="90" spans="2:51" x14ac:dyDescent="0.25">
      <c r="B90" s="3" t="s">
        <v>30</v>
      </c>
      <c r="C90" s="3" t="str">
        <f>C87</f>
        <v>UCPWR_FLAB-P</v>
      </c>
      <c r="D90" s="3" t="s">
        <v>29</v>
      </c>
      <c r="E90" s="3" t="str" cm="1">
        <f t="array" ref="E90">INDEX(PWR_Lab!$A$2:$A$126,AX90)</f>
        <v>KEHYRO07</v>
      </c>
      <c r="F90" s="3" t="s">
        <v>28</v>
      </c>
      <c r="G90" s="3" t="s">
        <v>28</v>
      </c>
      <c r="H90" s="3" t="s">
        <v>28</v>
      </c>
      <c r="I90" s="3">
        <v>3</v>
      </c>
      <c r="J90" s="3" cm="1">
        <f t="array" ref="J90">-INDEX(PWR_Lab!$F$2:$H$126,AX90,AY90)</f>
        <v>-0.37652999999999998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X90" s="3">
        <f t="shared" si="2"/>
        <v>27</v>
      </c>
      <c r="AY90" s="3">
        <f t="shared" si="3"/>
        <v>2</v>
      </c>
    </row>
    <row r="91" spans="2:51" x14ac:dyDescent="0.25">
      <c r="B91" s="3" t="s">
        <v>30</v>
      </c>
      <c r="C91" s="3" t="str">
        <f>C88</f>
        <v>UCPWR_FLAB-S</v>
      </c>
      <c r="D91" s="3" t="s">
        <v>29</v>
      </c>
      <c r="E91" s="3" t="str" cm="1">
        <f t="array" ref="E91">INDEX(PWR_Lab!$A$2:$A$126,AX91)</f>
        <v>KEHYRO07</v>
      </c>
      <c r="F91" s="3" t="s">
        <v>28</v>
      </c>
      <c r="G91" s="3" t="s">
        <v>28</v>
      </c>
      <c r="H91" s="3" t="s">
        <v>28</v>
      </c>
      <c r="I91" s="3">
        <v>3</v>
      </c>
      <c r="J91" s="3" cm="1">
        <f t="array" ref="J91">-INDEX(PWR_Lab!$F$2:$H$126,AX91,AY91)</f>
        <v>-0.36501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27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X91" s="3">
        <f t="shared" si="2"/>
        <v>27</v>
      </c>
      <c r="AY91" s="3">
        <f t="shared" si="3"/>
        <v>3</v>
      </c>
    </row>
    <row r="92" spans="2:51" x14ac:dyDescent="0.25">
      <c r="B92" s="3" t="s">
        <v>30</v>
      </c>
      <c r="C92" s="3" t="str">
        <f>C89</f>
        <v>UCPWR_FLAB-N</v>
      </c>
      <c r="D92" s="3" t="s">
        <v>29</v>
      </c>
      <c r="E92" s="3" t="str" cm="1">
        <f t="array" ref="E92">INDEX(PWR_Lab!$A$2:$A$126,AX92)</f>
        <v>KEHYRO08</v>
      </c>
      <c r="F92" s="3" t="s">
        <v>28</v>
      </c>
      <c r="G92" s="3" t="s">
        <v>28</v>
      </c>
      <c r="H92" s="3" t="s">
        <v>28</v>
      </c>
      <c r="I92" s="3">
        <v>3</v>
      </c>
      <c r="J92" s="3" cm="1">
        <f t="array" ref="J92">-INDEX(PWR_Lab!$F$2:$H$126,AX92,AY92)</f>
        <v>-0.36715999999999999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X92" s="3">
        <f t="shared" si="2"/>
        <v>28</v>
      </c>
      <c r="AY92" s="3">
        <f t="shared" si="3"/>
        <v>1</v>
      </c>
    </row>
    <row r="93" spans="2:51" x14ac:dyDescent="0.25">
      <c r="B93" s="3" t="s">
        <v>30</v>
      </c>
      <c r="C93" s="3" t="str">
        <f>C90</f>
        <v>UCPWR_FLAB-P</v>
      </c>
      <c r="D93" s="3" t="s">
        <v>29</v>
      </c>
      <c r="E93" s="3" t="str" cm="1">
        <f t="array" ref="E93">INDEX(PWR_Lab!$A$2:$A$126,AX93)</f>
        <v>KEHYRO08</v>
      </c>
      <c r="F93" s="3" t="s">
        <v>28</v>
      </c>
      <c r="G93" s="3" t="s">
        <v>28</v>
      </c>
      <c r="H93" s="3" t="s">
        <v>28</v>
      </c>
      <c r="I93" s="3">
        <v>3</v>
      </c>
      <c r="J93" s="3" cm="1">
        <f t="array" ref="J93">-INDEX(PWR_Lab!$F$2:$H$126,AX93,AY93)</f>
        <v>-0.37652999999999998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X93" s="3">
        <f t="shared" si="2"/>
        <v>28</v>
      </c>
      <c r="AY93" s="3">
        <f t="shared" si="3"/>
        <v>2</v>
      </c>
    </row>
    <row r="94" spans="2:51" x14ac:dyDescent="0.25">
      <c r="B94" s="3" t="s">
        <v>30</v>
      </c>
      <c r="C94" s="3" t="str">
        <f>C91</f>
        <v>UCPWR_FLAB-S</v>
      </c>
      <c r="D94" s="3" t="s">
        <v>29</v>
      </c>
      <c r="E94" s="3" t="str" cm="1">
        <f t="array" ref="E94">INDEX(PWR_Lab!$A$2:$A$126,AX94)</f>
        <v>KEHYRO08</v>
      </c>
      <c r="F94" s="3" t="s">
        <v>28</v>
      </c>
      <c r="G94" s="3" t="s">
        <v>28</v>
      </c>
      <c r="H94" s="3" t="s">
        <v>28</v>
      </c>
      <c r="I94" s="3">
        <v>3</v>
      </c>
      <c r="J94" s="3" cm="1">
        <f t="array" ref="J94">-INDEX(PWR_Lab!$F$2:$H$126,AX94,AY94)</f>
        <v>-0.36501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X94" s="3">
        <f t="shared" si="2"/>
        <v>28</v>
      </c>
      <c r="AY94" s="3">
        <f t="shared" si="3"/>
        <v>3</v>
      </c>
    </row>
    <row r="95" spans="2:51" x14ac:dyDescent="0.25">
      <c r="B95" s="3" t="s">
        <v>30</v>
      </c>
      <c r="C95" s="3" t="str">
        <f>C92</f>
        <v>UCPWR_FLAB-N</v>
      </c>
      <c r="D95" s="3" t="s">
        <v>29</v>
      </c>
      <c r="E95" s="3" t="str" cm="1">
        <f t="array" ref="E95">INDEX(PWR_Lab!$A$2:$A$126,AX95)</f>
        <v>KEHYRO10</v>
      </c>
      <c r="F95" s="3" t="s">
        <v>28</v>
      </c>
      <c r="G95" s="3" t="s">
        <v>28</v>
      </c>
      <c r="H95" s="3" t="s">
        <v>28</v>
      </c>
      <c r="I95" s="3">
        <v>3</v>
      </c>
      <c r="J95" s="3" cm="1">
        <f t="array" ref="J95">-INDEX(PWR_Lab!$F$2:$H$126,AX95,AY95)</f>
        <v>-0.36715999999999999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X95" s="3">
        <f t="shared" si="2"/>
        <v>29</v>
      </c>
      <c r="AY95" s="3">
        <f t="shared" si="3"/>
        <v>1</v>
      </c>
    </row>
    <row r="96" spans="2:51" x14ac:dyDescent="0.25">
      <c r="B96" s="3" t="s">
        <v>30</v>
      </c>
      <c r="C96" s="3" t="str">
        <f>C93</f>
        <v>UCPWR_FLAB-P</v>
      </c>
      <c r="D96" s="3" t="s">
        <v>29</v>
      </c>
      <c r="E96" s="3" t="str" cm="1">
        <f t="array" ref="E96">INDEX(PWR_Lab!$A$2:$A$126,AX96)</f>
        <v>KEHYRO10</v>
      </c>
      <c r="F96" s="3" t="s">
        <v>28</v>
      </c>
      <c r="G96" s="3" t="s">
        <v>28</v>
      </c>
      <c r="H96" s="3" t="s">
        <v>28</v>
      </c>
      <c r="I96" s="3">
        <v>3</v>
      </c>
      <c r="J96" s="3" cm="1">
        <f t="array" ref="J96">-INDEX(PWR_Lab!$F$2:$H$126,AX96,AY96)</f>
        <v>-0.37652999999999998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X96" s="3">
        <f t="shared" si="2"/>
        <v>29</v>
      </c>
      <c r="AY96" s="3">
        <f t="shared" si="3"/>
        <v>2</v>
      </c>
    </row>
    <row r="97" spans="2:51" x14ac:dyDescent="0.25">
      <c r="B97" s="3" t="s">
        <v>30</v>
      </c>
      <c r="C97" s="3" t="str">
        <f>C94</f>
        <v>UCPWR_FLAB-S</v>
      </c>
      <c r="D97" s="3" t="s">
        <v>29</v>
      </c>
      <c r="E97" s="3" t="str" cm="1">
        <f t="array" ref="E97">INDEX(PWR_Lab!$A$2:$A$126,AX97)</f>
        <v>KEHYRO10</v>
      </c>
      <c r="F97" s="3" t="s">
        <v>28</v>
      </c>
      <c r="G97" s="3" t="s">
        <v>28</v>
      </c>
      <c r="H97" s="3" t="s">
        <v>28</v>
      </c>
      <c r="I97" s="3">
        <v>3</v>
      </c>
      <c r="J97" s="3" cm="1">
        <f t="array" ref="J97">-INDEX(PWR_Lab!$F$2:$H$126,AX97,AY97)</f>
        <v>-0.36501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27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X97" s="3">
        <f t="shared" si="2"/>
        <v>29</v>
      </c>
      <c r="AY97" s="3">
        <f t="shared" si="3"/>
        <v>3</v>
      </c>
    </row>
    <row r="98" spans="2:51" x14ac:dyDescent="0.25">
      <c r="B98" s="3" t="s">
        <v>30</v>
      </c>
      <c r="C98" s="3" t="str">
        <f>C95</f>
        <v>UCPWR_FLAB-N</v>
      </c>
      <c r="D98" s="3" t="s">
        <v>29</v>
      </c>
      <c r="E98" s="3" t="str" cm="1">
        <f t="array" ref="E98">INDEX(PWR_Lab!$A$2:$A$126,AX98)</f>
        <v>KEHYRO20</v>
      </c>
      <c r="F98" s="3" t="s">
        <v>28</v>
      </c>
      <c r="G98" s="3" t="s">
        <v>28</v>
      </c>
      <c r="H98" s="3" t="s">
        <v>28</v>
      </c>
      <c r="I98" s="3">
        <v>3</v>
      </c>
      <c r="J98" s="3" cm="1">
        <f t="array" ref="J98">-INDEX(PWR_Lab!$F$2:$H$126,AX98,AY98)</f>
        <v>-0.36715999999999999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X98" s="3">
        <f t="shared" si="2"/>
        <v>30</v>
      </c>
      <c r="AY98" s="3">
        <f t="shared" si="3"/>
        <v>1</v>
      </c>
    </row>
    <row r="99" spans="2:51" x14ac:dyDescent="0.25">
      <c r="B99" s="3" t="s">
        <v>30</v>
      </c>
      <c r="C99" s="3" t="str">
        <f>C96</f>
        <v>UCPWR_FLAB-P</v>
      </c>
      <c r="D99" s="3" t="s">
        <v>29</v>
      </c>
      <c r="E99" s="3" t="str" cm="1">
        <f t="array" ref="E99">INDEX(PWR_Lab!$A$2:$A$126,AX99)</f>
        <v>KEHYRO20</v>
      </c>
      <c r="F99" s="3" t="s">
        <v>28</v>
      </c>
      <c r="G99" s="3" t="s">
        <v>28</v>
      </c>
      <c r="H99" s="3" t="s">
        <v>28</v>
      </c>
      <c r="I99" s="3">
        <v>3</v>
      </c>
      <c r="J99" s="3" cm="1">
        <f t="array" ref="J99">-INDEX(PWR_Lab!$F$2:$H$126,AX99,AY99)</f>
        <v>-0.37652999999999998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X99" s="3">
        <f t="shared" si="2"/>
        <v>30</v>
      </c>
      <c r="AY99" s="3">
        <f t="shared" si="3"/>
        <v>2</v>
      </c>
    </row>
    <row r="100" spans="2:51" x14ac:dyDescent="0.25">
      <c r="B100" s="3" t="s">
        <v>30</v>
      </c>
      <c r="C100" s="3" t="str">
        <f>C97</f>
        <v>UCPWR_FLAB-S</v>
      </c>
      <c r="D100" s="3" t="s">
        <v>29</v>
      </c>
      <c r="E100" s="3" t="str" cm="1">
        <f t="array" ref="E100">INDEX(PWR_Lab!$A$2:$A$126,AX100)</f>
        <v>KEHYRO20</v>
      </c>
      <c r="F100" s="3" t="s">
        <v>28</v>
      </c>
      <c r="G100" s="3" t="s">
        <v>28</v>
      </c>
      <c r="H100" s="3" t="s">
        <v>28</v>
      </c>
      <c r="I100" s="3">
        <v>3</v>
      </c>
      <c r="J100" s="3" cm="1">
        <f t="array" ref="J100">-INDEX(PWR_Lab!$F$2:$H$126,AX100,AY100)</f>
        <v>-0.36501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X100" s="3">
        <f t="shared" si="2"/>
        <v>30</v>
      </c>
      <c r="AY100" s="3">
        <f t="shared" si="3"/>
        <v>3</v>
      </c>
    </row>
    <row r="101" spans="2:51" x14ac:dyDescent="0.25">
      <c r="B101" s="3" t="s">
        <v>30</v>
      </c>
      <c r="C101" s="3" t="str">
        <f>C98</f>
        <v>UCPWR_FLAB-N</v>
      </c>
      <c r="D101" s="3" t="s">
        <v>29</v>
      </c>
      <c r="E101" s="3" t="str" cm="1">
        <f t="array" ref="E101">INDEX(PWR_Lab!$A$2:$A$126,AX101)</f>
        <v>KEHYRO21</v>
      </c>
      <c r="F101" s="3" t="s">
        <v>28</v>
      </c>
      <c r="G101" s="3" t="s">
        <v>28</v>
      </c>
      <c r="H101" s="3" t="s">
        <v>28</v>
      </c>
      <c r="I101" s="3">
        <v>3</v>
      </c>
      <c r="J101" s="3" cm="1">
        <f t="array" ref="J101">-INDEX(PWR_Lab!$F$2:$H$126,AX101,AY101)</f>
        <v>-0.36715999999999999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X101" s="3">
        <f t="shared" si="2"/>
        <v>31</v>
      </c>
      <c r="AY101" s="3">
        <f t="shared" si="3"/>
        <v>1</v>
      </c>
    </row>
    <row r="102" spans="2:51" x14ac:dyDescent="0.25">
      <c r="B102" s="3" t="s">
        <v>30</v>
      </c>
      <c r="C102" s="3" t="str">
        <f>C99</f>
        <v>UCPWR_FLAB-P</v>
      </c>
      <c r="D102" s="3" t="s">
        <v>29</v>
      </c>
      <c r="E102" s="3" t="str" cm="1">
        <f t="array" ref="E102">INDEX(PWR_Lab!$A$2:$A$126,AX102)</f>
        <v>KEHYRO21</v>
      </c>
      <c r="F102" s="3" t="s">
        <v>28</v>
      </c>
      <c r="G102" s="3" t="s">
        <v>28</v>
      </c>
      <c r="H102" s="3" t="s">
        <v>28</v>
      </c>
      <c r="I102" s="3">
        <v>3</v>
      </c>
      <c r="J102" s="3" cm="1">
        <f t="array" ref="J102">-INDEX(PWR_Lab!$F$2:$H$126,AX102,AY102)</f>
        <v>-0.37652999999999998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X102" s="3">
        <f t="shared" si="2"/>
        <v>31</v>
      </c>
      <c r="AY102" s="3">
        <f t="shared" si="3"/>
        <v>2</v>
      </c>
    </row>
    <row r="103" spans="2:51" x14ac:dyDescent="0.25">
      <c r="B103" s="3" t="s">
        <v>30</v>
      </c>
      <c r="C103" s="3" t="str">
        <f>C100</f>
        <v>UCPWR_FLAB-S</v>
      </c>
      <c r="D103" s="3" t="s">
        <v>29</v>
      </c>
      <c r="E103" s="3" t="str" cm="1">
        <f t="array" ref="E103">INDEX(PWR_Lab!$A$2:$A$126,AX103)</f>
        <v>KEHYRO21</v>
      </c>
      <c r="F103" s="3" t="s">
        <v>28</v>
      </c>
      <c r="G103" s="3" t="s">
        <v>28</v>
      </c>
      <c r="H103" s="3" t="s">
        <v>28</v>
      </c>
      <c r="I103" s="3">
        <v>3</v>
      </c>
      <c r="J103" s="3" cm="1">
        <f t="array" ref="J103">-INDEX(PWR_Lab!$F$2:$H$126,AX103,AY103)</f>
        <v>-0.36501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X103" s="3">
        <f t="shared" si="2"/>
        <v>31</v>
      </c>
      <c r="AY103" s="3">
        <f t="shared" si="3"/>
        <v>3</v>
      </c>
    </row>
    <row r="104" spans="2:51" x14ac:dyDescent="0.25">
      <c r="B104" s="3" t="s">
        <v>30</v>
      </c>
      <c r="C104" s="3" t="str">
        <f>C101</f>
        <v>UCPWR_FLAB-N</v>
      </c>
      <c r="D104" s="3" t="s">
        <v>29</v>
      </c>
      <c r="E104" s="3" t="str" cm="1">
        <f t="array" ref="E104">INDEX(PWR_Lab!$A$2:$A$126,AX104)</f>
        <v>KEHYRO22</v>
      </c>
      <c r="F104" s="3" t="s">
        <v>28</v>
      </c>
      <c r="G104" s="3" t="s">
        <v>28</v>
      </c>
      <c r="H104" s="3" t="s">
        <v>28</v>
      </c>
      <c r="I104" s="3">
        <v>3</v>
      </c>
      <c r="J104" s="3" cm="1">
        <f t="array" ref="J104">-INDEX(PWR_Lab!$F$2:$H$126,AX104,AY104)</f>
        <v>-0.36715999999999999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X104" s="3">
        <f t="shared" si="2"/>
        <v>32</v>
      </c>
      <c r="AY104" s="3">
        <f t="shared" si="3"/>
        <v>1</v>
      </c>
    </row>
    <row r="105" spans="2:51" x14ac:dyDescent="0.25">
      <c r="B105" s="3" t="s">
        <v>30</v>
      </c>
      <c r="C105" s="3" t="str">
        <f>C102</f>
        <v>UCPWR_FLAB-P</v>
      </c>
      <c r="D105" s="3" t="s">
        <v>29</v>
      </c>
      <c r="E105" s="3" t="str" cm="1">
        <f t="array" ref="E105">INDEX(PWR_Lab!$A$2:$A$126,AX105)</f>
        <v>KEHYRO22</v>
      </c>
      <c r="F105" s="3" t="s">
        <v>28</v>
      </c>
      <c r="G105" s="3" t="s">
        <v>28</v>
      </c>
      <c r="H105" s="3" t="s">
        <v>28</v>
      </c>
      <c r="I105" s="3">
        <v>3</v>
      </c>
      <c r="J105" s="3" cm="1">
        <f t="array" ref="J105">-INDEX(PWR_Lab!$F$2:$H$126,AX105,AY105)</f>
        <v>-0.37652999999999998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X105" s="3">
        <f t="shared" si="2"/>
        <v>32</v>
      </c>
      <c r="AY105" s="3">
        <f t="shared" si="3"/>
        <v>2</v>
      </c>
    </row>
    <row r="106" spans="2:51" x14ac:dyDescent="0.25">
      <c r="B106" s="3" t="s">
        <v>30</v>
      </c>
      <c r="C106" s="3" t="str">
        <f>C103</f>
        <v>UCPWR_FLAB-S</v>
      </c>
      <c r="D106" s="3" t="s">
        <v>29</v>
      </c>
      <c r="E106" s="3" t="str" cm="1">
        <f t="array" ref="E106">INDEX(PWR_Lab!$A$2:$A$126,AX106)</f>
        <v>KEHYRO22</v>
      </c>
      <c r="F106" s="3" t="s">
        <v>28</v>
      </c>
      <c r="G106" s="3" t="s">
        <v>28</v>
      </c>
      <c r="H106" s="3" t="s">
        <v>28</v>
      </c>
      <c r="I106" s="3">
        <v>3</v>
      </c>
      <c r="J106" s="3" cm="1">
        <f t="array" ref="J106">-INDEX(PWR_Lab!$F$2:$H$126,AX106,AY106)</f>
        <v>-0.36501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X106" s="3">
        <f t="shared" si="2"/>
        <v>32</v>
      </c>
      <c r="AY106" s="3">
        <f t="shared" si="3"/>
        <v>3</v>
      </c>
    </row>
    <row r="107" spans="2:51" x14ac:dyDescent="0.25">
      <c r="B107" s="3" t="s">
        <v>30</v>
      </c>
      <c r="C107" s="3" t="str">
        <f>C104</f>
        <v>UCPWR_FLAB-N</v>
      </c>
      <c r="D107" s="3" t="s">
        <v>29</v>
      </c>
      <c r="E107" s="3" t="str" cm="1">
        <f t="array" ref="E107">INDEX(PWR_Lab!$A$2:$A$126,AX107)</f>
        <v>KEHYMI00</v>
      </c>
      <c r="F107" s="3" t="s">
        <v>28</v>
      </c>
      <c r="G107" s="3" t="s">
        <v>28</v>
      </c>
      <c r="H107" s="3" t="s">
        <v>28</v>
      </c>
      <c r="I107" s="3">
        <v>3</v>
      </c>
      <c r="J107" s="3" cm="1">
        <f t="array" ref="J107">-INDEX(PWR_Lab!$F$2:$H$126,AX107,AY107)</f>
        <v>-0.36715999999999999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X107" s="3">
        <f t="shared" si="2"/>
        <v>33</v>
      </c>
      <c r="AY107" s="3">
        <f t="shared" si="3"/>
        <v>1</v>
      </c>
    </row>
    <row r="108" spans="2:51" x14ac:dyDescent="0.25">
      <c r="B108" s="3" t="s">
        <v>30</v>
      </c>
      <c r="C108" s="3" t="str">
        <f>C105</f>
        <v>UCPWR_FLAB-P</v>
      </c>
      <c r="D108" s="3" t="s">
        <v>29</v>
      </c>
      <c r="E108" s="3" t="str" cm="1">
        <f t="array" ref="E108">INDEX(PWR_Lab!$A$2:$A$126,AX108)</f>
        <v>KEHYMI00</v>
      </c>
      <c r="F108" s="3" t="s">
        <v>28</v>
      </c>
      <c r="G108" s="3" t="s">
        <v>28</v>
      </c>
      <c r="H108" s="3" t="s">
        <v>28</v>
      </c>
      <c r="I108" s="3">
        <v>3</v>
      </c>
      <c r="J108" s="3" cm="1">
        <f t="array" ref="J108">-INDEX(PWR_Lab!$F$2:$H$126,AX108,AY108)</f>
        <v>-0.37652999999999998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X108" s="3">
        <f t="shared" si="2"/>
        <v>33</v>
      </c>
      <c r="AY108" s="3">
        <f t="shared" si="3"/>
        <v>2</v>
      </c>
    </row>
    <row r="109" spans="2:51" x14ac:dyDescent="0.25">
      <c r="B109" s="3" t="s">
        <v>30</v>
      </c>
      <c r="C109" s="3" t="str">
        <f>C106</f>
        <v>UCPWR_FLAB-S</v>
      </c>
      <c r="D109" s="3" t="s">
        <v>29</v>
      </c>
      <c r="E109" s="3" t="str" cm="1">
        <f t="array" ref="E109">INDEX(PWR_Lab!$A$2:$A$126,AX109)</f>
        <v>KEHYMI00</v>
      </c>
      <c r="F109" s="3" t="s">
        <v>28</v>
      </c>
      <c r="G109" s="3" t="s">
        <v>28</v>
      </c>
      <c r="H109" s="3" t="s">
        <v>28</v>
      </c>
      <c r="I109" s="3">
        <v>3</v>
      </c>
      <c r="J109" s="3" cm="1">
        <f t="array" ref="J109">-INDEX(PWR_Lab!$F$2:$H$126,AX109,AY109)</f>
        <v>-0.36501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27</v>
      </c>
      <c r="AM109" s="3" t="s">
        <v>27</v>
      </c>
      <c r="AN109" s="3" t="s">
        <v>27</v>
      </c>
      <c r="AO109" s="3" t="s">
        <v>27</v>
      </c>
      <c r="AP109" s="3" t="s">
        <v>27</v>
      </c>
      <c r="AX109" s="3">
        <f t="shared" si="2"/>
        <v>33</v>
      </c>
      <c r="AY109" s="3">
        <f t="shared" si="3"/>
        <v>3</v>
      </c>
    </row>
    <row r="110" spans="2:51" x14ac:dyDescent="0.25">
      <c r="B110" s="3" t="s">
        <v>30</v>
      </c>
      <c r="C110" s="3" t="str">
        <f>C107</f>
        <v>UCPWR_FLAB-N</v>
      </c>
      <c r="D110" s="3" t="s">
        <v>29</v>
      </c>
      <c r="E110" s="3" t="str" cm="1">
        <f t="array" ref="E110">INDEX(PWR_Lab!$A$2:$A$126,AX110)</f>
        <v>KEHYMI09</v>
      </c>
      <c r="F110" s="3" t="s">
        <v>28</v>
      </c>
      <c r="G110" s="3" t="s">
        <v>28</v>
      </c>
      <c r="H110" s="3" t="s">
        <v>28</v>
      </c>
      <c r="I110" s="3">
        <v>3</v>
      </c>
      <c r="J110" s="3" cm="1">
        <f t="array" ref="J110">-INDEX(PWR_Lab!$F$2:$H$126,AX110,AY110)</f>
        <v>-0.36715999999999999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X110" s="3">
        <f t="shared" si="2"/>
        <v>34</v>
      </c>
      <c r="AY110" s="3">
        <f t="shared" si="3"/>
        <v>1</v>
      </c>
    </row>
    <row r="111" spans="2:51" x14ac:dyDescent="0.25">
      <c r="B111" s="3" t="s">
        <v>30</v>
      </c>
      <c r="C111" s="3" t="str">
        <f>C108</f>
        <v>UCPWR_FLAB-P</v>
      </c>
      <c r="D111" s="3" t="s">
        <v>29</v>
      </c>
      <c r="E111" s="3" t="str" cm="1">
        <f t="array" ref="E111">INDEX(PWR_Lab!$A$2:$A$126,AX111)</f>
        <v>KEHYMI09</v>
      </c>
      <c r="F111" s="3" t="s">
        <v>28</v>
      </c>
      <c r="G111" s="3" t="s">
        <v>28</v>
      </c>
      <c r="H111" s="3" t="s">
        <v>28</v>
      </c>
      <c r="I111" s="3">
        <v>3</v>
      </c>
      <c r="J111" s="3" cm="1">
        <f t="array" ref="J111">-INDEX(PWR_Lab!$F$2:$H$126,AX111,AY111)</f>
        <v>-0.37652999999999998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X111" s="3">
        <f t="shared" si="2"/>
        <v>34</v>
      </c>
      <c r="AY111" s="3">
        <f t="shared" si="3"/>
        <v>2</v>
      </c>
    </row>
    <row r="112" spans="2:51" x14ac:dyDescent="0.25">
      <c r="B112" s="3" t="s">
        <v>30</v>
      </c>
      <c r="C112" s="3" t="str">
        <f>C109</f>
        <v>UCPWR_FLAB-S</v>
      </c>
      <c r="D112" s="3" t="s">
        <v>29</v>
      </c>
      <c r="E112" s="3" t="str" cm="1">
        <f t="array" ref="E112">INDEX(PWR_Lab!$A$2:$A$126,AX112)</f>
        <v>KEHYMI09</v>
      </c>
      <c r="F112" s="3" t="s">
        <v>28</v>
      </c>
      <c r="G112" s="3" t="s">
        <v>28</v>
      </c>
      <c r="H112" s="3" t="s">
        <v>28</v>
      </c>
      <c r="I112" s="3">
        <v>3</v>
      </c>
      <c r="J112" s="3" cm="1">
        <f t="array" ref="J112">-INDEX(PWR_Lab!$F$2:$H$126,AX112,AY112)</f>
        <v>-0.36501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X112" s="3">
        <f t="shared" si="2"/>
        <v>34</v>
      </c>
      <c r="AY112" s="3">
        <f t="shared" si="3"/>
        <v>3</v>
      </c>
    </row>
    <row r="113" spans="2:51" x14ac:dyDescent="0.25">
      <c r="B113" s="3" t="s">
        <v>30</v>
      </c>
      <c r="C113" s="3" t="str">
        <f>C110</f>
        <v>UCPWR_FLAB-N</v>
      </c>
      <c r="D113" s="3" t="s">
        <v>29</v>
      </c>
      <c r="E113" s="3" t="str" cm="1">
        <f t="array" ref="E113">INDEX(PWR_Lab!$A$2:$A$126,AX113)</f>
        <v>KESOPC00</v>
      </c>
      <c r="F113" s="3" t="s">
        <v>28</v>
      </c>
      <c r="G113" s="3" t="s">
        <v>28</v>
      </c>
      <c r="H113" s="3" t="s">
        <v>28</v>
      </c>
      <c r="I113" s="3">
        <v>3</v>
      </c>
      <c r="J113" s="3" cm="1">
        <f t="array" ref="J113">-INDEX(PWR_Lab!$F$2:$H$126,AX113,AY113)</f>
        <v>-0.41431000000000001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27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X113" s="3">
        <f t="shared" si="2"/>
        <v>35</v>
      </c>
      <c r="AY113" s="3">
        <f t="shared" si="3"/>
        <v>1</v>
      </c>
    </row>
    <row r="114" spans="2:51" x14ac:dyDescent="0.25">
      <c r="B114" s="3" t="s">
        <v>30</v>
      </c>
      <c r="C114" s="3" t="str">
        <f>C111</f>
        <v>UCPWR_FLAB-P</v>
      </c>
      <c r="D114" s="3" t="s">
        <v>29</v>
      </c>
      <c r="E114" s="3" t="str" cm="1">
        <f t="array" ref="E114">INDEX(PWR_Lab!$A$2:$A$126,AX114)</f>
        <v>KESOPC00</v>
      </c>
      <c r="F114" s="3" t="s">
        <v>28</v>
      </c>
      <c r="G114" s="3" t="s">
        <v>28</v>
      </c>
      <c r="H114" s="3" t="s">
        <v>28</v>
      </c>
      <c r="I114" s="3">
        <v>3</v>
      </c>
      <c r="J114" s="3" cm="1">
        <f t="array" ref="J114">-INDEX(PWR_Lab!$F$2:$H$126,AX114,AY114)</f>
        <v>-0.42487999999999998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X114" s="3">
        <f t="shared" si="2"/>
        <v>35</v>
      </c>
      <c r="AY114" s="3">
        <f t="shared" si="3"/>
        <v>2</v>
      </c>
    </row>
    <row r="115" spans="2:51" x14ac:dyDescent="0.25">
      <c r="B115" s="3" t="s">
        <v>30</v>
      </c>
      <c r="C115" s="3" t="str">
        <f>C112</f>
        <v>UCPWR_FLAB-S</v>
      </c>
      <c r="D115" s="3" t="s">
        <v>29</v>
      </c>
      <c r="E115" s="3" t="str" cm="1">
        <f t="array" ref="E115">INDEX(PWR_Lab!$A$2:$A$126,AX115)</f>
        <v>KESOPC00</v>
      </c>
      <c r="F115" s="3" t="s">
        <v>28</v>
      </c>
      <c r="G115" s="3" t="s">
        <v>28</v>
      </c>
      <c r="H115" s="3" t="s">
        <v>28</v>
      </c>
      <c r="I115" s="3">
        <v>3</v>
      </c>
      <c r="J115" s="3" cm="1">
        <f t="array" ref="J115">-INDEX(PWR_Lab!$F$2:$H$126,AX115,AY115)</f>
        <v>-0.41188000000000002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X115" s="3">
        <f t="shared" si="2"/>
        <v>35</v>
      </c>
      <c r="AY115" s="3">
        <f t="shared" si="3"/>
        <v>3</v>
      </c>
    </row>
    <row r="116" spans="2:51" x14ac:dyDescent="0.25">
      <c r="B116" s="3" t="s">
        <v>30</v>
      </c>
      <c r="C116" s="3" t="str">
        <f>C113</f>
        <v>UCPWR_FLAB-N</v>
      </c>
      <c r="D116" s="3" t="s">
        <v>29</v>
      </c>
      <c r="E116" s="3" t="str" cm="1">
        <f t="array" ref="E116">INDEX(PWR_Lab!$A$2:$A$126,AX116)</f>
        <v>KESOPCZ001</v>
      </c>
      <c r="F116" s="3" t="s">
        <v>28</v>
      </c>
      <c r="G116" s="3" t="s">
        <v>28</v>
      </c>
      <c r="H116" s="3" t="s">
        <v>28</v>
      </c>
      <c r="I116" s="3">
        <v>3</v>
      </c>
      <c r="J116" s="3" cm="1">
        <f t="array" ref="J116">-INDEX(PWR_Lab!$F$2:$H$126,AX116,AY116)</f>
        <v>-0.41431000000000001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 t="s">
        <v>27</v>
      </c>
      <c r="AC116" s="3" t="s">
        <v>27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X116" s="3">
        <f t="shared" si="2"/>
        <v>36</v>
      </c>
      <c r="AY116" s="3">
        <f t="shared" si="3"/>
        <v>1</v>
      </c>
    </row>
    <row r="117" spans="2:51" x14ac:dyDescent="0.25">
      <c r="B117" s="3" t="s">
        <v>30</v>
      </c>
      <c r="C117" s="3" t="str">
        <f>C114</f>
        <v>UCPWR_FLAB-P</v>
      </c>
      <c r="D117" s="3" t="s">
        <v>29</v>
      </c>
      <c r="E117" s="3" t="str" cm="1">
        <f t="array" ref="E117">INDEX(PWR_Lab!$A$2:$A$126,AX117)</f>
        <v>KESOPCZ001</v>
      </c>
      <c r="F117" s="3" t="s">
        <v>28</v>
      </c>
      <c r="G117" s="3" t="s">
        <v>28</v>
      </c>
      <c r="H117" s="3" t="s">
        <v>28</v>
      </c>
      <c r="I117" s="3">
        <v>3</v>
      </c>
      <c r="J117" s="3" cm="1">
        <f t="array" ref="J117">-INDEX(PWR_Lab!$F$2:$H$126,AX117,AY117)</f>
        <v>-0.42487999999999998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X117" s="3">
        <f t="shared" si="2"/>
        <v>36</v>
      </c>
      <c r="AY117" s="3">
        <f t="shared" si="3"/>
        <v>2</v>
      </c>
    </row>
    <row r="118" spans="2:51" x14ac:dyDescent="0.25">
      <c r="B118" s="3" t="s">
        <v>30</v>
      </c>
      <c r="C118" s="3" t="str">
        <f>C115</f>
        <v>UCPWR_FLAB-S</v>
      </c>
      <c r="D118" s="3" t="s">
        <v>29</v>
      </c>
      <c r="E118" s="3" t="str" cm="1">
        <f t="array" ref="E118">INDEX(PWR_Lab!$A$2:$A$126,AX118)</f>
        <v>KESOPCZ001</v>
      </c>
      <c r="F118" s="3" t="s">
        <v>28</v>
      </c>
      <c r="G118" s="3" t="s">
        <v>28</v>
      </c>
      <c r="H118" s="3" t="s">
        <v>28</v>
      </c>
      <c r="I118" s="3">
        <v>3</v>
      </c>
      <c r="J118" s="3" cm="1">
        <f t="array" ref="J118">-INDEX(PWR_Lab!$F$2:$H$126,AX118,AY118)</f>
        <v>-0.41188000000000002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X118" s="3">
        <f t="shared" si="2"/>
        <v>36</v>
      </c>
      <c r="AY118" s="3">
        <f t="shared" si="3"/>
        <v>3</v>
      </c>
    </row>
    <row r="119" spans="2:51" x14ac:dyDescent="0.25">
      <c r="B119" s="3" t="s">
        <v>30</v>
      </c>
      <c r="C119" s="3" t="str">
        <f>C116</f>
        <v>UCPWR_FLAB-N</v>
      </c>
      <c r="D119" s="3" t="s">
        <v>29</v>
      </c>
      <c r="E119" s="3" t="str" cm="1">
        <f t="array" ref="E119">INDEX(PWR_Lab!$A$2:$A$126,AX119)</f>
        <v>KESOPCZ002</v>
      </c>
      <c r="F119" s="3" t="s">
        <v>28</v>
      </c>
      <c r="G119" s="3" t="s">
        <v>28</v>
      </c>
      <c r="H119" s="3" t="s">
        <v>28</v>
      </c>
      <c r="I119" s="3">
        <v>3</v>
      </c>
      <c r="J119" s="3" cm="1">
        <f t="array" ref="J119">-INDEX(PWR_Lab!$F$2:$H$126,AX119,AY119)</f>
        <v>-0.41431000000000001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 t="s">
        <v>27</v>
      </c>
      <c r="AC119" s="3" t="s">
        <v>27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X119" s="3">
        <f t="shared" si="2"/>
        <v>37</v>
      </c>
      <c r="AY119" s="3">
        <f t="shared" si="3"/>
        <v>1</v>
      </c>
    </row>
    <row r="120" spans="2:51" x14ac:dyDescent="0.25">
      <c r="B120" s="3" t="s">
        <v>30</v>
      </c>
      <c r="C120" s="3" t="str">
        <f>C117</f>
        <v>UCPWR_FLAB-P</v>
      </c>
      <c r="D120" s="3" t="s">
        <v>29</v>
      </c>
      <c r="E120" s="3" t="str" cm="1">
        <f t="array" ref="E120">INDEX(PWR_Lab!$A$2:$A$126,AX120)</f>
        <v>KESOPCZ002</v>
      </c>
      <c r="F120" s="3" t="s">
        <v>28</v>
      </c>
      <c r="G120" s="3" t="s">
        <v>28</v>
      </c>
      <c r="H120" s="3" t="s">
        <v>28</v>
      </c>
      <c r="I120" s="3">
        <v>3</v>
      </c>
      <c r="J120" s="3" cm="1">
        <f t="array" ref="J120">-INDEX(PWR_Lab!$F$2:$H$126,AX120,AY120)</f>
        <v>-0.42487999999999998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X120" s="3">
        <f t="shared" si="2"/>
        <v>37</v>
      </c>
      <c r="AY120" s="3">
        <f t="shared" si="3"/>
        <v>2</v>
      </c>
    </row>
    <row r="121" spans="2:51" x14ac:dyDescent="0.25">
      <c r="B121" s="3" t="s">
        <v>30</v>
      </c>
      <c r="C121" s="3" t="str">
        <f>C118</f>
        <v>UCPWR_FLAB-S</v>
      </c>
      <c r="D121" s="3" t="s">
        <v>29</v>
      </c>
      <c r="E121" s="3" t="str" cm="1">
        <f t="array" ref="E121">INDEX(PWR_Lab!$A$2:$A$126,AX121)</f>
        <v>KESOPCZ002</v>
      </c>
      <c r="F121" s="3" t="s">
        <v>28</v>
      </c>
      <c r="G121" s="3" t="s">
        <v>28</v>
      </c>
      <c r="H121" s="3" t="s">
        <v>28</v>
      </c>
      <c r="I121" s="3">
        <v>3</v>
      </c>
      <c r="J121" s="3" cm="1">
        <f t="array" ref="J121">-INDEX(PWR_Lab!$F$2:$H$126,AX121,AY121)</f>
        <v>-0.41188000000000002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X121" s="3">
        <f t="shared" si="2"/>
        <v>37</v>
      </c>
      <c r="AY121" s="3">
        <f t="shared" si="3"/>
        <v>3</v>
      </c>
    </row>
    <row r="122" spans="2:51" x14ac:dyDescent="0.25">
      <c r="B122" s="3" t="s">
        <v>30</v>
      </c>
      <c r="C122" s="3" t="str">
        <f>C119</f>
        <v>UCPWR_FLAB-N</v>
      </c>
      <c r="D122" s="3" t="s">
        <v>29</v>
      </c>
      <c r="E122" s="3" t="str" cm="1">
        <f t="array" ref="E122">INDEX(PWR_Lab!$A$2:$A$126,AX122)</f>
        <v>KESOPCZ003</v>
      </c>
      <c r="F122" s="3" t="s">
        <v>28</v>
      </c>
      <c r="G122" s="3" t="s">
        <v>28</v>
      </c>
      <c r="H122" s="3" t="s">
        <v>28</v>
      </c>
      <c r="I122" s="3">
        <v>3</v>
      </c>
      <c r="J122" s="3" cm="1">
        <f t="array" ref="J122">-INDEX(PWR_Lab!$F$2:$H$126,AX122,AY122)</f>
        <v>-0.41431000000000001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X122" s="3">
        <f t="shared" si="2"/>
        <v>38</v>
      </c>
      <c r="AY122" s="3">
        <f t="shared" si="3"/>
        <v>1</v>
      </c>
    </row>
    <row r="123" spans="2:51" x14ac:dyDescent="0.25">
      <c r="B123" s="3" t="s">
        <v>30</v>
      </c>
      <c r="C123" s="3" t="str">
        <f>C120</f>
        <v>UCPWR_FLAB-P</v>
      </c>
      <c r="D123" s="3" t="s">
        <v>29</v>
      </c>
      <c r="E123" s="3" t="str" cm="1">
        <f t="array" ref="E123">INDEX(PWR_Lab!$A$2:$A$126,AX123)</f>
        <v>KESOPCZ003</v>
      </c>
      <c r="F123" s="3" t="s">
        <v>28</v>
      </c>
      <c r="G123" s="3" t="s">
        <v>28</v>
      </c>
      <c r="H123" s="3" t="s">
        <v>28</v>
      </c>
      <c r="I123" s="3">
        <v>3</v>
      </c>
      <c r="J123" s="3" cm="1">
        <f t="array" ref="J123">-INDEX(PWR_Lab!$F$2:$H$126,AX123,AY123)</f>
        <v>-0.42487999999999998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27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X123" s="3">
        <f t="shared" si="2"/>
        <v>38</v>
      </c>
      <c r="AY123" s="3">
        <f t="shared" si="3"/>
        <v>2</v>
      </c>
    </row>
    <row r="124" spans="2:51" x14ac:dyDescent="0.25">
      <c r="B124" s="3" t="s">
        <v>30</v>
      </c>
      <c r="C124" s="3" t="str">
        <f>C121</f>
        <v>UCPWR_FLAB-S</v>
      </c>
      <c r="D124" s="3" t="s">
        <v>29</v>
      </c>
      <c r="E124" s="3" t="str" cm="1">
        <f t="array" ref="E124">INDEX(PWR_Lab!$A$2:$A$126,AX124)</f>
        <v>KESOPCZ003</v>
      </c>
      <c r="F124" s="3" t="s">
        <v>28</v>
      </c>
      <c r="G124" s="3" t="s">
        <v>28</v>
      </c>
      <c r="H124" s="3" t="s">
        <v>28</v>
      </c>
      <c r="I124" s="3">
        <v>3</v>
      </c>
      <c r="J124" s="3" cm="1">
        <f t="array" ref="J124">-INDEX(PWR_Lab!$F$2:$H$126,AX124,AY124)</f>
        <v>-0.41188000000000002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X124" s="3">
        <f t="shared" si="2"/>
        <v>38</v>
      </c>
      <c r="AY124" s="3">
        <f t="shared" si="3"/>
        <v>3</v>
      </c>
    </row>
    <row r="125" spans="2:51" x14ac:dyDescent="0.25">
      <c r="B125" s="3" t="s">
        <v>30</v>
      </c>
      <c r="C125" s="3" t="str">
        <f>C122</f>
        <v>UCPWR_FLAB-N</v>
      </c>
      <c r="D125" s="3" t="s">
        <v>29</v>
      </c>
      <c r="E125" s="3" t="str" cm="1">
        <f t="array" ref="E125">INDEX(PWR_Lab!$A$2:$A$126,AX125)</f>
        <v>KESOPCZ004</v>
      </c>
      <c r="F125" s="3" t="s">
        <v>28</v>
      </c>
      <c r="G125" s="3" t="s">
        <v>28</v>
      </c>
      <c r="H125" s="3" t="s">
        <v>28</v>
      </c>
      <c r="I125" s="3">
        <v>3</v>
      </c>
      <c r="J125" s="3" cm="1">
        <f t="array" ref="J125">-INDEX(PWR_Lab!$F$2:$H$126,AX125,AY125)</f>
        <v>-0.41431000000000001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X125" s="3">
        <f t="shared" si="2"/>
        <v>39</v>
      </c>
      <c r="AY125" s="3">
        <f t="shared" si="3"/>
        <v>1</v>
      </c>
    </row>
    <row r="126" spans="2:51" x14ac:dyDescent="0.25">
      <c r="B126" s="3" t="s">
        <v>30</v>
      </c>
      <c r="C126" s="3" t="str">
        <f>C123</f>
        <v>UCPWR_FLAB-P</v>
      </c>
      <c r="D126" s="3" t="s">
        <v>29</v>
      </c>
      <c r="E126" s="3" t="str" cm="1">
        <f t="array" ref="E126">INDEX(PWR_Lab!$A$2:$A$126,AX126)</f>
        <v>KESOPCZ004</v>
      </c>
      <c r="F126" s="3" t="s">
        <v>28</v>
      </c>
      <c r="G126" s="3" t="s">
        <v>28</v>
      </c>
      <c r="H126" s="3" t="s">
        <v>28</v>
      </c>
      <c r="I126" s="3">
        <v>3</v>
      </c>
      <c r="J126" s="3" cm="1">
        <f t="array" ref="J126">-INDEX(PWR_Lab!$F$2:$H$126,AX126,AY126)</f>
        <v>-0.42487999999999998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27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27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X126" s="3">
        <f t="shared" si="2"/>
        <v>39</v>
      </c>
      <c r="AY126" s="3">
        <f t="shared" si="3"/>
        <v>2</v>
      </c>
    </row>
    <row r="127" spans="2:51" x14ac:dyDescent="0.25">
      <c r="B127" s="3" t="s">
        <v>30</v>
      </c>
      <c r="C127" s="3" t="str">
        <f>C124</f>
        <v>UCPWR_FLAB-S</v>
      </c>
      <c r="D127" s="3" t="s">
        <v>29</v>
      </c>
      <c r="E127" s="3" t="str" cm="1">
        <f t="array" ref="E127">INDEX(PWR_Lab!$A$2:$A$126,AX127)</f>
        <v>KESOPCZ004</v>
      </c>
      <c r="F127" s="3" t="s">
        <v>28</v>
      </c>
      <c r="G127" s="3" t="s">
        <v>28</v>
      </c>
      <c r="H127" s="3" t="s">
        <v>28</v>
      </c>
      <c r="I127" s="3">
        <v>3</v>
      </c>
      <c r="J127" s="3" cm="1">
        <f t="array" ref="J127">-INDEX(PWR_Lab!$F$2:$H$126,AX127,AY127)</f>
        <v>-0.41188000000000002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27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X127" s="3">
        <f t="shared" si="2"/>
        <v>39</v>
      </c>
      <c r="AY127" s="3">
        <f t="shared" si="3"/>
        <v>3</v>
      </c>
    </row>
    <row r="128" spans="2:51" x14ac:dyDescent="0.25">
      <c r="B128" s="3" t="s">
        <v>30</v>
      </c>
      <c r="C128" s="3" t="str">
        <f>C125</f>
        <v>UCPWR_FLAB-N</v>
      </c>
      <c r="D128" s="3" t="s">
        <v>29</v>
      </c>
      <c r="E128" s="3" t="str" cm="1">
        <f t="array" ref="E128">INDEX(PWR_Lab!$A$2:$A$126,AX128)</f>
        <v>KESOPCZ005</v>
      </c>
      <c r="F128" s="3" t="s">
        <v>28</v>
      </c>
      <c r="G128" s="3" t="s">
        <v>28</v>
      </c>
      <c r="H128" s="3" t="s">
        <v>28</v>
      </c>
      <c r="I128" s="3">
        <v>3</v>
      </c>
      <c r="J128" s="3" cm="1">
        <f t="array" ref="J128">-INDEX(PWR_Lab!$F$2:$H$126,AX128,AY128)</f>
        <v>-0.41431000000000001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 t="s">
        <v>27</v>
      </c>
      <c r="AC128" s="3" t="s">
        <v>27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X128" s="3">
        <f t="shared" si="2"/>
        <v>40</v>
      </c>
      <c r="AY128" s="3">
        <f t="shared" si="3"/>
        <v>1</v>
      </c>
    </row>
    <row r="129" spans="2:51" x14ac:dyDescent="0.25">
      <c r="B129" s="3" t="s">
        <v>30</v>
      </c>
      <c r="C129" s="3" t="str">
        <f>C126</f>
        <v>UCPWR_FLAB-P</v>
      </c>
      <c r="D129" s="3" t="s">
        <v>29</v>
      </c>
      <c r="E129" s="3" t="str" cm="1">
        <f t="array" ref="E129">INDEX(PWR_Lab!$A$2:$A$126,AX129)</f>
        <v>KESOPCZ005</v>
      </c>
      <c r="F129" s="3" t="s">
        <v>28</v>
      </c>
      <c r="G129" s="3" t="s">
        <v>28</v>
      </c>
      <c r="H129" s="3" t="s">
        <v>28</v>
      </c>
      <c r="I129" s="3">
        <v>3</v>
      </c>
      <c r="J129" s="3" cm="1">
        <f t="array" ref="J129">-INDEX(PWR_Lab!$F$2:$H$126,AX129,AY129)</f>
        <v>-0.42487999999999998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X129" s="3">
        <f t="shared" si="2"/>
        <v>40</v>
      </c>
      <c r="AY129" s="3">
        <f t="shared" si="3"/>
        <v>2</v>
      </c>
    </row>
    <row r="130" spans="2:51" x14ac:dyDescent="0.25">
      <c r="B130" s="3" t="s">
        <v>30</v>
      </c>
      <c r="C130" s="3" t="str">
        <f>C127</f>
        <v>UCPWR_FLAB-S</v>
      </c>
      <c r="D130" s="3" t="s">
        <v>29</v>
      </c>
      <c r="E130" s="3" t="str" cm="1">
        <f t="array" ref="E130">INDEX(PWR_Lab!$A$2:$A$126,AX130)</f>
        <v>KESOPCZ005</v>
      </c>
      <c r="F130" s="3" t="s">
        <v>28</v>
      </c>
      <c r="G130" s="3" t="s">
        <v>28</v>
      </c>
      <c r="H130" s="3" t="s">
        <v>28</v>
      </c>
      <c r="I130" s="3">
        <v>3</v>
      </c>
      <c r="J130" s="3" cm="1">
        <f t="array" ref="J130">-INDEX(PWR_Lab!$F$2:$H$126,AX130,AY130)</f>
        <v>-0.41188000000000002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X130" s="3">
        <f t="shared" si="2"/>
        <v>40</v>
      </c>
      <c r="AY130" s="3">
        <f t="shared" si="3"/>
        <v>3</v>
      </c>
    </row>
    <row r="131" spans="2:51" x14ac:dyDescent="0.25">
      <c r="B131" s="3" t="s">
        <v>30</v>
      </c>
      <c r="C131" s="3" t="str">
        <f>C128</f>
        <v>UCPWR_FLAB-N</v>
      </c>
      <c r="D131" s="3" t="s">
        <v>29</v>
      </c>
      <c r="E131" s="3" t="str" cm="1">
        <f t="array" ref="E131">INDEX(PWR_Lab!$A$2:$A$126,AX131)</f>
        <v>KESOPCZ006</v>
      </c>
      <c r="F131" s="3" t="s">
        <v>28</v>
      </c>
      <c r="G131" s="3" t="s">
        <v>28</v>
      </c>
      <c r="H131" s="3" t="s">
        <v>28</v>
      </c>
      <c r="I131" s="3">
        <v>3</v>
      </c>
      <c r="J131" s="3" cm="1">
        <f t="array" ref="J131">-INDEX(PWR_Lab!$F$2:$H$126,AX131,AY131)</f>
        <v>-0.41431000000000001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 t="s">
        <v>27</v>
      </c>
      <c r="AC131" s="3" t="s">
        <v>27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X131" s="3">
        <f t="shared" si="2"/>
        <v>41</v>
      </c>
      <c r="AY131" s="3">
        <f t="shared" si="3"/>
        <v>1</v>
      </c>
    </row>
    <row r="132" spans="2:51" x14ac:dyDescent="0.25">
      <c r="B132" s="3" t="s">
        <v>30</v>
      </c>
      <c r="C132" s="3" t="str">
        <f>C129</f>
        <v>UCPWR_FLAB-P</v>
      </c>
      <c r="D132" s="3" t="s">
        <v>29</v>
      </c>
      <c r="E132" s="3" t="str" cm="1">
        <f t="array" ref="E132">INDEX(PWR_Lab!$A$2:$A$126,AX132)</f>
        <v>KESOPCZ006</v>
      </c>
      <c r="F132" s="3" t="s">
        <v>28</v>
      </c>
      <c r="G132" s="3" t="s">
        <v>28</v>
      </c>
      <c r="H132" s="3" t="s">
        <v>28</v>
      </c>
      <c r="I132" s="3">
        <v>3</v>
      </c>
      <c r="J132" s="3" cm="1">
        <f t="array" ref="J132">-INDEX(PWR_Lab!$F$2:$H$126,AX132,AY132)</f>
        <v>-0.42487999999999998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X132" s="3">
        <f t="shared" si="2"/>
        <v>41</v>
      </c>
      <c r="AY132" s="3">
        <f t="shared" si="3"/>
        <v>2</v>
      </c>
    </row>
    <row r="133" spans="2:51" x14ac:dyDescent="0.25">
      <c r="B133" s="3" t="s">
        <v>30</v>
      </c>
      <c r="C133" s="3" t="str">
        <f>C130</f>
        <v>UCPWR_FLAB-S</v>
      </c>
      <c r="D133" s="3" t="s">
        <v>29</v>
      </c>
      <c r="E133" s="3" t="str" cm="1">
        <f t="array" ref="E133">INDEX(PWR_Lab!$A$2:$A$126,AX133)</f>
        <v>KESOPCZ006</v>
      </c>
      <c r="F133" s="3" t="s">
        <v>28</v>
      </c>
      <c r="G133" s="3" t="s">
        <v>28</v>
      </c>
      <c r="H133" s="3" t="s">
        <v>28</v>
      </c>
      <c r="I133" s="3">
        <v>3</v>
      </c>
      <c r="J133" s="3" cm="1">
        <f t="array" ref="J133">-INDEX(PWR_Lab!$F$2:$H$126,AX133,AY133)</f>
        <v>-0.41188000000000002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27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X133" s="3">
        <f t="shared" si="2"/>
        <v>41</v>
      </c>
      <c r="AY133" s="3">
        <f t="shared" si="3"/>
        <v>3</v>
      </c>
    </row>
    <row r="134" spans="2:51" x14ac:dyDescent="0.25">
      <c r="B134" s="3" t="s">
        <v>30</v>
      </c>
      <c r="C134" s="3" t="str">
        <f>C131</f>
        <v>UCPWR_FLAB-N</v>
      </c>
      <c r="D134" s="3" t="s">
        <v>29</v>
      </c>
      <c r="E134" s="3" t="str" cm="1">
        <f t="array" ref="E134">INDEX(PWR_Lab!$A$2:$A$126,AX134)</f>
        <v>KESOPCZ007</v>
      </c>
      <c r="F134" s="3" t="s">
        <v>28</v>
      </c>
      <c r="G134" s="3" t="s">
        <v>28</v>
      </c>
      <c r="H134" s="3" t="s">
        <v>28</v>
      </c>
      <c r="I134" s="3">
        <v>3</v>
      </c>
      <c r="J134" s="3" cm="1">
        <f t="array" ref="J134">-INDEX(PWR_Lab!$F$2:$H$126,AX134,AY134)</f>
        <v>-0.41431000000000001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27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X134" s="3">
        <f t="shared" si="2"/>
        <v>42</v>
      </c>
      <c r="AY134" s="3">
        <f t="shared" si="3"/>
        <v>1</v>
      </c>
    </row>
    <row r="135" spans="2:51" x14ac:dyDescent="0.25">
      <c r="B135" s="3" t="s">
        <v>30</v>
      </c>
      <c r="C135" s="3" t="str">
        <f>C132</f>
        <v>UCPWR_FLAB-P</v>
      </c>
      <c r="D135" s="3" t="s">
        <v>29</v>
      </c>
      <c r="E135" s="3" t="str" cm="1">
        <f t="array" ref="E135">INDEX(PWR_Lab!$A$2:$A$126,AX135)</f>
        <v>KESOPCZ007</v>
      </c>
      <c r="F135" s="3" t="s">
        <v>28</v>
      </c>
      <c r="G135" s="3" t="s">
        <v>28</v>
      </c>
      <c r="H135" s="3" t="s">
        <v>28</v>
      </c>
      <c r="I135" s="3">
        <v>3</v>
      </c>
      <c r="J135" s="3" cm="1">
        <f t="array" ref="J135">-INDEX(PWR_Lab!$F$2:$H$126,AX135,AY135)</f>
        <v>-0.42487999999999998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X135" s="3">
        <f t="shared" si="2"/>
        <v>42</v>
      </c>
      <c r="AY135" s="3">
        <f t="shared" si="3"/>
        <v>2</v>
      </c>
    </row>
    <row r="136" spans="2:51" x14ac:dyDescent="0.25">
      <c r="B136" s="3" t="s">
        <v>30</v>
      </c>
      <c r="C136" s="3" t="str">
        <f>C133</f>
        <v>UCPWR_FLAB-S</v>
      </c>
      <c r="D136" s="3" t="s">
        <v>29</v>
      </c>
      <c r="E136" s="3" t="str" cm="1">
        <f t="array" ref="E136">INDEX(PWR_Lab!$A$2:$A$126,AX136)</f>
        <v>KESOPCZ007</v>
      </c>
      <c r="F136" s="3" t="s">
        <v>28</v>
      </c>
      <c r="G136" s="3" t="s">
        <v>28</v>
      </c>
      <c r="H136" s="3" t="s">
        <v>28</v>
      </c>
      <c r="I136" s="3">
        <v>3</v>
      </c>
      <c r="J136" s="3" cm="1">
        <f t="array" ref="J136">-INDEX(PWR_Lab!$F$2:$H$126,AX136,AY136)</f>
        <v>-0.41188000000000002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X136" s="3">
        <f t="shared" si="2"/>
        <v>42</v>
      </c>
      <c r="AY136" s="3">
        <f t="shared" si="3"/>
        <v>3</v>
      </c>
    </row>
    <row r="137" spans="2:51" x14ac:dyDescent="0.25">
      <c r="B137" s="3" t="s">
        <v>30</v>
      </c>
      <c r="C137" s="3" t="str">
        <f>C134</f>
        <v>UCPWR_FLAB-N</v>
      </c>
      <c r="D137" s="3" t="s">
        <v>29</v>
      </c>
      <c r="E137" s="3" t="str" cm="1">
        <f t="array" ref="E137">INDEX(PWR_Lab!$A$2:$A$126,AX137)</f>
        <v>KESOPCZ008</v>
      </c>
      <c r="F137" s="3" t="s">
        <v>28</v>
      </c>
      <c r="G137" s="3" t="s">
        <v>28</v>
      </c>
      <c r="H137" s="3" t="s">
        <v>28</v>
      </c>
      <c r="I137" s="3">
        <v>3</v>
      </c>
      <c r="J137" s="3" cm="1">
        <f t="array" ref="J137">-INDEX(PWR_Lab!$F$2:$H$126,AX137,AY137)</f>
        <v>-0.41431000000000001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X137" s="3">
        <f t="shared" si="2"/>
        <v>43</v>
      </c>
      <c r="AY137" s="3">
        <f t="shared" si="3"/>
        <v>1</v>
      </c>
    </row>
    <row r="138" spans="2:51" x14ac:dyDescent="0.25">
      <c r="B138" s="3" t="s">
        <v>30</v>
      </c>
      <c r="C138" s="3" t="str">
        <f>C135</f>
        <v>UCPWR_FLAB-P</v>
      </c>
      <c r="D138" s="3" t="s">
        <v>29</v>
      </c>
      <c r="E138" s="3" t="str" cm="1">
        <f t="array" ref="E138">INDEX(PWR_Lab!$A$2:$A$126,AX138)</f>
        <v>KESOPCZ008</v>
      </c>
      <c r="F138" s="3" t="s">
        <v>28</v>
      </c>
      <c r="G138" s="3" t="s">
        <v>28</v>
      </c>
      <c r="H138" s="3" t="s">
        <v>28</v>
      </c>
      <c r="I138" s="3">
        <v>3</v>
      </c>
      <c r="J138" s="3" cm="1">
        <f t="array" ref="J138">-INDEX(PWR_Lab!$F$2:$H$126,AX138,AY138)</f>
        <v>-0.42487999999999998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X138" s="3">
        <f t="shared" si="2"/>
        <v>43</v>
      </c>
      <c r="AY138" s="3">
        <f t="shared" si="3"/>
        <v>2</v>
      </c>
    </row>
    <row r="139" spans="2:51" x14ac:dyDescent="0.25">
      <c r="B139" s="3" t="s">
        <v>30</v>
      </c>
      <c r="C139" s="3" t="str">
        <f>C136</f>
        <v>UCPWR_FLAB-S</v>
      </c>
      <c r="D139" s="3" t="s">
        <v>29</v>
      </c>
      <c r="E139" s="3" t="str" cm="1">
        <f t="array" ref="E139">INDEX(PWR_Lab!$A$2:$A$126,AX139)</f>
        <v>KESOPCZ008</v>
      </c>
      <c r="F139" s="3" t="s">
        <v>28</v>
      </c>
      <c r="G139" s="3" t="s">
        <v>28</v>
      </c>
      <c r="H139" s="3" t="s">
        <v>28</v>
      </c>
      <c r="I139" s="3">
        <v>3</v>
      </c>
      <c r="J139" s="3" cm="1">
        <f t="array" ref="J139">-INDEX(PWR_Lab!$F$2:$H$126,AX139,AY139)</f>
        <v>-0.41188000000000002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X139" s="3">
        <f t="shared" si="2"/>
        <v>43</v>
      </c>
      <c r="AY139" s="3">
        <f t="shared" si="3"/>
        <v>3</v>
      </c>
    </row>
    <row r="140" spans="2:51" x14ac:dyDescent="0.25">
      <c r="B140" s="3" t="s">
        <v>30</v>
      </c>
      <c r="C140" s="3" t="str">
        <f>C137</f>
        <v>UCPWR_FLAB-N</v>
      </c>
      <c r="D140" s="3" t="s">
        <v>29</v>
      </c>
      <c r="E140" s="3" t="str" cm="1">
        <f t="array" ref="E140">INDEX(PWR_Lab!$A$2:$A$126,AX140)</f>
        <v>KESOPCZ009</v>
      </c>
      <c r="F140" s="3" t="s">
        <v>28</v>
      </c>
      <c r="G140" s="3" t="s">
        <v>28</v>
      </c>
      <c r="H140" s="3" t="s">
        <v>28</v>
      </c>
      <c r="I140" s="3">
        <v>3</v>
      </c>
      <c r="J140" s="3" cm="1">
        <f t="array" ref="J140">-INDEX(PWR_Lab!$F$2:$H$126,AX140,AY140)</f>
        <v>-0.41431000000000001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27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X140" s="3">
        <f t="shared" si="2"/>
        <v>44</v>
      </c>
      <c r="AY140" s="3">
        <f t="shared" si="3"/>
        <v>1</v>
      </c>
    </row>
    <row r="141" spans="2:51" x14ac:dyDescent="0.25">
      <c r="B141" s="3" t="s">
        <v>30</v>
      </c>
      <c r="C141" s="3" t="str">
        <f>C138</f>
        <v>UCPWR_FLAB-P</v>
      </c>
      <c r="D141" s="3" t="s">
        <v>29</v>
      </c>
      <c r="E141" s="3" t="str" cm="1">
        <f t="array" ref="E141">INDEX(PWR_Lab!$A$2:$A$126,AX141)</f>
        <v>KESOPCZ009</v>
      </c>
      <c r="F141" s="3" t="s">
        <v>28</v>
      </c>
      <c r="G141" s="3" t="s">
        <v>28</v>
      </c>
      <c r="H141" s="3" t="s">
        <v>28</v>
      </c>
      <c r="I141" s="3">
        <v>3</v>
      </c>
      <c r="J141" s="3" cm="1">
        <f t="array" ref="J141">-INDEX(PWR_Lab!$F$2:$H$126,AX141,AY141)</f>
        <v>-0.42487999999999998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X141" s="3">
        <f t="shared" si="2"/>
        <v>44</v>
      </c>
      <c r="AY141" s="3">
        <f t="shared" si="3"/>
        <v>2</v>
      </c>
    </row>
    <row r="142" spans="2:51" x14ac:dyDescent="0.25">
      <c r="B142" s="3" t="s">
        <v>30</v>
      </c>
      <c r="C142" s="3" t="str">
        <f>C139</f>
        <v>UCPWR_FLAB-S</v>
      </c>
      <c r="D142" s="3" t="s">
        <v>29</v>
      </c>
      <c r="E142" s="3" t="str" cm="1">
        <f t="array" ref="E142">INDEX(PWR_Lab!$A$2:$A$126,AX142)</f>
        <v>KESOPCZ009</v>
      </c>
      <c r="F142" s="3" t="s">
        <v>28</v>
      </c>
      <c r="G142" s="3" t="s">
        <v>28</v>
      </c>
      <c r="H142" s="3" t="s">
        <v>28</v>
      </c>
      <c r="I142" s="3">
        <v>3</v>
      </c>
      <c r="J142" s="3" cm="1">
        <f t="array" ref="J142">-INDEX(PWR_Lab!$F$2:$H$126,AX142,AY142)</f>
        <v>-0.41188000000000002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X142" s="3">
        <f t="shared" ref="AX142:AX205" si="4">IF(AY141=$AY$6,AX141+1,AX141)</f>
        <v>44</v>
      </c>
      <c r="AY142" s="3">
        <f t="shared" ref="AY142:AY205" si="5">IF(AY141=$AY$6,1,AY141+1)</f>
        <v>3</v>
      </c>
    </row>
    <row r="143" spans="2:51" x14ac:dyDescent="0.25">
      <c r="B143" s="3" t="s">
        <v>30</v>
      </c>
      <c r="C143" s="3" t="str">
        <f>C140</f>
        <v>UCPWR_FLAB-N</v>
      </c>
      <c r="D143" s="3" t="s">
        <v>29</v>
      </c>
      <c r="E143" s="3" t="str" cm="1">
        <f t="array" ref="E143">INDEX(PWR_Lab!$A$2:$A$126,AX143)</f>
        <v>KESOPCZ010</v>
      </c>
      <c r="F143" s="3" t="s">
        <v>28</v>
      </c>
      <c r="G143" s="3" t="s">
        <v>28</v>
      </c>
      <c r="H143" s="3" t="s">
        <v>28</v>
      </c>
      <c r="I143" s="3">
        <v>3</v>
      </c>
      <c r="J143" s="3" cm="1">
        <f t="array" ref="J143">-INDEX(PWR_Lab!$F$2:$H$126,AX143,AY143)</f>
        <v>-0.41431000000000001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X143" s="3">
        <f t="shared" si="4"/>
        <v>45</v>
      </c>
      <c r="AY143" s="3">
        <f t="shared" si="5"/>
        <v>1</v>
      </c>
    </row>
    <row r="144" spans="2:51" x14ac:dyDescent="0.25">
      <c r="B144" s="3" t="s">
        <v>30</v>
      </c>
      <c r="C144" s="3" t="str">
        <f>C141</f>
        <v>UCPWR_FLAB-P</v>
      </c>
      <c r="D144" s="3" t="s">
        <v>29</v>
      </c>
      <c r="E144" s="3" t="str" cm="1">
        <f t="array" ref="E144">INDEX(PWR_Lab!$A$2:$A$126,AX144)</f>
        <v>KESOPCZ010</v>
      </c>
      <c r="F144" s="3" t="s">
        <v>28</v>
      </c>
      <c r="G144" s="3" t="s">
        <v>28</v>
      </c>
      <c r="H144" s="3" t="s">
        <v>28</v>
      </c>
      <c r="I144" s="3">
        <v>3</v>
      </c>
      <c r="J144" s="3" cm="1">
        <f t="array" ref="J144">-INDEX(PWR_Lab!$F$2:$H$126,AX144,AY144)</f>
        <v>-0.42487999999999998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27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X144" s="3">
        <f t="shared" si="4"/>
        <v>45</v>
      </c>
      <c r="AY144" s="3">
        <f t="shared" si="5"/>
        <v>2</v>
      </c>
    </row>
    <row r="145" spans="2:51" x14ac:dyDescent="0.25">
      <c r="B145" s="3" t="s">
        <v>30</v>
      </c>
      <c r="C145" s="3" t="str">
        <f>C142</f>
        <v>UCPWR_FLAB-S</v>
      </c>
      <c r="D145" s="3" t="s">
        <v>29</v>
      </c>
      <c r="E145" s="3" t="str" cm="1">
        <f t="array" ref="E145">INDEX(PWR_Lab!$A$2:$A$126,AX145)</f>
        <v>KESOPCZ010</v>
      </c>
      <c r="F145" s="3" t="s">
        <v>28</v>
      </c>
      <c r="G145" s="3" t="s">
        <v>28</v>
      </c>
      <c r="H145" s="3" t="s">
        <v>28</v>
      </c>
      <c r="I145" s="3">
        <v>3</v>
      </c>
      <c r="J145" s="3" cm="1">
        <f t="array" ref="J145">-INDEX(PWR_Lab!$F$2:$H$126,AX145,AY145)</f>
        <v>-0.41188000000000002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X145" s="3">
        <f t="shared" si="4"/>
        <v>45</v>
      </c>
      <c r="AY145" s="3">
        <f t="shared" si="5"/>
        <v>3</v>
      </c>
    </row>
    <row r="146" spans="2:51" x14ac:dyDescent="0.25">
      <c r="B146" s="3" t="s">
        <v>30</v>
      </c>
      <c r="C146" s="3" t="str">
        <f>C143</f>
        <v>UCPWR_FLAB-N</v>
      </c>
      <c r="D146" s="3" t="s">
        <v>29</v>
      </c>
      <c r="E146" s="3" t="str" cm="1">
        <f t="array" ref="E146">INDEX(PWR_Lab!$A$2:$A$126,AX146)</f>
        <v>KESOPCE001</v>
      </c>
      <c r="F146" s="3" t="s">
        <v>28</v>
      </c>
      <c r="G146" s="3" t="s">
        <v>28</v>
      </c>
      <c r="H146" s="3" t="s">
        <v>28</v>
      </c>
      <c r="I146" s="3">
        <v>3</v>
      </c>
      <c r="J146" s="3" cm="1">
        <f t="array" ref="J146">-INDEX(PWR_Lab!$F$2:$H$126,AX146,AY146)</f>
        <v>-0.41431000000000001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X146" s="3">
        <f t="shared" si="4"/>
        <v>46</v>
      </c>
      <c r="AY146" s="3">
        <f t="shared" si="5"/>
        <v>1</v>
      </c>
    </row>
    <row r="147" spans="2:51" x14ac:dyDescent="0.25">
      <c r="B147" s="3" t="s">
        <v>30</v>
      </c>
      <c r="C147" s="3" t="str">
        <f>C144</f>
        <v>UCPWR_FLAB-P</v>
      </c>
      <c r="D147" s="3" t="s">
        <v>29</v>
      </c>
      <c r="E147" s="3" t="str" cm="1">
        <f t="array" ref="E147">INDEX(PWR_Lab!$A$2:$A$126,AX147)</f>
        <v>KESOPCE001</v>
      </c>
      <c r="F147" s="3" t="s">
        <v>28</v>
      </c>
      <c r="G147" s="3" t="s">
        <v>28</v>
      </c>
      <c r="H147" s="3" t="s">
        <v>28</v>
      </c>
      <c r="I147" s="3">
        <v>3</v>
      </c>
      <c r="J147" s="3" cm="1">
        <f t="array" ref="J147">-INDEX(PWR_Lab!$F$2:$H$126,AX147,AY147)</f>
        <v>-0.42487999999999998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X147" s="3">
        <f t="shared" si="4"/>
        <v>46</v>
      </c>
      <c r="AY147" s="3">
        <f t="shared" si="5"/>
        <v>2</v>
      </c>
    </row>
    <row r="148" spans="2:51" x14ac:dyDescent="0.25">
      <c r="B148" s="3" t="s">
        <v>30</v>
      </c>
      <c r="C148" s="3" t="str">
        <f>C145</f>
        <v>UCPWR_FLAB-S</v>
      </c>
      <c r="D148" s="3" t="s">
        <v>29</v>
      </c>
      <c r="E148" s="3" t="str" cm="1">
        <f t="array" ref="E148">INDEX(PWR_Lab!$A$2:$A$126,AX148)</f>
        <v>KESOPCE001</v>
      </c>
      <c r="F148" s="3" t="s">
        <v>28</v>
      </c>
      <c r="G148" s="3" t="s">
        <v>28</v>
      </c>
      <c r="H148" s="3" t="s">
        <v>28</v>
      </c>
      <c r="I148" s="3">
        <v>3</v>
      </c>
      <c r="J148" s="3" cm="1">
        <f t="array" ref="J148">-INDEX(PWR_Lab!$F$2:$H$126,AX148,AY148)</f>
        <v>-0.41188000000000002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X148" s="3">
        <f t="shared" si="4"/>
        <v>46</v>
      </c>
      <c r="AY148" s="3">
        <f t="shared" si="5"/>
        <v>3</v>
      </c>
    </row>
    <row r="149" spans="2:51" x14ac:dyDescent="0.25">
      <c r="B149" s="3" t="s">
        <v>30</v>
      </c>
      <c r="C149" s="3" t="str">
        <f>C146</f>
        <v>UCPWR_FLAB-N</v>
      </c>
      <c r="D149" s="3" t="s">
        <v>29</v>
      </c>
      <c r="E149" s="3" t="str" cm="1">
        <f t="array" ref="E149">INDEX(PWR_Lab!$A$2:$A$126,AX149)</f>
        <v>KESOPR00</v>
      </c>
      <c r="F149" s="3" t="s">
        <v>28</v>
      </c>
      <c r="G149" s="3" t="s">
        <v>28</v>
      </c>
      <c r="H149" s="3" t="s">
        <v>28</v>
      </c>
      <c r="I149" s="3">
        <v>3</v>
      </c>
      <c r="J149" s="3" cm="1">
        <f t="array" ref="J149">-INDEX(PWR_Lab!$F$2:$H$126,AX149,AY149)</f>
        <v>-0.41431000000000001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27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X149" s="3">
        <f t="shared" si="4"/>
        <v>47</v>
      </c>
      <c r="AY149" s="3">
        <f t="shared" si="5"/>
        <v>1</v>
      </c>
    </row>
    <row r="150" spans="2:51" x14ac:dyDescent="0.25">
      <c r="B150" s="3" t="s">
        <v>30</v>
      </c>
      <c r="C150" s="3" t="str">
        <f>C147</f>
        <v>UCPWR_FLAB-P</v>
      </c>
      <c r="D150" s="3" t="s">
        <v>29</v>
      </c>
      <c r="E150" s="3" t="str" cm="1">
        <f t="array" ref="E150">INDEX(PWR_Lab!$A$2:$A$126,AX150)</f>
        <v>KESOPR00</v>
      </c>
      <c r="F150" s="3" t="s">
        <v>28</v>
      </c>
      <c r="G150" s="3" t="s">
        <v>28</v>
      </c>
      <c r="H150" s="3" t="s">
        <v>28</v>
      </c>
      <c r="I150" s="3">
        <v>3</v>
      </c>
      <c r="J150" s="3" cm="1">
        <f t="array" ref="J150">-INDEX(PWR_Lab!$F$2:$H$126,AX150,AY150)</f>
        <v>-0.42487999999999998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27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X150" s="3">
        <f t="shared" si="4"/>
        <v>47</v>
      </c>
      <c r="AY150" s="3">
        <f t="shared" si="5"/>
        <v>2</v>
      </c>
    </row>
    <row r="151" spans="2:51" x14ac:dyDescent="0.25">
      <c r="B151" s="3" t="s">
        <v>30</v>
      </c>
      <c r="C151" s="3" t="str">
        <f>C148</f>
        <v>UCPWR_FLAB-S</v>
      </c>
      <c r="D151" s="3" t="s">
        <v>29</v>
      </c>
      <c r="E151" s="3" t="str" cm="1">
        <f t="array" ref="E151">INDEX(PWR_Lab!$A$2:$A$126,AX151)</f>
        <v>KESOPR00</v>
      </c>
      <c r="F151" s="3" t="s">
        <v>28</v>
      </c>
      <c r="G151" s="3" t="s">
        <v>28</v>
      </c>
      <c r="H151" s="3" t="s">
        <v>28</v>
      </c>
      <c r="I151" s="3">
        <v>3</v>
      </c>
      <c r="J151" s="3" cm="1">
        <f t="array" ref="J151">-INDEX(PWR_Lab!$F$2:$H$126,AX151,AY151)</f>
        <v>-0.41188000000000002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X151" s="3">
        <f t="shared" si="4"/>
        <v>47</v>
      </c>
      <c r="AY151" s="3">
        <f t="shared" si="5"/>
        <v>3</v>
      </c>
    </row>
    <row r="152" spans="2:51" x14ac:dyDescent="0.25">
      <c r="B152" s="3" t="s">
        <v>30</v>
      </c>
      <c r="C152" s="3" t="str">
        <f>C149</f>
        <v>UCPWR_FLAB-N</v>
      </c>
      <c r="D152" s="3" t="s">
        <v>29</v>
      </c>
      <c r="E152" s="3" t="str" cm="1">
        <f t="array" ref="E152">INDEX(PWR_Lab!$A$2:$A$126,AX152)</f>
        <v>KESOPS00</v>
      </c>
      <c r="F152" s="3" t="s">
        <v>28</v>
      </c>
      <c r="G152" s="3" t="s">
        <v>28</v>
      </c>
      <c r="H152" s="3" t="s">
        <v>28</v>
      </c>
      <c r="I152" s="3">
        <v>3</v>
      </c>
      <c r="J152" s="3" cm="1">
        <f t="array" ref="J152">-INDEX(PWR_Lab!$F$2:$H$126,AX152,AY152)</f>
        <v>-0.41431000000000001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X152" s="3">
        <f t="shared" si="4"/>
        <v>48</v>
      </c>
      <c r="AY152" s="3">
        <f t="shared" si="5"/>
        <v>1</v>
      </c>
    </row>
    <row r="153" spans="2:51" x14ac:dyDescent="0.25">
      <c r="B153" s="3" t="s">
        <v>30</v>
      </c>
      <c r="C153" s="3" t="str">
        <f>C150</f>
        <v>UCPWR_FLAB-P</v>
      </c>
      <c r="D153" s="3" t="s">
        <v>29</v>
      </c>
      <c r="E153" s="3" t="str" cm="1">
        <f t="array" ref="E153">INDEX(PWR_Lab!$A$2:$A$126,AX153)</f>
        <v>KESOPS00</v>
      </c>
      <c r="F153" s="3" t="s">
        <v>28</v>
      </c>
      <c r="G153" s="3" t="s">
        <v>28</v>
      </c>
      <c r="H153" s="3" t="s">
        <v>28</v>
      </c>
      <c r="I153" s="3">
        <v>3</v>
      </c>
      <c r="J153" s="3" cm="1">
        <f t="array" ref="J153">-INDEX(PWR_Lab!$F$2:$H$126,AX153,AY153)</f>
        <v>-0.42487999999999998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X153" s="3">
        <f t="shared" si="4"/>
        <v>48</v>
      </c>
      <c r="AY153" s="3">
        <f t="shared" si="5"/>
        <v>2</v>
      </c>
    </row>
    <row r="154" spans="2:51" x14ac:dyDescent="0.25">
      <c r="B154" s="3" t="s">
        <v>30</v>
      </c>
      <c r="C154" s="3" t="str">
        <f>C151</f>
        <v>UCPWR_FLAB-S</v>
      </c>
      <c r="D154" s="3" t="s">
        <v>29</v>
      </c>
      <c r="E154" s="3" t="str" cm="1">
        <f t="array" ref="E154">INDEX(PWR_Lab!$A$2:$A$126,AX154)</f>
        <v>KESOPS00</v>
      </c>
      <c r="F154" s="3" t="s">
        <v>28</v>
      </c>
      <c r="G154" s="3" t="s">
        <v>28</v>
      </c>
      <c r="H154" s="3" t="s">
        <v>28</v>
      </c>
      <c r="I154" s="3">
        <v>3</v>
      </c>
      <c r="J154" s="3" cm="1">
        <f t="array" ref="J154">-INDEX(PWR_Lab!$F$2:$H$126,AX154,AY154)</f>
        <v>-0.41188000000000002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27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X154" s="3">
        <f t="shared" si="4"/>
        <v>48</v>
      </c>
      <c r="AY154" s="3">
        <f t="shared" si="5"/>
        <v>3</v>
      </c>
    </row>
    <row r="155" spans="2:51" x14ac:dyDescent="0.25">
      <c r="B155" s="3" t="s">
        <v>30</v>
      </c>
      <c r="C155" s="3" t="str">
        <f>C152</f>
        <v>UCPWR_FLAB-N</v>
      </c>
      <c r="D155" s="3" t="s">
        <v>29</v>
      </c>
      <c r="E155" s="3" t="str" cm="1">
        <f t="array" ref="E155">INDEX(PWR_Lab!$A$2:$A$126,AX155)</f>
        <v>KESOPU00</v>
      </c>
      <c r="F155" s="3" t="s">
        <v>28</v>
      </c>
      <c r="G155" s="3" t="s">
        <v>28</v>
      </c>
      <c r="H155" s="3" t="s">
        <v>28</v>
      </c>
      <c r="I155" s="3">
        <v>3</v>
      </c>
      <c r="J155" s="3" cm="1">
        <f t="array" ref="J155">-INDEX(PWR_Lab!$F$2:$H$126,AX155,AY155)</f>
        <v>-0.41431000000000001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X155" s="3">
        <f t="shared" si="4"/>
        <v>49</v>
      </c>
      <c r="AY155" s="3">
        <f t="shared" si="5"/>
        <v>1</v>
      </c>
    </row>
    <row r="156" spans="2:51" x14ac:dyDescent="0.25">
      <c r="B156" s="3" t="s">
        <v>30</v>
      </c>
      <c r="C156" s="3" t="str">
        <f>C153</f>
        <v>UCPWR_FLAB-P</v>
      </c>
      <c r="D156" s="3" t="s">
        <v>29</v>
      </c>
      <c r="E156" s="3" t="str" cm="1">
        <f t="array" ref="E156">INDEX(PWR_Lab!$A$2:$A$126,AX156)</f>
        <v>KESOPU00</v>
      </c>
      <c r="F156" s="3" t="s">
        <v>28</v>
      </c>
      <c r="G156" s="3" t="s">
        <v>28</v>
      </c>
      <c r="H156" s="3" t="s">
        <v>28</v>
      </c>
      <c r="I156" s="3">
        <v>3</v>
      </c>
      <c r="J156" s="3" cm="1">
        <f t="array" ref="J156">-INDEX(PWR_Lab!$F$2:$H$126,AX156,AY156)</f>
        <v>-0.42487999999999998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27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X156" s="3">
        <f t="shared" si="4"/>
        <v>49</v>
      </c>
      <c r="AY156" s="3">
        <f t="shared" si="5"/>
        <v>2</v>
      </c>
    </row>
    <row r="157" spans="2:51" x14ac:dyDescent="0.25">
      <c r="B157" s="3" t="s">
        <v>30</v>
      </c>
      <c r="C157" s="3" t="str">
        <f>C154</f>
        <v>UCPWR_FLAB-S</v>
      </c>
      <c r="D157" s="3" t="s">
        <v>29</v>
      </c>
      <c r="E157" s="3" t="str" cm="1">
        <f t="array" ref="E157">INDEX(PWR_Lab!$A$2:$A$126,AX157)</f>
        <v>KESOPU00</v>
      </c>
      <c r="F157" s="3" t="s">
        <v>28</v>
      </c>
      <c r="G157" s="3" t="s">
        <v>28</v>
      </c>
      <c r="H157" s="3" t="s">
        <v>28</v>
      </c>
      <c r="I157" s="3">
        <v>3</v>
      </c>
      <c r="J157" s="3" cm="1">
        <f t="array" ref="J157">-INDEX(PWR_Lab!$F$2:$H$126,AX157,AY157)</f>
        <v>-0.41188000000000002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X157" s="3">
        <f t="shared" si="4"/>
        <v>49</v>
      </c>
      <c r="AY157" s="3">
        <f t="shared" si="5"/>
        <v>3</v>
      </c>
    </row>
    <row r="158" spans="2:51" x14ac:dyDescent="0.25">
      <c r="B158" s="3" t="s">
        <v>30</v>
      </c>
      <c r="C158" s="3" t="str">
        <f>C155</f>
        <v>UCPWR_FLAB-N</v>
      </c>
      <c r="D158" s="3" t="s">
        <v>29</v>
      </c>
      <c r="E158" s="3" t="str" cm="1">
        <f t="array" ref="E158">INDEX(PWR_Lab!$A$2:$A$126,AX158)</f>
        <v>KESOPB00</v>
      </c>
      <c r="F158" s="3" t="s">
        <v>28</v>
      </c>
      <c r="G158" s="3" t="s">
        <v>28</v>
      </c>
      <c r="H158" s="3" t="s">
        <v>28</v>
      </c>
      <c r="I158" s="3">
        <v>3</v>
      </c>
      <c r="J158" s="3" cm="1">
        <f t="array" ref="J158">-INDEX(PWR_Lab!$F$2:$H$126,AX158,AY158)</f>
        <v>-0.41431000000000001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X158" s="3">
        <f t="shared" si="4"/>
        <v>50</v>
      </c>
      <c r="AY158" s="3">
        <f t="shared" si="5"/>
        <v>1</v>
      </c>
    </row>
    <row r="159" spans="2:51" x14ac:dyDescent="0.25">
      <c r="B159" s="3" t="s">
        <v>30</v>
      </c>
      <c r="C159" s="3" t="str">
        <f>C156</f>
        <v>UCPWR_FLAB-P</v>
      </c>
      <c r="D159" s="3" t="s">
        <v>29</v>
      </c>
      <c r="E159" s="3" t="str" cm="1">
        <f t="array" ref="E159">INDEX(PWR_Lab!$A$2:$A$126,AX159)</f>
        <v>KESOPB00</v>
      </c>
      <c r="F159" s="3" t="s">
        <v>28</v>
      </c>
      <c r="G159" s="3" t="s">
        <v>28</v>
      </c>
      <c r="H159" s="3" t="s">
        <v>28</v>
      </c>
      <c r="I159" s="3">
        <v>3</v>
      </c>
      <c r="J159" s="3" cm="1">
        <f t="array" ref="J159">-INDEX(PWR_Lab!$F$2:$H$126,AX159,AY159)</f>
        <v>-0.42487999999999998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X159" s="3">
        <f t="shared" si="4"/>
        <v>50</v>
      </c>
      <c r="AY159" s="3">
        <f t="shared" si="5"/>
        <v>2</v>
      </c>
    </row>
    <row r="160" spans="2:51" x14ac:dyDescent="0.25">
      <c r="B160" s="3" t="s">
        <v>30</v>
      </c>
      <c r="C160" s="3" t="str">
        <f>C157</f>
        <v>UCPWR_FLAB-S</v>
      </c>
      <c r="D160" s="3" t="s">
        <v>29</v>
      </c>
      <c r="E160" s="3" t="str" cm="1">
        <f t="array" ref="E160">INDEX(PWR_Lab!$A$2:$A$126,AX160)</f>
        <v>KESOPB00</v>
      </c>
      <c r="F160" s="3" t="s">
        <v>28</v>
      </c>
      <c r="G160" s="3" t="s">
        <v>28</v>
      </c>
      <c r="H160" s="3" t="s">
        <v>28</v>
      </c>
      <c r="I160" s="3">
        <v>3</v>
      </c>
      <c r="J160" s="3" cm="1">
        <f t="array" ref="J160">-INDEX(PWR_Lab!$F$2:$H$126,AX160,AY160)</f>
        <v>-0.41188000000000002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27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X160" s="3">
        <f t="shared" si="4"/>
        <v>50</v>
      </c>
      <c r="AY160" s="3">
        <f t="shared" si="5"/>
        <v>3</v>
      </c>
    </row>
    <row r="161" spans="2:51" x14ac:dyDescent="0.25">
      <c r="B161" s="3" t="s">
        <v>30</v>
      </c>
      <c r="C161" s="3" t="str">
        <f>C158</f>
        <v>UCPWR_FLAB-N</v>
      </c>
      <c r="D161" s="3" t="s">
        <v>29</v>
      </c>
      <c r="E161" s="3" t="str" cm="1">
        <f t="array" ref="E161">INDEX(PWR_Lab!$A$2:$A$126,AX161)</f>
        <v>KESOTG00</v>
      </c>
      <c r="F161" s="3" t="s">
        <v>28</v>
      </c>
      <c r="G161" s="3" t="s">
        <v>28</v>
      </c>
      <c r="H161" s="3" t="s">
        <v>28</v>
      </c>
      <c r="I161" s="3">
        <v>3</v>
      </c>
      <c r="J161" s="3" cm="1">
        <f t="array" ref="J161">-INDEX(PWR_Lab!$F$2:$H$126,AX161,AY161)</f>
        <v>-0.50729000000000002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27</v>
      </c>
      <c r="AB161" s="3" t="s">
        <v>27</v>
      </c>
      <c r="AC161" s="3" t="s">
        <v>27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X161" s="3">
        <f t="shared" si="4"/>
        <v>51</v>
      </c>
      <c r="AY161" s="3">
        <f t="shared" si="5"/>
        <v>1</v>
      </c>
    </row>
    <row r="162" spans="2:51" x14ac:dyDescent="0.25">
      <c r="B162" s="3" t="s">
        <v>30</v>
      </c>
      <c r="C162" s="3" t="str">
        <f>C159</f>
        <v>UCPWR_FLAB-P</v>
      </c>
      <c r="D162" s="3" t="s">
        <v>29</v>
      </c>
      <c r="E162" s="3" t="str" cm="1">
        <f t="array" ref="E162">INDEX(PWR_Lab!$A$2:$A$126,AX162)</f>
        <v>KESOTG00</v>
      </c>
      <c r="F162" s="3" t="s">
        <v>28</v>
      </c>
      <c r="G162" s="3" t="s">
        <v>28</v>
      </c>
      <c r="H162" s="3" t="s">
        <v>28</v>
      </c>
      <c r="I162" s="3">
        <v>3</v>
      </c>
      <c r="J162" s="3" cm="1">
        <f t="array" ref="J162">-INDEX(PWR_Lab!$F$2:$H$126,AX162,AY162)</f>
        <v>-0.52022999999999997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27</v>
      </c>
      <c r="AB162" s="3" t="s">
        <v>27</v>
      </c>
      <c r="AC162" s="3" t="s">
        <v>27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X162" s="3">
        <f t="shared" si="4"/>
        <v>51</v>
      </c>
      <c r="AY162" s="3">
        <f t="shared" si="5"/>
        <v>2</v>
      </c>
    </row>
    <row r="163" spans="2:51" x14ac:dyDescent="0.25">
      <c r="B163" s="3" t="s">
        <v>30</v>
      </c>
      <c r="C163" s="3" t="str">
        <f>C160</f>
        <v>UCPWR_FLAB-S</v>
      </c>
      <c r="D163" s="3" t="s">
        <v>29</v>
      </c>
      <c r="E163" s="3" t="str" cm="1">
        <f t="array" ref="E163">INDEX(PWR_Lab!$A$2:$A$126,AX163)</f>
        <v>KESOTG00</v>
      </c>
      <c r="F163" s="3" t="s">
        <v>28</v>
      </c>
      <c r="G163" s="3" t="s">
        <v>28</v>
      </c>
      <c r="H163" s="3" t="s">
        <v>28</v>
      </c>
      <c r="I163" s="3">
        <v>3</v>
      </c>
      <c r="J163" s="3" cm="1">
        <f t="array" ref="J163">-INDEX(PWR_Lab!$F$2:$H$126,AX163,AY163)</f>
        <v>-0.50431000000000004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27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X163" s="3">
        <f t="shared" si="4"/>
        <v>51</v>
      </c>
      <c r="AY163" s="3">
        <f t="shared" si="5"/>
        <v>3</v>
      </c>
    </row>
    <row r="164" spans="2:51" x14ac:dyDescent="0.25">
      <c r="B164" s="3" t="s">
        <v>30</v>
      </c>
      <c r="C164" s="3" t="str">
        <f>C161</f>
        <v>UCPWR_FLAB-N</v>
      </c>
      <c r="D164" s="3" t="s">
        <v>29</v>
      </c>
      <c r="E164" s="3" t="str" cm="1">
        <f t="array" ref="E164">INDEX(PWR_Lab!$A$2:$A$126,AX164)</f>
        <v>KESOTN00</v>
      </c>
      <c r="F164" s="3" t="s">
        <v>28</v>
      </c>
      <c r="G164" s="3" t="s">
        <v>28</v>
      </c>
      <c r="H164" s="3" t="s">
        <v>28</v>
      </c>
      <c r="I164" s="3">
        <v>3</v>
      </c>
      <c r="J164" s="3" cm="1">
        <f t="array" ref="J164">-INDEX(PWR_Lab!$F$2:$H$126,AX164,AY164)</f>
        <v>-0.50729000000000002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X164" s="3">
        <f t="shared" si="4"/>
        <v>52</v>
      </c>
      <c r="AY164" s="3">
        <f t="shared" si="5"/>
        <v>1</v>
      </c>
    </row>
    <row r="165" spans="2:51" x14ac:dyDescent="0.25">
      <c r="B165" s="3" t="s">
        <v>30</v>
      </c>
      <c r="C165" s="3" t="str">
        <f>C162</f>
        <v>UCPWR_FLAB-P</v>
      </c>
      <c r="D165" s="3" t="s">
        <v>29</v>
      </c>
      <c r="E165" s="3" t="str" cm="1">
        <f t="array" ref="E165">INDEX(PWR_Lab!$A$2:$A$126,AX165)</f>
        <v>KESOTN00</v>
      </c>
      <c r="F165" s="3" t="s">
        <v>28</v>
      </c>
      <c r="G165" s="3" t="s">
        <v>28</v>
      </c>
      <c r="H165" s="3" t="s">
        <v>28</v>
      </c>
      <c r="I165" s="3">
        <v>3</v>
      </c>
      <c r="J165" s="3" cm="1">
        <f t="array" ref="J165">-INDEX(PWR_Lab!$F$2:$H$126,AX165,AY165)</f>
        <v>-0.52022999999999997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27</v>
      </c>
      <c r="AB165" s="3" t="s">
        <v>27</v>
      </c>
      <c r="AC165" s="3" t="s">
        <v>27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X165" s="3">
        <f t="shared" si="4"/>
        <v>52</v>
      </c>
      <c r="AY165" s="3">
        <f t="shared" si="5"/>
        <v>2</v>
      </c>
    </row>
    <row r="166" spans="2:51" x14ac:dyDescent="0.25">
      <c r="B166" s="3" t="s">
        <v>30</v>
      </c>
      <c r="C166" s="3" t="str">
        <f>C163</f>
        <v>UCPWR_FLAB-S</v>
      </c>
      <c r="D166" s="3" t="s">
        <v>29</v>
      </c>
      <c r="E166" s="3" t="str" cm="1">
        <f t="array" ref="E166">INDEX(PWR_Lab!$A$2:$A$126,AX166)</f>
        <v>KESOTN00</v>
      </c>
      <c r="F166" s="3" t="s">
        <v>28</v>
      </c>
      <c r="G166" s="3" t="s">
        <v>28</v>
      </c>
      <c r="H166" s="3" t="s">
        <v>28</v>
      </c>
      <c r="I166" s="3">
        <v>3</v>
      </c>
      <c r="J166" s="3" cm="1">
        <f t="array" ref="J166">-INDEX(PWR_Lab!$F$2:$H$126,AX166,AY166)</f>
        <v>-0.50431000000000004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27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X166" s="3">
        <f t="shared" si="4"/>
        <v>52</v>
      </c>
      <c r="AY166" s="3">
        <f t="shared" si="5"/>
        <v>3</v>
      </c>
    </row>
    <row r="167" spans="2:51" x14ac:dyDescent="0.25">
      <c r="B167" s="3" t="s">
        <v>30</v>
      </c>
      <c r="C167" s="3" t="str">
        <f>C164</f>
        <v>UCPWR_FLAB-N</v>
      </c>
      <c r="D167" s="3" t="s">
        <v>29</v>
      </c>
      <c r="E167" s="3" t="str" cm="1">
        <f t="array" ref="E167">INDEX(PWR_Lab!$A$2:$A$126,AX167)</f>
        <v>KESOTS00</v>
      </c>
      <c r="F167" s="3" t="s">
        <v>28</v>
      </c>
      <c r="G167" s="3" t="s">
        <v>28</v>
      </c>
      <c r="H167" s="3" t="s">
        <v>28</v>
      </c>
      <c r="I167" s="3">
        <v>3</v>
      </c>
      <c r="J167" s="3" cm="1">
        <f t="array" ref="J167">-INDEX(PWR_Lab!$F$2:$H$126,AX167,AY167)</f>
        <v>-0.50729000000000002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X167" s="3">
        <f t="shared" si="4"/>
        <v>53</v>
      </c>
      <c r="AY167" s="3">
        <f t="shared" si="5"/>
        <v>1</v>
      </c>
    </row>
    <row r="168" spans="2:51" x14ac:dyDescent="0.25">
      <c r="B168" s="3" t="s">
        <v>30</v>
      </c>
      <c r="C168" s="3" t="str">
        <f>C165</f>
        <v>UCPWR_FLAB-P</v>
      </c>
      <c r="D168" s="3" t="s">
        <v>29</v>
      </c>
      <c r="E168" s="3" t="str" cm="1">
        <f t="array" ref="E168">INDEX(PWR_Lab!$A$2:$A$126,AX168)</f>
        <v>KESOTS00</v>
      </c>
      <c r="F168" s="3" t="s">
        <v>28</v>
      </c>
      <c r="G168" s="3" t="s">
        <v>28</v>
      </c>
      <c r="H168" s="3" t="s">
        <v>28</v>
      </c>
      <c r="I168" s="3">
        <v>3</v>
      </c>
      <c r="J168" s="3" cm="1">
        <f t="array" ref="J168">-INDEX(PWR_Lab!$F$2:$H$126,AX168,AY168)</f>
        <v>-0.52022999999999997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27</v>
      </c>
      <c r="AB168" s="3" t="s">
        <v>27</v>
      </c>
      <c r="AC168" s="3" t="s">
        <v>27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X168" s="3">
        <f t="shared" si="4"/>
        <v>53</v>
      </c>
      <c r="AY168" s="3">
        <f t="shared" si="5"/>
        <v>2</v>
      </c>
    </row>
    <row r="169" spans="2:51" x14ac:dyDescent="0.25">
      <c r="B169" s="3" t="s">
        <v>30</v>
      </c>
      <c r="C169" s="3" t="str">
        <f>C166</f>
        <v>UCPWR_FLAB-S</v>
      </c>
      <c r="D169" s="3" t="s">
        <v>29</v>
      </c>
      <c r="E169" s="3" t="str" cm="1">
        <f t="array" ref="E169">INDEX(PWR_Lab!$A$2:$A$126,AX169)</f>
        <v>KESOTS00</v>
      </c>
      <c r="F169" s="3" t="s">
        <v>28</v>
      </c>
      <c r="G169" s="3" t="s">
        <v>28</v>
      </c>
      <c r="H169" s="3" t="s">
        <v>28</v>
      </c>
      <c r="I169" s="3">
        <v>3</v>
      </c>
      <c r="J169" s="3" cm="1">
        <f t="array" ref="J169">-INDEX(PWR_Lab!$F$2:$H$126,AX169,AY169)</f>
        <v>-0.50431000000000004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27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X169" s="3">
        <f t="shared" si="4"/>
        <v>53</v>
      </c>
      <c r="AY169" s="3">
        <f t="shared" si="5"/>
        <v>3</v>
      </c>
    </row>
    <row r="170" spans="2:51" x14ac:dyDescent="0.25">
      <c r="B170" s="3" t="s">
        <v>30</v>
      </c>
      <c r="C170" s="3" t="str">
        <f>C167</f>
        <v>UCPWR_FLAB-N</v>
      </c>
      <c r="D170" s="3" t="s">
        <v>29</v>
      </c>
      <c r="E170" s="3" t="str" cm="1">
        <f t="array" ref="E170">INDEX(PWR_Lab!$A$2:$A$126,AX170)</f>
        <v>KEWDLC00</v>
      </c>
      <c r="F170" s="3" t="s">
        <v>28</v>
      </c>
      <c r="G170" s="3" t="s">
        <v>28</v>
      </c>
      <c r="H170" s="3" t="s">
        <v>28</v>
      </c>
      <c r="I170" s="3">
        <v>3</v>
      </c>
      <c r="J170" s="3" cm="1">
        <f t="array" ref="J170">-INDEX(PWR_Lab!$F$2:$H$126,AX170,AY170)</f>
        <v>-0.34254000000000001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27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X170" s="3">
        <f t="shared" si="4"/>
        <v>54</v>
      </c>
      <c r="AY170" s="3">
        <f t="shared" si="5"/>
        <v>1</v>
      </c>
    </row>
    <row r="171" spans="2:51" x14ac:dyDescent="0.25">
      <c r="B171" s="3" t="s">
        <v>30</v>
      </c>
      <c r="C171" s="3" t="str">
        <f>C168</f>
        <v>UCPWR_FLAB-P</v>
      </c>
      <c r="D171" s="3" t="s">
        <v>29</v>
      </c>
      <c r="E171" s="3" t="str" cm="1">
        <f t="array" ref="E171">INDEX(PWR_Lab!$A$2:$A$126,AX171)</f>
        <v>KEWDLC00</v>
      </c>
      <c r="F171" s="3" t="s">
        <v>28</v>
      </c>
      <c r="G171" s="3" t="s">
        <v>28</v>
      </c>
      <c r="H171" s="3" t="s">
        <v>28</v>
      </c>
      <c r="I171" s="3">
        <v>3</v>
      </c>
      <c r="J171" s="3" cm="1">
        <f t="array" ref="J171">-INDEX(PWR_Lab!$F$2:$H$126,AX171,AY171)</f>
        <v>-0.35127999999999998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27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X171" s="3">
        <f t="shared" si="4"/>
        <v>54</v>
      </c>
      <c r="AY171" s="3">
        <f t="shared" si="5"/>
        <v>2</v>
      </c>
    </row>
    <row r="172" spans="2:51" x14ac:dyDescent="0.25">
      <c r="B172" s="3" t="s">
        <v>30</v>
      </c>
      <c r="C172" s="3" t="str">
        <f>C169</f>
        <v>UCPWR_FLAB-S</v>
      </c>
      <c r="D172" s="3" t="s">
        <v>29</v>
      </c>
      <c r="E172" s="3" t="str" cm="1">
        <f t="array" ref="E172">INDEX(PWR_Lab!$A$2:$A$126,AX172)</f>
        <v>KEWDLC00</v>
      </c>
      <c r="F172" s="3" t="s">
        <v>28</v>
      </c>
      <c r="G172" s="3" t="s">
        <v>28</v>
      </c>
      <c r="H172" s="3" t="s">
        <v>28</v>
      </c>
      <c r="I172" s="3">
        <v>3</v>
      </c>
      <c r="J172" s="3" cm="1">
        <f t="array" ref="J172">-INDEX(PWR_Lab!$F$2:$H$126,AX172,AY172)</f>
        <v>-0.34053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27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X172" s="3">
        <f t="shared" si="4"/>
        <v>54</v>
      </c>
      <c r="AY172" s="3">
        <f t="shared" si="5"/>
        <v>3</v>
      </c>
    </row>
    <row r="173" spans="2:51" x14ac:dyDescent="0.25">
      <c r="B173" s="3" t="s">
        <v>30</v>
      </c>
      <c r="C173" s="3" t="str">
        <f>C170</f>
        <v>UCPWR_FLAB-N</v>
      </c>
      <c r="D173" s="3" t="s">
        <v>29</v>
      </c>
      <c r="E173" s="3" t="str" cm="1">
        <f t="array" ref="E173">INDEX(PWR_Lab!$A$2:$A$126,AX173)</f>
        <v>KEWDLCZ001</v>
      </c>
      <c r="F173" s="3" t="s">
        <v>28</v>
      </c>
      <c r="G173" s="3" t="s">
        <v>28</v>
      </c>
      <c r="H173" s="3" t="s">
        <v>28</v>
      </c>
      <c r="I173" s="3">
        <v>3</v>
      </c>
      <c r="J173" s="3" cm="1">
        <f t="array" ref="J173">-INDEX(PWR_Lab!$F$2:$H$126,AX173,AY173)</f>
        <v>-0.34254000000000001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X173" s="3">
        <f t="shared" si="4"/>
        <v>55</v>
      </c>
      <c r="AY173" s="3">
        <f t="shared" si="5"/>
        <v>1</v>
      </c>
    </row>
    <row r="174" spans="2:51" x14ac:dyDescent="0.25">
      <c r="B174" s="3" t="s">
        <v>30</v>
      </c>
      <c r="C174" s="3" t="str">
        <f>C171</f>
        <v>UCPWR_FLAB-P</v>
      </c>
      <c r="D174" s="3" t="s">
        <v>29</v>
      </c>
      <c r="E174" s="3" t="str" cm="1">
        <f t="array" ref="E174">INDEX(PWR_Lab!$A$2:$A$126,AX174)</f>
        <v>KEWDLCZ001</v>
      </c>
      <c r="F174" s="3" t="s">
        <v>28</v>
      </c>
      <c r="G174" s="3" t="s">
        <v>28</v>
      </c>
      <c r="H174" s="3" t="s">
        <v>28</v>
      </c>
      <c r="I174" s="3">
        <v>3</v>
      </c>
      <c r="J174" s="3" cm="1">
        <f t="array" ref="J174">-INDEX(PWR_Lab!$F$2:$H$126,AX174,AY174)</f>
        <v>-0.35127999999999998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X174" s="3">
        <f t="shared" si="4"/>
        <v>55</v>
      </c>
      <c r="AY174" s="3">
        <f t="shared" si="5"/>
        <v>2</v>
      </c>
    </row>
    <row r="175" spans="2:51" x14ac:dyDescent="0.25">
      <c r="B175" s="3" t="s">
        <v>30</v>
      </c>
      <c r="C175" s="3" t="str">
        <f>C172</f>
        <v>UCPWR_FLAB-S</v>
      </c>
      <c r="D175" s="3" t="s">
        <v>29</v>
      </c>
      <c r="E175" s="3" t="str" cm="1">
        <f t="array" ref="E175">INDEX(PWR_Lab!$A$2:$A$126,AX175)</f>
        <v>KEWDLCZ001</v>
      </c>
      <c r="F175" s="3" t="s">
        <v>28</v>
      </c>
      <c r="G175" s="3" t="s">
        <v>28</v>
      </c>
      <c r="H175" s="3" t="s">
        <v>28</v>
      </c>
      <c r="I175" s="3">
        <v>3</v>
      </c>
      <c r="J175" s="3" cm="1">
        <f t="array" ref="J175">-INDEX(PWR_Lab!$F$2:$H$126,AX175,AY175)</f>
        <v>-0.34053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X175" s="3">
        <f t="shared" si="4"/>
        <v>55</v>
      </c>
      <c r="AY175" s="3">
        <f t="shared" si="5"/>
        <v>3</v>
      </c>
    </row>
    <row r="176" spans="2:51" x14ac:dyDescent="0.25">
      <c r="B176" s="3" t="s">
        <v>30</v>
      </c>
      <c r="C176" s="3" t="str">
        <f>C173</f>
        <v>UCPWR_FLAB-N</v>
      </c>
      <c r="D176" s="3" t="s">
        <v>29</v>
      </c>
      <c r="E176" s="3" t="str" cm="1">
        <f t="array" ref="E176">INDEX(PWR_Lab!$A$2:$A$126,AX176)</f>
        <v>KEWDLCZ002</v>
      </c>
      <c r="F176" s="3" t="s">
        <v>28</v>
      </c>
      <c r="G176" s="3" t="s">
        <v>28</v>
      </c>
      <c r="H176" s="3" t="s">
        <v>28</v>
      </c>
      <c r="I176" s="3">
        <v>3</v>
      </c>
      <c r="J176" s="3" cm="1">
        <f t="array" ref="J176">-INDEX(PWR_Lab!$F$2:$H$126,AX176,AY176)</f>
        <v>-0.34254000000000001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X176" s="3">
        <f t="shared" si="4"/>
        <v>56</v>
      </c>
      <c r="AY176" s="3">
        <f t="shared" si="5"/>
        <v>1</v>
      </c>
    </row>
    <row r="177" spans="2:51" x14ac:dyDescent="0.25">
      <c r="B177" s="3" t="s">
        <v>30</v>
      </c>
      <c r="C177" s="3" t="str">
        <f>C174</f>
        <v>UCPWR_FLAB-P</v>
      </c>
      <c r="D177" s="3" t="s">
        <v>29</v>
      </c>
      <c r="E177" s="3" t="str" cm="1">
        <f t="array" ref="E177">INDEX(PWR_Lab!$A$2:$A$126,AX177)</f>
        <v>KEWDLCZ002</v>
      </c>
      <c r="F177" s="3" t="s">
        <v>28</v>
      </c>
      <c r="G177" s="3" t="s">
        <v>28</v>
      </c>
      <c r="H177" s="3" t="s">
        <v>28</v>
      </c>
      <c r="I177" s="3">
        <v>3</v>
      </c>
      <c r="J177" s="3" cm="1">
        <f t="array" ref="J177">-INDEX(PWR_Lab!$F$2:$H$126,AX177,AY177)</f>
        <v>-0.35127999999999998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27</v>
      </c>
      <c r="AB177" s="3" t="s">
        <v>27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X177" s="3">
        <f t="shared" si="4"/>
        <v>56</v>
      </c>
      <c r="AY177" s="3">
        <f t="shared" si="5"/>
        <v>2</v>
      </c>
    </row>
    <row r="178" spans="2:51" x14ac:dyDescent="0.25">
      <c r="B178" s="3" t="s">
        <v>30</v>
      </c>
      <c r="C178" s="3" t="str">
        <f>C175</f>
        <v>UCPWR_FLAB-S</v>
      </c>
      <c r="D178" s="3" t="s">
        <v>29</v>
      </c>
      <c r="E178" s="3" t="str" cm="1">
        <f t="array" ref="E178">INDEX(PWR_Lab!$A$2:$A$126,AX178)</f>
        <v>KEWDLCZ002</v>
      </c>
      <c r="F178" s="3" t="s">
        <v>28</v>
      </c>
      <c r="G178" s="3" t="s">
        <v>28</v>
      </c>
      <c r="H178" s="3" t="s">
        <v>28</v>
      </c>
      <c r="I178" s="3">
        <v>3</v>
      </c>
      <c r="J178" s="3" cm="1">
        <f t="array" ref="J178">-INDEX(PWR_Lab!$F$2:$H$126,AX178,AY178)</f>
        <v>-0.34053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27</v>
      </c>
      <c r="AB178" s="3" t="s">
        <v>27</v>
      </c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X178" s="3">
        <f t="shared" si="4"/>
        <v>56</v>
      </c>
      <c r="AY178" s="3">
        <f t="shared" si="5"/>
        <v>3</v>
      </c>
    </row>
    <row r="179" spans="2:51" x14ac:dyDescent="0.25">
      <c r="B179" s="3" t="s">
        <v>30</v>
      </c>
      <c r="C179" s="3" t="str">
        <f>C176</f>
        <v>UCPWR_FLAB-N</v>
      </c>
      <c r="D179" s="3" t="s">
        <v>29</v>
      </c>
      <c r="E179" s="3" t="str" cm="1">
        <f t="array" ref="E179">INDEX(PWR_Lab!$A$2:$A$126,AX179)</f>
        <v>KEWDLCZ003</v>
      </c>
      <c r="F179" s="3" t="s">
        <v>28</v>
      </c>
      <c r="G179" s="3" t="s">
        <v>28</v>
      </c>
      <c r="H179" s="3" t="s">
        <v>28</v>
      </c>
      <c r="I179" s="3">
        <v>3</v>
      </c>
      <c r="J179" s="3" cm="1">
        <f t="array" ref="J179">-INDEX(PWR_Lab!$F$2:$H$126,AX179,AY179)</f>
        <v>-0.34254000000000001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27</v>
      </c>
      <c r="AB179" s="3" t="s">
        <v>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27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X179" s="3">
        <f t="shared" si="4"/>
        <v>57</v>
      </c>
      <c r="AY179" s="3">
        <f t="shared" si="5"/>
        <v>1</v>
      </c>
    </row>
    <row r="180" spans="2:51" x14ac:dyDescent="0.25">
      <c r="B180" s="3" t="s">
        <v>30</v>
      </c>
      <c r="C180" s="3" t="str">
        <f>C177</f>
        <v>UCPWR_FLAB-P</v>
      </c>
      <c r="D180" s="3" t="s">
        <v>29</v>
      </c>
      <c r="E180" s="3" t="str" cm="1">
        <f t="array" ref="E180">INDEX(PWR_Lab!$A$2:$A$126,AX180)</f>
        <v>KEWDLCZ003</v>
      </c>
      <c r="F180" s="3" t="s">
        <v>28</v>
      </c>
      <c r="G180" s="3" t="s">
        <v>28</v>
      </c>
      <c r="H180" s="3" t="s">
        <v>28</v>
      </c>
      <c r="I180" s="3">
        <v>3</v>
      </c>
      <c r="J180" s="3" cm="1">
        <f t="array" ref="J180">-INDEX(PWR_Lab!$F$2:$H$126,AX180,AY180)</f>
        <v>-0.35127999999999998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27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X180" s="3">
        <f t="shared" si="4"/>
        <v>57</v>
      </c>
      <c r="AY180" s="3">
        <f t="shared" si="5"/>
        <v>2</v>
      </c>
    </row>
    <row r="181" spans="2:51" x14ac:dyDescent="0.25">
      <c r="B181" s="3" t="s">
        <v>30</v>
      </c>
      <c r="C181" s="3" t="str">
        <f>C178</f>
        <v>UCPWR_FLAB-S</v>
      </c>
      <c r="D181" s="3" t="s">
        <v>29</v>
      </c>
      <c r="E181" s="3" t="str" cm="1">
        <f t="array" ref="E181">INDEX(PWR_Lab!$A$2:$A$126,AX181)</f>
        <v>KEWDLCZ003</v>
      </c>
      <c r="F181" s="3" t="s">
        <v>28</v>
      </c>
      <c r="G181" s="3" t="s">
        <v>28</v>
      </c>
      <c r="H181" s="3" t="s">
        <v>28</v>
      </c>
      <c r="I181" s="3">
        <v>3</v>
      </c>
      <c r="J181" s="3" cm="1">
        <f t="array" ref="J181">-INDEX(PWR_Lab!$F$2:$H$126,AX181,AY181)</f>
        <v>-0.34053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27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X181" s="3">
        <f t="shared" si="4"/>
        <v>57</v>
      </c>
      <c r="AY181" s="3">
        <f t="shared" si="5"/>
        <v>3</v>
      </c>
    </row>
    <row r="182" spans="2:51" x14ac:dyDescent="0.25">
      <c r="B182" s="3" t="s">
        <v>30</v>
      </c>
      <c r="C182" s="3" t="str">
        <f>C179</f>
        <v>UCPWR_FLAB-N</v>
      </c>
      <c r="D182" s="3" t="s">
        <v>29</v>
      </c>
      <c r="E182" s="3" t="str" cm="1">
        <f t="array" ref="E182">INDEX(PWR_Lab!$A$2:$A$126,AX182)</f>
        <v>KEWDLCZ004</v>
      </c>
      <c r="F182" s="3" t="s">
        <v>28</v>
      </c>
      <c r="G182" s="3" t="s">
        <v>28</v>
      </c>
      <c r="H182" s="3" t="s">
        <v>28</v>
      </c>
      <c r="I182" s="3">
        <v>3</v>
      </c>
      <c r="J182" s="3" cm="1">
        <f t="array" ref="J182">-INDEX(PWR_Lab!$F$2:$H$126,AX182,AY182)</f>
        <v>-0.34254000000000001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27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X182" s="3">
        <f t="shared" si="4"/>
        <v>58</v>
      </c>
      <c r="AY182" s="3">
        <f t="shared" si="5"/>
        <v>1</v>
      </c>
    </row>
    <row r="183" spans="2:51" x14ac:dyDescent="0.25">
      <c r="B183" s="3" t="s">
        <v>30</v>
      </c>
      <c r="C183" s="3" t="str">
        <f>C180</f>
        <v>UCPWR_FLAB-P</v>
      </c>
      <c r="D183" s="3" t="s">
        <v>29</v>
      </c>
      <c r="E183" s="3" t="str" cm="1">
        <f t="array" ref="E183">INDEX(PWR_Lab!$A$2:$A$126,AX183)</f>
        <v>KEWDLCZ004</v>
      </c>
      <c r="F183" s="3" t="s">
        <v>28</v>
      </c>
      <c r="G183" s="3" t="s">
        <v>28</v>
      </c>
      <c r="H183" s="3" t="s">
        <v>28</v>
      </c>
      <c r="I183" s="3">
        <v>3</v>
      </c>
      <c r="J183" s="3" cm="1">
        <f t="array" ref="J183">-INDEX(PWR_Lab!$F$2:$H$126,AX183,AY183)</f>
        <v>-0.35127999999999998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X183" s="3">
        <f t="shared" si="4"/>
        <v>58</v>
      </c>
      <c r="AY183" s="3">
        <f t="shared" si="5"/>
        <v>2</v>
      </c>
    </row>
    <row r="184" spans="2:51" x14ac:dyDescent="0.25">
      <c r="B184" s="3" t="s">
        <v>30</v>
      </c>
      <c r="C184" s="3" t="str">
        <f>C181</f>
        <v>UCPWR_FLAB-S</v>
      </c>
      <c r="D184" s="3" t="s">
        <v>29</v>
      </c>
      <c r="E184" s="3" t="str" cm="1">
        <f t="array" ref="E184">INDEX(PWR_Lab!$A$2:$A$126,AX184)</f>
        <v>KEWDLCZ004</v>
      </c>
      <c r="F184" s="3" t="s">
        <v>28</v>
      </c>
      <c r="G184" s="3" t="s">
        <v>28</v>
      </c>
      <c r="H184" s="3" t="s">
        <v>28</v>
      </c>
      <c r="I184" s="3">
        <v>3</v>
      </c>
      <c r="J184" s="3" cm="1">
        <f t="array" ref="J184">-INDEX(PWR_Lab!$F$2:$H$126,AX184,AY184)</f>
        <v>-0.34053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27</v>
      </c>
      <c r="AB184" s="3" t="s">
        <v>27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27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X184" s="3">
        <f t="shared" si="4"/>
        <v>58</v>
      </c>
      <c r="AY184" s="3">
        <f t="shared" si="5"/>
        <v>3</v>
      </c>
    </row>
    <row r="185" spans="2:51" x14ac:dyDescent="0.25">
      <c r="B185" s="3" t="s">
        <v>30</v>
      </c>
      <c r="C185" s="3" t="str">
        <f>C182</f>
        <v>UCPWR_FLAB-N</v>
      </c>
      <c r="D185" s="3" t="s">
        <v>29</v>
      </c>
      <c r="E185" s="3" t="str" cm="1">
        <f t="array" ref="E185">INDEX(PWR_Lab!$A$2:$A$126,AX185)</f>
        <v>KEWDLCZ005</v>
      </c>
      <c r="F185" s="3" t="s">
        <v>28</v>
      </c>
      <c r="G185" s="3" t="s">
        <v>28</v>
      </c>
      <c r="H185" s="3" t="s">
        <v>28</v>
      </c>
      <c r="I185" s="3">
        <v>3</v>
      </c>
      <c r="J185" s="3" cm="1">
        <f t="array" ref="J185">-INDEX(PWR_Lab!$F$2:$H$126,AX185,AY185)</f>
        <v>-0.34254000000000001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X185" s="3">
        <f t="shared" si="4"/>
        <v>59</v>
      </c>
      <c r="AY185" s="3">
        <f t="shared" si="5"/>
        <v>1</v>
      </c>
    </row>
    <row r="186" spans="2:51" x14ac:dyDescent="0.25">
      <c r="B186" s="3" t="s">
        <v>30</v>
      </c>
      <c r="C186" s="3" t="str">
        <f>C183</f>
        <v>UCPWR_FLAB-P</v>
      </c>
      <c r="D186" s="3" t="s">
        <v>29</v>
      </c>
      <c r="E186" s="3" t="str" cm="1">
        <f t="array" ref="E186">INDEX(PWR_Lab!$A$2:$A$126,AX186)</f>
        <v>KEWDLCZ005</v>
      </c>
      <c r="F186" s="3" t="s">
        <v>28</v>
      </c>
      <c r="G186" s="3" t="s">
        <v>28</v>
      </c>
      <c r="H186" s="3" t="s">
        <v>28</v>
      </c>
      <c r="I186" s="3">
        <v>3</v>
      </c>
      <c r="J186" s="3" cm="1">
        <f t="array" ref="J186">-INDEX(PWR_Lab!$F$2:$H$126,AX186,AY186)</f>
        <v>-0.35127999999999998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X186" s="3">
        <f t="shared" si="4"/>
        <v>59</v>
      </c>
      <c r="AY186" s="3">
        <f t="shared" si="5"/>
        <v>2</v>
      </c>
    </row>
    <row r="187" spans="2:51" x14ac:dyDescent="0.25">
      <c r="B187" s="3" t="s">
        <v>30</v>
      </c>
      <c r="C187" s="3" t="str">
        <f>C184</f>
        <v>UCPWR_FLAB-S</v>
      </c>
      <c r="D187" s="3" t="s">
        <v>29</v>
      </c>
      <c r="E187" s="3" t="str" cm="1">
        <f t="array" ref="E187">INDEX(PWR_Lab!$A$2:$A$126,AX187)</f>
        <v>KEWDLCZ005</v>
      </c>
      <c r="F187" s="3" t="s">
        <v>28</v>
      </c>
      <c r="G187" s="3" t="s">
        <v>28</v>
      </c>
      <c r="H187" s="3" t="s">
        <v>28</v>
      </c>
      <c r="I187" s="3">
        <v>3</v>
      </c>
      <c r="J187" s="3" cm="1">
        <f t="array" ref="J187">-INDEX(PWR_Lab!$F$2:$H$126,AX187,AY187)</f>
        <v>-0.34053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X187" s="3">
        <f t="shared" si="4"/>
        <v>59</v>
      </c>
      <c r="AY187" s="3">
        <f t="shared" si="5"/>
        <v>3</v>
      </c>
    </row>
    <row r="188" spans="2:51" x14ac:dyDescent="0.25">
      <c r="B188" s="3" t="s">
        <v>30</v>
      </c>
      <c r="C188" s="3" t="str">
        <f>C185</f>
        <v>UCPWR_FLAB-N</v>
      </c>
      <c r="D188" s="3" t="s">
        <v>29</v>
      </c>
      <c r="E188" s="3" t="str" cm="1">
        <f t="array" ref="E188">INDEX(PWR_Lab!$A$2:$A$126,AX188)</f>
        <v>KEWDLCZ006</v>
      </c>
      <c r="F188" s="3" t="s">
        <v>28</v>
      </c>
      <c r="G188" s="3" t="s">
        <v>28</v>
      </c>
      <c r="H188" s="3" t="s">
        <v>28</v>
      </c>
      <c r="I188" s="3">
        <v>3</v>
      </c>
      <c r="J188" s="3" cm="1">
        <f t="array" ref="J188">-INDEX(PWR_Lab!$F$2:$H$126,AX188,AY188)</f>
        <v>-0.34254000000000001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27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X188" s="3">
        <f t="shared" si="4"/>
        <v>60</v>
      </c>
      <c r="AY188" s="3">
        <f t="shared" si="5"/>
        <v>1</v>
      </c>
    </row>
    <row r="189" spans="2:51" x14ac:dyDescent="0.25">
      <c r="B189" s="3" t="s">
        <v>30</v>
      </c>
      <c r="C189" s="3" t="str">
        <f>C186</f>
        <v>UCPWR_FLAB-P</v>
      </c>
      <c r="D189" s="3" t="s">
        <v>29</v>
      </c>
      <c r="E189" s="3" t="str" cm="1">
        <f t="array" ref="E189">INDEX(PWR_Lab!$A$2:$A$126,AX189)</f>
        <v>KEWDLCZ006</v>
      </c>
      <c r="F189" s="3" t="s">
        <v>28</v>
      </c>
      <c r="G189" s="3" t="s">
        <v>28</v>
      </c>
      <c r="H189" s="3" t="s">
        <v>28</v>
      </c>
      <c r="I189" s="3">
        <v>3</v>
      </c>
      <c r="J189" s="3" cm="1">
        <f t="array" ref="J189">-INDEX(PWR_Lab!$F$2:$H$126,AX189,AY189)</f>
        <v>-0.35127999999999998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27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X189" s="3">
        <f t="shared" si="4"/>
        <v>60</v>
      </c>
      <c r="AY189" s="3">
        <f t="shared" si="5"/>
        <v>2</v>
      </c>
    </row>
    <row r="190" spans="2:51" x14ac:dyDescent="0.25">
      <c r="B190" s="3" t="s">
        <v>30</v>
      </c>
      <c r="C190" s="3" t="str">
        <f>C187</f>
        <v>UCPWR_FLAB-S</v>
      </c>
      <c r="D190" s="3" t="s">
        <v>29</v>
      </c>
      <c r="E190" s="3" t="str" cm="1">
        <f t="array" ref="E190">INDEX(PWR_Lab!$A$2:$A$126,AX190)</f>
        <v>KEWDLCZ006</v>
      </c>
      <c r="F190" s="3" t="s">
        <v>28</v>
      </c>
      <c r="G190" s="3" t="s">
        <v>28</v>
      </c>
      <c r="H190" s="3" t="s">
        <v>28</v>
      </c>
      <c r="I190" s="3">
        <v>3</v>
      </c>
      <c r="J190" s="3" cm="1">
        <f t="array" ref="J190">-INDEX(PWR_Lab!$F$2:$H$126,AX190,AY190)</f>
        <v>-0.34053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27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X190" s="3">
        <f t="shared" si="4"/>
        <v>60</v>
      </c>
      <c r="AY190" s="3">
        <f t="shared" si="5"/>
        <v>3</v>
      </c>
    </row>
    <row r="191" spans="2:51" x14ac:dyDescent="0.25">
      <c r="B191" s="3" t="s">
        <v>30</v>
      </c>
      <c r="C191" s="3" t="str">
        <f>C188</f>
        <v>UCPWR_FLAB-N</v>
      </c>
      <c r="D191" s="3" t="s">
        <v>29</v>
      </c>
      <c r="E191" s="3" t="str" cm="1">
        <f t="array" ref="E191">INDEX(PWR_Lab!$A$2:$A$126,AX191)</f>
        <v>KEWDLCZ007</v>
      </c>
      <c r="F191" s="3" t="s">
        <v>28</v>
      </c>
      <c r="G191" s="3" t="s">
        <v>28</v>
      </c>
      <c r="H191" s="3" t="s">
        <v>28</v>
      </c>
      <c r="I191" s="3">
        <v>3</v>
      </c>
      <c r="J191" s="3" cm="1">
        <f t="array" ref="J191">-INDEX(PWR_Lab!$F$2:$H$126,AX191,AY191)</f>
        <v>-0.34254000000000001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X191" s="3">
        <f t="shared" si="4"/>
        <v>61</v>
      </c>
      <c r="AY191" s="3">
        <f t="shared" si="5"/>
        <v>1</v>
      </c>
    </row>
    <row r="192" spans="2:51" x14ac:dyDescent="0.25">
      <c r="B192" s="3" t="s">
        <v>30</v>
      </c>
      <c r="C192" s="3" t="str">
        <f>C189</f>
        <v>UCPWR_FLAB-P</v>
      </c>
      <c r="D192" s="3" t="s">
        <v>29</v>
      </c>
      <c r="E192" s="3" t="str" cm="1">
        <f t="array" ref="E192">INDEX(PWR_Lab!$A$2:$A$126,AX192)</f>
        <v>KEWDLCZ007</v>
      </c>
      <c r="F192" s="3" t="s">
        <v>28</v>
      </c>
      <c r="G192" s="3" t="s">
        <v>28</v>
      </c>
      <c r="H192" s="3" t="s">
        <v>28</v>
      </c>
      <c r="I192" s="3">
        <v>3</v>
      </c>
      <c r="J192" s="3" cm="1">
        <f t="array" ref="J192">-INDEX(PWR_Lab!$F$2:$H$126,AX192,AY192)</f>
        <v>-0.35127999999999998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27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X192" s="3">
        <f t="shared" si="4"/>
        <v>61</v>
      </c>
      <c r="AY192" s="3">
        <f t="shared" si="5"/>
        <v>2</v>
      </c>
    </row>
    <row r="193" spans="2:51" x14ac:dyDescent="0.25">
      <c r="B193" s="3" t="s">
        <v>30</v>
      </c>
      <c r="C193" s="3" t="str">
        <f>C190</f>
        <v>UCPWR_FLAB-S</v>
      </c>
      <c r="D193" s="3" t="s">
        <v>29</v>
      </c>
      <c r="E193" s="3" t="str" cm="1">
        <f t="array" ref="E193">INDEX(PWR_Lab!$A$2:$A$126,AX193)</f>
        <v>KEWDLCZ007</v>
      </c>
      <c r="F193" s="3" t="s">
        <v>28</v>
      </c>
      <c r="G193" s="3" t="s">
        <v>28</v>
      </c>
      <c r="H193" s="3" t="s">
        <v>28</v>
      </c>
      <c r="I193" s="3">
        <v>3</v>
      </c>
      <c r="J193" s="3" cm="1">
        <f t="array" ref="J193">-INDEX(PWR_Lab!$F$2:$H$126,AX193,AY193)</f>
        <v>-0.34053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27</v>
      </c>
      <c r="AB193" s="3" t="s">
        <v>27</v>
      </c>
      <c r="AC193" s="3" t="s">
        <v>27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X193" s="3">
        <f t="shared" si="4"/>
        <v>61</v>
      </c>
      <c r="AY193" s="3">
        <f t="shared" si="5"/>
        <v>3</v>
      </c>
    </row>
    <row r="194" spans="2:51" x14ac:dyDescent="0.25">
      <c r="B194" s="3" t="s">
        <v>30</v>
      </c>
      <c r="C194" s="3" t="str">
        <f>C191</f>
        <v>UCPWR_FLAB-N</v>
      </c>
      <c r="D194" s="3" t="s">
        <v>29</v>
      </c>
      <c r="E194" s="3" t="str" cm="1">
        <f t="array" ref="E194">INDEX(PWR_Lab!$A$2:$A$126,AX194)</f>
        <v>KEWDLCZ008</v>
      </c>
      <c r="F194" s="3" t="s">
        <v>28</v>
      </c>
      <c r="G194" s="3" t="s">
        <v>28</v>
      </c>
      <c r="H194" s="3" t="s">
        <v>28</v>
      </c>
      <c r="I194" s="3">
        <v>3</v>
      </c>
      <c r="J194" s="3" cm="1">
        <f t="array" ref="J194">-INDEX(PWR_Lab!$F$2:$H$126,AX194,AY194)</f>
        <v>-0.34254000000000001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27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X194" s="3">
        <f t="shared" si="4"/>
        <v>62</v>
      </c>
      <c r="AY194" s="3">
        <f t="shared" si="5"/>
        <v>1</v>
      </c>
    </row>
    <row r="195" spans="2:51" x14ac:dyDescent="0.25">
      <c r="B195" s="3" t="s">
        <v>30</v>
      </c>
      <c r="C195" s="3" t="str">
        <f>C192</f>
        <v>UCPWR_FLAB-P</v>
      </c>
      <c r="D195" s="3" t="s">
        <v>29</v>
      </c>
      <c r="E195" s="3" t="str" cm="1">
        <f t="array" ref="E195">INDEX(PWR_Lab!$A$2:$A$126,AX195)</f>
        <v>KEWDLCZ008</v>
      </c>
      <c r="F195" s="3" t="s">
        <v>28</v>
      </c>
      <c r="G195" s="3" t="s">
        <v>28</v>
      </c>
      <c r="H195" s="3" t="s">
        <v>28</v>
      </c>
      <c r="I195" s="3">
        <v>3</v>
      </c>
      <c r="J195" s="3" cm="1">
        <f t="array" ref="J195">-INDEX(PWR_Lab!$F$2:$H$126,AX195,AY195)</f>
        <v>-0.35127999999999998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X195" s="3">
        <f t="shared" si="4"/>
        <v>62</v>
      </c>
      <c r="AY195" s="3">
        <f t="shared" si="5"/>
        <v>2</v>
      </c>
    </row>
    <row r="196" spans="2:51" x14ac:dyDescent="0.25">
      <c r="B196" s="3" t="s">
        <v>30</v>
      </c>
      <c r="C196" s="3" t="str">
        <f>C193</f>
        <v>UCPWR_FLAB-S</v>
      </c>
      <c r="D196" s="3" t="s">
        <v>29</v>
      </c>
      <c r="E196" s="3" t="str" cm="1">
        <f t="array" ref="E196">INDEX(PWR_Lab!$A$2:$A$126,AX196)</f>
        <v>KEWDLCZ008</v>
      </c>
      <c r="F196" s="3" t="s">
        <v>28</v>
      </c>
      <c r="G196" s="3" t="s">
        <v>28</v>
      </c>
      <c r="H196" s="3" t="s">
        <v>28</v>
      </c>
      <c r="I196" s="3">
        <v>3</v>
      </c>
      <c r="J196" s="3" cm="1">
        <f t="array" ref="J196">-INDEX(PWR_Lab!$F$2:$H$126,AX196,AY196)</f>
        <v>-0.34053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27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X196" s="3">
        <f t="shared" si="4"/>
        <v>62</v>
      </c>
      <c r="AY196" s="3">
        <f t="shared" si="5"/>
        <v>3</v>
      </c>
    </row>
    <row r="197" spans="2:51" x14ac:dyDescent="0.25">
      <c r="B197" s="3" t="s">
        <v>30</v>
      </c>
      <c r="C197" s="3" t="str">
        <f>C194</f>
        <v>UCPWR_FLAB-N</v>
      </c>
      <c r="D197" s="3" t="s">
        <v>29</v>
      </c>
      <c r="E197" s="3" t="str" cm="1">
        <f t="array" ref="E197">INDEX(PWR_Lab!$A$2:$A$126,AX197)</f>
        <v>KEWDLCZ009</v>
      </c>
      <c r="F197" s="3" t="s">
        <v>28</v>
      </c>
      <c r="G197" s="3" t="s">
        <v>28</v>
      </c>
      <c r="H197" s="3" t="s">
        <v>28</v>
      </c>
      <c r="I197" s="3">
        <v>3</v>
      </c>
      <c r="J197" s="3" cm="1">
        <f t="array" ref="J197">-INDEX(PWR_Lab!$F$2:$H$126,AX197,AY197)</f>
        <v>0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X197" s="3">
        <f t="shared" si="4"/>
        <v>63</v>
      </c>
      <c r="AY197" s="3">
        <f t="shared" si="5"/>
        <v>1</v>
      </c>
    </row>
    <row r="198" spans="2:51" x14ac:dyDescent="0.25">
      <c r="B198" s="3" t="s">
        <v>30</v>
      </c>
      <c r="C198" s="3" t="str">
        <f>C195</f>
        <v>UCPWR_FLAB-P</v>
      </c>
      <c r="D198" s="3" t="s">
        <v>29</v>
      </c>
      <c r="E198" s="3" t="str" cm="1">
        <f t="array" ref="E198">INDEX(PWR_Lab!$A$2:$A$126,AX198)</f>
        <v>KEWDLCZ009</v>
      </c>
      <c r="F198" s="3" t="s">
        <v>28</v>
      </c>
      <c r="G198" s="3" t="s">
        <v>28</v>
      </c>
      <c r="H198" s="3" t="s">
        <v>28</v>
      </c>
      <c r="I198" s="3">
        <v>3</v>
      </c>
      <c r="J198" s="3" cm="1">
        <f t="array" ref="J198">-INDEX(PWR_Lab!$F$2:$H$126,AX198,AY198)</f>
        <v>0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X198" s="3">
        <f t="shared" si="4"/>
        <v>63</v>
      </c>
      <c r="AY198" s="3">
        <f t="shared" si="5"/>
        <v>2</v>
      </c>
    </row>
    <row r="199" spans="2:51" x14ac:dyDescent="0.25">
      <c r="B199" s="3" t="s">
        <v>30</v>
      </c>
      <c r="C199" s="3" t="str">
        <f>C196</f>
        <v>UCPWR_FLAB-S</v>
      </c>
      <c r="D199" s="3" t="s">
        <v>29</v>
      </c>
      <c r="E199" s="3" t="str" cm="1">
        <f t="array" ref="E199">INDEX(PWR_Lab!$A$2:$A$126,AX199)</f>
        <v>KEWDLCZ009</v>
      </c>
      <c r="F199" s="3" t="s">
        <v>28</v>
      </c>
      <c r="G199" s="3" t="s">
        <v>28</v>
      </c>
      <c r="H199" s="3" t="s">
        <v>28</v>
      </c>
      <c r="I199" s="3">
        <v>3</v>
      </c>
      <c r="J199" s="3" cm="1">
        <f t="array" ref="J199">-INDEX(PWR_Lab!$F$2:$H$126,AX199,AY199)</f>
        <v>0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X199" s="3">
        <f t="shared" si="4"/>
        <v>63</v>
      </c>
      <c r="AY199" s="3">
        <f t="shared" si="5"/>
        <v>3</v>
      </c>
    </row>
    <row r="200" spans="2:51" x14ac:dyDescent="0.25">
      <c r="B200" s="3" t="s">
        <v>30</v>
      </c>
      <c r="C200" s="3" t="str">
        <f>C197</f>
        <v>UCPWR_FLAB-N</v>
      </c>
      <c r="D200" s="3" t="s">
        <v>29</v>
      </c>
      <c r="E200" s="3" t="str" cm="1">
        <f t="array" ref="E200">INDEX(PWR_Lab!$A$2:$A$126,AX200)</f>
        <v>KEWDLCZ010</v>
      </c>
      <c r="F200" s="3" t="s">
        <v>28</v>
      </c>
      <c r="G200" s="3" t="s">
        <v>28</v>
      </c>
      <c r="H200" s="3" t="s">
        <v>28</v>
      </c>
      <c r="I200" s="3">
        <v>3</v>
      </c>
      <c r="J200" s="3" cm="1">
        <f t="array" ref="J200">-INDEX(PWR_Lab!$F$2:$H$126,AX200,AY200)</f>
        <v>0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X200" s="3">
        <f t="shared" si="4"/>
        <v>64</v>
      </c>
      <c r="AY200" s="3">
        <f t="shared" si="5"/>
        <v>1</v>
      </c>
    </row>
    <row r="201" spans="2:51" x14ac:dyDescent="0.25">
      <c r="B201" s="3" t="s">
        <v>30</v>
      </c>
      <c r="C201" s="3" t="str">
        <f>C198</f>
        <v>UCPWR_FLAB-P</v>
      </c>
      <c r="D201" s="3" t="s">
        <v>29</v>
      </c>
      <c r="E201" s="3" t="str" cm="1">
        <f t="array" ref="E201">INDEX(PWR_Lab!$A$2:$A$126,AX201)</f>
        <v>KEWDLCZ010</v>
      </c>
      <c r="F201" s="3" t="s">
        <v>28</v>
      </c>
      <c r="G201" s="3" t="s">
        <v>28</v>
      </c>
      <c r="H201" s="3" t="s">
        <v>28</v>
      </c>
      <c r="I201" s="3">
        <v>3</v>
      </c>
      <c r="J201" s="3" cm="1">
        <f t="array" ref="J201">-INDEX(PWR_Lab!$F$2:$H$126,AX201,AY201)</f>
        <v>0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27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X201" s="3">
        <f t="shared" si="4"/>
        <v>64</v>
      </c>
      <c r="AY201" s="3">
        <f t="shared" si="5"/>
        <v>2</v>
      </c>
    </row>
    <row r="202" spans="2:51" x14ac:dyDescent="0.25">
      <c r="B202" s="3" t="s">
        <v>30</v>
      </c>
      <c r="C202" s="3" t="str">
        <f>C199</f>
        <v>UCPWR_FLAB-S</v>
      </c>
      <c r="D202" s="3" t="s">
        <v>29</v>
      </c>
      <c r="E202" s="3" t="str" cm="1">
        <f t="array" ref="E202">INDEX(PWR_Lab!$A$2:$A$126,AX202)</f>
        <v>KEWDLCZ010</v>
      </c>
      <c r="F202" s="3" t="s">
        <v>28</v>
      </c>
      <c r="G202" s="3" t="s">
        <v>28</v>
      </c>
      <c r="H202" s="3" t="s">
        <v>28</v>
      </c>
      <c r="I202" s="3">
        <v>3</v>
      </c>
      <c r="J202" s="3" cm="1">
        <f t="array" ref="J202">-INDEX(PWR_Lab!$F$2:$H$126,AX202,AY202)</f>
        <v>0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X202" s="3">
        <f t="shared" si="4"/>
        <v>64</v>
      </c>
      <c r="AY202" s="3">
        <f t="shared" si="5"/>
        <v>3</v>
      </c>
    </row>
    <row r="203" spans="2:51" x14ac:dyDescent="0.25">
      <c r="B203" s="3" t="s">
        <v>30</v>
      </c>
      <c r="C203" s="3" t="str">
        <f>C200</f>
        <v>UCPWR_FLAB-N</v>
      </c>
      <c r="D203" s="3" t="s">
        <v>29</v>
      </c>
      <c r="E203" s="3" t="str" cm="1">
        <f t="array" ref="E203">INDEX(PWR_Lab!$A$2:$A$126,AX203)</f>
        <v>KEWDLCE001</v>
      </c>
      <c r="F203" s="3" t="s">
        <v>28</v>
      </c>
      <c r="G203" s="3" t="s">
        <v>28</v>
      </c>
      <c r="H203" s="3" t="s">
        <v>28</v>
      </c>
      <c r="I203" s="3">
        <v>3</v>
      </c>
      <c r="J203" s="3" cm="1">
        <f t="array" ref="J203">-INDEX(PWR_Lab!$F$2:$H$126,AX203,AY203)</f>
        <v>0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27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X203" s="3">
        <f t="shared" si="4"/>
        <v>65</v>
      </c>
      <c r="AY203" s="3">
        <f t="shared" si="5"/>
        <v>1</v>
      </c>
    </row>
    <row r="204" spans="2:51" x14ac:dyDescent="0.25">
      <c r="B204" s="3" t="s">
        <v>30</v>
      </c>
      <c r="C204" s="3" t="str">
        <f>C201</f>
        <v>UCPWR_FLAB-P</v>
      </c>
      <c r="D204" s="3" t="s">
        <v>29</v>
      </c>
      <c r="E204" s="3" t="str" cm="1">
        <f t="array" ref="E204">INDEX(PWR_Lab!$A$2:$A$126,AX204)</f>
        <v>KEWDLCE001</v>
      </c>
      <c r="F204" s="3" t="s">
        <v>28</v>
      </c>
      <c r="G204" s="3" t="s">
        <v>28</v>
      </c>
      <c r="H204" s="3" t="s">
        <v>28</v>
      </c>
      <c r="I204" s="3">
        <v>3</v>
      </c>
      <c r="J204" s="3" cm="1">
        <f t="array" ref="J204">-INDEX(PWR_Lab!$F$2:$H$126,AX204,AY204)</f>
        <v>0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27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X204" s="3">
        <f t="shared" si="4"/>
        <v>65</v>
      </c>
      <c r="AY204" s="3">
        <f t="shared" si="5"/>
        <v>2</v>
      </c>
    </row>
    <row r="205" spans="2:51" x14ac:dyDescent="0.25">
      <c r="B205" s="3" t="s">
        <v>30</v>
      </c>
      <c r="C205" s="3" t="str">
        <f>C202</f>
        <v>UCPWR_FLAB-S</v>
      </c>
      <c r="D205" s="3" t="s">
        <v>29</v>
      </c>
      <c r="E205" s="3" t="str" cm="1">
        <f t="array" ref="E205">INDEX(PWR_Lab!$A$2:$A$126,AX205)</f>
        <v>KEWDLCE001</v>
      </c>
      <c r="F205" s="3" t="s">
        <v>28</v>
      </c>
      <c r="G205" s="3" t="s">
        <v>28</v>
      </c>
      <c r="H205" s="3" t="s">
        <v>28</v>
      </c>
      <c r="I205" s="3">
        <v>3</v>
      </c>
      <c r="J205" s="3" cm="1">
        <f t="array" ref="J205">-INDEX(PWR_Lab!$F$2:$H$126,AX205,AY205)</f>
        <v>0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27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X205" s="3">
        <f t="shared" si="4"/>
        <v>65</v>
      </c>
      <c r="AY205" s="3">
        <f t="shared" si="5"/>
        <v>3</v>
      </c>
    </row>
    <row r="206" spans="2:51" x14ac:dyDescent="0.25">
      <c r="B206" s="3" t="s">
        <v>30</v>
      </c>
      <c r="C206" s="3" t="str">
        <f>C203</f>
        <v>UCPWR_FLAB-N</v>
      </c>
      <c r="D206" s="3" t="s">
        <v>29</v>
      </c>
      <c r="E206" s="3" t="str" cm="1">
        <f t="array" ref="E206">INDEX(PWR_Lab!$A$2:$A$126,AX206)</f>
        <v>KEWDLCE002</v>
      </c>
      <c r="F206" s="3" t="s">
        <v>28</v>
      </c>
      <c r="G206" s="3" t="s">
        <v>28</v>
      </c>
      <c r="H206" s="3" t="s">
        <v>28</v>
      </c>
      <c r="I206" s="3">
        <v>3</v>
      </c>
      <c r="J206" s="3" cm="1">
        <f t="array" ref="J206">-INDEX(PWR_Lab!$F$2:$H$126,AX206,AY206)</f>
        <v>0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27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X206" s="3">
        <f t="shared" ref="AX206:AX235" si="6">IF(AY205=$AY$6,AX205+1,AX205)</f>
        <v>66</v>
      </c>
      <c r="AY206" s="3">
        <f t="shared" ref="AY206:AY235" si="7">IF(AY205=$AY$6,1,AY205+1)</f>
        <v>1</v>
      </c>
    </row>
    <row r="207" spans="2:51" x14ac:dyDescent="0.25">
      <c r="B207" s="3" t="s">
        <v>30</v>
      </c>
      <c r="C207" s="3" t="str">
        <f>C204</f>
        <v>UCPWR_FLAB-P</v>
      </c>
      <c r="D207" s="3" t="s">
        <v>29</v>
      </c>
      <c r="E207" s="3" t="str" cm="1">
        <f t="array" ref="E207">INDEX(PWR_Lab!$A$2:$A$126,AX207)</f>
        <v>KEWDLCE002</v>
      </c>
      <c r="F207" s="3" t="s">
        <v>28</v>
      </c>
      <c r="G207" s="3" t="s">
        <v>28</v>
      </c>
      <c r="H207" s="3" t="s">
        <v>28</v>
      </c>
      <c r="I207" s="3">
        <v>3</v>
      </c>
      <c r="J207" s="3" cm="1">
        <f t="array" ref="J207">-INDEX(PWR_Lab!$F$2:$H$126,AX207,AY207)</f>
        <v>0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27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X207" s="3">
        <f t="shared" si="6"/>
        <v>66</v>
      </c>
      <c r="AY207" s="3">
        <f t="shared" si="7"/>
        <v>2</v>
      </c>
    </row>
    <row r="208" spans="2:51" x14ac:dyDescent="0.25">
      <c r="B208" s="3" t="s">
        <v>30</v>
      </c>
      <c r="C208" s="3" t="str">
        <f>C205</f>
        <v>UCPWR_FLAB-S</v>
      </c>
      <c r="D208" s="3" t="s">
        <v>29</v>
      </c>
      <c r="E208" s="3" t="str" cm="1">
        <f t="array" ref="E208">INDEX(PWR_Lab!$A$2:$A$126,AX208)</f>
        <v>KEWDLCE002</v>
      </c>
      <c r="F208" s="3" t="s">
        <v>28</v>
      </c>
      <c r="G208" s="3" t="s">
        <v>28</v>
      </c>
      <c r="H208" s="3" t="s">
        <v>28</v>
      </c>
      <c r="I208" s="3">
        <v>3</v>
      </c>
      <c r="J208" s="3" cm="1">
        <f t="array" ref="J208">-INDEX(PWR_Lab!$F$2:$H$126,AX208,AY208)</f>
        <v>0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X208" s="3">
        <f t="shared" si="6"/>
        <v>66</v>
      </c>
      <c r="AY208" s="3">
        <f t="shared" si="7"/>
        <v>3</v>
      </c>
    </row>
    <row r="209" spans="2:51" x14ac:dyDescent="0.25">
      <c r="B209" s="3" t="s">
        <v>30</v>
      </c>
      <c r="C209" s="3" t="str">
        <f>C206</f>
        <v>UCPWR_FLAB-N</v>
      </c>
      <c r="D209" s="3" t="s">
        <v>29</v>
      </c>
      <c r="E209" s="3" t="str" cm="1">
        <f t="array" ref="E209">INDEX(PWR_Lab!$A$2:$A$126,AX209)</f>
        <v>KEWDLCE003</v>
      </c>
      <c r="F209" s="3" t="s">
        <v>28</v>
      </c>
      <c r="G209" s="3" t="s">
        <v>28</v>
      </c>
      <c r="H209" s="3" t="s">
        <v>28</v>
      </c>
      <c r="I209" s="3">
        <v>3</v>
      </c>
      <c r="J209" s="3" cm="1">
        <f t="array" ref="J209">-INDEX(PWR_Lab!$F$2:$H$126,AX209,AY209)</f>
        <v>0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X209" s="3">
        <f t="shared" si="6"/>
        <v>67</v>
      </c>
      <c r="AY209" s="3">
        <f t="shared" si="7"/>
        <v>1</v>
      </c>
    </row>
    <row r="210" spans="2:51" x14ac:dyDescent="0.25">
      <c r="B210" s="3" t="s">
        <v>30</v>
      </c>
      <c r="C210" s="3" t="str">
        <f>C207</f>
        <v>UCPWR_FLAB-P</v>
      </c>
      <c r="D210" s="3" t="s">
        <v>29</v>
      </c>
      <c r="E210" s="3" t="str" cm="1">
        <f t="array" ref="E210">INDEX(PWR_Lab!$A$2:$A$126,AX210)</f>
        <v>KEWDLCE003</v>
      </c>
      <c r="F210" s="3" t="s">
        <v>28</v>
      </c>
      <c r="G210" s="3" t="s">
        <v>28</v>
      </c>
      <c r="H210" s="3" t="s">
        <v>28</v>
      </c>
      <c r="I210" s="3">
        <v>3</v>
      </c>
      <c r="J210" s="3" cm="1">
        <f t="array" ref="J210">-INDEX(PWR_Lab!$F$2:$H$126,AX210,AY210)</f>
        <v>0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X210" s="3">
        <f t="shared" si="6"/>
        <v>67</v>
      </c>
      <c r="AY210" s="3">
        <f t="shared" si="7"/>
        <v>2</v>
      </c>
    </row>
    <row r="211" spans="2:51" x14ac:dyDescent="0.25">
      <c r="B211" s="3" t="s">
        <v>30</v>
      </c>
      <c r="C211" s="3" t="str">
        <f>C208</f>
        <v>UCPWR_FLAB-S</v>
      </c>
      <c r="D211" s="3" t="s">
        <v>29</v>
      </c>
      <c r="E211" s="3" t="str" cm="1">
        <f t="array" ref="E211">INDEX(PWR_Lab!$A$2:$A$126,AX211)</f>
        <v>KEWDLCE003</v>
      </c>
      <c r="F211" s="3" t="s">
        <v>28</v>
      </c>
      <c r="G211" s="3" t="s">
        <v>28</v>
      </c>
      <c r="H211" s="3" t="s">
        <v>28</v>
      </c>
      <c r="I211" s="3">
        <v>3</v>
      </c>
      <c r="J211" s="3" cm="1">
        <f t="array" ref="J211">-INDEX(PWR_Lab!$F$2:$H$126,AX211,AY211)</f>
        <v>0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X211" s="3">
        <f t="shared" si="6"/>
        <v>67</v>
      </c>
      <c r="AY211" s="3">
        <f t="shared" si="7"/>
        <v>3</v>
      </c>
    </row>
    <row r="212" spans="2:51" x14ac:dyDescent="0.25">
      <c r="B212" s="3" t="s">
        <v>30</v>
      </c>
      <c r="C212" s="3" t="str">
        <f>C209</f>
        <v>UCPWR_FLAB-N</v>
      </c>
      <c r="D212" s="3" t="s">
        <v>29</v>
      </c>
      <c r="E212" s="3" t="str" cm="1">
        <f t="array" ref="E212">INDEX(PWR_Lab!$A$2:$A$126,AX212)</f>
        <v>KEWDLCZDP09</v>
      </c>
      <c r="F212" s="3" t="s">
        <v>28</v>
      </c>
      <c r="G212" s="3" t="s">
        <v>28</v>
      </c>
      <c r="H212" s="3" t="s">
        <v>28</v>
      </c>
      <c r="I212" s="3">
        <v>3</v>
      </c>
      <c r="J212" s="3" cm="1">
        <f t="array" ref="J212">-INDEX(PWR_Lab!$F$2:$H$126,AX212,AY212)</f>
        <v>0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X212" s="3">
        <f t="shared" si="6"/>
        <v>68</v>
      </c>
      <c r="AY212" s="3">
        <f t="shared" si="7"/>
        <v>1</v>
      </c>
    </row>
    <row r="213" spans="2:51" x14ac:dyDescent="0.25">
      <c r="B213" s="3" t="s">
        <v>30</v>
      </c>
      <c r="C213" s="3" t="str">
        <f>C210</f>
        <v>UCPWR_FLAB-P</v>
      </c>
      <c r="D213" s="3" t="s">
        <v>29</v>
      </c>
      <c r="E213" s="3" t="str" cm="1">
        <f t="array" ref="E213">INDEX(PWR_Lab!$A$2:$A$126,AX213)</f>
        <v>KEWDLCZDP09</v>
      </c>
      <c r="F213" s="3" t="s">
        <v>28</v>
      </c>
      <c r="G213" s="3" t="s">
        <v>28</v>
      </c>
      <c r="H213" s="3" t="s">
        <v>28</v>
      </c>
      <c r="I213" s="3">
        <v>3</v>
      </c>
      <c r="J213" s="3" cm="1">
        <f t="array" ref="J213">-INDEX(PWR_Lab!$F$2:$H$126,AX213,AY213)</f>
        <v>0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X213" s="3">
        <f t="shared" si="6"/>
        <v>68</v>
      </c>
      <c r="AY213" s="3">
        <f t="shared" si="7"/>
        <v>2</v>
      </c>
    </row>
    <row r="214" spans="2:51" x14ac:dyDescent="0.25">
      <c r="B214" s="3" t="s">
        <v>30</v>
      </c>
      <c r="C214" s="3" t="str">
        <f>C211</f>
        <v>UCPWR_FLAB-S</v>
      </c>
      <c r="D214" s="3" t="s">
        <v>29</v>
      </c>
      <c r="E214" s="3" t="str" cm="1">
        <f t="array" ref="E214">INDEX(PWR_Lab!$A$2:$A$126,AX214)</f>
        <v>KEWDLCZDP09</v>
      </c>
      <c r="F214" s="3" t="s">
        <v>28</v>
      </c>
      <c r="G214" s="3" t="s">
        <v>28</v>
      </c>
      <c r="H214" s="3" t="s">
        <v>28</v>
      </c>
      <c r="I214" s="3">
        <v>3</v>
      </c>
      <c r="J214" s="3" cm="1">
        <f t="array" ref="J214">-INDEX(PWR_Lab!$F$2:$H$126,AX214,AY214)</f>
        <v>0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27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X214" s="3">
        <f t="shared" si="6"/>
        <v>68</v>
      </c>
      <c r="AY214" s="3">
        <f t="shared" si="7"/>
        <v>3</v>
      </c>
    </row>
    <row r="215" spans="2:51" x14ac:dyDescent="0.25">
      <c r="B215" s="3" t="s">
        <v>30</v>
      </c>
      <c r="C215" s="3" t="str">
        <f>C212</f>
        <v>UCPWR_FLAB-N</v>
      </c>
      <c r="D215" s="3" t="s">
        <v>29</v>
      </c>
      <c r="E215" s="3" t="str" cm="1">
        <f t="array" ref="E215">INDEX(PWR_Lab!$A$2:$A$126,AX215)</f>
        <v>KEWDLCZH08</v>
      </c>
      <c r="F215" s="3" t="s">
        <v>28</v>
      </c>
      <c r="G215" s="3" t="s">
        <v>28</v>
      </c>
      <c r="H215" s="3" t="s">
        <v>28</v>
      </c>
      <c r="I215" s="3">
        <v>3</v>
      </c>
      <c r="J215" s="3" cm="1">
        <f t="array" ref="J215">-INDEX(PWR_Lab!$F$2:$H$126,AX215,AY215)</f>
        <v>0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X215" s="3">
        <f t="shared" si="6"/>
        <v>69</v>
      </c>
      <c r="AY215" s="3">
        <f t="shared" si="7"/>
        <v>1</v>
      </c>
    </row>
    <row r="216" spans="2:51" x14ac:dyDescent="0.25">
      <c r="B216" s="3" t="s">
        <v>30</v>
      </c>
      <c r="C216" s="3" t="str">
        <f>C213</f>
        <v>UCPWR_FLAB-P</v>
      </c>
      <c r="D216" s="3" t="s">
        <v>29</v>
      </c>
      <c r="E216" s="3" t="str" cm="1">
        <f t="array" ref="E216">INDEX(PWR_Lab!$A$2:$A$126,AX216)</f>
        <v>KEWDLCZH08</v>
      </c>
      <c r="F216" s="3" t="s">
        <v>28</v>
      </c>
      <c r="G216" s="3" t="s">
        <v>28</v>
      </c>
      <c r="H216" s="3" t="s">
        <v>28</v>
      </c>
      <c r="I216" s="3">
        <v>3</v>
      </c>
      <c r="J216" s="3" cm="1">
        <f t="array" ref="J216">-INDEX(PWR_Lab!$F$2:$H$126,AX216,AY216)</f>
        <v>0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X216" s="3">
        <f t="shared" si="6"/>
        <v>69</v>
      </c>
      <c r="AY216" s="3">
        <f t="shared" si="7"/>
        <v>2</v>
      </c>
    </row>
    <row r="217" spans="2:51" x14ac:dyDescent="0.25">
      <c r="B217" s="3" t="s">
        <v>30</v>
      </c>
      <c r="C217" s="3" t="str">
        <f>C214</f>
        <v>UCPWR_FLAB-S</v>
      </c>
      <c r="D217" s="3" t="s">
        <v>29</v>
      </c>
      <c r="E217" s="3" t="str" cm="1">
        <f t="array" ref="E217">INDEX(PWR_Lab!$A$2:$A$126,AX217)</f>
        <v>KEWDLCZH08</v>
      </c>
      <c r="F217" s="3" t="s">
        <v>28</v>
      </c>
      <c r="G217" s="3" t="s">
        <v>28</v>
      </c>
      <c r="H217" s="3" t="s">
        <v>28</v>
      </c>
      <c r="I217" s="3">
        <v>3</v>
      </c>
      <c r="J217" s="3" cm="1">
        <f t="array" ref="J217">-INDEX(PWR_Lab!$F$2:$H$126,AX217,AY217)</f>
        <v>0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27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X217" s="3">
        <f t="shared" si="6"/>
        <v>69</v>
      </c>
      <c r="AY217" s="3">
        <f t="shared" si="7"/>
        <v>3</v>
      </c>
    </row>
    <row r="218" spans="2:51" x14ac:dyDescent="0.25">
      <c r="B218" s="3" t="s">
        <v>30</v>
      </c>
      <c r="C218" s="3" t="str">
        <f>C215</f>
        <v>UCPWR_FLAB-N</v>
      </c>
      <c r="D218" s="3" t="s">
        <v>29</v>
      </c>
      <c r="E218" s="3" t="str" cm="1">
        <f t="array" ref="E218">INDEX(PWR_Lab!$A$2:$A$126,AX218)</f>
        <v>KEBATC00</v>
      </c>
      <c r="F218" s="3" t="s">
        <v>28</v>
      </c>
      <c r="G218" s="3" t="s">
        <v>28</v>
      </c>
      <c r="H218" s="3" t="s">
        <v>28</v>
      </c>
      <c r="I218" s="3">
        <v>3</v>
      </c>
      <c r="J218" s="3" cm="1">
        <f t="array" ref="J218">-INDEX(PWR_Lab!$F$2:$H$126,AX218,AY218)</f>
        <v>0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X218" s="3">
        <f t="shared" si="6"/>
        <v>70</v>
      </c>
      <c r="AY218" s="3">
        <f t="shared" si="7"/>
        <v>1</v>
      </c>
    </row>
    <row r="219" spans="2:51" x14ac:dyDescent="0.25">
      <c r="B219" s="3" t="s">
        <v>30</v>
      </c>
      <c r="C219" s="3" t="str">
        <f>C216</f>
        <v>UCPWR_FLAB-P</v>
      </c>
      <c r="D219" s="3" t="s">
        <v>29</v>
      </c>
      <c r="E219" s="3" t="str" cm="1">
        <f t="array" ref="E219">INDEX(PWR_Lab!$A$2:$A$126,AX219)</f>
        <v>KEBATC00</v>
      </c>
      <c r="F219" s="3" t="s">
        <v>28</v>
      </c>
      <c r="G219" s="3" t="s">
        <v>28</v>
      </c>
      <c r="H219" s="3" t="s">
        <v>28</v>
      </c>
      <c r="I219" s="3">
        <v>3</v>
      </c>
      <c r="J219" s="3" cm="1">
        <f t="array" ref="J219">-INDEX(PWR_Lab!$F$2:$H$126,AX219,AY219)</f>
        <v>0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27</v>
      </c>
      <c r="AB219" s="3" t="s">
        <v>27</v>
      </c>
      <c r="AC219" s="3" t="s">
        <v>27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X219" s="3">
        <f t="shared" si="6"/>
        <v>70</v>
      </c>
      <c r="AY219" s="3">
        <f t="shared" si="7"/>
        <v>2</v>
      </c>
    </row>
    <row r="220" spans="2:51" x14ac:dyDescent="0.25">
      <c r="B220" s="3" t="s">
        <v>30</v>
      </c>
      <c r="C220" s="3" t="str">
        <f>C217</f>
        <v>UCPWR_FLAB-S</v>
      </c>
      <c r="D220" s="3" t="s">
        <v>29</v>
      </c>
      <c r="E220" s="3" t="str" cm="1">
        <f t="array" ref="E220">INDEX(PWR_Lab!$A$2:$A$126,AX220)</f>
        <v>KEBATC00</v>
      </c>
      <c r="F220" s="3" t="s">
        <v>28</v>
      </c>
      <c r="G220" s="3" t="s">
        <v>28</v>
      </c>
      <c r="H220" s="3" t="s">
        <v>28</v>
      </c>
      <c r="I220" s="3">
        <v>3</v>
      </c>
      <c r="J220" s="3" cm="1">
        <f t="array" ref="J220">-INDEX(PWR_Lab!$F$2:$H$126,AX220,AY220)</f>
        <v>0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X220" s="3">
        <f t="shared" si="6"/>
        <v>70</v>
      </c>
      <c r="AY220" s="3">
        <f t="shared" si="7"/>
        <v>3</v>
      </c>
    </row>
    <row r="221" spans="2:51" x14ac:dyDescent="0.25">
      <c r="B221" s="3" t="s">
        <v>30</v>
      </c>
      <c r="C221" s="3" t="str">
        <f>C218</f>
        <v>UCPWR_FLAB-N</v>
      </c>
      <c r="D221" s="3" t="s">
        <v>29</v>
      </c>
      <c r="E221" s="3" t="str" cm="1">
        <f t="array" ref="E221">INDEX(PWR_Lab!$A$2:$A$126,AX221)</f>
        <v>KECOSC00</v>
      </c>
      <c r="F221" s="3" t="s">
        <v>28</v>
      </c>
      <c r="G221" s="3" t="s">
        <v>28</v>
      </c>
      <c r="H221" s="3" t="s">
        <v>28</v>
      </c>
      <c r="I221" s="3">
        <v>3</v>
      </c>
      <c r="J221" s="3" cm="1">
        <f t="array" ref="J221">-INDEX(PWR_Lab!$F$2:$H$126,AX221,AY221)</f>
        <v>0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27</v>
      </c>
      <c r="AB221" s="3" t="s">
        <v>27</v>
      </c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X221" s="3">
        <f t="shared" si="6"/>
        <v>71</v>
      </c>
      <c r="AY221" s="3">
        <f t="shared" si="7"/>
        <v>1</v>
      </c>
    </row>
    <row r="222" spans="2:51" x14ac:dyDescent="0.25">
      <c r="B222" s="3" t="s">
        <v>30</v>
      </c>
      <c r="C222" s="3" t="str">
        <f>C219</f>
        <v>UCPWR_FLAB-P</v>
      </c>
      <c r="D222" s="3" t="s">
        <v>29</v>
      </c>
      <c r="E222" s="3" t="str" cm="1">
        <f t="array" ref="E222">INDEX(PWR_Lab!$A$2:$A$126,AX222)</f>
        <v>KECOSC00</v>
      </c>
      <c r="F222" s="3" t="s">
        <v>28</v>
      </c>
      <c r="G222" s="3" t="s">
        <v>28</v>
      </c>
      <c r="H222" s="3" t="s">
        <v>28</v>
      </c>
      <c r="I222" s="3">
        <v>3</v>
      </c>
      <c r="J222" s="3" cm="1">
        <f t="array" ref="J222">-INDEX(PWR_Lab!$F$2:$H$126,AX222,AY222)</f>
        <v>0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27</v>
      </c>
      <c r="AB222" s="3" t="s">
        <v>27</v>
      </c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X222" s="3">
        <f t="shared" si="6"/>
        <v>71</v>
      </c>
      <c r="AY222" s="3">
        <f t="shared" si="7"/>
        <v>2</v>
      </c>
    </row>
    <row r="223" spans="2:51" x14ac:dyDescent="0.25">
      <c r="B223" s="3" t="s">
        <v>30</v>
      </c>
      <c r="C223" s="3" t="str">
        <f>C220</f>
        <v>UCPWR_FLAB-S</v>
      </c>
      <c r="D223" s="3" t="s">
        <v>29</v>
      </c>
      <c r="E223" s="3" t="str" cm="1">
        <f t="array" ref="E223">INDEX(PWR_Lab!$A$2:$A$126,AX223)</f>
        <v>KECOSC00</v>
      </c>
      <c r="F223" s="3" t="s">
        <v>28</v>
      </c>
      <c r="G223" s="3" t="s">
        <v>28</v>
      </c>
      <c r="H223" s="3" t="s">
        <v>28</v>
      </c>
      <c r="I223" s="3">
        <v>3</v>
      </c>
      <c r="J223" s="3" cm="1">
        <f t="array" ref="J223">-INDEX(PWR_Lab!$F$2:$H$126,AX223,AY223)</f>
        <v>0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27</v>
      </c>
      <c r="AB223" s="3" t="s">
        <v>27</v>
      </c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X223" s="3">
        <f t="shared" si="6"/>
        <v>71</v>
      </c>
      <c r="AY223" s="3">
        <f t="shared" si="7"/>
        <v>3</v>
      </c>
    </row>
    <row r="224" spans="2:51" x14ac:dyDescent="0.25">
      <c r="B224" s="3" t="s">
        <v>30</v>
      </c>
      <c r="C224" s="3" t="str">
        <f>C221</f>
        <v>UCPWR_FLAB-N</v>
      </c>
      <c r="D224" s="3" t="s">
        <v>29</v>
      </c>
      <c r="E224" s="3" t="str" cm="1">
        <f t="array" ref="E224">INDEX(PWR_Lab!$A$2:$A$126,AX224)</f>
        <v>KECOSC10</v>
      </c>
      <c r="F224" s="3" t="s">
        <v>28</v>
      </c>
      <c r="G224" s="3" t="s">
        <v>28</v>
      </c>
      <c r="H224" s="3" t="s">
        <v>28</v>
      </c>
      <c r="I224" s="3">
        <v>3</v>
      </c>
      <c r="J224" s="3" cm="1">
        <f t="array" ref="J224">-INDEX(PWR_Lab!$F$2:$H$126,AX224,AY224)</f>
        <v>0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X224" s="3">
        <f t="shared" si="6"/>
        <v>72</v>
      </c>
      <c r="AY224" s="3">
        <f t="shared" si="7"/>
        <v>1</v>
      </c>
    </row>
    <row r="225" spans="2:51" x14ac:dyDescent="0.25">
      <c r="B225" s="3" t="s">
        <v>30</v>
      </c>
      <c r="C225" s="3" t="str">
        <f>C222</f>
        <v>UCPWR_FLAB-P</v>
      </c>
      <c r="D225" s="3" t="s">
        <v>29</v>
      </c>
      <c r="E225" s="3" t="str" cm="1">
        <f t="array" ref="E225">INDEX(PWR_Lab!$A$2:$A$126,AX225)</f>
        <v>KECOSC10</v>
      </c>
      <c r="F225" s="3" t="s">
        <v>28</v>
      </c>
      <c r="G225" s="3" t="s">
        <v>28</v>
      </c>
      <c r="H225" s="3" t="s">
        <v>28</v>
      </c>
      <c r="I225" s="3">
        <v>3</v>
      </c>
      <c r="J225" s="3" cm="1">
        <f t="array" ref="J225">-INDEX(PWR_Lab!$F$2:$H$126,AX225,AY225)</f>
        <v>0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X225" s="3">
        <f t="shared" si="6"/>
        <v>72</v>
      </c>
      <c r="AY225" s="3">
        <f t="shared" si="7"/>
        <v>2</v>
      </c>
    </row>
    <row r="226" spans="2:51" x14ac:dyDescent="0.25">
      <c r="B226" s="3" t="s">
        <v>30</v>
      </c>
      <c r="C226" s="3" t="str">
        <f>C223</f>
        <v>UCPWR_FLAB-S</v>
      </c>
      <c r="D226" s="3" t="s">
        <v>29</v>
      </c>
      <c r="E226" s="3" t="str" cm="1">
        <f t="array" ref="E226">INDEX(PWR_Lab!$A$2:$A$126,AX226)</f>
        <v>KECOSC10</v>
      </c>
      <c r="F226" s="3" t="s">
        <v>28</v>
      </c>
      <c r="G226" s="3" t="s">
        <v>28</v>
      </c>
      <c r="H226" s="3" t="s">
        <v>28</v>
      </c>
      <c r="I226" s="3">
        <v>3</v>
      </c>
      <c r="J226" s="3" cm="1">
        <f t="array" ref="J226">-INDEX(PWR_Lab!$F$2:$H$126,AX226,AY226)</f>
        <v>0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27</v>
      </c>
      <c r="AB226" s="3" t="s">
        <v>27</v>
      </c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X226" s="3">
        <f t="shared" si="6"/>
        <v>72</v>
      </c>
      <c r="AY226" s="3">
        <f t="shared" si="7"/>
        <v>3</v>
      </c>
    </row>
    <row r="227" spans="2:51" x14ac:dyDescent="0.25">
      <c r="B227" s="3" t="s">
        <v>30</v>
      </c>
      <c r="C227" s="3" t="str">
        <f>C224</f>
        <v>UCPWR_FLAB-N</v>
      </c>
      <c r="D227" s="3" t="s">
        <v>29</v>
      </c>
      <c r="E227" s="3" t="str" cm="1">
        <f t="array" ref="E227">INDEX(PWR_Lab!$A$2:$A$126,AX227)</f>
        <v>KECOSC11</v>
      </c>
      <c r="F227" s="3" t="s">
        <v>28</v>
      </c>
      <c r="G227" s="3" t="s">
        <v>28</v>
      </c>
      <c r="H227" s="3" t="s">
        <v>28</v>
      </c>
      <c r="I227" s="3">
        <v>3</v>
      </c>
      <c r="J227" s="3" cm="1">
        <f t="array" ref="J227">-INDEX(PWR_Lab!$F$2:$H$126,AX227,AY227)</f>
        <v>0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X227" s="3">
        <f t="shared" si="6"/>
        <v>73</v>
      </c>
      <c r="AY227" s="3">
        <f t="shared" si="7"/>
        <v>1</v>
      </c>
    </row>
    <row r="228" spans="2:51" x14ac:dyDescent="0.25">
      <c r="B228" s="3" t="s">
        <v>30</v>
      </c>
      <c r="C228" s="3" t="str">
        <f>C225</f>
        <v>UCPWR_FLAB-P</v>
      </c>
      <c r="D228" s="3" t="s">
        <v>29</v>
      </c>
      <c r="E228" s="3" t="str" cm="1">
        <f t="array" ref="E228">INDEX(PWR_Lab!$A$2:$A$126,AX228)</f>
        <v>KECOSC11</v>
      </c>
      <c r="F228" s="3" t="s">
        <v>28</v>
      </c>
      <c r="G228" s="3" t="s">
        <v>28</v>
      </c>
      <c r="H228" s="3" t="s">
        <v>28</v>
      </c>
      <c r="I228" s="3">
        <v>3</v>
      </c>
      <c r="J228" s="3" cm="1">
        <f t="array" ref="J228">-INDEX(PWR_Lab!$F$2:$H$126,AX228,AY228)</f>
        <v>0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X228" s="3">
        <f t="shared" si="6"/>
        <v>73</v>
      </c>
      <c r="AY228" s="3">
        <f t="shared" si="7"/>
        <v>2</v>
      </c>
    </row>
    <row r="229" spans="2:51" x14ac:dyDescent="0.25">
      <c r="B229" s="3" t="s">
        <v>30</v>
      </c>
      <c r="C229" s="3" t="str">
        <f>C226</f>
        <v>UCPWR_FLAB-S</v>
      </c>
      <c r="D229" s="3" t="s">
        <v>29</v>
      </c>
      <c r="E229" s="3" t="str" cm="1">
        <f t="array" ref="E229">INDEX(PWR_Lab!$A$2:$A$126,AX229)</f>
        <v>KECOSC11</v>
      </c>
      <c r="F229" s="3" t="s">
        <v>28</v>
      </c>
      <c r="G229" s="3" t="s">
        <v>28</v>
      </c>
      <c r="H229" s="3" t="s">
        <v>28</v>
      </c>
      <c r="I229" s="3">
        <v>3</v>
      </c>
      <c r="J229" s="3" cm="1">
        <f t="array" ref="J229">-INDEX(PWR_Lab!$F$2:$H$126,AX229,AY229)</f>
        <v>0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X229" s="3">
        <f t="shared" si="6"/>
        <v>73</v>
      </c>
      <c r="AY229" s="3">
        <f t="shared" si="7"/>
        <v>3</v>
      </c>
    </row>
    <row r="230" spans="2:51" x14ac:dyDescent="0.25">
      <c r="B230" s="3" t="s">
        <v>30</v>
      </c>
      <c r="C230" s="3" t="str">
        <f>C227</f>
        <v>UCPWR_FLAB-N</v>
      </c>
      <c r="D230" s="3" t="s">
        <v>29</v>
      </c>
      <c r="E230" s="3" t="str" cm="1">
        <f t="array" ref="E230">INDEX(PWR_Lab!$A$2:$A$126,AX230)</f>
        <v>KENUPW00</v>
      </c>
      <c r="F230" s="3" t="s">
        <v>28</v>
      </c>
      <c r="G230" s="3" t="s">
        <v>28</v>
      </c>
      <c r="H230" s="3" t="s">
        <v>28</v>
      </c>
      <c r="I230" s="3">
        <v>3</v>
      </c>
      <c r="J230" s="3" cm="1">
        <f t="array" ref="J230">-INDEX(PWR_Lab!$F$2:$H$126,AX230,AY230)</f>
        <v>0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27</v>
      </c>
      <c r="AB230" s="3" t="s">
        <v>27</v>
      </c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X230" s="3">
        <f t="shared" si="6"/>
        <v>74</v>
      </c>
      <c r="AY230" s="3">
        <f t="shared" si="7"/>
        <v>1</v>
      </c>
    </row>
    <row r="231" spans="2:51" x14ac:dyDescent="0.25">
      <c r="B231" s="3" t="s">
        <v>30</v>
      </c>
      <c r="C231" s="3" t="str">
        <f>C228</f>
        <v>UCPWR_FLAB-P</v>
      </c>
      <c r="D231" s="3" t="s">
        <v>29</v>
      </c>
      <c r="E231" s="3" t="str" cm="1">
        <f t="array" ref="E231">INDEX(PWR_Lab!$A$2:$A$126,AX231)</f>
        <v>KENUPW00</v>
      </c>
      <c r="F231" s="3" t="s">
        <v>28</v>
      </c>
      <c r="G231" s="3" t="s">
        <v>28</v>
      </c>
      <c r="H231" s="3" t="s">
        <v>28</v>
      </c>
      <c r="I231" s="3">
        <v>3</v>
      </c>
      <c r="J231" s="3" cm="1">
        <f t="array" ref="J231">-INDEX(PWR_Lab!$F$2:$H$126,AX231,AY231)</f>
        <v>0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27</v>
      </c>
      <c r="AB231" s="3" t="s">
        <v>27</v>
      </c>
      <c r="AC231" s="3" t="s">
        <v>27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27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X231" s="3">
        <f t="shared" si="6"/>
        <v>74</v>
      </c>
      <c r="AY231" s="3">
        <f t="shared" si="7"/>
        <v>2</v>
      </c>
    </row>
    <row r="232" spans="2:51" x14ac:dyDescent="0.25">
      <c r="B232" s="3" t="s">
        <v>30</v>
      </c>
      <c r="C232" s="3" t="str">
        <f>C229</f>
        <v>UCPWR_FLAB-S</v>
      </c>
      <c r="D232" s="3" t="s">
        <v>29</v>
      </c>
      <c r="E232" s="3" t="str" cm="1">
        <f t="array" ref="E232">INDEX(PWR_Lab!$A$2:$A$126,AX232)</f>
        <v>KENUPW00</v>
      </c>
      <c r="F232" s="3" t="s">
        <v>28</v>
      </c>
      <c r="G232" s="3" t="s">
        <v>28</v>
      </c>
      <c r="H232" s="3" t="s">
        <v>28</v>
      </c>
      <c r="I232" s="3">
        <v>3</v>
      </c>
      <c r="J232" s="3" cm="1">
        <f t="array" ref="J232">-INDEX(PWR_Lab!$F$2:$H$126,AX232,AY232)</f>
        <v>0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27</v>
      </c>
      <c r="AB232" s="3" t="s">
        <v>27</v>
      </c>
      <c r="AC232" s="3" t="s">
        <v>27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X232" s="3">
        <f t="shared" si="6"/>
        <v>74</v>
      </c>
      <c r="AY232" s="3">
        <f t="shared" si="7"/>
        <v>3</v>
      </c>
    </row>
    <row r="233" spans="2:51" x14ac:dyDescent="0.25">
      <c r="B233" s="3" t="s">
        <v>30</v>
      </c>
      <c r="C233" s="3" t="str">
        <f>C230</f>
        <v>UCPWR_FLAB-N</v>
      </c>
      <c r="D233" s="3" t="s">
        <v>29</v>
      </c>
      <c r="E233" s="3" t="str" cm="1">
        <f t="array" ref="E233">INDEX(PWR_Lab!$A$2:$A$126,AX233)</f>
        <v>KENUPW20</v>
      </c>
      <c r="F233" s="3" t="s">
        <v>28</v>
      </c>
      <c r="G233" s="3" t="s">
        <v>28</v>
      </c>
      <c r="H233" s="3" t="s">
        <v>28</v>
      </c>
      <c r="I233" s="3">
        <v>3</v>
      </c>
      <c r="J233" s="3" cm="1">
        <f t="array" ref="J233">-INDEX(PWR_Lab!$F$2:$H$126,AX233,AY233)</f>
        <v>0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X233" s="3">
        <f t="shared" si="6"/>
        <v>75</v>
      </c>
      <c r="AY233" s="3">
        <f t="shared" si="7"/>
        <v>1</v>
      </c>
    </row>
    <row r="234" spans="2:51" x14ac:dyDescent="0.25">
      <c r="B234" s="3" t="s">
        <v>30</v>
      </c>
      <c r="C234" s="3" t="str">
        <f>C231</f>
        <v>UCPWR_FLAB-P</v>
      </c>
      <c r="D234" s="3" t="s">
        <v>29</v>
      </c>
      <c r="E234" s="3" t="str" cm="1">
        <f t="array" ref="E234">INDEX(PWR_Lab!$A$2:$A$126,AX234)</f>
        <v>KENUPW20</v>
      </c>
      <c r="F234" s="3" t="s">
        <v>28</v>
      </c>
      <c r="G234" s="3" t="s">
        <v>28</v>
      </c>
      <c r="H234" s="3" t="s">
        <v>28</v>
      </c>
      <c r="I234" s="3">
        <v>3</v>
      </c>
      <c r="J234" s="3" cm="1">
        <f t="array" ref="J234">-INDEX(PWR_Lab!$F$2:$H$126,AX234,AY234)</f>
        <v>0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27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X234" s="3">
        <f t="shared" si="6"/>
        <v>75</v>
      </c>
      <c r="AY234" s="3">
        <f t="shared" si="7"/>
        <v>2</v>
      </c>
    </row>
    <row r="235" spans="2:51" x14ac:dyDescent="0.25">
      <c r="B235" s="3" t="s">
        <v>30</v>
      </c>
      <c r="C235" s="3" t="str">
        <f>C232</f>
        <v>UCPWR_FLAB-S</v>
      </c>
      <c r="D235" s="3" t="s">
        <v>29</v>
      </c>
      <c r="E235" s="3" t="str" cm="1">
        <f t="array" ref="E235">INDEX(PWR_Lab!$A$2:$A$126,AX235)</f>
        <v>KENUPW20</v>
      </c>
      <c r="F235" s="3" t="s">
        <v>28</v>
      </c>
      <c r="G235" s="3" t="s">
        <v>28</v>
      </c>
      <c r="H235" s="3" t="s">
        <v>28</v>
      </c>
      <c r="I235" s="3">
        <v>3</v>
      </c>
      <c r="J235" s="3" cm="1">
        <f t="array" ref="J235">-INDEX(PWR_Lab!$F$2:$H$126,AX235,AY235)</f>
        <v>0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27</v>
      </c>
      <c r="AB235" s="3" t="s">
        <v>27</v>
      </c>
      <c r="AC235" s="3" t="s">
        <v>27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X235" s="3">
        <f t="shared" si="6"/>
        <v>75</v>
      </c>
      <c r="AY235" s="3">
        <f t="shared" si="7"/>
        <v>3</v>
      </c>
    </row>
  </sheetData>
  <autoFilter ref="A1:AY235" xr:uid="{E5D9409E-9AA5-4FC9-868B-07DD8EDA52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C1E-33CF-4D2A-A282-F1B0BADE8EFC}">
  <sheetPr codeName="Sheet3">
    <tabColor theme="5"/>
  </sheetPr>
  <dimension ref="A1:S92"/>
  <sheetViews>
    <sheetView workbookViewId="0">
      <selection activeCell="D13" sqref="D13"/>
    </sheetView>
  </sheetViews>
  <sheetFormatPr defaultRowHeight="15" x14ac:dyDescent="0.25"/>
  <cols>
    <col min="1" max="1" width="14.28515625" style="4" bestFit="1" customWidth="1"/>
    <col min="2" max="2" width="22.5703125" style="4" customWidth="1"/>
    <col min="3" max="3" width="9.140625" style="4"/>
    <col min="4" max="4" width="26.7109375" style="4" bestFit="1" customWidth="1"/>
    <col min="5" max="5" width="33.5703125" style="4" customWidth="1"/>
    <col min="6" max="16384" width="9.140625" style="4"/>
  </cols>
  <sheetData>
    <row r="1" spans="1:19" x14ac:dyDescent="0.25">
      <c r="A1" s="4" t="s">
        <v>72</v>
      </c>
      <c r="B1" s="4" t="s">
        <v>71</v>
      </c>
      <c r="C1" s="4" t="s">
        <v>70</v>
      </c>
      <c r="D1" s="4" t="s">
        <v>69</v>
      </c>
      <c r="E1" s="4" t="s">
        <v>68</v>
      </c>
      <c r="F1" s="4" t="s">
        <v>285</v>
      </c>
      <c r="G1" s="4" t="s">
        <v>287</v>
      </c>
      <c r="H1" s="4" t="s">
        <v>288</v>
      </c>
      <c r="I1" s="4" t="s">
        <v>67</v>
      </c>
    </row>
    <row r="2" spans="1:19" x14ac:dyDescent="0.25">
      <c r="A2" t="s">
        <v>312</v>
      </c>
      <c r="B2" t="s">
        <v>41</v>
      </c>
      <c r="C2" t="s">
        <v>64</v>
      </c>
      <c r="D2" t="s">
        <v>64</v>
      </c>
      <c r="E2" t="s">
        <v>239</v>
      </c>
      <c r="F2" s="4" cm="1">
        <f t="array" ref="F2">INDEX('Lab.Calcs.Assumptions'!B$4:B$33,$I2)</f>
        <v>0.36715999999999999</v>
      </c>
      <c r="G2" s="4" cm="1">
        <f t="array" ref="G2">INDEX('Lab.Calcs.Assumptions'!C$4:C$33,$I2)</f>
        <v>0.37652999999999998</v>
      </c>
      <c r="H2" s="4" cm="1">
        <f t="array" ref="H2">INDEX('Lab.Calcs.Assumptions'!D$4:D$33,$I2)</f>
        <v>0.36501</v>
      </c>
      <c r="I2" s="4">
        <f>MATCH(D2,'Lab.Calcs.Assumptions'!$A$4:$A$33,0)</f>
        <v>2</v>
      </c>
      <c r="P2" s="4">
        <v>2</v>
      </c>
      <c r="Q2" s="4" t="s">
        <v>66</v>
      </c>
    </row>
    <row r="3" spans="1:19" x14ac:dyDescent="0.25">
      <c r="A3" t="s">
        <v>313</v>
      </c>
      <c r="B3" t="s">
        <v>41</v>
      </c>
      <c r="C3" t="s">
        <v>64</v>
      </c>
      <c r="D3" t="s">
        <v>64</v>
      </c>
      <c r="E3" t="s">
        <v>314</v>
      </c>
      <c r="F3" s="4" cm="1">
        <f t="array" ref="F3">INDEX('Lab.Calcs.Assumptions'!B$4:B$33,$I3)</f>
        <v>0.36715999999999999</v>
      </c>
      <c r="G3" s="4" cm="1">
        <f t="array" ref="G3">INDEX('Lab.Calcs.Assumptions'!C$4:C$33,$I3)</f>
        <v>0.37652999999999998</v>
      </c>
      <c r="H3" s="4" cm="1">
        <f t="array" ref="H3">INDEX('Lab.Calcs.Assumptions'!D$4:D$33,$I3)</f>
        <v>0.36501</v>
      </c>
      <c r="I3" s="4">
        <f>MATCH(D3,'Lab.Calcs.Assumptions'!$A$4:$A$33,0)</f>
        <v>2</v>
      </c>
      <c r="P3" s="4">
        <v>3</v>
      </c>
      <c r="Q3" s="4" t="s">
        <v>25</v>
      </c>
      <c r="R3" t="s">
        <v>463</v>
      </c>
      <c r="S3" s="4" t="s">
        <v>44</v>
      </c>
    </row>
    <row r="4" spans="1:19" x14ac:dyDescent="0.25">
      <c r="A4" t="s">
        <v>315</v>
      </c>
      <c r="B4" t="s">
        <v>41</v>
      </c>
      <c r="C4" t="s">
        <v>64</v>
      </c>
      <c r="D4" t="s">
        <v>64</v>
      </c>
      <c r="E4" t="s">
        <v>316</v>
      </c>
      <c r="F4" s="4" cm="1">
        <f t="array" ref="F4">INDEX('Lab.Calcs.Assumptions'!B$4:B$33,$I4)</f>
        <v>0.36715999999999999</v>
      </c>
      <c r="G4" s="4" cm="1">
        <f t="array" ref="G4">INDEX('Lab.Calcs.Assumptions'!C$4:C$33,$I4)</f>
        <v>0.37652999999999998</v>
      </c>
      <c r="H4" s="4" cm="1">
        <f t="array" ref="H4">INDEX('Lab.Calcs.Assumptions'!D$4:D$33,$I4)</f>
        <v>0.36501</v>
      </c>
      <c r="I4" s="4">
        <f>MATCH(D4,'Lab.Calcs.Assumptions'!$A$4:$A$33,0)</f>
        <v>2</v>
      </c>
      <c r="P4" s="4">
        <v>4</v>
      </c>
      <c r="Q4" s="4" t="s">
        <v>25</v>
      </c>
      <c r="R4" t="s">
        <v>312</v>
      </c>
      <c r="S4" s="4" t="s">
        <v>44</v>
      </c>
    </row>
    <row r="5" spans="1:19" x14ac:dyDescent="0.25">
      <c r="A5" t="s">
        <v>317</v>
      </c>
      <c r="B5" t="s">
        <v>41</v>
      </c>
      <c r="C5" t="s">
        <v>64</v>
      </c>
      <c r="D5" t="s">
        <v>64</v>
      </c>
      <c r="E5" t="s">
        <v>240</v>
      </c>
      <c r="F5" s="4" cm="1">
        <f t="array" ref="F5">INDEX('Lab.Calcs.Assumptions'!B$4:B$33,$I5)</f>
        <v>0.36715999999999999</v>
      </c>
      <c r="G5" s="4" cm="1">
        <f t="array" ref="G5">INDEX('Lab.Calcs.Assumptions'!C$4:C$33,$I5)</f>
        <v>0.37652999999999998</v>
      </c>
      <c r="H5" s="4" cm="1">
        <f t="array" ref="H5">INDEX('Lab.Calcs.Assumptions'!D$4:D$33,$I5)</f>
        <v>0.36501</v>
      </c>
      <c r="I5" s="4">
        <f>MATCH(D5,'Lab.Calcs.Assumptions'!$A$4:$A$33,0)</f>
        <v>2</v>
      </c>
      <c r="P5" s="4">
        <v>6</v>
      </c>
      <c r="Q5" s="4" t="s">
        <v>25</v>
      </c>
      <c r="R5" t="s">
        <v>313</v>
      </c>
      <c r="S5" s="4" t="s">
        <v>44</v>
      </c>
    </row>
    <row r="6" spans="1:19" x14ac:dyDescent="0.25">
      <c r="A6" t="s">
        <v>318</v>
      </c>
      <c r="B6" t="s">
        <v>41</v>
      </c>
      <c r="C6" t="s">
        <v>319</v>
      </c>
      <c r="D6" t="s">
        <v>319</v>
      </c>
      <c r="E6" t="s">
        <v>241</v>
      </c>
      <c r="F6" s="4" cm="1">
        <f t="array" ref="F6">INDEX('Lab.Calcs.Assumptions'!B$4:B$33,$I6)</f>
        <v>0.50729000000000002</v>
      </c>
      <c r="G6" s="4" cm="1">
        <f t="array" ref="G6">INDEX('Lab.Calcs.Assumptions'!C$4:C$33,$I6)</f>
        <v>0.52022999999999997</v>
      </c>
      <c r="H6" s="4" cm="1">
        <f t="array" ref="H6">INDEX('Lab.Calcs.Assumptions'!D$4:D$33,$I6)</f>
        <v>0.50431000000000004</v>
      </c>
      <c r="I6" s="4">
        <f>MATCH(D6,'Lab.Calcs.Assumptions'!$A$4:$A$33,0)</f>
        <v>12</v>
      </c>
      <c r="P6" s="4">
        <v>31</v>
      </c>
      <c r="Q6" s="4" t="s">
        <v>25</v>
      </c>
      <c r="R6" t="s">
        <v>315</v>
      </c>
      <c r="S6" s="4" t="s">
        <v>44</v>
      </c>
    </row>
    <row r="7" spans="1:19" x14ac:dyDescent="0.25">
      <c r="A7" t="s">
        <v>320</v>
      </c>
      <c r="B7" t="s">
        <v>41</v>
      </c>
      <c r="C7" t="s">
        <v>319</v>
      </c>
      <c r="D7" t="s">
        <v>319</v>
      </c>
      <c r="E7" t="s">
        <v>321</v>
      </c>
      <c r="F7" s="4" cm="1">
        <f t="array" ref="F7">INDEX('Lab.Calcs.Assumptions'!B$4:B$33,$I7)</f>
        <v>0.50729000000000002</v>
      </c>
      <c r="G7" s="4" cm="1">
        <f t="array" ref="G7">INDEX('Lab.Calcs.Assumptions'!C$4:C$33,$I7)</f>
        <v>0.52022999999999997</v>
      </c>
      <c r="H7" s="4" cm="1">
        <f t="array" ref="H7">INDEX('Lab.Calcs.Assumptions'!D$4:D$33,$I7)</f>
        <v>0.50431000000000004</v>
      </c>
      <c r="I7" s="4">
        <f>MATCH(D7,'Lab.Calcs.Assumptions'!$A$4:$A$33,0)</f>
        <v>12</v>
      </c>
      <c r="P7" s="4">
        <v>32</v>
      </c>
      <c r="Q7" s="4" t="s">
        <v>25</v>
      </c>
      <c r="R7" t="s">
        <v>464</v>
      </c>
      <c r="S7" s="4" t="s">
        <v>44</v>
      </c>
    </row>
    <row r="8" spans="1:19" x14ac:dyDescent="0.25">
      <c r="A8" t="s">
        <v>322</v>
      </c>
      <c r="B8" t="s">
        <v>41</v>
      </c>
      <c r="C8" t="s">
        <v>319</v>
      </c>
      <c r="D8" t="s">
        <v>319</v>
      </c>
      <c r="E8" t="s">
        <v>323</v>
      </c>
      <c r="F8" s="4" cm="1">
        <f t="array" ref="F8">INDEX('Lab.Calcs.Assumptions'!B$4:B$33,$I8)</f>
        <v>0.50729000000000002</v>
      </c>
      <c r="G8" s="4" cm="1">
        <f t="array" ref="G8">INDEX('Lab.Calcs.Assumptions'!C$4:C$33,$I8)</f>
        <v>0.52022999999999997</v>
      </c>
      <c r="H8" s="4" cm="1">
        <f t="array" ref="H8">INDEX('Lab.Calcs.Assumptions'!D$4:D$33,$I8)</f>
        <v>0.50431000000000004</v>
      </c>
      <c r="I8" s="4">
        <f>MATCH(D8,'Lab.Calcs.Assumptions'!$A$4:$A$33,0)</f>
        <v>12</v>
      </c>
      <c r="P8" s="4">
        <v>33</v>
      </c>
      <c r="Q8" s="4" t="s">
        <v>25</v>
      </c>
      <c r="R8" t="s">
        <v>317</v>
      </c>
      <c r="S8" s="4" t="s">
        <v>44</v>
      </c>
    </row>
    <row r="9" spans="1:19" x14ac:dyDescent="0.25">
      <c r="A9" t="s">
        <v>324</v>
      </c>
      <c r="B9" t="s">
        <v>41</v>
      </c>
      <c r="C9" t="s">
        <v>319</v>
      </c>
      <c r="D9" t="s">
        <v>319</v>
      </c>
      <c r="E9" t="s">
        <v>325</v>
      </c>
      <c r="F9" s="4" cm="1">
        <f t="array" ref="F9">INDEX('Lab.Calcs.Assumptions'!B$4:B$33,$I9)</f>
        <v>0.50729000000000002</v>
      </c>
      <c r="G9" s="4" cm="1">
        <f t="array" ref="G9">INDEX('Lab.Calcs.Assumptions'!C$4:C$33,$I9)</f>
        <v>0.52022999999999997</v>
      </c>
      <c r="H9" s="4" cm="1">
        <f t="array" ref="H9">INDEX('Lab.Calcs.Assumptions'!D$4:D$33,$I9)</f>
        <v>0.50431000000000004</v>
      </c>
      <c r="I9" s="4">
        <f>MATCH(D9,'Lab.Calcs.Assumptions'!$A$4:$A$33,0)</f>
        <v>12</v>
      </c>
      <c r="P9" s="4">
        <v>34</v>
      </c>
      <c r="Q9" s="4" t="s">
        <v>25</v>
      </c>
      <c r="R9" t="s">
        <v>465</v>
      </c>
      <c r="S9" s="4" t="s">
        <v>44</v>
      </c>
    </row>
    <row r="10" spans="1:19" x14ac:dyDescent="0.25">
      <c r="A10" t="s">
        <v>326</v>
      </c>
      <c r="B10" t="s">
        <v>41</v>
      </c>
      <c r="C10" t="s">
        <v>319</v>
      </c>
      <c r="D10" t="s">
        <v>319</v>
      </c>
      <c r="E10" t="s">
        <v>327</v>
      </c>
      <c r="F10" s="4" cm="1">
        <f t="array" ref="F10">INDEX('Lab.Calcs.Assumptions'!B$4:B$33,$I10)</f>
        <v>0.50729000000000002</v>
      </c>
      <c r="G10" s="4" cm="1">
        <f t="array" ref="G10">INDEX('Lab.Calcs.Assumptions'!C$4:C$33,$I10)</f>
        <v>0.52022999999999997</v>
      </c>
      <c r="H10" s="4" cm="1">
        <f t="array" ref="H10">INDEX('Lab.Calcs.Assumptions'!D$4:D$33,$I10)</f>
        <v>0.50431000000000004</v>
      </c>
      <c r="I10" s="4">
        <f>MATCH(D10,'Lab.Calcs.Assumptions'!$A$4:$A$33,0)</f>
        <v>12</v>
      </c>
      <c r="P10" s="4">
        <v>35</v>
      </c>
      <c r="Q10" s="4" t="s">
        <v>25</v>
      </c>
      <c r="R10" t="s">
        <v>428</v>
      </c>
      <c r="S10" s="4" t="s">
        <v>44</v>
      </c>
    </row>
    <row r="11" spans="1:19" x14ac:dyDescent="0.25">
      <c r="A11" t="s">
        <v>328</v>
      </c>
      <c r="B11" t="s">
        <v>41</v>
      </c>
      <c r="C11" t="s">
        <v>319</v>
      </c>
      <c r="D11" t="s">
        <v>319</v>
      </c>
      <c r="E11" t="s">
        <v>329</v>
      </c>
      <c r="F11" s="4" cm="1">
        <f t="array" ref="F11">INDEX('Lab.Calcs.Assumptions'!B$4:B$33,$I11)</f>
        <v>0.50729000000000002</v>
      </c>
      <c r="G11" s="4" cm="1">
        <f t="array" ref="G11">INDEX('Lab.Calcs.Assumptions'!C$4:C$33,$I11)</f>
        <v>0.52022999999999997</v>
      </c>
      <c r="H11" s="4" cm="1">
        <f t="array" ref="H11">INDEX('Lab.Calcs.Assumptions'!D$4:D$33,$I11)</f>
        <v>0.50431000000000004</v>
      </c>
      <c r="I11" s="4">
        <f>MATCH(D11,'Lab.Calcs.Assumptions'!$A$4:$A$33,0)</f>
        <v>12</v>
      </c>
      <c r="P11" s="4">
        <v>36</v>
      </c>
      <c r="Q11" s="4" t="s">
        <v>25</v>
      </c>
      <c r="R11" t="s">
        <v>430</v>
      </c>
      <c r="S11" s="4" t="s">
        <v>44</v>
      </c>
    </row>
    <row r="12" spans="1:19" x14ac:dyDescent="0.25">
      <c r="A12" t="s">
        <v>330</v>
      </c>
      <c r="B12" t="s">
        <v>41</v>
      </c>
      <c r="C12" t="s">
        <v>319</v>
      </c>
      <c r="D12" t="s">
        <v>319</v>
      </c>
      <c r="E12" t="s">
        <v>331</v>
      </c>
      <c r="F12" s="4" cm="1">
        <f t="array" ref="F12">INDEX('Lab.Calcs.Assumptions'!B$4:B$33,$I12)</f>
        <v>0.50729000000000002</v>
      </c>
      <c r="G12" s="4" cm="1">
        <f t="array" ref="G12">INDEX('Lab.Calcs.Assumptions'!C$4:C$33,$I12)</f>
        <v>0.52022999999999997</v>
      </c>
      <c r="H12" s="4" cm="1">
        <f t="array" ref="H12">INDEX('Lab.Calcs.Assumptions'!D$4:D$33,$I12)</f>
        <v>0.50431000000000004</v>
      </c>
      <c r="I12" s="4">
        <f>MATCH(D12,'Lab.Calcs.Assumptions'!$A$4:$A$33,0)</f>
        <v>12</v>
      </c>
      <c r="P12" s="4">
        <v>37</v>
      </c>
      <c r="Q12" s="4" t="s">
        <v>25</v>
      </c>
      <c r="R12" t="s">
        <v>432</v>
      </c>
      <c r="S12" s="4" t="s">
        <v>44</v>
      </c>
    </row>
    <row r="13" spans="1:19" x14ac:dyDescent="0.25">
      <c r="A13" t="s">
        <v>332</v>
      </c>
      <c r="B13" t="s">
        <v>41</v>
      </c>
      <c r="C13" t="s">
        <v>319</v>
      </c>
      <c r="D13" t="s">
        <v>319</v>
      </c>
      <c r="E13" t="s">
        <v>333</v>
      </c>
      <c r="F13" s="4" cm="1">
        <f t="array" ref="F13">INDEX('Lab.Calcs.Assumptions'!B$4:B$33,$I13)</f>
        <v>0.50729000000000002</v>
      </c>
      <c r="G13" s="4" cm="1">
        <f t="array" ref="G13">INDEX('Lab.Calcs.Assumptions'!C$4:C$33,$I13)</f>
        <v>0.52022999999999997</v>
      </c>
      <c r="H13" s="4" cm="1">
        <f t="array" ref="H13">INDEX('Lab.Calcs.Assumptions'!D$4:D$33,$I13)</f>
        <v>0.50431000000000004</v>
      </c>
      <c r="I13" s="4">
        <f>MATCH(D13,'Lab.Calcs.Assumptions'!$A$4:$A$33,0)</f>
        <v>12</v>
      </c>
      <c r="P13" s="4">
        <v>38</v>
      </c>
      <c r="Q13" s="4" t="s">
        <v>25</v>
      </c>
      <c r="R13" t="s">
        <v>466</v>
      </c>
      <c r="S13" s="4" t="s">
        <v>44</v>
      </c>
    </row>
    <row r="14" spans="1:19" x14ac:dyDescent="0.25">
      <c r="A14" t="s">
        <v>334</v>
      </c>
      <c r="B14" t="s">
        <v>41</v>
      </c>
      <c r="C14" t="s">
        <v>319</v>
      </c>
      <c r="D14" t="s">
        <v>319</v>
      </c>
      <c r="E14" t="s">
        <v>335</v>
      </c>
      <c r="F14" s="4" cm="1">
        <f t="array" ref="F14">INDEX('Lab.Calcs.Assumptions'!B$4:B$33,$I14)</f>
        <v>0.50729000000000002</v>
      </c>
      <c r="G14" s="4" cm="1">
        <f t="array" ref="G14">INDEX('Lab.Calcs.Assumptions'!C$4:C$33,$I14)</f>
        <v>0.52022999999999997</v>
      </c>
      <c r="H14" s="4" cm="1">
        <f t="array" ref="H14">INDEX('Lab.Calcs.Assumptions'!D$4:D$33,$I14)</f>
        <v>0.50431000000000004</v>
      </c>
      <c r="I14" s="4">
        <f>MATCH(D14,'Lab.Calcs.Assumptions'!$A$4:$A$33,0)</f>
        <v>12</v>
      </c>
      <c r="P14" s="4">
        <v>39</v>
      </c>
      <c r="Q14" s="4" t="s">
        <v>25</v>
      </c>
      <c r="R14" t="s">
        <v>454</v>
      </c>
      <c r="S14" s="4" t="s">
        <v>44</v>
      </c>
    </row>
    <row r="15" spans="1:19" x14ac:dyDescent="0.25">
      <c r="A15" t="s">
        <v>336</v>
      </c>
      <c r="B15" t="s">
        <v>41</v>
      </c>
      <c r="C15" t="s">
        <v>319</v>
      </c>
      <c r="D15" t="s">
        <v>319</v>
      </c>
      <c r="E15" t="s">
        <v>337</v>
      </c>
      <c r="F15" s="4" cm="1">
        <f t="array" ref="F15">INDEX('Lab.Calcs.Assumptions'!B$4:B$33,$I15)</f>
        <v>0.50729000000000002</v>
      </c>
      <c r="G15" s="4" cm="1">
        <f t="array" ref="G15">INDEX('Lab.Calcs.Assumptions'!C$4:C$33,$I15)</f>
        <v>0.52022999999999997</v>
      </c>
      <c r="H15" s="4" cm="1">
        <f t="array" ref="H15">INDEX('Lab.Calcs.Assumptions'!D$4:D$33,$I15)</f>
        <v>0.50431000000000004</v>
      </c>
      <c r="I15" s="4">
        <f>MATCH(D15,'Lab.Calcs.Assumptions'!$A$4:$A$33,0)</f>
        <v>12</v>
      </c>
      <c r="P15" s="4">
        <v>40</v>
      </c>
      <c r="Q15" s="4" t="s">
        <v>25</v>
      </c>
      <c r="R15" t="s">
        <v>455</v>
      </c>
      <c r="S15" s="4" t="s">
        <v>44</v>
      </c>
    </row>
    <row r="16" spans="1:19" x14ac:dyDescent="0.25">
      <c r="A16" t="s">
        <v>338</v>
      </c>
      <c r="B16" t="s">
        <v>41</v>
      </c>
      <c r="C16" t="s">
        <v>319</v>
      </c>
      <c r="D16" t="s">
        <v>319</v>
      </c>
      <c r="E16" t="s">
        <v>339</v>
      </c>
      <c r="F16" s="4" cm="1">
        <f t="array" ref="F16">INDEX('Lab.Calcs.Assumptions'!B$4:B$33,$I16)</f>
        <v>0.50729000000000002</v>
      </c>
      <c r="G16" s="4" cm="1">
        <f t="array" ref="G16">INDEX('Lab.Calcs.Assumptions'!C$4:C$33,$I16)</f>
        <v>0.52022999999999997</v>
      </c>
      <c r="H16" s="4" cm="1">
        <f t="array" ref="H16">INDEX('Lab.Calcs.Assumptions'!D$4:D$33,$I16)</f>
        <v>0.50431000000000004</v>
      </c>
      <c r="I16" s="4">
        <f>MATCH(D16,'Lab.Calcs.Assumptions'!$A$4:$A$33,0)</f>
        <v>12</v>
      </c>
      <c r="P16" s="4">
        <v>41</v>
      </c>
      <c r="Q16" s="4" t="s">
        <v>25</v>
      </c>
      <c r="R16" t="s">
        <v>456</v>
      </c>
      <c r="S16" s="4" t="s">
        <v>44</v>
      </c>
    </row>
    <row r="17" spans="1:19" x14ac:dyDescent="0.25">
      <c r="A17" t="s">
        <v>340</v>
      </c>
      <c r="B17" t="s">
        <v>41</v>
      </c>
      <c r="C17" t="s">
        <v>319</v>
      </c>
      <c r="D17" t="s">
        <v>319</v>
      </c>
      <c r="E17" t="s">
        <v>341</v>
      </c>
      <c r="F17" s="4" cm="1">
        <f t="array" ref="F17">INDEX('Lab.Calcs.Assumptions'!B$4:B$33,$I17)</f>
        <v>0.50729000000000002</v>
      </c>
      <c r="G17" s="4" cm="1">
        <f t="array" ref="G17">INDEX('Lab.Calcs.Assumptions'!C$4:C$33,$I17)</f>
        <v>0.52022999999999997</v>
      </c>
      <c r="H17" s="4" cm="1">
        <f t="array" ref="H17">INDEX('Lab.Calcs.Assumptions'!D$4:D$33,$I17)</f>
        <v>0.50431000000000004</v>
      </c>
      <c r="I17" s="4">
        <f>MATCH(D17,'Lab.Calcs.Assumptions'!$A$4:$A$33,0)</f>
        <v>12</v>
      </c>
      <c r="P17" s="4">
        <v>42</v>
      </c>
      <c r="Q17" s="4" t="s">
        <v>25</v>
      </c>
      <c r="R17" t="s">
        <v>458</v>
      </c>
      <c r="S17" s="4" t="s">
        <v>44</v>
      </c>
    </row>
    <row r="18" spans="1:19" x14ac:dyDescent="0.25">
      <c r="A18" t="s">
        <v>342</v>
      </c>
      <c r="B18" t="s">
        <v>41</v>
      </c>
      <c r="C18" t="s">
        <v>319</v>
      </c>
      <c r="D18" t="s">
        <v>319</v>
      </c>
      <c r="E18" t="s">
        <v>343</v>
      </c>
      <c r="F18" s="4" cm="1">
        <f t="array" ref="F18">INDEX('Lab.Calcs.Assumptions'!B$4:B$33,$I18)</f>
        <v>0.50729000000000002</v>
      </c>
      <c r="G18" s="4" cm="1">
        <f t="array" ref="G18">INDEX('Lab.Calcs.Assumptions'!C$4:C$33,$I18)</f>
        <v>0.52022999999999997</v>
      </c>
      <c r="H18" s="4" cm="1">
        <f t="array" ref="H18">INDEX('Lab.Calcs.Assumptions'!D$4:D$33,$I18)</f>
        <v>0.50431000000000004</v>
      </c>
      <c r="I18" s="4">
        <f>MATCH(D18,'Lab.Calcs.Assumptions'!$A$4:$A$33,0)</f>
        <v>12</v>
      </c>
      <c r="P18" s="4">
        <v>43</v>
      </c>
      <c r="Q18" s="4" t="s">
        <v>25</v>
      </c>
      <c r="R18" t="s">
        <v>459</v>
      </c>
      <c r="S18" s="4" t="s">
        <v>44</v>
      </c>
    </row>
    <row r="19" spans="1:19" x14ac:dyDescent="0.25">
      <c r="A19" t="s">
        <v>344</v>
      </c>
      <c r="B19" t="s">
        <v>41</v>
      </c>
      <c r="C19" t="s">
        <v>319</v>
      </c>
      <c r="D19" t="s">
        <v>319</v>
      </c>
      <c r="E19" t="s">
        <v>345</v>
      </c>
      <c r="F19" s="4" cm="1">
        <f t="array" ref="F19">INDEX('Lab.Calcs.Assumptions'!B$4:B$33,$I19)</f>
        <v>0.50729000000000002</v>
      </c>
      <c r="G19" s="4" cm="1">
        <f t="array" ref="G19">INDEX('Lab.Calcs.Assumptions'!C$4:C$33,$I19)</f>
        <v>0.52022999999999997</v>
      </c>
      <c r="H19" s="4" cm="1">
        <f t="array" ref="H19">INDEX('Lab.Calcs.Assumptions'!D$4:D$33,$I19)</f>
        <v>0.50431000000000004</v>
      </c>
      <c r="I19" s="4">
        <f>MATCH(D19,'Lab.Calcs.Assumptions'!$A$4:$A$33,0)</f>
        <v>12</v>
      </c>
      <c r="P19" s="4">
        <v>44</v>
      </c>
      <c r="Q19" s="4" t="s">
        <v>25</v>
      </c>
      <c r="R19" t="s">
        <v>460</v>
      </c>
      <c r="S19" s="4" t="s">
        <v>44</v>
      </c>
    </row>
    <row r="20" spans="1:19" x14ac:dyDescent="0.25">
      <c r="A20" t="s">
        <v>346</v>
      </c>
      <c r="B20" t="s">
        <v>41</v>
      </c>
      <c r="C20" t="s">
        <v>61</v>
      </c>
      <c r="D20" t="s">
        <v>61</v>
      </c>
      <c r="E20" t="s">
        <v>242</v>
      </c>
      <c r="F20" s="4" cm="1">
        <f t="array" ref="F20">INDEX('Lab.Calcs.Assumptions'!B$4:B$33,$I20)</f>
        <v>0.36715999999999999</v>
      </c>
      <c r="G20" s="4" cm="1">
        <f t="array" ref="G20">INDEX('Lab.Calcs.Assumptions'!C$4:C$33,$I20)</f>
        <v>0.37652999999999998</v>
      </c>
      <c r="H20" s="4" cm="1">
        <f t="array" ref="H20">INDEX('Lab.Calcs.Assumptions'!D$4:D$33,$I20)</f>
        <v>0.36501</v>
      </c>
      <c r="I20" s="4">
        <f>MATCH(D20,'Lab.Calcs.Assumptions'!$A$4:$A$33,0)</f>
        <v>3</v>
      </c>
      <c r="P20" s="4">
        <v>55</v>
      </c>
      <c r="Q20" s="4" t="s">
        <v>25</v>
      </c>
      <c r="R20" t="s">
        <v>442</v>
      </c>
      <c r="S20" s="4" t="s">
        <v>44</v>
      </c>
    </row>
    <row r="21" spans="1:19" x14ac:dyDescent="0.25">
      <c r="A21" t="s">
        <v>347</v>
      </c>
      <c r="B21" t="s">
        <v>41</v>
      </c>
      <c r="C21" t="s">
        <v>61</v>
      </c>
      <c r="D21" t="s">
        <v>243</v>
      </c>
      <c r="E21" t="s">
        <v>348</v>
      </c>
      <c r="F21" s="4" cm="1">
        <f t="array" ref="F21">INDEX('Lab.Calcs.Assumptions'!B$4:B$33,$I21)</f>
        <v>0.36715999999999999</v>
      </c>
      <c r="G21" s="4" cm="1">
        <f t="array" ref="G21">INDEX('Lab.Calcs.Assumptions'!C$4:C$33,$I21)</f>
        <v>0.37652999999999998</v>
      </c>
      <c r="H21" s="4" cm="1">
        <f t="array" ref="H21">INDEX('Lab.Calcs.Assumptions'!D$4:D$33,$I21)</f>
        <v>0.36501</v>
      </c>
      <c r="I21" s="4">
        <f>MATCH(D21,'Lab.Calcs.Assumptions'!$A$4:$A$33,0)</f>
        <v>4</v>
      </c>
      <c r="P21" s="4">
        <v>59</v>
      </c>
      <c r="Q21" s="4" t="s">
        <v>25</v>
      </c>
      <c r="R21" t="s">
        <v>444</v>
      </c>
      <c r="S21" s="4" t="s">
        <v>44</v>
      </c>
    </row>
    <row r="22" spans="1:19" x14ac:dyDescent="0.25">
      <c r="A22" t="s">
        <v>349</v>
      </c>
      <c r="B22" t="s">
        <v>41</v>
      </c>
      <c r="C22" t="s">
        <v>61</v>
      </c>
      <c r="D22" t="s">
        <v>243</v>
      </c>
      <c r="E22" t="s">
        <v>350</v>
      </c>
      <c r="F22" s="4" cm="1">
        <f t="array" ref="F22">INDEX('Lab.Calcs.Assumptions'!B$4:B$33,$I22)</f>
        <v>0.36715999999999999</v>
      </c>
      <c r="G22" s="4" cm="1">
        <f t="array" ref="G22">INDEX('Lab.Calcs.Assumptions'!C$4:C$33,$I22)</f>
        <v>0.37652999999999998</v>
      </c>
      <c r="H22" s="4" cm="1">
        <f t="array" ref="H22">INDEX('Lab.Calcs.Assumptions'!D$4:D$33,$I22)</f>
        <v>0.36501</v>
      </c>
      <c r="I22" s="4">
        <f>MATCH(D22,'Lab.Calcs.Assumptions'!$A$4:$A$33,0)</f>
        <v>4</v>
      </c>
      <c r="P22" s="4">
        <v>60</v>
      </c>
      <c r="Q22" s="4" t="s">
        <v>25</v>
      </c>
      <c r="R22" t="s">
        <v>461</v>
      </c>
      <c r="S22" s="4" t="s">
        <v>44</v>
      </c>
    </row>
    <row r="23" spans="1:19" x14ac:dyDescent="0.25">
      <c r="A23" t="s">
        <v>351</v>
      </c>
      <c r="B23" t="s">
        <v>41</v>
      </c>
      <c r="C23" t="s">
        <v>61</v>
      </c>
      <c r="D23" t="s">
        <v>243</v>
      </c>
      <c r="E23" t="s">
        <v>352</v>
      </c>
      <c r="F23" s="4" cm="1">
        <f t="array" ref="F23">INDEX('Lab.Calcs.Assumptions'!B$4:B$33,$I23)</f>
        <v>0.36715999999999999</v>
      </c>
      <c r="G23" s="4" cm="1">
        <f t="array" ref="G23">INDEX('Lab.Calcs.Assumptions'!C$4:C$33,$I23)</f>
        <v>0.37652999999999998</v>
      </c>
      <c r="H23" s="4" cm="1">
        <f t="array" ref="H23">INDEX('Lab.Calcs.Assumptions'!D$4:D$33,$I23)</f>
        <v>0.36501</v>
      </c>
      <c r="I23" s="4">
        <f>MATCH(D23,'Lab.Calcs.Assumptions'!$A$4:$A$33,0)</f>
        <v>4</v>
      </c>
      <c r="P23" s="4">
        <v>61</v>
      </c>
      <c r="Q23" s="4" t="s">
        <v>25</v>
      </c>
      <c r="R23" t="s">
        <v>462</v>
      </c>
      <c r="S23" s="4" t="s">
        <v>44</v>
      </c>
    </row>
    <row r="24" spans="1:19" x14ac:dyDescent="0.25">
      <c r="A24" t="s">
        <v>353</v>
      </c>
      <c r="B24" t="s">
        <v>41</v>
      </c>
      <c r="C24" t="s">
        <v>61</v>
      </c>
      <c r="D24" t="s">
        <v>244</v>
      </c>
      <c r="E24" t="s">
        <v>245</v>
      </c>
      <c r="F24" s="4" cm="1">
        <f t="array" ref="F24">INDEX('Lab.Calcs.Assumptions'!B$4:B$33,$I24)</f>
        <v>0.36715999999999999</v>
      </c>
      <c r="G24" s="4" cm="1">
        <f t="array" ref="G24">INDEX('Lab.Calcs.Assumptions'!C$4:C$33,$I24)</f>
        <v>0.37652999999999998</v>
      </c>
      <c r="H24" s="4" cm="1">
        <f t="array" ref="H24">INDEX('Lab.Calcs.Assumptions'!D$4:D$33,$I24)</f>
        <v>0.36501</v>
      </c>
      <c r="I24" s="4">
        <f>MATCH(D24,'Lab.Calcs.Assumptions'!$A$4:$A$33,0)</f>
        <v>5</v>
      </c>
      <c r="P24" s="4">
        <v>64</v>
      </c>
      <c r="Q24" s="4" t="s">
        <v>25</v>
      </c>
      <c r="R24" t="s">
        <v>467</v>
      </c>
      <c r="S24" s="4" t="s">
        <v>44</v>
      </c>
    </row>
    <row r="25" spans="1:19" x14ac:dyDescent="0.25">
      <c r="A25" t="s">
        <v>354</v>
      </c>
      <c r="B25" t="s">
        <v>41</v>
      </c>
      <c r="C25" t="s">
        <v>61</v>
      </c>
      <c r="D25" t="s">
        <v>244</v>
      </c>
      <c r="E25" t="s">
        <v>355</v>
      </c>
      <c r="F25" s="4" cm="1">
        <f t="array" ref="F25">INDEX('Lab.Calcs.Assumptions'!B$4:B$33,$I25)</f>
        <v>0.36715999999999999</v>
      </c>
      <c r="G25" s="4" cm="1">
        <f t="array" ref="G25">INDEX('Lab.Calcs.Assumptions'!C$4:C$33,$I25)</f>
        <v>0.37652999999999998</v>
      </c>
      <c r="H25" s="4" cm="1">
        <f t="array" ref="H25">INDEX('Lab.Calcs.Assumptions'!D$4:D$33,$I25)</f>
        <v>0.36501</v>
      </c>
      <c r="I25" s="4">
        <f>MATCH(D25,'Lab.Calcs.Assumptions'!$A$4:$A$33,0)</f>
        <v>5</v>
      </c>
      <c r="P25" s="4">
        <v>65</v>
      </c>
      <c r="Q25" s="4" t="s">
        <v>25</v>
      </c>
      <c r="R25" t="s">
        <v>468</v>
      </c>
      <c r="S25" s="4" t="s">
        <v>44</v>
      </c>
    </row>
    <row r="26" spans="1:19" x14ac:dyDescent="0.25">
      <c r="A26" t="s">
        <v>356</v>
      </c>
      <c r="B26" t="s">
        <v>41</v>
      </c>
      <c r="C26" t="s">
        <v>61</v>
      </c>
      <c r="D26" t="s">
        <v>244</v>
      </c>
      <c r="E26" t="s">
        <v>357</v>
      </c>
      <c r="F26" s="4" cm="1">
        <f t="array" ref="F26">INDEX('Lab.Calcs.Assumptions'!B$4:B$33,$I26)</f>
        <v>0.36715999999999999</v>
      </c>
      <c r="G26" s="4" cm="1">
        <f t="array" ref="G26">INDEX('Lab.Calcs.Assumptions'!C$4:C$33,$I26)</f>
        <v>0.37652999999999998</v>
      </c>
      <c r="H26" s="4" cm="1">
        <f t="array" ref="H26">INDEX('Lab.Calcs.Assumptions'!D$4:D$33,$I26)</f>
        <v>0.36501</v>
      </c>
      <c r="I26" s="4">
        <f>MATCH(D26,'Lab.Calcs.Assumptions'!$A$4:$A$33,0)</f>
        <v>5</v>
      </c>
      <c r="P26" s="4">
        <v>66</v>
      </c>
      <c r="Q26" s="4" t="s">
        <v>25</v>
      </c>
      <c r="R26" t="s">
        <v>318</v>
      </c>
      <c r="S26" s="4" t="s">
        <v>44</v>
      </c>
    </row>
    <row r="27" spans="1:19" x14ac:dyDescent="0.25">
      <c r="A27" t="s">
        <v>358</v>
      </c>
      <c r="B27" t="s">
        <v>41</v>
      </c>
      <c r="C27" t="s">
        <v>61</v>
      </c>
      <c r="D27" t="s">
        <v>244</v>
      </c>
      <c r="E27" t="s">
        <v>359</v>
      </c>
      <c r="F27" s="4" cm="1">
        <f t="array" ref="F27">INDEX('Lab.Calcs.Assumptions'!B$4:B$33,$I27)</f>
        <v>0.36715999999999999</v>
      </c>
      <c r="G27" s="4" cm="1">
        <f t="array" ref="G27">INDEX('Lab.Calcs.Assumptions'!C$4:C$33,$I27)</f>
        <v>0.37652999999999998</v>
      </c>
      <c r="H27" s="4" cm="1">
        <f t="array" ref="H27">INDEX('Lab.Calcs.Assumptions'!D$4:D$33,$I27)</f>
        <v>0.36501</v>
      </c>
      <c r="I27" s="4">
        <f>MATCH(D27,'Lab.Calcs.Assumptions'!$A$4:$A$33,0)</f>
        <v>5</v>
      </c>
      <c r="P27" s="4">
        <v>67</v>
      </c>
      <c r="Q27" s="4" t="s">
        <v>25</v>
      </c>
      <c r="R27" t="s">
        <v>320</v>
      </c>
      <c r="S27" s="4" t="s">
        <v>44</v>
      </c>
    </row>
    <row r="28" spans="1:19" x14ac:dyDescent="0.25">
      <c r="A28" t="s">
        <v>360</v>
      </c>
      <c r="B28" t="s">
        <v>41</v>
      </c>
      <c r="C28" t="s">
        <v>61</v>
      </c>
      <c r="D28" t="s">
        <v>244</v>
      </c>
      <c r="E28" t="s">
        <v>361</v>
      </c>
      <c r="F28" s="4" cm="1">
        <f t="array" ref="F28">INDEX('Lab.Calcs.Assumptions'!B$4:B$33,$I28)</f>
        <v>0.36715999999999999</v>
      </c>
      <c r="G28" s="4" cm="1">
        <f t="array" ref="G28">INDEX('Lab.Calcs.Assumptions'!C$4:C$33,$I28)</f>
        <v>0.37652999999999998</v>
      </c>
      <c r="H28" s="4" cm="1">
        <f t="array" ref="H28">INDEX('Lab.Calcs.Assumptions'!D$4:D$33,$I28)</f>
        <v>0.36501</v>
      </c>
      <c r="I28" s="4">
        <f>MATCH(D28,'Lab.Calcs.Assumptions'!$A$4:$A$33,0)</f>
        <v>5</v>
      </c>
      <c r="P28" s="4">
        <v>68</v>
      </c>
      <c r="Q28" s="4" t="s">
        <v>25</v>
      </c>
      <c r="R28" t="s">
        <v>322</v>
      </c>
      <c r="S28" s="4" t="s">
        <v>44</v>
      </c>
    </row>
    <row r="29" spans="1:19" x14ac:dyDescent="0.25">
      <c r="A29" t="s">
        <v>362</v>
      </c>
      <c r="B29" t="s">
        <v>41</v>
      </c>
      <c r="C29" t="s">
        <v>61</v>
      </c>
      <c r="D29" t="s">
        <v>244</v>
      </c>
      <c r="E29" t="s">
        <v>363</v>
      </c>
      <c r="F29" s="4" cm="1">
        <f t="array" ref="F29">INDEX('Lab.Calcs.Assumptions'!B$4:B$33,$I29)</f>
        <v>0.36715999999999999</v>
      </c>
      <c r="G29" s="4" cm="1">
        <f t="array" ref="G29">INDEX('Lab.Calcs.Assumptions'!C$4:C$33,$I29)</f>
        <v>0.37652999999999998</v>
      </c>
      <c r="H29" s="4" cm="1">
        <f t="array" ref="H29">INDEX('Lab.Calcs.Assumptions'!D$4:D$33,$I29)</f>
        <v>0.36501</v>
      </c>
      <c r="I29" s="4">
        <f>MATCH(D29,'Lab.Calcs.Assumptions'!$A$4:$A$33,0)</f>
        <v>5</v>
      </c>
      <c r="P29" s="4">
        <v>69</v>
      </c>
      <c r="Q29" s="4" t="s">
        <v>25</v>
      </c>
      <c r="R29" t="s">
        <v>324</v>
      </c>
      <c r="S29" s="4" t="s">
        <v>44</v>
      </c>
    </row>
    <row r="30" spans="1:19" x14ac:dyDescent="0.25">
      <c r="A30" t="s">
        <v>364</v>
      </c>
      <c r="B30" t="s">
        <v>41</v>
      </c>
      <c r="C30" t="s">
        <v>61</v>
      </c>
      <c r="D30" t="s">
        <v>244</v>
      </c>
      <c r="E30" t="s">
        <v>365</v>
      </c>
      <c r="F30" s="4" cm="1">
        <f t="array" ref="F30">INDEX('Lab.Calcs.Assumptions'!B$4:B$33,$I30)</f>
        <v>0.36715999999999999</v>
      </c>
      <c r="G30" s="4" cm="1">
        <f t="array" ref="G30">INDEX('Lab.Calcs.Assumptions'!C$4:C$33,$I30)</f>
        <v>0.37652999999999998</v>
      </c>
      <c r="H30" s="4" cm="1">
        <f t="array" ref="H30">INDEX('Lab.Calcs.Assumptions'!D$4:D$33,$I30)</f>
        <v>0.36501</v>
      </c>
      <c r="I30" s="4">
        <f>MATCH(D30,'Lab.Calcs.Assumptions'!$A$4:$A$33,0)</f>
        <v>5</v>
      </c>
      <c r="P30" s="4">
        <v>70</v>
      </c>
      <c r="Q30" s="4" t="s">
        <v>25</v>
      </c>
      <c r="R30" t="s">
        <v>328</v>
      </c>
      <c r="S30" s="4" t="s">
        <v>44</v>
      </c>
    </row>
    <row r="31" spans="1:19" x14ac:dyDescent="0.25">
      <c r="A31" t="s">
        <v>366</v>
      </c>
      <c r="B31" t="s">
        <v>41</v>
      </c>
      <c r="C31" t="s">
        <v>61</v>
      </c>
      <c r="D31" t="s">
        <v>244</v>
      </c>
      <c r="E31" t="s">
        <v>367</v>
      </c>
      <c r="F31" s="4" cm="1">
        <f t="array" ref="F31">INDEX('Lab.Calcs.Assumptions'!B$4:B$33,$I31)</f>
        <v>0.36715999999999999</v>
      </c>
      <c r="G31" s="4" cm="1">
        <f t="array" ref="G31">INDEX('Lab.Calcs.Assumptions'!C$4:C$33,$I31)</f>
        <v>0.37652999999999998</v>
      </c>
      <c r="H31" s="4" cm="1">
        <f t="array" ref="H31">INDEX('Lab.Calcs.Assumptions'!D$4:D$33,$I31)</f>
        <v>0.36501</v>
      </c>
      <c r="I31" s="4">
        <f>MATCH(D31,'Lab.Calcs.Assumptions'!$A$4:$A$33,0)</f>
        <v>5</v>
      </c>
      <c r="P31" s="4">
        <v>71</v>
      </c>
      <c r="Q31" s="4" t="s">
        <v>25</v>
      </c>
      <c r="R31" t="s">
        <v>336</v>
      </c>
      <c r="S31" s="4" t="s">
        <v>44</v>
      </c>
    </row>
    <row r="32" spans="1:19" x14ac:dyDescent="0.25">
      <c r="A32" t="s">
        <v>368</v>
      </c>
      <c r="B32" t="s">
        <v>41</v>
      </c>
      <c r="C32" t="s">
        <v>61</v>
      </c>
      <c r="D32" t="s">
        <v>244</v>
      </c>
      <c r="E32" t="s">
        <v>369</v>
      </c>
      <c r="F32" s="4" cm="1">
        <f t="array" ref="F32">INDEX('Lab.Calcs.Assumptions'!B$4:B$33,$I32)</f>
        <v>0.36715999999999999</v>
      </c>
      <c r="G32" s="4" cm="1">
        <f t="array" ref="G32">INDEX('Lab.Calcs.Assumptions'!C$4:C$33,$I32)</f>
        <v>0.37652999999999998</v>
      </c>
      <c r="H32" s="4" cm="1">
        <f t="array" ref="H32">INDEX('Lab.Calcs.Assumptions'!D$4:D$33,$I32)</f>
        <v>0.36501</v>
      </c>
      <c r="I32" s="4">
        <f>MATCH(D32,'Lab.Calcs.Assumptions'!$A$4:$A$33,0)</f>
        <v>5</v>
      </c>
      <c r="P32" s="4">
        <v>72</v>
      </c>
      <c r="Q32" s="4" t="s">
        <v>25</v>
      </c>
      <c r="R32" t="s">
        <v>338</v>
      </c>
      <c r="S32" s="4" t="s">
        <v>44</v>
      </c>
    </row>
    <row r="33" spans="1:19" x14ac:dyDescent="0.25">
      <c r="A33" t="s">
        <v>370</v>
      </c>
      <c r="B33" t="s">
        <v>41</v>
      </c>
      <c r="C33" t="s">
        <v>61</v>
      </c>
      <c r="D33" t="s">
        <v>244</v>
      </c>
      <c r="E33" t="s">
        <v>371</v>
      </c>
      <c r="F33" s="4" cm="1">
        <f t="array" ref="F33">INDEX('Lab.Calcs.Assumptions'!B$4:B$33,$I33)</f>
        <v>0.36715999999999999</v>
      </c>
      <c r="G33" s="4" cm="1">
        <f t="array" ref="G33">INDEX('Lab.Calcs.Assumptions'!C$4:C$33,$I33)</f>
        <v>0.37652999999999998</v>
      </c>
      <c r="H33" s="4" cm="1">
        <f t="array" ref="H33">INDEX('Lab.Calcs.Assumptions'!D$4:D$33,$I33)</f>
        <v>0.36501</v>
      </c>
      <c r="I33" s="4">
        <f>MATCH(D33,'Lab.Calcs.Assumptions'!$A$4:$A$33,0)</f>
        <v>5</v>
      </c>
      <c r="P33" s="4">
        <v>73</v>
      </c>
      <c r="Q33" s="4" t="s">
        <v>25</v>
      </c>
      <c r="R33" t="s">
        <v>340</v>
      </c>
      <c r="S33" s="4" t="s">
        <v>44</v>
      </c>
    </row>
    <row r="34" spans="1:19" x14ac:dyDescent="0.25">
      <c r="A34" t="s">
        <v>372</v>
      </c>
      <c r="B34" t="s">
        <v>41</v>
      </c>
      <c r="C34" t="s">
        <v>61</v>
      </c>
      <c r="D34" t="s">
        <v>244</v>
      </c>
      <c r="E34" t="s">
        <v>246</v>
      </c>
      <c r="F34" s="4" cm="1">
        <f t="array" ref="F34">INDEX('Lab.Calcs.Assumptions'!B$4:B$33,$I34)</f>
        <v>0.36715999999999999</v>
      </c>
      <c r="G34" s="4" cm="1">
        <f t="array" ref="G34">INDEX('Lab.Calcs.Assumptions'!C$4:C$33,$I34)</f>
        <v>0.37652999999999998</v>
      </c>
      <c r="H34" s="4" cm="1">
        <f t="array" ref="H34">INDEX('Lab.Calcs.Assumptions'!D$4:D$33,$I34)</f>
        <v>0.36501</v>
      </c>
      <c r="I34" s="4">
        <f>MATCH(D34,'Lab.Calcs.Assumptions'!$A$4:$A$33,0)</f>
        <v>5</v>
      </c>
      <c r="P34" s="4">
        <v>62</v>
      </c>
      <c r="Q34" s="4" t="s">
        <v>25</v>
      </c>
      <c r="R34" t="s">
        <v>342</v>
      </c>
      <c r="S34" s="4" t="s">
        <v>44</v>
      </c>
    </row>
    <row r="35" spans="1:19" x14ac:dyDescent="0.25">
      <c r="A35" t="s">
        <v>373</v>
      </c>
      <c r="B35" t="s">
        <v>41</v>
      </c>
      <c r="C35" t="s">
        <v>61</v>
      </c>
      <c r="D35" t="s">
        <v>244</v>
      </c>
      <c r="E35" t="s">
        <v>374</v>
      </c>
      <c r="F35" s="4" cm="1">
        <f t="array" ref="F35">INDEX('Lab.Calcs.Assumptions'!B$4:B$33,$I35)</f>
        <v>0.36715999999999999</v>
      </c>
      <c r="G35" s="4" cm="1">
        <f t="array" ref="G35">INDEX('Lab.Calcs.Assumptions'!C$4:C$33,$I35)</f>
        <v>0.37652999999999998</v>
      </c>
      <c r="H35" s="4" cm="1">
        <f t="array" ref="H35">INDEX('Lab.Calcs.Assumptions'!D$4:D$33,$I35)</f>
        <v>0.36501</v>
      </c>
      <c r="I35" s="4">
        <f>MATCH(D35,'Lab.Calcs.Assumptions'!$A$4:$A$33,0)</f>
        <v>5</v>
      </c>
      <c r="P35" s="4">
        <v>63</v>
      </c>
      <c r="Q35" s="4" t="s">
        <v>25</v>
      </c>
      <c r="R35" t="s">
        <v>344</v>
      </c>
      <c r="S35" s="4" t="s">
        <v>44</v>
      </c>
    </row>
    <row r="36" spans="1:19" x14ac:dyDescent="0.25">
      <c r="A36" t="s">
        <v>375</v>
      </c>
      <c r="B36" t="s">
        <v>41</v>
      </c>
      <c r="C36" t="s">
        <v>59</v>
      </c>
      <c r="D36" t="s">
        <v>60</v>
      </c>
      <c r="E36" t="s">
        <v>247</v>
      </c>
      <c r="F36" s="4" cm="1">
        <f t="array" ref="F36">INDEX('Lab.Calcs.Assumptions'!B$4:B$33,$I36)</f>
        <v>0.41431000000000001</v>
      </c>
      <c r="G36" s="4" cm="1">
        <f t="array" ref="G36">INDEX('Lab.Calcs.Assumptions'!C$4:C$33,$I36)</f>
        <v>0.42487999999999998</v>
      </c>
      <c r="H36" s="4" cm="1">
        <f t="array" ref="H36">INDEX('Lab.Calcs.Assumptions'!D$4:D$33,$I36)</f>
        <v>0.41188000000000002</v>
      </c>
      <c r="I36" s="4">
        <f>MATCH(D36,'Lab.Calcs.Assumptions'!$A$4:$A$33,0)</f>
        <v>7</v>
      </c>
      <c r="P36" s="4">
        <v>84</v>
      </c>
      <c r="Q36" s="4" t="s">
        <v>25</v>
      </c>
      <c r="R36" t="s">
        <v>469</v>
      </c>
      <c r="S36" s="4" t="s">
        <v>44</v>
      </c>
    </row>
    <row r="37" spans="1:19" x14ac:dyDescent="0.25">
      <c r="A37" t="s">
        <v>376</v>
      </c>
      <c r="B37" t="s">
        <v>41</v>
      </c>
      <c r="C37" t="s">
        <v>59</v>
      </c>
      <c r="D37" t="s">
        <v>60</v>
      </c>
      <c r="E37" t="s">
        <v>248</v>
      </c>
      <c r="F37" s="4" cm="1">
        <f t="array" ref="F37">INDEX('Lab.Calcs.Assumptions'!B$4:B$33,$I37)</f>
        <v>0.41431000000000001</v>
      </c>
      <c r="G37" s="4" cm="1">
        <f t="array" ref="G37">INDEX('Lab.Calcs.Assumptions'!C$4:C$33,$I37)</f>
        <v>0.42487999999999998</v>
      </c>
      <c r="H37" s="4" cm="1">
        <f t="array" ref="H37">INDEX('Lab.Calcs.Assumptions'!D$4:D$33,$I37)</f>
        <v>0.41188000000000002</v>
      </c>
      <c r="I37" s="4">
        <f>MATCH(D37,'Lab.Calcs.Assumptions'!$A$4:$A$33,0)</f>
        <v>7</v>
      </c>
      <c r="P37" s="4">
        <v>86</v>
      </c>
      <c r="Q37" s="4" t="s">
        <v>25</v>
      </c>
      <c r="R37" t="s">
        <v>446</v>
      </c>
      <c r="S37" s="4" t="s">
        <v>44</v>
      </c>
    </row>
    <row r="38" spans="1:19" x14ac:dyDescent="0.25">
      <c r="A38" t="s">
        <v>377</v>
      </c>
      <c r="B38" t="s">
        <v>41</v>
      </c>
      <c r="C38" t="s">
        <v>59</v>
      </c>
      <c r="D38" t="s">
        <v>60</v>
      </c>
      <c r="E38" t="s">
        <v>249</v>
      </c>
      <c r="F38" s="4" cm="1">
        <f t="array" ref="F38">INDEX('Lab.Calcs.Assumptions'!B$4:B$33,$I38)</f>
        <v>0.41431000000000001</v>
      </c>
      <c r="G38" s="4" cm="1">
        <f t="array" ref="G38">INDEX('Lab.Calcs.Assumptions'!C$4:C$33,$I38)</f>
        <v>0.42487999999999998</v>
      </c>
      <c r="H38" s="4" cm="1">
        <f t="array" ref="H38">INDEX('Lab.Calcs.Assumptions'!D$4:D$33,$I38)</f>
        <v>0.41188000000000002</v>
      </c>
      <c r="I38" s="4">
        <f>MATCH(D38,'Lab.Calcs.Assumptions'!$A$4:$A$33,0)</f>
        <v>7</v>
      </c>
      <c r="P38" s="4">
        <v>87</v>
      </c>
      <c r="Q38" s="4" t="s">
        <v>25</v>
      </c>
      <c r="R38" t="s">
        <v>448</v>
      </c>
      <c r="S38" s="4" t="s">
        <v>44</v>
      </c>
    </row>
    <row r="39" spans="1:19" x14ac:dyDescent="0.25">
      <c r="A39" t="s">
        <v>378</v>
      </c>
      <c r="B39" t="s">
        <v>41</v>
      </c>
      <c r="C39" t="s">
        <v>59</v>
      </c>
      <c r="D39" t="s">
        <v>60</v>
      </c>
      <c r="E39" t="s">
        <v>250</v>
      </c>
      <c r="F39" s="4" cm="1">
        <f t="array" ref="F39">INDEX('Lab.Calcs.Assumptions'!B$4:B$33,$I39)</f>
        <v>0.41431000000000001</v>
      </c>
      <c r="G39" s="4" cm="1">
        <f t="array" ref="G39">INDEX('Lab.Calcs.Assumptions'!C$4:C$33,$I39)</f>
        <v>0.42487999999999998</v>
      </c>
      <c r="H39" s="4" cm="1">
        <f t="array" ref="H39">INDEX('Lab.Calcs.Assumptions'!D$4:D$33,$I39)</f>
        <v>0.41188000000000002</v>
      </c>
      <c r="I39" s="4">
        <f>MATCH(D39,'Lab.Calcs.Assumptions'!$A$4:$A$33,0)</f>
        <v>7</v>
      </c>
      <c r="P39" s="4">
        <v>88</v>
      </c>
      <c r="Q39" s="4" t="s">
        <v>25</v>
      </c>
      <c r="R39" t="s">
        <v>450</v>
      </c>
      <c r="S39" s="4" t="s">
        <v>44</v>
      </c>
    </row>
    <row r="40" spans="1:19" x14ac:dyDescent="0.25">
      <c r="A40" t="s">
        <v>379</v>
      </c>
      <c r="B40" t="s">
        <v>41</v>
      </c>
      <c r="C40" t="s">
        <v>59</v>
      </c>
      <c r="D40" t="s">
        <v>60</v>
      </c>
      <c r="E40" t="s">
        <v>251</v>
      </c>
      <c r="F40" s="4" cm="1">
        <f t="array" ref="F40">INDEX('Lab.Calcs.Assumptions'!B$4:B$33,$I40)</f>
        <v>0.41431000000000001</v>
      </c>
      <c r="G40" s="4" cm="1">
        <f t="array" ref="G40">INDEX('Lab.Calcs.Assumptions'!C$4:C$33,$I40)</f>
        <v>0.42487999999999998</v>
      </c>
      <c r="H40" s="4" cm="1">
        <f t="array" ref="H40">INDEX('Lab.Calcs.Assumptions'!D$4:D$33,$I40)</f>
        <v>0.41188000000000002</v>
      </c>
      <c r="I40" s="4">
        <f>MATCH(D40,'Lab.Calcs.Assumptions'!$A$4:$A$33,0)</f>
        <v>7</v>
      </c>
      <c r="P40" s="4">
        <v>89</v>
      </c>
      <c r="Q40" s="4" t="s">
        <v>25</v>
      </c>
      <c r="R40" t="s">
        <v>452</v>
      </c>
      <c r="S40" s="4" t="s">
        <v>44</v>
      </c>
    </row>
    <row r="41" spans="1:19" x14ac:dyDescent="0.25">
      <c r="A41" t="s">
        <v>380</v>
      </c>
      <c r="B41" t="s">
        <v>41</v>
      </c>
      <c r="C41" t="s">
        <v>59</v>
      </c>
      <c r="D41" t="s">
        <v>60</v>
      </c>
      <c r="E41" t="s">
        <v>252</v>
      </c>
      <c r="F41" s="4" cm="1">
        <f t="array" ref="F41">INDEX('Lab.Calcs.Assumptions'!B$4:B$33,$I41)</f>
        <v>0.41431000000000001</v>
      </c>
      <c r="G41" s="4" cm="1">
        <f t="array" ref="G41">INDEX('Lab.Calcs.Assumptions'!C$4:C$33,$I41)</f>
        <v>0.42487999999999998</v>
      </c>
      <c r="H41" s="4" cm="1">
        <f t="array" ref="H41">INDEX('Lab.Calcs.Assumptions'!D$4:D$33,$I41)</f>
        <v>0.41188000000000002</v>
      </c>
      <c r="I41" s="4">
        <f>MATCH(D41,'Lab.Calcs.Assumptions'!$A$4:$A$33,0)</f>
        <v>7</v>
      </c>
      <c r="P41" s="4">
        <v>90</v>
      </c>
      <c r="Q41" s="4" t="s">
        <v>25</v>
      </c>
      <c r="R41" t="s">
        <v>470</v>
      </c>
      <c r="S41" s="4" t="s">
        <v>44</v>
      </c>
    </row>
    <row r="42" spans="1:19" x14ac:dyDescent="0.25">
      <c r="A42" t="s">
        <v>381</v>
      </c>
      <c r="B42" t="s">
        <v>41</v>
      </c>
      <c r="C42" t="s">
        <v>59</v>
      </c>
      <c r="D42" t="s">
        <v>60</v>
      </c>
      <c r="E42" t="s">
        <v>382</v>
      </c>
      <c r="F42" s="4" cm="1">
        <f t="array" ref="F42">INDEX('Lab.Calcs.Assumptions'!B$4:B$33,$I42)</f>
        <v>0.41431000000000001</v>
      </c>
      <c r="G42" s="4" cm="1">
        <f t="array" ref="G42">INDEX('Lab.Calcs.Assumptions'!C$4:C$33,$I42)</f>
        <v>0.42487999999999998</v>
      </c>
      <c r="H42" s="4" cm="1">
        <f t="array" ref="H42">INDEX('Lab.Calcs.Assumptions'!D$4:D$33,$I42)</f>
        <v>0.41188000000000002</v>
      </c>
      <c r="I42" s="4">
        <f>MATCH(D42,'Lab.Calcs.Assumptions'!$A$4:$A$33,0)</f>
        <v>7</v>
      </c>
      <c r="P42" s="4">
        <v>91</v>
      </c>
      <c r="Q42" s="4" t="s">
        <v>25</v>
      </c>
      <c r="R42" t="s">
        <v>471</v>
      </c>
      <c r="S42" s="4" t="s">
        <v>44</v>
      </c>
    </row>
    <row r="43" spans="1:19" x14ac:dyDescent="0.25">
      <c r="A43" t="s">
        <v>383</v>
      </c>
      <c r="B43" t="s">
        <v>41</v>
      </c>
      <c r="C43" t="s">
        <v>59</v>
      </c>
      <c r="D43" t="s">
        <v>60</v>
      </c>
      <c r="E43" t="s">
        <v>384</v>
      </c>
      <c r="F43" s="4" cm="1">
        <f t="array" ref="F43">INDEX('Lab.Calcs.Assumptions'!B$4:B$33,$I43)</f>
        <v>0.41431000000000001</v>
      </c>
      <c r="G43" s="4" cm="1">
        <f t="array" ref="G43">INDEX('Lab.Calcs.Assumptions'!C$4:C$33,$I43)</f>
        <v>0.42487999999999998</v>
      </c>
      <c r="H43" s="4" cm="1">
        <f t="array" ref="H43">INDEX('Lab.Calcs.Assumptions'!D$4:D$33,$I43)</f>
        <v>0.41188000000000002</v>
      </c>
      <c r="I43" s="4">
        <f>MATCH(D43,'Lab.Calcs.Assumptions'!$A$4:$A$33,0)</f>
        <v>7</v>
      </c>
      <c r="P43" s="4">
        <v>92</v>
      </c>
      <c r="Q43" s="4" t="s">
        <v>25</v>
      </c>
      <c r="R43" t="s">
        <v>472</v>
      </c>
      <c r="S43" s="4" t="s">
        <v>44</v>
      </c>
    </row>
    <row r="44" spans="1:19" x14ac:dyDescent="0.25">
      <c r="A44" t="s">
        <v>385</v>
      </c>
      <c r="B44" t="s">
        <v>41</v>
      </c>
      <c r="C44" t="s">
        <v>59</v>
      </c>
      <c r="D44" t="s">
        <v>60</v>
      </c>
      <c r="E44" t="s">
        <v>386</v>
      </c>
      <c r="F44" s="4" cm="1">
        <f t="array" ref="F44">INDEX('Lab.Calcs.Assumptions'!B$4:B$33,$I44)</f>
        <v>0.41431000000000001</v>
      </c>
      <c r="G44" s="4" cm="1">
        <f t="array" ref="G44">INDEX('Lab.Calcs.Assumptions'!C$4:C$33,$I44)</f>
        <v>0.42487999999999998</v>
      </c>
      <c r="H44" s="4" cm="1">
        <f t="array" ref="H44">INDEX('Lab.Calcs.Assumptions'!D$4:D$33,$I44)</f>
        <v>0.41188000000000002</v>
      </c>
      <c r="I44" s="4">
        <f>MATCH(D44,'Lab.Calcs.Assumptions'!$A$4:$A$33,0)</f>
        <v>7</v>
      </c>
      <c r="P44" s="4">
        <v>93</v>
      </c>
      <c r="Q44" s="4" t="s">
        <v>25</v>
      </c>
      <c r="R44" t="s">
        <v>473</v>
      </c>
      <c r="S44" s="4" t="s">
        <v>44</v>
      </c>
    </row>
    <row r="45" spans="1:19" x14ac:dyDescent="0.25">
      <c r="A45" t="s">
        <v>387</v>
      </c>
      <c r="B45" t="s">
        <v>41</v>
      </c>
      <c r="C45" t="s">
        <v>59</v>
      </c>
      <c r="D45" t="s">
        <v>60</v>
      </c>
      <c r="E45" t="s">
        <v>388</v>
      </c>
      <c r="F45" s="4" cm="1">
        <f t="array" ref="F45">INDEX('Lab.Calcs.Assumptions'!B$4:B$33,$I45)</f>
        <v>0.41431000000000001</v>
      </c>
      <c r="G45" s="4" cm="1">
        <f t="array" ref="G45">INDEX('Lab.Calcs.Assumptions'!C$4:C$33,$I45)</f>
        <v>0.42487999999999998</v>
      </c>
      <c r="H45" s="4" cm="1">
        <f t="array" ref="H45">INDEX('Lab.Calcs.Assumptions'!D$4:D$33,$I45)</f>
        <v>0.41188000000000002</v>
      </c>
      <c r="I45" s="4">
        <f>MATCH(D45,'Lab.Calcs.Assumptions'!$A$4:$A$33,0)</f>
        <v>7</v>
      </c>
      <c r="P45" s="4">
        <v>94</v>
      </c>
      <c r="Q45" s="4" t="s">
        <v>25</v>
      </c>
      <c r="R45" t="s">
        <v>346</v>
      </c>
      <c r="S45" s="4" t="s">
        <v>44</v>
      </c>
    </row>
    <row r="46" spans="1:19" x14ac:dyDescent="0.25">
      <c r="A46" t="s">
        <v>389</v>
      </c>
      <c r="B46" t="s">
        <v>41</v>
      </c>
      <c r="C46" t="s">
        <v>59</v>
      </c>
      <c r="D46" t="s">
        <v>60</v>
      </c>
      <c r="E46" t="s">
        <v>390</v>
      </c>
      <c r="F46" s="4" cm="1">
        <f t="array" ref="F46">INDEX('Lab.Calcs.Assumptions'!B$4:B$33,$I46)</f>
        <v>0.41431000000000001</v>
      </c>
      <c r="G46" s="4" cm="1">
        <f t="array" ref="G46">INDEX('Lab.Calcs.Assumptions'!C$4:C$33,$I46)</f>
        <v>0.42487999999999998</v>
      </c>
      <c r="H46" s="4" cm="1">
        <f t="array" ref="H46">INDEX('Lab.Calcs.Assumptions'!D$4:D$33,$I46)</f>
        <v>0.41188000000000002</v>
      </c>
      <c r="I46" s="4">
        <f>MATCH(D46,'Lab.Calcs.Assumptions'!$A$4:$A$33,0)</f>
        <v>7</v>
      </c>
      <c r="P46" s="4">
        <v>95</v>
      </c>
      <c r="Q46" s="4" t="s">
        <v>25</v>
      </c>
      <c r="R46" t="s">
        <v>474</v>
      </c>
      <c r="S46" s="4" t="s">
        <v>44</v>
      </c>
    </row>
    <row r="47" spans="1:19" x14ac:dyDescent="0.25">
      <c r="A47" t="s">
        <v>391</v>
      </c>
      <c r="B47" t="s">
        <v>41</v>
      </c>
      <c r="C47" t="s">
        <v>59</v>
      </c>
      <c r="D47" t="s">
        <v>253</v>
      </c>
      <c r="E47" t="s">
        <v>392</v>
      </c>
      <c r="F47" s="4" cm="1">
        <f t="array" ref="F47">INDEX('Lab.Calcs.Assumptions'!B$4:B$33,$I47)</f>
        <v>0.41431000000000001</v>
      </c>
      <c r="G47" s="4" cm="1">
        <f t="array" ref="G47">INDEX('Lab.Calcs.Assumptions'!C$4:C$33,$I47)</f>
        <v>0.42487999999999998</v>
      </c>
      <c r="H47" s="4" cm="1">
        <f t="array" ref="H47">INDEX('Lab.Calcs.Assumptions'!D$4:D$33,$I47)</f>
        <v>0.41188000000000002</v>
      </c>
      <c r="I47" s="4">
        <f>MATCH(D47,'Lab.Calcs.Assumptions'!$A$4:$A$33,0)</f>
        <v>8</v>
      </c>
      <c r="P47" s="4">
        <v>85</v>
      </c>
      <c r="Q47" s="4" t="s">
        <v>25</v>
      </c>
      <c r="R47" t="s">
        <v>475</v>
      </c>
      <c r="S47" s="4" t="s">
        <v>44</v>
      </c>
    </row>
    <row r="48" spans="1:19" x14ac:dyDescent="0.25">
      <c r="A48" t="s">
        <v>393</v>
      </c>
      <c r="B48" t="s">
        <v>41</v>
      </c>
      <c r="C48" t="s">
        <v>59</v>
      </c>
      <c r="D48" t="s">
        <v>253</v>
      </c>
      <c r="E48" t="s">
        <v>254</v>
      </c>
      <c r="F48" s="4" cm="1">
        <f t="array" ref="F48">INDEX('Lab.Calcs.Assumptions'!B$4:B$33,$I48)</f>
        <v>0.41431000000000001</v>
      </c>
      <c r="G48" s="4" cm="1">
        <f t="array" ref="G48">INDEX('Lab.Calcs.Assumptions'!C$4:C$33,$I48)</f>
        <v>0.42487999999999998</v>
      </c>
      <c r="H48" s="4" cm="1">
        <f t="array" ref="H48">INDEX('Lab.Calcs.Assumptions'!D$4:D$33,$I48)</f>
        <v>0.41188000000000002</v>
      </c>
      <c r="I48" s="4">
        <f>MATCH(D48,'Lab.Calcs.Assumptions'!$A$4:$A$33,0)</f>
        <v>8</v>
      </c>
      <c r="P48" s="4">
        <v>96</v>
      </c>
      <c r="Q48" s="4" t="s">
        <v>25</v>
      </c>
      <c r="R48" t="s">
        <v>476</v>
      </c>
      <c r="S48" s="4" t="s">
        <v>44</v>
      </c>
    </row>
    <row r="49" spans="1:19" x14ac:dyDescent="0.25">
      <c r="A49" t="s">
        <v>394</v>
      </c>
      <c r="B49" t="s">
        <v>41</v>
      </c>
      <c r="C49" t="s">
        <v>59</v>
      </c>
      <c r="D49" t="s">
        <v>253</v>
      </c>
      <c r="E49" t="s">
        <v>255</v>
      </c>
      <c r="F49" s="4" cm="1">
        <f t="array" ref="F49">INDEX('Lab.Calcs.Assumptions'!B$4:B$33,$I49)</f>
        <v>0.41431000000000001</v>
      </c>
      <c r="G49" s="4" cm="1">
        <f t="array" ref="G49">INDEX('Lab.Calcs.Assumptions'!C$4:C$33,$I49)</f>
        <v>0.42487999999999998</v>
      </c>
      <c r="H49" s="4" cm="1">
        <f t="array" ref="H49">INDEX('Lab.Calcs.Assumptions'!D$4:D$33,$I49)</f>
        <v>0.41188000000000002</v>
      </c>
      <c r="I49" s="4">
        <f>MATCH(D49,'Lab.Calcs.Assumptions'!$A$4:$A$33,0)</f>
        <v>8</v>
      </c>
      <c r="P49" s="4">
        <v>97</v>
      </c>
      <c r="Q49" s="4" t="s">
        <v>25</v>
      </c>
      <c r="R49" t="s">
        <v>347</v>
      </c>
      <c r="S49" s="4" t="s">
        <v>44</v>
      </c>
    </row>
    <row r="50" spans="1:19" x14ac:dyDescent="0.25">
      <c r="A50" t="s">
        <v>395</v>
      </c>
      <c r="B50" t="s">
        <v>41</v>
      </c>
      <c r="C50" t="s">
        <v>59</v>
      </c>
      <c r="D50" t="s">
        <v>253</v>
      </c>
      <c r="E50" t="s">
        <v>256</v>
      </c>
      <c r="F50" s="4" cm="1">
        <f t="array" ref="F50">INDEX('Lab.Calcs.Assumptions'!B$4:B$33,$I50)</f>
        <v>0.41431000000000001</v>
      </c>
      <c r="G50" s="4" cm="1">
        <f t="array" ref="G50">INDEX('Lab.Calcs.Assumptions'!C$4:C$33,$I50)</f>
        <v>0.42487999999999998</v>
      </c>
      <c r="H50" s="4" cm="1">
        <f t="array" ref="H50">INDEX('Lab.Calcs.Assumptions'!D$4:D$33,$I50)</f>
        <v>0.41188000000000002</v>
      </c>
      <c r="I50" s="4">
        <f>MATCH(D50,'Lab.Calcs.Assumptions'!$A$4:$A$33,0)</f>
        <v>8</v>
      </c>
      <c r="P50" s="4">
        <v>98</v>
      </c>
      <c r="Q50" s="4" t="s">
        <v>25</v>
      </c>
      <c r="R50" t="s">
        <v>349</v>
      </c>
      <c r="S50" s="4" t="s">
        <v>44</v>
      </c>
    </row>
    <row r="51" spans="1:19" x14ac:dyDescent="0.25">
      <c r="A51" t="s">
        <v>396</v>
      </c>
      <c r="B51" t="s">
        <v>41</v>
      </c>
      <c r="C51" t="s">
        <v>59</v>
      </c>
      <c r="D51" t="s">
        <v>253</v>
      </c>
      <c r="E51" t="s">
        <v>257</v>
      </c>
      <c r="F51" s="4" cm="1">
        <f t="array" ref="F51">INDEX('Lab.Calcs.Assumptions'!B$4:B$33,$I51)</f>
        <v>0.41431000000000001</v>
      </c>
      <c r="G51" s="4" cm="1">
        <f t="array" ref="G51">INDEX('Lab.Calcs.Assumptions'!C$4:C$33,$I51)</f>
        <v>0.42487999999999998</v>
      </c>
      <c r="H51" s="4" cm="1">
        <f t="array" ref="H51">INDEX('Lab.Calcs.Assumptions'!D$4:D$33,$I51)</f>
        <v>0.41188000000000002</v>
      </c>
      <c r="I51" s="4">
        <f>MATCH(D51,'Lab.Calcs.Assumptions'!$A$4:$A$33,0)</f>
        <v>8</v>
      </c>
      <c r="P51" s="4">
        <v>83</v>
      </c>
      <c r="Q51" s="4" t="s">
        <v>25</v>
      </c>
      <c r="R51" t="s">
        <v>351</v>
      </c>
      <c r="S51" s="4" t="s">
        <v>44</v>
      </c>
    </row>
    <row r="52" spans="1:19" x14ac:dyDescent="0.25">
      <c r="A52" t="s">
        <v>397</v>
      </c>
      <c r="B52" t="s">
        <v>41</v>
      </c>
      <c r="C52" t="s">
        <v>58</v>
      </c>
      <c r="D52" t="s">
        <v>58</v>
      </c>
      <c r="E52" t="s">
        <v>258</v>
      </c>
      <c r="F52" s="4" cm="1">
        <f t="array" ref="F52">INDEX('Lab.Calcs.Assumptions'!B$4:B$33,$I52)</f>
        <v>0.50729000000000002</v>
      </c>
      <c r="G52" s="4" cm="1">
        <f t="array" ref="G52">INDEX('Lab.Calcs.Assumptions'!C$4:C$33,$I52)</f>
        <v>0.52022999999999997</v>
      </c>
      <c r="H52" s="4" cm="1">
        <f t="array" ref="H52">INDEX('Lab.Calcs.Assumptions'!D$4:D$33,$I52)</f>
        <v>0.50431000000000004</v>
      </c>
      <c r="I52" s="4">
        <f>MATCH(D52,'Lab.Calcs.Assumptions'!$A$4:$A$33,0)</f>
        <v>11</v>
      </c>
      <c r="P52" s="4">
        <v>99</v>
      </c>
      <c r="R52" t="s">
        <v>372</v>
      </c>
    </row>
    <row r="53" spans="1:19" x14ac:dyDescent="0.25">
      <c r="A53" t="s">
        <v>398</v>
      </c>
      <c r="B53" t="s">
        <v>41</v>
      </c>
      <c r="C53" t="s">
        <v>58</v>
      </c>
      <c r="D53" t="s">
        <v>58</v>
      </c>
      <c r="E53" t="s">
        <v>399</v>
      </c>
      <c r="F53" s="4" cm="1">
        <f t="array" ref="F53">INDEX('Lab.Calcs.Assumptions'!B$4:B$33,$I53)</f>
        <v>0.50729000000000002</v>
      </c>
      <c r="G53" s="4" cm="1">
        <f t="array" ref="G53">INDEX('Lab.Calcs.Assumptions'!C$4:C$33,$I53)</f>
        <v>0.52022999999999997</v>
      </c>
      <c r="H53" s="4" cm="1">
        <f t="array" ref="H53">INDEX('Lab.Calcs.Assumptions'!D$4:D$33,$I53)</f>
        <v>0.50431000000000004</v>
      </c>
      <c r="I53" s="4">
        <f>MATCH(D53,'Lab.Calcs.Assumptions'!$A$4:$A$33,0)</f>
        <v>11</v>
      </c>
      <c r="P53" s="4">
        <v>100</v>
      </c>
      <c r="R53" t="s">
        <v>373</v>
      </c>
    </row>
    <row r="54" spans="1:19" x14ac:dyDescent="0.25">
      <c r="A54" t="s">
        <v>400</v>
      </c>
      <c r="B54" t="s">
        <v>41</v>
      </c>
      <c r="C54" t="s">
        <v>58</v>
      </c>
      <c r="D54" t="s">
        <v>58</v>
      </c>
      <c r="E54" t="s">
        <v>259</v>
      </c>
      <c r="F54" s="4" cm="1">
        <f t="array" ref="F54">INDEX('Lab.Calcs.Assumptions'!B$4:B$33,$I54)</f>
        <v>0.50729000000000002</v>
      </c>
      <c r="G54" s="4" cm="1">
        <f t="array" ref="G54">INDEX('Lab.Calcs.Assumptions'!C$4:C$33,$I54)</f>
        <v>0.52022999999999997</v>
      </c>
      <c r="H54" s="4" cm="1">
        <f t="array" ref="H54">INDEX('Lab.Calcs.Assumptions'!D$4:D$33,$I54)</f>
        <v>0.50431000000000004</v>
      </c>
      <c r="I54" s="4">
        <f>MATCH(D54,'Lab.Calcs.Assumptions'!$A$4:$A$33,0)</f>
        <v>11</v>
      </c>
      <c r="P54" s="4">
        <v>101</v>
      </c>
      <c r="R54" t="s">
        <v>353</v>
      </c>
    </row>
    <row r="55" spans="1:19" x14ac:dyDescent="0.25">
      <c r="A55" t="s">
        <v>401</v>
      </c>
      <c r="B55" t="s">
        <v>41</v>
      </c>
      <c r="C55" t="s">
        <v>57</v>
      </c>
      <c r="D55" t="s">
        <v>57</v>
      </c>
      <c r="E55" t="s">
        <v>260</v>
      </c>
      <c r="F55" s="4" cm="1">
        <f t="array" ref="F55">INDEX('Lab.Calcs.Assumptions'!B$4:B$33,$I55)</f>
        <v>0.34254000000000001</v>
      </c>
      <c r="G55" s="4" cm="1">
        <f t="array" ref="G55">INDEX('Lab.Calcs.Assumptions'!C$4:C$33,$I55)</f>
        <v>0.35127999999999998</v>
      </c>
      <c r="H55" s="4" cm="1">
        <f t="array" ref="H55">INDEX('Lab.Calcs.Assumptions'!D$4:D$33,$I55)</f>
        <v>0.34053</v>
      </c>
      <c r="I55" s="4">
        <f>MATCH(D55,'Lab.Calcs.Assumptions'!$A$4:$A$33,0)</f>
        <v>13</v>
      </c>
      <c r="P55" s="4">
        <v>103</v>
      </c>
      <c r="R55" t="s">
        <v>354</v>
      </c>
    </row>
    <row r="56" spans="1:19" x14ac:dyDescent="0.25">
      <c r="A56" t="s">
        <v>402</v>
      </c>
      <c r="B56" t="s">
        <v>41</v>
      </c>
      <c r="C56" t="s">
        <v>57</v>
      </c>
      <c r="D56" t="s">
        <v>57</v>
      </c>
      <c r="E56" t="s">
        <v>261</v>
      </c>
      <c r="F56" s="4" cm="1">
        <f t="array" ref="F56">INDEX('Lab.Calcs.Assumptions'!B$4:B$33,$I56)</f>
        <v>0.34254000000000001</v>
      </c>
      <c r="G56" s="4" cm="1">
        <f t="array" ref="G56">INDEX('Lab.Calcs.Assumptions'!C$4:C$33,$I56)</f>
        <v>0.35127999999999998</v>
      </c>
      <c r="H56" s="4" cm="1">
        <f t="array" ref="H56">INDEX('Lab.Calcs.Assumptions'!D$4:D$33,$I56)</f>
        <v>0.34053</v>
      </c>
      <c r="I56" s="4">
        <f>MATCH(D56,'Lab.Calcs.Assumptions'!$A$4:$A$33,0)</f>
        <v>13</v>
      </c>
      <c r="P56" s="4">
        <v>107</v>
      </c>
      <c r="R56" t="s">
        <v>358</v>
      </c>
    </row>
    <row r="57" spans="1:19" x14ac:dyDescent="0.25">
      <c r="A57" t="s">
        <v>403</v>
      </c>
      <c r="B57" t="s">
        <v>41</v>
      </c>
      <c r="C57" t="s">
        <v>57</v>
      </c>
      <c r="D57" t="s">
        <v>57</v>
      </c>
      <c r="E57" t="s">
        <v>262</v>
      </c>
      <c r="F57" s="4" cm="1">
        <f t="array" ref="F57">INDEX('Lab.Calcs.Assumptions'!B$4:B$33,$I57)</f>
        <v>0.34254000000000001</v>
      </c>
      <c r="G57" s="4" cm="1">
        <f t="array" ref="G57">INDEX('Lab.Calcs.Assumptions'!C$4:C$33,$I57)</f>
        <v>0.35127999999999998</v>
      </c>
      <c r="H57" s="4" cm="1">
        <f t="array" ref="H57">INDEX('Lab.Calcs.Assumptions'!D$4:D$33,$I57)</f>
        <v>0.34053</v>
      </c>
      <c r="I57" s="4">
        <f>MATCH(D57,'Lab.Calcs.Assumptions'!$A$4:$A$33,0)</f>
        <v>13</v>
      </c>
      <c r="P57" s="4">
        <v>108</v>
      </c>
      <c r="R57" t="s">
        <v>360</v>
      </c>
    </row>
    <row r="58" spans="1:19" x14ac:dyDescent="0.25">
      <c r="A58" t="s">
        <v>404</v>
      </c>
      <c r="B58" t="s">
        <v>41</v>
      </c>
      <c r="C58" t="s">
        <v>57</v>
      </c>
      <c r="D58" t="s">
        <v>57</v>
      </c>
      <c r="E58" t="s">
        <v>263</v>
      </c>
      <c r="F58" s="4" cm="1">
        <f t="array" ref="F58">INDEX('Lab.Calcs.Assumptions'!B$4:B$33,$I58)</f>
        <v>0.34254000000000001</v>
      </c>
      <c r="G58" s="4" cm="1">
        <f t="array" ref="G58">INDEX('Lab.Calcs.Assumptions'!C$4:C$33,$I58)</f>
        <v>0.35127999999999998</v>
      </c>
      <c r="H58" s="4" cm="1">
        <f t="array" ref="H58">INDEX('Lab.Calcs.Assumptions'!D$4:D$33,$I58)</f>
        <v>0.34053</v>
      </c>
      <c r="I58" s="4">
        <f>MATCH(D58,'Lab.Calcs.Assumptions'!$A$4:$A$33,0)</f>
        <v>13</v>
      </c>
      <c r="P58" s="4">
        <v>109</v>
      </c>
      <c r="R58" t="s">
        <v>362</v>
      </c>
    </row>
    <row r="59" spans="1:19" x14ac:dyDescent="0.25">
      <c r="A59" t="s">
        <v>405</v>
      </c>
      <c r="B59" t="s">
        <v>41</v>
      </c>
      <c r="C59" t="s">
        <v>57</v>
      </c>
      <c r="D59" t="s">
        <v>57</v>
      </c>
      <c r="E59" t="s">
        <v>264</v>
      </c>
      <c r="F59" s="4" cm="1">
        <f t="array" ref="F59">INDEX('Lab.Calcs.Assumptions'!B$4:B$33,$I59)</f>
        <v>0.34254000000000001</v>
      </c>
      <c r="G59" s="4" cm="1">
        <f t="array" ref="G59">INDEX('Lab.Calcs.Assumptions'!C$4:C$33,$I59)</f>
        <v>0.35127999999999998</v>
      </c>
      <c r="H59" s="4" cm="1">
        <f t="array" ref="H59">INDEX('Lab.Calcs.Assumptions'!D$4:D$33,$I59)</f>
        <v>0.34053</v>
      </c>
      <c r="I59" s="4">
        <f>MATCH(D59,'Lab.Calcs.Assumptions'!$A$4:$A$33,0)</f>
        <v>13</v>
      </c>
      <c r="P59" s="4">
        <v>110</v>
      </c>
      <c r="R59" t="s">
        <v>364</v>
      </c>
    </row>
    <row r="60" spans="1:19" x14ac:dyDescent="0.25">
      <c r="A60" t="s">
        <v>406</v>
      </c>
      <c r="B60" t="s">
        <v>41</v>
      </c>
      <c r="C60" t="s">
        <v>57</v>
      </c>
      <c r="D60" t="s">
        <v>57</v>
      </c>
      <c r="E60" t="s">
        <v>265</v>
      </c>
      <c r="F60" s="4" cm="1">
        <f t="array" ref="F60">INDEX('Lab.Calcs.Assumptions'!B$4:B$33,$I60)</f>
        <v>0.34254000000000001</v>
      </c>
      <c r="G60" s="4" cm="1">
        <f t="array" ref="G60">INDEX('Lab.Calcs.Assumptions'!C$4:C$33,$I60)</f>
        <v>0.35127999999999998</v>
      </c>
      <c r="H60" s="4" cm="1">
        <f t="array" ref="H60">INDEX('Lab.Calcs.Assumptions'!D$4:D$33,$I60)</f>
        <v>0.34053</v>
      </c>
      <c r="I60" s="4">
        <f>MATCH(D60,'Lab.Calcs.Assumptions'!$A$4:$A$33,0)</f>
        <v>13</v>
      </c>
      <c r="P60" s="4">
        <v>111</v>
      </c>
      <c r="R60" t="s">
        <v>366</v>
      </c>
    </row>
    <row r="61" spans="1:19" x14ac:dyDescent="0.25">
      <c r="A61" t="s">
        <v>407</v>
      </c>
      <c r="B61" t="s">
        <v>41</v>
      </c>
      <c r="C61" t="s">
        <v>57</v>
      </c>
      <c r="D61" t="s">
        <v>57</v>
      </c>
      <c r="E61" t="s">
        <v>408</v>
      </c>
      <c r="F61" s="4" cm="1">
        <f t="array" ref="F61">INDEX('Lab.Calcs.Assumptions'!B$4:B$33,$I61)</f>
        <v>0.34254000000000001</v>
      </c>
      <c r="G61" s="4" cm="1">
        <f t="array" ref="G61">INDEX('Lab.Calcs.Assumptions'!C$4:C$33,$I61)</f>
        <v>0.35127999999999998</v>
      </c>
      <c r="H61" s="4" cm="1">
        <f t="array" ref="H61">INDEX('Lab.Calcs.Assumptions'!D$4:D$33,$I61)</f>
        <v>0.34053</v>
      </c>
      <c r="I61" s="4">
        <f>MATCH(D61,'Lab.Calcs.Assumptions'!$A$4:$A$33,0)</f>
        <v>13</v>
      </c>
      <c r="P61" s="4">
        <v>112</v>
      </c>
      <c r="R61" t="s">
        <v>368</v>
      </c>
    </row>
    <row r="62" spans="1:19" x14ac:dyDescent="0.25">
      <c r="A62" t="s">
        <v>409</v>
      </c>
      <c r="B62" t="s">
        <v>41</v>
      </c>
      <c r="C62" t="s">
        <v>57</v>
      </c>
      <c r="D62" t="s">
        <v>57</v>
      </c>
      <c r="E62" t="s">
        <v>410</v>
      </c>
      <c r="F62" s="4" cm="1">
        <f t="array" ref="F62">INDEX('Lab.Calcs.Assumptions'!B$4:B$33,$I62)</f>
        <v>0.34254000000000001</v>
      </c>
      <c r="G62" s="4" cm="1">
        <f t="array" ref="G62">INDEX('Lab.Calcs.Assumptions'!C$4:C$33,$I62)</f>
        <v>0.35127999999999998</v>
      </c>
      <c r="H62" s="4" cm="1">
        <f t="array" ref="H62">INDEX('Lab.Calcs.Assumptions'!D$4:D$33,$I62)</f>
        <v>0.34053</v>
      </c>
      <c r="I62" s="4">
        <f>MATCH(D62,'Lab.Calcs.Assumptions'!$A$4:$A$33,0)</f>
        <v>13</v>
      </c>
      <c r="P62" s="4">
        <v>113</v>
      </c>
      <c r="R62" t="s">
        <v>370</v>
      </c>
    </row>
    <row r="63" spans="1:19" x14ac:dyDescent="0.25">
      <c r="A63" t="s">
        <v>411</v>
      </c>
      <c r="B63" t="s">
        <v>41</v>
      </c>
      <c r="C63" t="s">
        <v>57</v>
      </c>
      <c r="D63" t="s">
        <v>57</v>
      </c>
      <c r="E63" t="s">
        <v>412</v>
      </c>
      <c r="F63" s="4" cm="1">
        <f t="array" ref="F63">INDEX('Lab.Calcs.Assumptions'!B$4:B$33,$I63)</f>
        <v>0.34254000000000001</v>
      </c>
      <c r="G63" s="4" cm="1">
        <f t="array" ref="G63">INDEX('Lab.Calcs.Assumptions'!C$4:C$33,$I63)</f>
        <v>0.35127999999999998</v>
      </c>
      <c r="H63" s="4" cm="1">
        <f t="array" ref="H63">INDEX('Lab.Calcs.Assumptions'!D$4:D$33,$I63)</f>
        <v>0.34053</v>
      </c>
      <c r="I63" s="4">
        <f>MATCH(D63,'Lab.Calcs.Assumptions'!$A$4:$A$33,0)</f>
        <v>13</v>
      </c>
      <c r="P63" s="4">
        <v>114</v>
      </c>
      <c r="R63" t="s">
        <v>477</v>
      </c>
    </row>
    <row r="64" spans="1:19" x14ac:dyDescent="0.25">
      <c r="A64" t="s">
        <v>413</v>
      </c>
      <c r="B64" t="s">
        <v>41</v>
      </c>
      <c r="C64" t="s">
        <v>57</v>
      </c>
      <c r="D64" t="s">
        <v>57</v>
      </c>
      <c r="E64" t="s">
        <v>414</v>
      </c>
      <c r="P64" s="4">
        <v>115</v>
      </c>
      <c r="R64" t="s">
        <v>438</v>
      </c>
    </row>
    <row r="65" spans="1:18" x14ac:dyDescent="0.25">
      <c r="A65" t="s">
        <v>415</v>
      </c>
      <c r="B65" t="s">
        <v>41</v>
      </c>
      <c r="C65" t="s">
        <v>57</v>
      </c>
      <c r="D65" t="s">
        <v>57</v>
      </c>
      <c r="E65" t="s">
        <v>416</v>
      </c>
      <c r="P65" s="4">
        <v>116</v>
      </c>
      <c r="R65" t="s">
        <v>439</v>
      </c>
    </row>
    <row r="66" spans="1:18" x14ac:dyDescent="0.25">
      <c r="A66" t="s">
        <v>417</v>
      </c>
      <c r="B66" t="s">
        <v>41</v>
      </c>
      <c r="C66" t="s">
        <v>57</v>
      </c>
      <c r="D66" t="s">
        <v>57</v>
      </c>
      <c r="E66" t="s">
        <v>418</v>
      </c>
      <c r="P66" s="4">
        <v>104</v>
      </c>
      <c r="R66" t="s">
        <v>441</v>
      </c>
    </row>
    <row r="67" spans="1:18" x14ac:dyDescent="0.25">
      <c r="A67" t="s">
        <v>419</v>
      </c>
      <c r="B67" t="s">
        <v>41</v>
      </c>
      <c r="C67" t="s">
        <v>57</v>
      </c>
      <c r="D67" t="s">
        <v>57</v>
      </c>
      <c r="E67" t="s">
        <v>420</v>
      </c>
      <c r="P67" s="4">
        <v>105</v>
      </c>
      <c r="R67" t="s">
        <v>478</v>
      </c>
    </row>
    <row r="68" spans="1:18" x14ac:dyDescent="0.25">
      <c r="A68" t="s">
        <v>421</v>
      </c>
      <c r="B68" t="s">
        <v>41</v>
      </c>
      <c r="C68" t="s">
        <v>57</v>
      </c>
      <c r="D68" t="s">
        <v>57</v>
      </c>
      <c r="E68" t="s">
        <v>422</v>
      </c>
      <c r="P68" s="4">
        <v>106</v>
      </c>
      <c r="R68" t="s">
        <v>479</v>
      </c>
    </row>
    <row r="69" spans="1:18" x14ac:dyDescent="0.25">
      <c r="A69" t="s">
        <v>423</v>
      </c>
      <c r="B69" t="s">
        <v>41</v>
      </c>
      <c r="C69" t="s">
        <v>57</v>
      </c>
      <c r="D69" t="s">
        <v>57</v>
      </c>
      <c r="E69" t="s">
        <v>424</v>
      </c>
      <c r="P69" s="4">
        <v>117</v>
      </c>
      <c r="R69" t="s">
        <v>434</v>
      </c>
    </row>
    <row r="70" spans="1:18" x14ac:dyDescent="0.25">
      <c r="A70" t="s">
        <v>425</v>
      </c>
      <c r="B70" t="s">
        <v>41</v>
      </c>
      <c r="C70" t="s">
        <v>57</v>
      </c>
      <c r="D70" t="s">
        <v>57</v>
      </c>
      <c r="E70" t="s">
        <v>426</v>
      </c>
      <c r="P70" s="4">
        <v>118</v>
      </c>
      <c r="R70" t="s">
        <v>436</v>
      </c>
    </row>
    <row r="71" spans="1:18" x14ac:dyDescent="0.25">
      <c r="A71" t="s">
        <v>427</v>
      </c>
      <c r="B71" t="s">
        <v>41</v>
      </c>
      <c r="C71" t="s">
        <v>53</v>
      </c>
      <c r="D71" t="s">
        <v>266</v>
      </c>
      <c r="E71" t="s">
        <v>267</v>
      </c>
      <c r="P71" s="4" t="e">
        <v>#N/A</v>
      </c>
      <c r="R71" t="s">
        <v>480</v>
      </c>
    </row>
    <row r="72" spans="1:18" x14ac:dyDescent="0.25">
      <c r="A72" t="s">
        <v>428</v>
      </c>
      <c r="B72" t="s">
        <v>41</v>
      </c>
      <c r="C72" t="s">
        <v>51</v>
      </c>
      <c r="D72" t="s">
        <v>429</v>
      </c>
      <c r="E72" t="s">
        <v>268</v>
      </c>
      <c r="P72" s="4">
        <v>8</v>
      </c>
      <c r="R72" t="s">
        <v>396</v>
      </c>
    </row>
    <row r="73" spans="1:18" x14ac:dyDescent="0.25">
      <c r="A73" t="s">
        <v>430</v>
      </c>
      <c r="B73" t="s">
        <v>41</v>
      </c>
      <c r="C73" t="s">
        <v>51</v>
      </c>
      <c r="D73" t="s">
        <v>429</v>
      </c>
      <c r="E73" t="s">
        <v>431</v>
      </c>
      <c r="P73" s="4">
        <v>9</v>
      </c>
      <c r="R73" t="s">
        <v>375</v>
      </c>
    </row>
    <row r="74" spans="1:18" x14ac:dyDescent="0.25">
      <c r="A74" t="s">
        <v>432</v>
      </c>
      <c r="B74" t="s">
        <v>41</v>
      </c>
      <c r="C74" t="s">
        <v>51</v>
      </c>
      <c r="D74" t="s">
        <v>429</v>
      </c>
      <c r="E74" t="s">
        <v>433</v>
      </c>
      <c r="P74" s="4">
        <v>10</v>
      </c>
      <c r="R74" t="s">
        <v>391</v>
      </c>
    </row>
    <row r="75" spans="1:18" x14ac:dyDescent="0.25">
      <c r="A75" t="s">
        <v>434</v>
      </c>
      <c r="B75" t="s">
        <v>41</v>
      </c>
      <c r="C75" t="s">
        <v>51</v>
      </c>
      <c r="D75" t="s">
        <v>429</v>
      </c>
      <c r="E75" t="s">
        <v>435</v>
      </c>
      <c r="P75" s="4">
        <v>80</v>
      </c>
      <c r="R75" t="s">
        <v>376</v>
      </c>
    </row>
    <row r="76" spans="1:18" x14ac:dyDescent="0.25">
      <c r="A76" t="s">
        <v>436</v>
      </c>
      <c r="B76" t="s">
        <v>41</v>
      </c>
      <c r="C76" t="s">
        <v>51</v>
      </c>
      <c r="D76" t="s">
        <v>429</v>
      </c>
      <c r="E76" t="s">
        <v>437</v>
      </c>
      <c r="P76" s="4">
        <v>81</v>
      </c>
      <c r="R76" t="s">
        <v>377</v>
      </c>
    </row>
    <row r="77" spans="1:18" x14ac:dyDescent="0.25">
      <c r="A77" t="s">
        <v>438</v>
      </c>
      <c r="B77" t="s">
        <v>41</v>
      </c>
      <c r="C77" t="s">
        <v>49</v>
      </c>
      <c r="D77" t="s">
        <v>49</v>
      </c>
      <c r="E77" t="s">
        <v>269</v>
      </c>
      <c r="P77" s="4">
        <v>75</v>
      </c>
      <c r="R77" t="s">
        <v>381</v>
      </c>
    </row>
    <row r="78" spans="1:18" x14ac:dyDescent="0.25">
      <c r="A78" t="s">
        <v>439</v>
      </c>
      <c r="B78" t="s">
        <v>41</v>
      </c>
      <c r="C78" t="s">
        <v>49</v>
      </c>
      <c r="D78" t="s">
        <v>49</v>
      </c>
      <c r="E78" t="s">
        <v>440</v>
      </c>
      <c r="P78" s="4">
        <v>76</v>
      </c>
      <c r="R78" t="s">
        <v>383</v>
      </c>
    </row>
    <row r="79" spans="1:18" x14ac:dyDescent="0.25">
      <c r="A79" t="s">
        <v>441</v>
      </c>
      <c r="B79" t="s">
        <v>41</v>
      </c>
      <c r="C79" t="s">
        <v>49</v>
      </c>
      <c r="D79" t="s">
        <v>49</v>
      </c>
      <c r="E79" t="s">
        <v>270</v>
      </c>
      <c r="P79" s="4">
        <v>77</v>
      </c>
      <c r="R79" t="s">
        <v>385</v>
      </c>
    </row>
    <row r="80" spans="1:18" x14ac:dyDescent="0.25">
      <c r="A80" t="s">
        <v>442</v>
      </c>
      <c r="B80" t="s">
        <v>41</v>
      </c>
      <c r="C80" t="s">
        <v>49</v>
      </c>
      <c r="D80" t="s">
        <v>49</v>
      </c>
      <c r="E80" t="s">
        <v>443</v>
      </c>
      <c r="P80" s="4">
        <v>18</v>
      </c>
      <c r="R80" t="s">
        <v>387</v>
      </c>
    </row>
    <row r="81" spans="1:18" x14ac:dyDescent="0.25">
      <c r="A81" t="s">
        <v>444</v>
      </c>
      <c r="B81" t="s">
        <v>41</v>
      </c>
      <c r="C81" t="s">
        <v>63</v>
      </c>
      <c r="D81" t="s">
        <v>62</v>
      </c>
      <c r="E81" t="s">
        <v>271</v>
      </c>
      <c r="P81" s="4">
        <v>19</v>
      </c>
      <c r="R81" t="s">
        <v>397</v>
      </c>
    </row>
    <row r="82" spans="1:18" x14ac:dyDescent="0.25">
      <c r="A82" t="s">
        <v>445</v>
      </c>
      <c r="B82" t="s">
        <v>41</v>
      </c>
      <c r="C82" t="s">
        <v>47</v>
      </c>
      <c r="D82" t="s">
        <v>47</v>
      </c>
      <c r="E82" t="s">
        <v>272</v>
      </c>
      <c r="P82" s="4">
        <v>46</v>
      </c>
      <c r="R82" t="s">
        <v>398</v>
      </c>
    </row>
    <row r="83" spans="1:18" x14ac:dyDescent="0.25">
      <c r="A83" t="s">
        <v>446</v>
      </c>
      <c r="B83" t="s">
        <v>41</v>
      </c>
      <c r="C83" t="s">
        <v>47</v>
      </c>
      <c r="D83" t="s">
        <v>47</v>
      </c>
      <c r="E83" t="s">
        <v>447</v>
      </c>
      <c r="P83" s="4">
        <v>47</v>
      </c>
      <c r="R83" t="s">
        <v>400</v>
      </c>
    </row>
    <row r="84" spans="1:18" x14ac:dyDescent="0.25">
      <c r="A84" t="s">
        <v>448</v>
      </c>
      <c r="B84" t="s">
        <v>41</v>
      </c>
      <c r="C84" t="s">
        <v>47</v>
      </c>
      <c r="D84" t="s">
        <v>47</v>
      </c>
      <c r="E84" t="s">
        <v>449</v>
      </c>
      <c r="P84" s="4">
        <v>48</v>
      </c>
      <c r="R84" t="s">
        <v>481</v>
      </c>
    </row>
    <row r="85" spans="1:18" x14ac:dyDescent="0.25">
      <c r="A85" t="s">
        <v>450</v>
      </c>
      <c r="B85" t="s">
        <v>41</v>
      </c>
      <c r="C85" t="s">
        <v>47</v>
      </c>
      <c r="D85" t="s">
        <v>47</v>
      </c>
      <c r="E85" t="s">
        <v>451</v>
      </c>
      <c r="P85" s="4">
        <v>49</v>
      </c>
      <c r="R85" t="s">
        <v>401</v>
      </c>
    </row>
    <row r="86" spans="1:18" x14ac:dyDescent="0.25">
      <c r="A86" t="s">
        <v>452</v>
      </c>
      <c r="B86" t="s">
        <v>41</v>
      </c>
      <c r="C86" t="s">
        <v>47</v>
      </c>
      <c r="D86" t="s">
        <v>47</v>
      </c>
      <c r="E86" t="s">
        <v>453</v>
      </c>
      <c r="P86" s="4">
        <v>50</v>
      </c>
      <c r="R86" t="s">
        <v>417</v>
      </c>
    </row>
    <row r="87" spans="1:18" x14ac:dyDescent="0.25">
      <c r="A87" t="s">
        <v>454</v>
      </c>
      <c r="B87" t="s">
        <v>41</v>
      </c>
      <c r="C87" t="s">
        <v>47</v>
      </c>
      <c r="D87" t="s">
        <v>47</v>
      </c>
      <c r="E87" t="s">
        <v>273</v>
      </c>
      <c r="P87" s="4">
        <v>12</v>
      </c>
      <c r="R87" t="s">
        <v>419</v>
      </c>
    </row>
    <row r="88" spans="1:18" x14ac:dyDescent="0.25">
      <c r="A88" t="s">
        <v>455</v>
      </c>
      <c r="B88" t="s">
        <v>41</v>
      </c>
      <c r="C88" t="s">
        <v>47</v>
      </c>
      <c r="D88" t="s">
        <v>47</v>
      </c>
      <c r="E88" t="s">
        <v>274</v>
      </c>
      <c r="P88" s="4">
        <v>13</v>
      </c>
      <c r="R88" t="s">
        <v>421</v>
      </c>
    </row>
    <row r="89" spans="1:18" x14ac:dyDescent="0.25">
      <c r="A89" t="s">
        <v>456</v>
      </c>
      <c r="B89" t="s">
        <v>41</v>
      </c>
      <c r="C89" t="s">
        <v>47</v>
      </c>
      <c r="D89" t="s">
        <v>47</v>
      </c>
      <c r="E89" t="s">
        <v>457</v>
      </c>
      <c r="P89" s="4">
        <v>14</v>
      </c>
      <c r="R89" t="s">
        <v>402</v>
      </c>
    </row>
    <row r="90" spans="1:18" x14ac:dyDescent="0.25">
      <c r="A90" t="s">
        <v>458</v>
      </c>
      <c r="B90" t="s">
        <v>41</v>
      </c>
      <c r="C90" t="s">
        <v>47</v>
      </c>
      <c r="D90" t="s">
        <v>47</v>
      </c>
      <c r="E90" t="s">
        <v>275</v>
      </c>
      <c r="P90" s="4">
        <v>15</v>
      </c>
      <c r="R90" t="s">
        <v>415</v>
      </c>
    </row>
    <row r="91" spans="1:18" x14ac:dyDescent="0.25">
      <c r="A91" t="s">
        <v>459</v>
      </c>
      <c r="B91" t="s">
        <v>41</v>
      </c>
      <c r="C91" t="s">
        <v>47</v>
      </c>
      <c r="D91" t="s">
        <v>47</v>
      </c>
      <c r="E91" t="s">
        <v>276</v>
      </c>
      <c r="P91" s="4">
        <v>16</v>
      </c>
      <c r="R91" t="s">
        <v>423</v>
      </c>
    </row>
    <row r="92" spans="1:18" x14ac:dyDescent="0.25">
      <c r="A92" t="s">
        <v>460</v>
      </c>
      <c r="B92" t="s">
        <v>41</v>
      </c>
      <c r="C92" t="s">
        <v>47</v>
      </c>
      <c r="D92" t="s">
        <v>47</v>
      </c>
      <c r="E92" t="s">
        <v>277</v>
      </c>
      <c r="P92" s="4">
        <v>17</v>
      </c>
      <c r="R92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480-23E6-419A-91FF-CBD0E05AE4BF}">
  <sheetPr codeName="Sheet4">
    <tabColor theme="5"/>
  </sheetPr>
  <dimension ref="A1:AE137"/>
  <sheetViews>
    <sheetView topLeftCell="A41" zoomScale="110" zoomScaleNormal="110" workbookViewId="0">
      <selection activeCell="A15" sqref="A15"/>
    </sheetView>
  </sheetViews>
  <sheetFormatPr defaultRowHeight="15" x14ac:dyDescent="0.25"/>
  <cols>
    <col min="1" max="1" width="19.5703125" style="4" customWidth="1"/>
    <col min="2" max="5" width="9.140625" style="4"/>
    <col min="6" max="6" width="13.85546875" style="4" customWidth="1"/>
    <col min="7" max="7" width="16.7109375" style="4" bestFit="1" customWidth="1"/>
    <col min="8" max="8" width="10.85546875" style="4" customWidth="1"/>
    <col min="9" max="9" width="12" style="4" customWidth="1"/>
    <col min="10" max="10" width="11.5703125" style="4" bestFit="1" customWidth="1"/>
    <col min="11" max="11" width="12.7109375" style="4" bestFit="1" customWidth="1"/>
    <col min="12" max="12" width="13.85546875" style="4" customWidth="1"/>
    <col min="13" max="13" width="13.85546875" style="4" bestFit="1" customWidth="1"/>
    <col min="14" max="16" width="9.140625" style="4"/>
    <col min="17" max="17" width="16.7109375" style="4" bestFit="1" customWidth="1"/>
    <col min="18" max="19" width="9.140625" style="4"/>
    <col min="20" max="20" width="15.85546875" style="4" customWidth="1"/>
    <col min="21" max="22" width="9.140625" style="4"/>
    <col min="23" max="23" width="16.85546875" style="4" customWidth="1"/>
    <col min="24" max="16384" width="9.140625" style="4"/>
  </cols>
  <sheetData>
    <row r="1" spans="1:16" x14ac:dyDescent="0.25">
      <c r="B1" s="4" t="s">
        <v>238</v>
      </c>
      <c r="E1" s="32" t="s">
        <v>291</v>
      </c>
      <c r="F1" s="33">
        <v>3.3250000000000002</v>
      </c>
      <c r="H1" s="4" t="s">
        <v>237</v>
      </c>
      <c r="I1" s="4">
        <f t="array" ref="I1:L1">TRANSPOSE('[1]From SAM'!Q28:Q31)*1000</f>
        <v>110.01900000000001</v>
      </c>
      <c r="J1" s="4">
        <v>112.75</v>
      </c>
      <c r="K1" s="4">
        <v>173.19399999999999</v>
      </c>
      <c r="L1" s="4">
        <v>395.77199999999999</v>
      </c>
    </row>
    <row r="2" spans="1:16" x14ac:dyDescent="0.25">
      <c r="A2" s="4" t="s">
        <v>69</v>
      </c>
      <c r="B2" s="4" t="str">
        <f t="array" ref="B2:D2">TRANSPOSE(I81:I83)</f>
        <v>flab-n</v>
      </c>
      <c r="C2" s="4" t="str">
        <v>flab-p</v>
      </c>
      <c r="D2" s="4" t="str">
        <v>flab-s</v>
      </c>
      <c r="F2" s="4" t="s">
        <v>73</v>
      </c>
      <c r="G2" s="4" t="s">
        <v>236</v>
      </c>
      <c r="H2" s="4" t="s">
        <v>73</v>
      </c>
      <c r="I2" s="4" t="str">
        <f>B2</f>
        <v>flab-n</v>
      </c>
      <c r="J2" s="4" t="str">
        <f>C2</f>
        <v>flab-p</v>
      </c>
      <c r="K2" s="4" t="str">
        <f>D2</f>
        <v>flab-s</v>
      </c>
      <c r="L2" s="4" t="e">
        <f>#REF!</f>
        <v>#REF!</v>
      </c>
      <c r="M2" s="4" t="s">
        <v>235</v>
      </c>
      <c r="N2" s="4" t="s">
        <v>234</v>
      </c>
      <c r="O2" s="4" t="s">
        <v>233</v>
      </c>
      <c r="P2" s="4" t="s">
        <v>232</v>
      </c>
    </row>
    <row r="3" spans="1:16" x14ac:dyDescent="0.25">
      <c r="A3" s="4" t="s">
        <v>231</v>
      </c>
      <c r="B3" s="4">
        <f t="array" ref="B3:D3">TRANSPOSE(K81:K83)</f>
        <v>0.3311656740002431</v>
      </c>
      <c r="C3" s="4">
        <v>0.33961346784976298</v>
      </c>
      <c r="D3" s="4">
        <v>0.32922085814999391</v>
      </c>
      <c r="E3" s="32" t="s">
        <v>294</v>
      </c>
      <c r="F3" s="13" t="s">
        <v>97</v>
      </c>
      <c r="G3" s="4" t="s">
        <v>99</v>
      </c>
      <c r="H3" s="13" t="s">
        <v>230</v>
      </c>
    </row>
    <row r="4" spans="1:16" x14ac:dyDescent="0.25">
      <c r="A4" s="4" t="s">
        <v>65</v>
      </c>
      <c r="B4" s="4">
        <f>ROUND(B$3*$F4,5)</f>
        <v>0.36715999999999999</v>
      </c>
      <c r="C4" s="4">
        <f>ROUND(C$3*$F4,5)</f>
        <v>0.37652999999999998</v>
      </c>
      <c r="D4" s="4">
        <f>ROUND(D$3*$F4,5)</f>
        <v>0.36501</v>
      </c>
      <c r="E4" s="4">
        <v>0.33344431232659533</v>
      </c>
      <c r="F4" s="5">
        <f>E4*$F$1</f>
        <v>1.1087023384859296</v>
      </c>
      <c r="G4" s="4">
        <f>SUMIF($A$43:$A$55,A4,$B$43:$B$55)</f>
        <v>0</v>
      </c>
      <c r="H4" s="5">
        <f t="shared" ref="H4:H25" si="0">G4*F4</f>
        <v>0</v>
      </c>
      <c r="I4" s="14">
        <f>B4*$G4*I$1</f>
        <v>0</v>
      </c>
      <c r="J4" s="14">
        <f>C4*$G4*J$1</f>
        <v>0</v>
      </c>
      <c r="K4" s="14">
        <f>D4*$G4*K$1</f>
        <v>0</v>
      </c>
      <c r="L4" s="14"/>
      <c r="M4" s="14"/>
      <c r="O4" s="7">
        <f>SUMPRODUCT(B4:D4,$I$1:$K$1)</f>
        <v>146.06587547999999</v>
      </c>
      <c r="P4" s="4">
        <v>3.9</v>
      </c>
    </row>
    <row r="5" spans="1:16" x14ac:dyDescent="0.25">
      <c r="A5" s="4" t="s">
        <v>64</v>
      </c>
      <c r="B5" s="4">
        <f>ROUND(B$3*$F5,5)</f>
        <v>0.36715999999999999</v>
      </c>
      <c r="C5" s="4">
        <f>ROUND(C$3*$F5,5)</f>
        <v>0.37652999999999998</v>
      </c>
      <c r="D5" s="4">
        <f>ROUND(D$3*$F5,5)</f>
        <v>0.36501</v>
      </c>
      <c r="E5" s="4">
        <v>0.33344431232659533</v>
      </c>
      <c r="F5" s="5">
        <f>E5*$F$1</f>
        <v>1.1087023384859296</v>
      </c>
      <c r="G5" s="4">
        <f>SUMIF($A$43:$A$55,A5,$B$43:$B$55)</f>
        <v>0</v>
      </c>
      <c r="H5" s="5">
        <f t="shared" si="0"/>
        <v>0</v>
      </c>
      <c r="I5" s="14">
        <f>B5*$G5*I$1</f>
        <v>0</v>
      </c>
      <c r="J5" s="14">
        <f>C5*$G5*J$1</f>
        <v>0</v>
      </c>
      <c r="K5" s="14">
        <f>D5*$G5*K$1</f>
        <v>0</v>
      </c>
      <c r="L5" s="14"/>
      <c r="M5" s="14"/>
      <c r="O5" s="7">
        <f t="shared" ref="O5:O33" si="1">SUMPRODUCT(B5:D5,$I$1:$K$1)</f>
        <v>146.06587547999999</v>
      </c>
    </row>
    <row r="6" spans="1:16" x14ac:dyDescent="0.25">
      <c r="A6" s="32" t="s">
        <v>282</v>
      </c>
      <c r="B6" s="4">
        <f>ROUND(B$3*$F6,5)</f>
        <v>0.36715999999999999</v>
      </c>
      <c r="C6" s="4">
        <f>ROUND(C$3*$F6,5)</f>
        <v>0.37652999999999998</v>
      </c>
      <c r="D6" s="4">
        <f>ROUND(D$3*$F6,5)</f>
        <v>0.36501</v>
      </c>
      <c r="E6" s="4">
        <v>0.33344431232659533</v>
      </c>
      <c r="F6" s="5">
        <f>E6*$F$1</f>
        <v>1.1087023384859296</v>
      </c>
      <c r="G6" s="4">
        <f>SUMIF($A$43:$A$55,A6,$B$43:$B$55)</f>
        <v>0</v>
      </c>
      <c r="H6" s="5">
        <f t="shared" ref="H6" si="2">G6*F6</f>
        <v>0</v>
      </c>
      <c r="I6" s="14">
        <f>B6*$G6*I$1</f>
        <v>0</v>
      </c>
      <c r="J6" s="14">
        <f>C6*$G6*J$1</f>
        <v>0</v>
      </c>
      <c r="K6" s="14">
        <f>D6*$G6*K$1</f>
        <v>0</v>
      </c>
      <c r="L6" s="14"/>
      <c r="M6" s="14"/>
      <c r="O6" s="7">
        <f t="shared" si="1"/>
        <v>146.06587547999999</v>
      </c>
      <c r="P6" s="4">
        <v>36</v>
      </c>
    </row>
    <row r="7" spans="1:16" x14ac:dyDescent="0.25">
      <c r="A7" s="4" t="s">
        <v>243</v>
      </c>
      <c r="B7" s="4">
        <f>ROUND(B$3*$F7,5)</f>
        <v>0.36715999999999999</v>
      </c>
      <c r="C7" s="4">
        <f>ROUND(C$3*$F7,5)</f>
        <v>0.37652999999999998</v>
      </c>
      <c r="D7" s="4">
        <f>ROUND(D$3*$F7,5)</f>
        <v>0.36501</v>
      </c>
      <c r="E7" s="4">
        <v>0.33344431232659533</v>
      </c>
      <c r="F7" s="5">
        <f>E7*$F$1</f>
        <v>1.1087023384859296</v>
      </c>
      <c r="G7" s="4">
        <f>SUMIF($A$43:$A$55,A7,$B$43:$B$55)</f>
        <v>1.26</v>
      </c>
      <c r="H7" s="5">
        <f t="shared" si="0"/>
        <v>1.3969649464922713</v>
      </c>
      <c r="I7" s="14">
        <f>B7*$G7*I$1</f>
        <v>50.897165810399997</v>
      </c>
      <c r="J7" s="14">
        <f>C7*$G7*J$1</f>
        <v>53.491734449999996</v>
      </c>
      <c r="K7" s="14">
        <f>D7*$G7*K$1</f>
        <v>79.654102844400001</v>
      </c>
      <c r="L7" s="14"/>
      <c r="M7" s="14"/>
      <c r="O7" s="7">
        <f t="shared" si="1"/>
        <v>146.06587547999999</v>
      </c>
      <c r="P7" s="4">
        <v>36</v>
      </c>
    </row>
    <row r="8" spans="1:16" x14ac:dyDescent="0.25">
      <c r="A8" s="4" t="s">
        <v>244</v>
      </c>
      <c r="B8" s="4">
        <f>ROUND(B$3*$F8,5)</f>
        <v>0.36715999999999999</v>
      </c>
      <c r="C8" s="4">
        <f>ROUND(C$3*$F8,5)</f>
        <v>0.37652999999999998</v>
      </c>
      <c r="D8" s="4">
        <f>ROUND(D$3*$F8,5)</f>
        <v>0.36501</v>
      </c>
      <c r="E8" s="4">
        <v>0.33344431232659533</v>
      </c>
      <c r="F8" s="5">
        <f>E8*$F$1</f>
        <v>1.1087023384859296</v>
      </c>
      <c r="G8" s="4">
        <f>SUMIF($A$43:$A$55,A8,$B$43:$B$55)</f>
        <v>0.14000000000000001</v>
      </c>
      <c r="H8" s="5">
        <f t="shared" si="0"/>
        <v>0.15521832738803015</v>
      </c>
      <c r="I8" s="14">
        <f>B8*$G8*I$1</f>
        <v>5.6552406456000002</v>
      </c>
      <c r="J8" s="14">
        <f>C8*$G8*J$1</f>
        <v>5.94352605</v>
      </c>
      <c r="K8" s="14">
        <f>D8*$G8*K$1</f>
        <v>8.8504558715999995</v>
      </c>
      <c r="L8" s="14"/>
      <c r="M8" s="14"/>
      <c r="O8" s="7">
        <f t="shared" si="1"/>
        <v>146.06587547999999</v>
      </c>
      <c r="P8" s="4">
        <v>36</v>
      </c>
    </row>
    <row r="9" spans="1:16" x14ac:dyDescent="0.25">
      <c r="A9" s="4" t="s">
        <v>62</v>
      </c>
      <c r="B9" s="4">
        <f>ROUND(B$3*$F9,5)</f>
        <v>0</v>
      </c>
      <c r="C9" s="4">
        <f>ROUND(C$3*$F9,5)</f>
        <v>0</v>
      </c>
      <c r="D9" s="4">
        <f>ROUND(D$3*$F9,5)</f>
        <v>0</v>
      </c>
      <c r="E9" s="4">
        <v>0</v>
      </c>
      <c r="F9" s="5">
        <f>E9*$F$1</f>
        <v>0</v>
      </c>
      <c r="G9" s="4">
        <f>SUMIF($A$43:$A$55,A9,$B$43:$B$55)</f>
        <v>0</v>
      </c>
      <c r="H9" s="5">
        <f t="shared" si="0"/>
        <v>0</v>
      </c>
      <c r="I9" s="14">
        <f>B9*$G9*I$1</f>
        <v>0</v>
      </c>
      <c r="J9" s="14">
        <f>C9*$G9*J$1</f>
        <v>0</v>
      </c>
      <c r="K9" s="14">
        <f>D9*$G9*K$1</f>
        <v>0</v>
      </c>
      <c r="L9" s="14"/>
      <c r="M9" s="14"/>
      <c r="O9" s="7">
        <f t="shared" si="1"/>
        <v>0</v>
      </c>
    </row>
    <row r="10" spans="1:16" x14ac:dyDescent="0.25">
      <c r="A10" s="4" t="s">
        <v>60</v>
      </c>
      <c r="B10" s="4">
        <f>ROUND(B$3*$F10,5)</f>
        <v>0.41431000000000001</v>
      </c>
      <c r="C10" s="4">
        <f>ROUND(C$3*$F10,5)</f>
        <v>0.42487999999999998</v>
      </c>
      <c r="D10" s="4">
        <f>ROUND(D$3*$F10,5)</f>
        <v>0.41188000000000002</v>
      </c>
      <c r="E10" s="4">
        <v>0.37626180068603343</v>
      </c>
      <c r="F10" s="5">
        <f>E10*$F$1</f>
        <v>1.2510704872810612</v>
      </c>
      <c r="G10" s="4">
        <f>SUMIF($A$43:$A$55,A10,$B$43:$B$55)</f>
        <v>7.0000000000000007E-2</v>
      </c>
      <c r="H10" s="5">
        <f t="shared" si="0"/>
        <v>8.7574934109674291E-2</v>
      </c>
      <c r="I10" s="14">
        <f>B10*$G10*I$1</f>
        <v>3.1907380323000005</v>
      </c>
      <c r="J10" s="14">
        <f>C10*$G10*J$1</f>
        <v>3.3533653999999999</v>
      </c>
      <c r="K10" s="14">
        <f>D10*$G10*K$1</f>
        <v>4.9934601304000008</v>
      </c>
      <c r="L10" s="14"/>
      <c r="M10" s="14"/>
      <c r="O10" s="7">
        <f t="shared" si="1"/>
        <v>164.82233661000001</v>
      </c>
      <c r="P10" s="4">
        <v>256</v>
      </c>
    </row>
    <row r="11" spans="1:16" x14ac:dyDescent="0.25">
      <c r="A11" s="4" t="s">
        <v>253</v>
      </c>
      <c r="B11" s="4">
        <f>ROUND(B$3*$F11,5)</f>
        <v>0.41431000000000001</v>
      </c>
      <c r="C11" s="4">
        <f>ROUND(C$3*$F11,5)</f>
        <v>0.42487999999999998</v>
      </c>
      <c r="D11" s="4">
        <f>ROUND(D$3*$F11,5)</f>
        <v>0.41188000000000002</v>
      </c>
      <c r="E11" s="4">
        <v>0.37626180068603343</v>
      </c>
      <c r="F11" s="5">
        <f>E11*$F$1</f>
        <v>1.2510704872810612</v>
      </c>
      <c r="G11" s="4">
        <f>SUMIF($A$43:$A$55,A11,$B$43:$B$55)</f>
        <v>0</v>
      </c>
      <c r="H11" s="5">
        <f t="shared" si="0"/>
        <v>0</v>
      </c>
      <c r="I11" s="14">
        <f>B11*$G11*I$1</f>
        <v>0</v>
      </c>
      <c r="J11" s="14">
        <f>C11*$G11*J$1</f>
        <v>0</v>
      </c>
      <c r="K11" s="14">
        <f>D11*$G11*K$1</f>
        <v>0</v>
      </c>
      <c r="L11" s="14"/>
      <c r="M11" s="14"/>
      <c r="O11" s="7">
        <f t="shared" si="1"/>
        <v>164.82233661000001</v>
      </c>
      <c r="P11" s="4">
        <v>299</v>
      </c>
    </row>
    <row r="12" spans="1:16" x14ac:dyDescent="0.25">
      <c r="A12" s="4" t="s">
        <v>253</v>
      </c>
      <c r="B12" s="4">
        <f>ROUND(B$3*$F12,5)</f>
        <v>0.41431000000000001</v>
      </c>
      <c r="C12" s="4">
        <f>ROUND(C$3*$F12,5)</f>
        <v>0.42487999999999998</v>
      </c>
      <c r="D12" s="4">
        <f>ROUND(D$3*$F12,5)</f>
        <v>0.41188000000000002</v>
      </c>
      <c r="E12" s="4">
        <v>0.37626180068603343</v>
      </c>
      <c r="F12" s="5">
        <f>E12*$F$1</f>
        <v>1.2510704872810612</v>
      </c>
      <c r="G12" s="4">
        <f>SUMIF($A$43:$A$55,A12,$B$43:$B$55)</f>
        <v>0</v>
      </c>
      <c r="H12" s="5">
        <f t="shared" si="0"/>
        <v>0</v>
      </c>
      <c r="I12" s="14">
        <f>B12*$G12*I$1</f>
        <v>0</v>
      </c>
      <c r="J12" s="14">
        <f>C12*$G12*J$1</f>
        <v>0</v>
      </c>
      <c r="K12" s="14">
        <f>D12*$G12*K$1</f>
        <v>0</v>
      </c>
      <c r="L12" s="14"/>
      <c r="M12" s="14"/>
      <c r="O12" s="7">
        <f t="shared" si="1"/>
        <v>164.82233661000001</v>
      </c>
      <c r="P12" s="4">
        <v>299</v>
      </c>
    </row>
    <row r="13" spans="1:16" x14ac:dyDescent="0.25">
      <c r="A13" s="4" t="s">
        <v>253</v>
      </c>
      <c r="B13" s="4">
        <f>ROUND(B$3*$F13,5)</f>
        <v>0.41431000000000001</v>
      </c>
      <c r="C13" s="4">
        <f>ROUND(C$3*$F13,5)</f>
        <v>0.42487999999999998</v>
      </c>
      <c r="D13" s="4">
        <f>ROUND(D$3*$F13,5)</f>
        <v>0.41188000000000002</v>
      </c>
      <c r="E13" s="4">
        <v>0.37626180068603343</v>
      </c>
      <c r="F13" s="5">
        <f>E13*$F$1</f>
        <v>1.2510704872810612</v>
      </c>
      <c r="G13" s="4">
        <f>SUMIF($A$43:$A$55,A13,$B$43:$B$55)</f>
        <v>0</v>
      </c>
      <c r="H13" s="5">
        <f t="shared" si="0"/>
        <v>0</v>
      </c>
      <c r="I13" s="14">
        <f>B13*$G13*I$1</f>
        <v>0</v>
      </c>
      <c r="J13" s="14">
        <f>C13*$G13*J$1</f>
        <v>0</v>
      </c>
      <c r="K13" s="14">
        <f>D13*$G13*K$1</f>
        <v>0</v>
      </c>
      <c r="L13" s="14"/>
      <c r="M13" s="14"/>
      <c r="O13" s="7">
        <f t="shared" si="1"/>
        <v>164.82233661000001</v>
      </c>
      <c r="P13" s="4">
        <v>299</v>
      </c>
    </row>
    <row r="14" spans="1:16" x14ac:dyDescent="0.25">
      <c r="A14" s="4" t="s">
        <v>58</v>
      </c>
      <c r="B14" s="4">
        <f>ROUND(B$3*$F14,5)</f>
        <v>0.50729000000000002</v>
      </c>
      <c r="C14" s="4">
        <f>ROUND(C$3*$F14,5)</f>
        <v>0.52022999999999997</v>
      </c>
      <c r="D14" s="4">
        <f>ROUND(D$3*$F14,5)</f>
        <v>0.50431000000000004</v>
      </c>
      <c r="E14" s="4">
        <v>0.46070370370370367</v>
      </c>
      <c r="F14" s="5">
        <f>E14*$F$1</f>
        <v>1.5318398148148147</v>
      </c>
      <c r="G14" s="4">
        <f>SUMIF($A$43:$A$55,A14,$B$43:$B$55)</f>
        <v>0</v>
      </c>
      <c r="H14" s="5">
        <f t="shared" si="0"/>
        <v>0</v>
      </c>
      <c r="I14" s="14">
        <f>B14*$G14*I$1</f>
        <v>0</v>
      </c>
      <c r="J14" s="14">
        <f>C14*$G14*J$1</f>
        <v>0</v>
      </c>
      <c r="K14" s="14">
        <f>D14*$G14*K$1</f>
        <v>0</v>
      </c>
      <c r="L14" s="14"/>
      <c r="M14" s="14"/>
      <c r="O14" s="7">
        <f t="shared" si="1"/>
        <v>201.81093715</v>
      </c>
      <c r="P14" s="4">
        <v>869</v>
      </c>
    </row>
    <row r="15" spans="1:16" x14ac:dyDescent="0.25">
      <c r="A15" t="s">
        <v>319</v>
      </c>
      <c r="B15" s="4">
        <f>ROUND(B$3*$F15,5)</f>
        <v>0.50729000000000002</v>
      </c>
      <c r="C15" s="4">
        <f>ROUND(C$3*$F15,5)</f>
        <v>0.52022999999999997</v>
      </c>
      <c r="D15" s="4">
        <f>ROUND(D$3*$F15,5)</f>
        <v>0.50431000000000004</v>
      </c>
      <c r="E15" s="4">
        <v>0.46070370370370367</v>
      </c>
      <c r="F15" s="5">
        <f>E15*$F$1</f>
        <v>1.5318398148148147</v>
      </c>
      <c r="G15" s="4">
        <f>SUMIF($A$43:$A$55,A15,$B$43:$B$55)</f>
        <v>0</v>
      </c>
      <c r="H15" s="5">
        <f t="shared" ref="H15" si="3">G15*F15</f>
        <v>0</v>
      </c>
      <c r="I15" s="14">
        <f>B15*$G15*I$1</f>
        <v>0</v>
      </c>
      <c r="J15" s="14">
        <f>C15*$G15*J$1</f>
        <v>0</v>
      </c>
      <c r="K15" s="14">
        <f>D15*$G15*K$1</f>
        <v>0</v>
      </c>
      <c r="L15" s="14"/>
      <c r="M15" s="14"/>
      <c r="O15" s="7">
        <f t="shared" ref="O15" si="4">SUMPRODUCT(B15:D15,$I$1:$K$1)</f>
        <v>201.81093715</v>
      </c>
      <c r="P15" s="4">
        <v>869</v>
      </c>
    </row>
    <row r="16" spans="1:16" x14ac:dyDescent="0.25">
      <c r="A16" s="4" t="s">
        <v>57</v>
      </c>
      <c r="B16" s="4">
        <f>ROUND(B$3*$F16,5)</f>
        <v>0.34254000000000001</v>
      </c>
      <c r="C16" s="4">
        <f>ROUND(C$3*$F16,5)</f>
        <v>0.35127999999999998</v>
      </c>
      <c r="D16" s="4">
        <f>ROUND(D$3*$F16,5)</f>
        <v>0.34053</v>
      </c>
      <c r="E16" s="4">
        <v>0.31108281387244646</v>
      </c>
      <c r="F16" s="5">
        <f>E16*$F$1</f>
        <v>1.0343503561258844</v>
      </c>
      <c r="G16" s="4">
        <f>SUMIF($A$43:$A$55,A16,$B$43:$B$55)</f>
        <v>0</v>
      </c>
      <c r="H16" s="5">
        <f t="shared" si="0"/>
        <v>0</v>
      </c>
      <c r="I16" s="14">
        <f>B16*$G16*I$1</f>
        <v>0</v>
      </c>
      <c r="J16" s="14">
        <f>C16*$G16*J$1</f>
        <v>0</v>
      </c>
      <c r="K16" s="14">
        <f>D16*$G16*K$1</f>
        <v>0</v>
      </c>
      <c r="L16" s="14"/>
      <c r="M16" s="14"/>
      <c r="O16" s="7">
        <f t="shared" si="1"/>
        <v>136.27048108</v>
      </c>
      <c r="P16" s="4">
        <v>554</v>
      </c>
    </row>
    <row r="17" spans="1:16" x14ac:dyDescent="0.25">
      <c r="A17" s="4" t="s">
        <v>56</v>
      </c>
      <c r="B17" s="4">
        <f>ROUND(B$3*$F17,5)</f>
        <v>0.36715999999999999</v>
      </c>
      <c r="C17" s="4">
        <f>ROUND(C$3*$F17,5)</f>
        <v>0.37652999999999998</v>
      </c>
      <c r="D17" s="4">
        <f>ROUND(D$3*$F17,5)</f>
        <v>0.36501</v>
      </c>
      <c r="E17" s="4">
        <v>0.33344431232659533</v>
      </c>
      <c r="F17" s="5">
        <f>E17*$F$1</f>
        <v>1.1087023384859296</v>
      </c>
      <c r="G17" s="4">
        <f>SUMIF($A$43:$A$55,A17,$B$43:$B$55)</f>
        <v>0</v>
      </c>
      <c r="H17" s="5">
        <f t="shared" si="0"/>
        <v>0</v>
      </c>
      <c r="I17" s="14">
        <f>B17*$G17*I$1</f>
        <v>0</v>
      </c>
      <c r="J17" s="14">
        <f>C17*$G17*J$1</f>
        <v>0</v>
      </c>
      <c r="K17" s="14">
        <f>D17*$G17*K$1</f>
        <v>0</v>
      </c>
      <c r="L17" s="14"/>
      <c r="M17" s="14"/>
      <c r="O17" s="7">
        <f t="shared" si="1"/>
        <v>146.06587547999999</v>
      </c>
    </row>
    <row r="18" spans="1:16" x14ac:dyDescent="0.25">
      <c r="A18" s="4" t="s">
        <v>55</v>
      </c>
      <c r="B18" s="4">
        <f>ROUND(B$3*$F18,5)</f>
        <v>0.36715999999999999</v>
      </c>
      <c r="C18" s="4">
        <f>ROUND(C$3*$F18,5)</f>
        <v>0.37652999999999998</v>
      </c>
      <c r="D18" s="4">
        <f>ROUND(D$3*$F18,5)</f>
        <v>0.36501</v>
      </c>
      <c r="E18" s="4">
        <v>0.33344431232659533</v>
      </c>
      <c r="F18" s="5">
        <f>E18*$F$1</f>
        <v>1.1087023384859296</v>
      </c>
      <c r="G18" s="4">
        <f>SUMIF($A$43:$A$55,A18,$B$43:$B$55)</f>
        <v>0</v>
      </c>
      <c r="H18" s="5">
        <f t="shared" si="0"/>
        <v>0</v>
      </c>
      <c r="I18" s="14">
        <f>B18*$G18*I$1</f>
        <v>0</v>
      </c>
      <c r="J18" s="14">
        <f>C18*$G18*J$1</f>
        <v>0</v>
      </c>
      <c r="K18" s="14">
        <f>D18*$G18*K$1</f>
        <v>0</v>
      </c>
      <c r="L18" s="14"/>
      <c r="M18" s="14"/>
      <c r="O18" s="7">
        <f t="shared" si="1"/>
        <v>146.06587547999999</v>
      </c>
    </row>
    <row r="19" spans="1:16" x14ac:dyDescent="0.25">
      <c r="A19" s="4" t="s">
        <v>54</v>
      </c>
      <c r="B19" s="4">
        <f>ROUND(B$3*$F19,5)</f>
        <v>0.36715999999999999</v>
      </c>
      <c r="C19" s="4">
        <f>ROUND(C$3*$F19,5)</f>
        <v>0.37652999999999998</v>
      </c>
      <c r="D19" s="4">
        <f>ROUND(D$3*$F19,5)</f>
        <v>0.36501</v>
      </c>
      <c r="E19" s="4">
        <v>0.33344431232659533</v>
      </c>
      <c r="F19" s="5">
        <f>E19*$F$1</f>
        <v>1.1087023384859296</v>
      </c>
      <c r="G19" s="4">
        <f>SUMIF($A$43:$A$55,A19,$B$43:$B$55)</f>
        <v>0</v>
      </c>
      <c r="H19" s="5">
        <f t="shared" si="0"/>
        <v>0</v>
      </c>
      <c r="I19" s="14">
        <f>B19*$G19*I$1</f>
        <v>0</v>
      </c>
      <c r="J19" s="14">
        <f>C19*$G19*J$1</f>
        <v>0</v>
      </c>
      <c r="K19" s="14">
        <f>D19*$G19*K$1</f>
        <v>0</v>
      </c>
      <c r="L19" s="14"/>
      <c r="M19" s="14"/>
      <c r="O19" s="7">
        <f t="shared" si="1"/>
        <v>146.06587547999999</v>
      </c>
    </row>
    <row r="20" spans="1:16" x14ac:dyDescent="0.25">
      <c r="A20" s="4" t="s">
        <v>266</v>
      </c>
      <c r="B20" s="4">
        <f>ROUND(B$3*$F20,5)</f>
        <v>0.36715999999999999</v>
      </c>
      <c r="C20" s="4">
        <f>ROUND(C$3*$F20,5)</f>
        <v>0.37652999999999998</v>
      </c>
      <c r="D20" s="4">
        <f>ROUND(D$3*$F20,5)</f>
        <v>0.36501</v>
      </c>
      <c r="E20" s="4">
        <v>0.33344431232659533</v>
      </c>
      <c r="F20" s="5">
        <f>E20*$F$1</f>
        <v>1.1087023384859296</v>
      </c>
      <c r="G20" s="4">
        <f>SUMIF($A$43:$A$55,A20,$B$43:$B$55)</f>
        <v>0</v>
      </c>
      <c r="H20" s="5">
        <f t="shared" si="0"/>
        <v>0</v>
      </c>
      <c r="I20" s="14">
        <f>B20*$G20*I$1</f>
        <v>0</v>
      </c>
      <c r="J20" s="14">
        <f>C20*$G20*J$1</f>
        <v>0</v>
      </c>
      <c r="K20" s="14">
        <f>D20*$G20*K$1</f>
        <v>0</v>
      </c>
      <c r="L20" s="14"/>
      <c r="M20" s="14"/>
      <c r="O20" s="7">
        <f t="shared" si="1"/>
        <v>146.06587547999999</v>
      </c>
    </row>
    <row r="21" spans="1:16" x14ac:dyDescent="0.25">
      <c r="A21" s="4" t="s">
        <v>52</v>
      </c>
      <c r="B21" s="4">
        <f>ROUND(B$3*$F21,5)</f>
        <v>0.36715999999999999</v>
      </c>
      <c r="C21" s="4">
        <f>ROUND(C$3*$F21,5)</f>
        <v>0.37652999999999998</v>
      </c>
      <c r="D21" s="4">
        <f>ROUND(D$3*$F21,5)</f>
        <v>0.36501</v>
      </c>
      <c r="E21" s="4">
        <v>0.33344431232659533</v>
      </c>
      <c r="F21" s="5">
        <f>E21*$F$1</f>
        <v>1.1087023384859296</v>
      </c>
      <c r="G21" s="4">
        <f>SUMIF($A$43:$A$55,A21,$B$43:$B$55)</f>
        <v>0</v>
      </c>
      <c r="H21" s="5">
        <f t="shared" si="0"/>
        <v>0</v>
      </c>
      <c r="I21" s="14">
        <f>B21*$G21*I$1</f>
        <v>0</v>
      </c>
      <c r="J21" s="14">
        <f>C21*$G21*J$1</f>
        <v>0</v>
      </c>
      <c r="K21" s="14">
        <f>D21*$G21*K$1</f>
        <v>0</v>
      </c>
      <c r="L21" s="14"/>
      <c r="M21" s="14"/>
      <c r="O21" s="7">
        <f t="shared" si="1"/>
        <v>146.06587547999999</v>
      </c>
      <c r="P21" s="4">
        <v>336</v>
      </c>
    </row>
    <row r="22" spans="1:16" x14ac:dyDescent="0.25">
      <c r="A22" s="4" t="s">
        <v>50</v>
      </c>
      <c r="B22" s="4">
        <f>ROUND(B$3*$F22,5)</f>
        <v>0.36715999999999999</v>
      </c>
      <c r="C22" s="4">
        <f>ROUND(C$3*$F22,5)</f>
        <v>0.37652999999999998</v>
      </c>
      <c r="D22" s="4">
        <f>ROUND(D$3*$F22,5)</f>
        <v>0.36501</v>
      </c>
      <c r="E22" s="4">
        <v>0.33344431232659533</v>
      </c>
      <c r="F22" s="5">
        <f>E22*$F$1</f>
        <v>1.1087023384859296</v>
      </c>
      <c r="G22" s="4">
        <f>SUMIF($A$43:$A$55,A22,$B$43:$B$55)</f>
        <v>0</v>
      </c>
      <c r="H22" s="5">
        <f t="shared" si="0"/>
        <v>0</v>
      </c>
      <c r="I22" s="14">
        <f>B22*$G22*I$1</f>
        <v>0</v>
      </c>
      <c r="J22" s="14">
        <f>C22*$G22*J$1</f>
        <v>0</v>
      </c>
      <c r="K22" s="14">
        <f>D22*$G22*K$1</f>
        <v>0</v>
      </c>
      <c r="L22" s="14"/>
      <c r="M22" s="14"/>
      <c r="O22" s="7">
        <f t="shared" si="1"/>
        <v>146.06587547999999</v>
      </c>
      <c r="P22" s="4">
        <v>336</v>
      </c>
    </row>
    <row r="23" spans="1:16" x14ac:dyDescent="0.25">
      <c r="A23" s="4" t="s">
        <v>49</v>
      </c>
      <c r="B23" s="4">
        <f>ROUND(B$3*$F23,5)</f>
        <v>0.36715999999999999</v>
      </c>
      <c r="C23" s="4">
        <f>ROUND(C$3*$F23,5)</f>
        <v>0.37652999999999998</v>
      </c>
      <c r="D23" s="4">
        <f>ROUND(D$3*$F23,5)</f>
        <v>0.36501</v>
      </c>
      <c r="E23" s="4">
        <v>0.33344431232659533</v>
      </c>
      <c r="F23" s="5">
        <f>E23*$F$1</f>
        <v>1.1087023384859296</v>
      </c>
      <c r="G23" s="4">
        <f>SUMIF($A$43:$A$55,A23,$B$43:$B$55)</f>
        <v>0.75</v>
      </c>
      <c r="H23" s="5">
        <f t="shared" si="0"/>
        <v>0.83152675386444719</v>
      </c>
      <c r="I23" s="14">
        <f>B23*$G23*I$1</f>
        <v>30.295932030000003</v>
      </c>
      <c r="J23" s="14">
        <f>C23*$G23*J$1</f>
        <v>31.840318124999996</v>
      </c>
      <c r="K23" s="14">
        <f>D23*$G23*K$1</f>
        <v>47.413156454999992</v>
      </c>
      <c r="L23" s="14"/>
      <c r="M23" s="14"/>
      <c r="O23" s="7">
        <f t="shared" si="1"/>
        <v>146.06587547999999</v>
      </c>
      <c r="P23" s="4">
        <v>150</v>
      </c>
    </row>
    <row r="24" spans="1:16" x14ac:dyDescent="0.25">
      <c r="A24" s="4" t="s">
        <v>48</v>
      </c>
      <c r="B24" s="4">
        <f>ROUND(B$3*$F24,5)</f>
        <v>0.71040000000000003</v>
      </c>
      <c r="C24" s="4">
        <f>ROUND(C$3*$F24,5)</f>
        <v>0.72853000000000001</v>
      </c>
      <c r="D24" s="4">
        <f>ROUND(D$3*$F24,5)</f>
        <v>0.70623000000000002</v>
      </c>
      <c r="E24" s="4">
        <v>0.64516129032258063</v>
      </c>
      <c r="F24" s="5">
        <f>E24*$F$1</f>
        <v>2.1451612903225805</v>
      </c>
      <c r="G24" s="4">
        <f>SUMIF($A$43:$A$55,A24,$B$43:$B$55)</f>
        <v>0</v>
      </c>
      <c r="H24" s="5">
        <f t="shared" si="0"/>
        <v>0</v>
      </c>
      <c r="I24" s="14">
        <f>B24*$G24*I$1</f>
        <v>0</v>
      </c>
      <c r="J24" s="14">
        <f>C24*$G24*J$1</f>
        <v>0</v>
      </c>
      <c r="K24" s="14">
        <f>D24*$G24*K$1</f>
        <v>0</v>
      </c>
      <c r="L24" s="14"/>
      <c r="M24" s="14"/>
      <c r="O24" s="7">
        <f t="shared" si="1"/>
        <v>282.61405372000002</v>
      </c>
      <c r="P24" s="4">
        <v>885</v>
      </c>
    </row>
    <row r="25" spans="1:16" x14ac:dyDescent="0.25">
      <c r="A25" s="4" t="s">
        <v>47</v>
      </c>
      <c r="B25" s="4">
        <f>ROUND(B$3*$F25,5)</f>
        <v>0.36715999999999999</v>
      </c>
      <c r="C25" s="4">
        <f>ROUND(C$3*$F25,5)</f>
        <v>0.37652999999999998</v>
      </c>
      <c r="D25" s="4">
        <f>ROUND(D$3*$F25,5)</f>
        <v>0.36501</v>
      </c>
      <c r="E25" s="4">
        <v>0.33344431232659533</v>
      </c>
      <c r="F25" s="5">
        <f>E25*$F$1</f>
        <v>1.1087023384859296</v>
      </c>
      <c r="G25" s="4">
        <f>SUMIF($A$43:$A$55,A25,$B$43:$B$55)</f>
        <v>1.69</v>
      </c>
      <c r="H25" s="5">
        <f t="shared" si="0"/>
        <v>1.8737069520412208</v>
      </c>
      <c r="I25" s="14">
        <f>B25*$G25*I$1</f>
        <v>68.266833507599998</v>
      </c>
      <c r="J25" s="14">
        <f>C25*$G25*J$1</f>
        <v>71.746850174999992</v>
      </c>
      <c r="K25" s="14">
        <f>D25*$G25*K$1</f>
        <v>106.83764587859999</v>
      </c>
      <c r="L25" s="14"/>
      <c r="M25" s="14"/>
      <c r="O25" s="7">
        <f t="shared" si="1"/>
        <v>146.06587547999999</v>
      </c>
      <c r="P25" s="4">
        <v>58</v>
      </c>
    </row>
    <row r="26" spans="1:16" x14ac:dyDescent="0.25">
      <c r="A26" s="10" t="s">
        <v>221</v>
      </c>
      <c r="F26" s="30"/>
      <c r="G26" s="30">
        <f>SUM(G4:G25)-G9</f>
        <v>3.9099999999999997</v>
      </c>
      <c r="H26" s="30">
        <f>SUM(H4:H25)</f>
        <v>4.3449919138956439</v>
      </c>
      <c r="M26" s="29"/>
      <c r="O26" s="7">
        <f t="shared" si="1"/>
        <v>0</v>
      </c>
    </row>
    <row r="27" spans="1:16" x14ac:dyDescent="0.25">
      <c r="A27" s="4" t="s">
        <v>229</v>
      </c>
      <c r="B27" s="4">
        <f>ROUND(B$3*$F27,5)</f>
        <v>0.31466</v>
      </c>
      <c r="C27" s="4">
        <f>ROUND(C$3*$F27,5)</f>
        <v>0.32268999999999998</v>
      </c>
      <c r="D27" s="4">
        <f>ROUND(D$3*$F27,5)</f>
        <v>0.31280999999999998</v>
      </c>
      <c r="E27" s="4">
        <v>0.28576111111111124</v>
      </c>
      <c r="F27" s="5">
        <f>E27*$F$1</f>
        <v>0.95015569444444492</v>
      </c>
      <c r="G27" s="4">
        <f>SUMIF($A$43:$A$55,A27,$B$43:$B$55)</f>
        <v>1.605</v>
      </c>
      <c r="H27" s="30">
        <f>G27*F27</f>
        <v>1.5249998895833341</v>
      </c>
      <c r="I27" s="14">
        <f>B27*$G27*I$1</f>
        <v>55.562818556700002</v>
      </c>
      <c r="J27" s="14">
        <f>C27*$G27*J$1</f>
        <v>58.395192487499997</v>
      </c>
      <c r="K27" s="14">
        <f>D27*$G27*K$1</f>
        <v>86.953788299699994</v>
      </c>
      <c r="L27" s="14"/>
      <c r="M27" s="29"/>
      <c r="O27" s="7">
        <f t="shared" si="1"/>
        <v>125.17869117999999</v>
      </c>
      <c r="P27" s="4">
        <v>26</v>
      </c>
    </row>
    <row r="28" spans="1:16" x14ac:dyDescent="0.25">
      <c r="A28" s="4" t="s">
        <v>228</v>
      </c>
      <c r="B28" s="4">
        <f>ROUND(B$3*$F28,5)</f>
        <v>0</v>
      </c>
      <c r="C28" s="4">
        <f>ROUND(C$3*$F28,5)</f>
        <v>0</v>
      </c>
      <c r="D28" s="4">
        <f>ROUND(D$3*$F28,5)</f>
        <v>0</v>
      </c>
      <c r="H28" s="28">
        <f>SUM(H29:H33)</f>
        <v>10.603245187926362</v>
      </c>
      <c r="M28" s="29"/>
      <c r="O28" s="7">
        <f t="shared" si="1"/>
        <v>0</v>
      </c>
    </row>
    <row r="29" spans="1:16" x14ac:dyDescent="0.25">
      <c r="A29" s="4" t="s">
        <v>45</v>
      </c>
      <c r="B29" s="4">
        <f>ROUND(B$3*$F29,5)</f>
        <v>0.61841000000000002</v>
      </c>
      <c r="C29" s="4">
        <f>ROUND(C$3*$F29,5)</f>
        <v>0.63417999999999997</v>
      </c>
      <c r="D29" s="4">
        <f>ROUND(D$3*$F29,5)</f>
        <v>0.61477000000000004</v>
      </c>
      <c r="E29" s="5">
        <f>L134</f>
        <v>0.5616119685990032</v>
      </c>
      <c r="F29" s="5">
        <f>E29*$F$1</f>
        <v>1.8673597955916856</v>
      </c>
      <c r="G29" s="4">
        <f>SUMIF($A$43:$A$55,A29,$B$43:$B$55)</f>
        <v>0.17</v>
      </c>
      <c r="H29" s="7">
        <f>F29*G29</f>
        <v>0.31745116525058659</v>
      </c>
      <c r="I29" s="14">
        <f>B29*$G29*I$1</f>
        <v>11.566264464300001</v>
      </c>
      <c r="J29" s="14">
        <f>C29*$G29*J$1</f>
        <v>12.155645150000002</v>
      </c>
      <c r="K29" s="14">
        <f>D29*$G29*K$1</f>
        <v>18.100660814600001</v>
      </c>
      <c r="L29" s="14"/>
      <c r="M29" s="14"/>
      <c r="O29" s="7">
        <f t="shared" si="1"/>
        <v>246.01512016999999</v>
      </c>
      <c r="P29" s="4">
        <v>1466</v>
      </c>
    </row>
    <row r="30" spans="1:16" x14ac:dyDescent="0.25">
      <c r="A30" s="4" t="s">
        <v>40</v>
      </c>
      <c r="B30" s="4">
        <f>ROUND(B$3*$F30,5)</f>
        <v>0.56701999999999997</v>
      </c>
      <c r="C30" s="4">
        <f>ROUND(C$3*$F30,5)</f>
        <v>0.58148</v>
      </c>
      <c r="D30" s="4">
        <f>ROUND(D$3*$F30,5)</f>
        <v>0.56369000000000002</v>
      </c>
      <c r="E30" s="5">
        <f>L133</f>
        <v>0.51494477149444284</v>
      </c>
      <c r="F30" s="5">
        <f>E30*$F$1</f>
        <v>1.7121913652190226</v>
      </c>
      <c r="G30" s="4">
        <f>SUMIF($A$43:$A$55,A30,$B$43:$B$55)</f>
        <v>0.48</v>
      </c>
      <c r="H30" s="7">
        <f t="shared" ref="H30:H33" si="5">F30*G30</f>
        <v>0.82185185530513083</v>
      </c>
      <c r="I30" s="14">
        <f>B30*$G30*I$1</f>
        <v>29.943827222399996</v>
      </c>
      <c r="J30" s="14">
        <f>C30*$G30*J$1</f>
        <v>31.469697599999996</v>
      </c>
      <c r="K30" s="14">
        <f>D30*$G30*K$1</f>
        <v>46.8613084128</v>
      </c>
      <c r="L30" s="14"/>
      <c r="M30" s="14"/>
      <c r="O30" s="7">
        <f t="shared" si="1"/>
        <v>225.57256924000001</v>
      </c>
      <c r="P30" s="4">
        <v>1466</v>
      </c>
    </row>
    <row r="31" spans="1:16" x14ac:dyDescent="0.25">
      <c r="A31" s="4" t="s">
        <v>280</v>
      </c>
      <c r="B31" s="4">
        <f>ROUND(B$3*$F31,5)</f>
        <v>3.4441000000000002</v>
      </c>
      <c r="C31" s="4">
        <f>ROUND(C$3*$F31,5)</f>
        <v>3.5319600000000002</v>
      </c>
      <c r="D31" s="4">
        <f>ROUND(D$3*$F31,5)</f>
        <v>3.42388</v>
      </c>
      <c r="E31" s="5">
        <f>L131</f>
        <v>3.1278004353864803</v>
      </c>
      <c r="F31" s="5">
        <f>E31*$F$1</f>
        <v>10.399936447660048</v>
      </c>
      <c r="G31" s="4">
        <f>SUMIF($A$43:$A$55,A31,$B$43:$B$55)</f>
        <v>0.81</v>
      </c>
      <c r="H31" s="7">
        <f t="shared" si="5"/>
        <v>8.4239485226046398</v>
      </c>
      <c r="I31" s="14">
        <f>B31*$G31*I$1</f>
        <v>306.92231469900003</v>
      </c>
      <c r="J31" s="14">
        <f>C31*$G31*J$1</f>
        <v>322.56507690000001</v>
      </c>
      <c r="K31" s="14">
        <f>D31*$G31*K$1</f>
        <v>480.32633290319995</v>
      </c>
      <c r="L31" s="14"/>
      <c r="M31" s="14"/>
      <c r="O31" s="7">
        <f t="shared" si="1"/>
        <v>1370.14040062</v>
      </c>
      <c r="P31" s="4">
        <v>348</v>
      </c>
    </row>
    <row r="32" spans="1:16" x14ac:dyDescent="0.25">
      <c r="A32" s="4" t="s">
        <v>281</v>
      </c>
      <c r="B32" s="4">
        <f>ROUND(B$3*$F32,5)</f>
        <v>3.4441000000000002</v>
      </c>
      <c r="C32" s="4">
        <f>ROUND(C$3*$F32,5)</f>
        <v>3.5319600000000002</v>
      </c>
      <c r="D32" s="4">
        <f>ROUND(D$3*$F32,5)</f>
        <v>3.42388</v>
      </c>
      <c r="E32" s="5">
        <f>L131</f>
        <v>3.1278004353864803</v>
      </c>
      <c r="F32" s="5">
        <f>E32*$F$1</f>
        <v>10.399936447660048</v>
      </c>
      <c r="G32" s="4">
        <f>SUMIF($A$43:$A$55,A32,$B$43:$B$55)</f>
        <v>0.1</v>
      </c>
      <c r="H32" s="7">
        <f t="shared" si="5"/>
        <v>1.0399936447660048</v>
      </c>
      <c r="I32" s="14">
        <f>B32*$G32*I$1</f>
        <v>37.89164379000001</v>
      </c>
      <c r="J32" s="14">
        <f>C32*$G32*J$1</f>
        <v>39.822849000000005</v>
      </c>
      <c r="K32" s="14">
        <f>D32*$G32*K$1</f>
        <v>59.299547271999998</v>
      </c>
      <c r="L32" s="14"/>
      <c r="M32" s="14"/>
      <c r="O32" s="7">
        <f t="shared" si="1"/>
        <v>1370.14040062</v>
      </c>
      <c r="P32" s="4">
        <v>733</v>
      </c>
    </row>
    <row r="33" spans="1:19" x14ac:dyDescent="0.25">
      <c r="A33" s="4" t="s">
        <v>42</v>
      </c>
      <c r="B33" s="4">
        <f>ROUND(B$3*$F33,5)</f>
        <v>0.56598999999999999</v>
      </c>
      <c r="C33" s="4">
        <f>ROUND(C$3*$F33,5)</f>
        <v>0.58043</v>
      </c>
      <c r="D33" s="4">
        <f>ROUND(D$3*$F33,5)</f>
        <v>0.56267</v>
      </c>
      <c r="E33" s="5">
        <f>L135</f>
        <v>0.51401349430770338</v>
      </c>
      <c r="F33" s="5">
        <f>E33*$F$1</f>
        <v>1.7090948685731138</v>
      </c>
      <c r="G33" s="4">
        <f>SUMIF($A$43:$A$55,A33,$B$43:$B$55)</f>
        <v>0</v>
      </c>
      <c r="H33" s="7">
        <f t="shared" si="5"/>
        <v>0</v>
      </c>
      <c r="I33" s="14">
        <f>B33*$G33*I$1</f>
        <v>0</v>
      </c>
      <c r="J33" s="14">
        <f>C33*$G33*J$1</f>
        <v>0</v>
      </c>
      <c r="K33" s="14">
        <f>D33*$G33*K$1</f>
        <v>0</v>
      </c>
      <c r="L33" s="14"/>
      <c r="M33" s="14"/>
      <c r="O33" s="7">
        <f t="shared" si="1"/>
        <v>225.16420428999999</v>
      </c>
      <c r="P33" s="4">
        <v>733</v>
      </c>
    </row>
    <row r="34" spans="1:19" x14ac:dyDescent="0.25">
      <c r="A34" s="10" t="s">
        <v>73</v>
      </c>
      <c r="B34" s="7">
        <f>SUMPRODUCT(B4:B33,$G4:$G33)</f>
        <v>5.4553557000000001</v>
      </c>
      <c r="C34" s="7">
        <f>SUMPRODUCT(C4:C33,$G4:$G33)</f>
        <v>5.5945388500000011</v>
      </c>
      <c r="D34" s="7">
        <f>SUMPRODUCT(D4:D33,$G4:$G33)</f>
        <v>5.4233429500000003</v>
      </c>
      <c r="H34" s="27">
        <f>SUM(H26:H28)</f>
        <v>16.47323699140534</v>
      </c>
      <c r="I34" s="10"/>
      <c r="J34" s="10"/>
      <c r="K34" s="10"/>
      <c r="L34" s="10"/>
      <c r="M34" s="29"/>
    </row>
    <row r="35" spans="1:19" x14ac:dyDescent="0.25">
      <c r="A35" s="4" t="s">
        <v>227</v>
      </c>
      <c r="H35" s="14">
        <f>J91</f>
        <v>16.454000000000001</v>
      </c>
      <c r="M35" s="17">
        <f>'[1]From SAM'!V32*1000</f>
        <v>23198</v>
      </c>
    </row>
    <row r="38" spans="1:19" x14ac:dyDescent="0.25">
      <c r="I38" s="4" t="s">
        <v>226</v>
      </c>
    </row>
    <row r="39" spans="1:19" x14ac:dyDescent="0.25">
      <c r="P39" s="4" t="s">
        <v>225</v>
      </c>
      <c r="R39" s="17"/>
      <c r="S39" s="17"/>
    </row>
    <row r="40" spans="1:19" x14ac:dyDescent="0.25">
      <c r="Q40" s="4" t="s">
        <v>224</v>
      </c>
      <c r="R40" s="4" t="s">
        <v>223</v>
      </c>
      <c r="S40" s="4" t="s">
        <v>222</v>
      </c>
    </row>
    <row r="41" spans="1:19" x14ac:dyDescent="0.25">
      <c r="P41" s="10" t="s">
        <v>221</v>
      </c>
      <c r="Q41" s="27">
        <f>H26</f>
        <v>4.3449919138956439</v>
      </c>
      <c r="R41" s="27">
        <f>G26</f>
        <v>3.9099999999999997</v>
      </c>
      <c r="S41" s="28">
        <f t="shared" ref="S41:S49" si="6">Q41/R41</f>
        <v>1.1112511288735663</v>
      </c>
    </row>
    <row r="42" spans="1:19" x14ac:dyDescent="0.25">
      <c r="A42" s="32" t="s">
        <v>283</v>
      </c>
      <c r="B42" s="4" t="s">
        <v>220</v>
      </c>
      <c r="P42" s="4" t="s">
        <v>174</v>
      </c>
      <c r="Q42" s="14">
        <f>Z76/1000</f>
        <v>1.2</v>
      </c>
      <c r="R42" s="14">
        <f>G24</f>
        <v>0</v>
      </c>
      <c r="S42" s="7" t="e">
        <f t="shared" si="6"/>
        <v>#DIV/0!</v>
      </c>
    </row>
    <row r="43" spans="1:19" x14ac:dyDescent="0.25">
      <c r="A43" s="4" t="s">
        <v>45</v>
      </c>
      <c r="B43" s="4">
        <v>0.17</v>
      </c>
      <c r="P43" s="4" t="s">
        <v>219</v>
      </c>
      <c r="Q43" s="14">
        <f>Q41-Q42</f>
        <v>3.1449919138956437</v>
      </c>
      <c r="R43" s="14">
        <f>R41-R42</f>
        <v>3.9099999999999997</v>
      </c>
      <c r="S43" s="7">
        <f t="shared" si="6"/>
        <v>0.80434575802957642</v>
      </c>
    </row>
    <row r="44" spans="1:19" x14ac:dyDescent="0.25">
      <c r="A44" s="4" t="s">
        <v>40</v>
      </c>
      <c r="B44" s="4">
        <v>0.48</v>
      </c>
      <c r="P44" s="10" t="s">
        <v>218</v>
      </c>
      <c r="Q44" s="27">
        <f>H27</f>
        <v>1.5249998895833341</v>
      </c>
      <c r="R44" s="27">
        <f>G27</f>
        <v>1.605</v>
      </c>
      <c r="S44" s="28">
        <f t="shared" si="6"/>
        <v>0.95015569444444492</v>
      </c>
    </row>
    <row r="45" spans="1:19" x14ac:dyDescent="0.25">
      <c r="A45" s="32" t="s">
        <v>292</v>
      </c>
      <c r="B45" s="4">
        <v>0.1</v>
      </c>
      <c r="P45" s="10" t="s">
        <v>217</v>
      </c>
      <c r="Q45" s="27">
        <f>H28</f>
        <v>10.603245187926362</v>
      </c>
      <c r="R45" s="27">
        <f>SUM(G29:G33)</f>
        <v>1.56</v>
      </c>
      <c r="S45" s="28">
        <f t="shared" si="6"/>
        <v>6.7969520435425395</v>
      </c>
    </row>
    <row r="46" spans="1:19" x14ac:dyDescent="0.25">
      <c r="A46" s="32" t="s">
        <v>293</v>
      </c>
      <c r="B46" s="4">
        <v>0.81</v>
      </c>
      <c r="P46" s="4" t="s">
        <v>216</v>
      </c>
      <c r="Q46" s="14">
        <f>H29</f>
        <v>0.31745116525058659</v>
      </c>
      <c r="R46" s="14">
        <f>G29</f>
        <v>0.17</v>
      </c>
      <c r="S46" s="7">
        <f t="shared" si="6"/>
        <v>1.8673597955916856</v>
      </c>
    </row>
    <row r="47" spans="1:19" x14ac:dyDescent="0.25">
      <c r="A47" s="4" t="s">
        <v>49</v>
      </c>
      <c r="B47" s="4">
        <v>0.75</v>
      </c>
      <c r="P47" s="4" t="s">
        <v>215</v>
      </c>
      <c r="Q47" s="14">
        <f>H32</f>
        <v>1.0399936447660048</v>
      </c>
      <c r="R47" s="14">
        <f>G32</f>
        <v>0.1</v>
      </c>
      <c r="S47" s="7">
        <f t="shared" si="6"/>
        <v>10.399936447660046</v>
      </c>
    </row>
    <row r="48" spans="1:19" x14ac:dyDescent="0.25">
      <c r="A48" s="4" t="s">
        <v>243</v>
      </c>
      <c r="B48" s="4">
        <v>1.26</v>
      </c>
      <c r="P48" s="4" t="s">
        <v>214</v>
      </c>
      <c r="Q48" s="14">
        <f>H31</f>
        <v>8.4239485226046398</v>
      </c>
      <c r="R48" s="14">
        <f>G31</f>
        <v>0.81</v>
      </c>
      <c r="S48" s="7">
        <f t="shared" si="6"/>
        <v>10.399936447660048</v>
      </c>
    </row>
    <row r="49" spans="1:30" x14ac:dyDescent="0.25">
      <c r="A49" s="4" t="s">
        <v>244</v>
      </c>
      <c r="B49" s="4">
        <v>0.14000000000000001</v>
      </c>
      <c r="P49" s="4" t="s">
        <v>213</v>
      </c>
      <c r="Q49" s="14">
        <f>Q45-SUM(Q46:Q48)</f>
        <v>0.82185185530513039</v>
      </c>
      <c r="R49" s="14">
        <f>R45-SUM(R46:R48)</f>
        <v>0.48</v>
      </c>
      <c r="S49" s="7">
        <f t="shared" si="6"/>
        <v>1.7121913652190217</v>
      </c>
    </row>
    <row r="50" spans="1:30" x14ac:dyDescent="0.25">
      <c r="A50" s="4" t="s">
        <v>47</v>
      </c>
      <c r="B50" s="4">
        <v>1.69</v>
      </c>
      <c r="L50" s="14"/>
      <c r="M50" s="21"/>
      <c r="O50" s="17"/>
      <c r="P50" s="10" t="s">
        <v>212</v>
      </c>
      <c r="Q50" s="27">
        <f>Q41+Q44+Q45</f>
        <v>16.47323699140534</v>
      </c>
      <c r="R50" s="27"/>
      <c r="S50" s="7"/>
    </row>
    <row r="51" spans="1:30" x14ac:dyDescent="0.25">
      <c r="A51" s="4" t="s">
        <v>60</v>
      </c>
      <c r="B51" s="4">
        <v>7.0000000000000007E-2</v>
      </c>
      <c r="L51" s="14"/>
      <c r="M51" s="21"/>
      <c r="O51" s="17"/>
    </row>
    <row r="52" spans="1:30" ht="45" x14ac:dyDescent="0.25">
      <c r="A52" s="4" t="s">
        <v>229</v>
      </c>
      <c r="B52" s="4">
        <v>1.605</v>
      </c>
      <c r="F52" s="9" t="s">
        <v>211</v>
      </c>
      <c r="G52" s="9" t="s">
        <v>210</v>
      </c>
      <c r="H52" s="9" t="s">
        <v>209</v>
      </c>
      <c r="I52" s="9" t="s">
        <v>199</v>
      </c>
      <c r="J52" s="9" t="s">
        <v>208</v>
      </c>
      <c r="K52" s="9" t="s">
        <v>207</v>
      </c>
      <c r="L52" s="9" t="s">
        <v>206</v>
      </c>
      <c r="M52" s="9" t="s">
        <v>198</v>
      </c>
      <c r="N52" s="9" t="s">
        <v>205</v>
      </c>
      <c r="O52" s="9" t="s">
        <v>204</v>
      </c>
      <c r="P52" s="9" t="s">
        <v>203</v>
      </c>
      <c r="Q52" s="9" t="s">
        <v>202</v>
      </c>
      <c r="W52" s="9" t="s">
        <v>201</v>
      </c>
      <c r="X52" s="9" t="s">
        <v>200</v>
      </c>
      <c r="Y52" s="9" t="s">
        <v>199</v>
      </c>
      <c r="Z52" s="9" t="str">
        <f>L52</f>
        <v>Annual O&amp;M Jobs/GW</v>
      </c>
      <c r="AA52" s="9" t="s">
        <v>198</v>
      </c>
      <c r="AB52" s="9" t="s">
        <v>197</v>
      </c>
      <c r="AC52" s="9" t="s">
        <v>196</v>
      </c>
      <c r="AD52" s="9" t="s">
        <v>195</v>
      </c>
    </row>
    <row r="53" spans="1:30" x14ac:dyDescent="0.25">
      <c r="A53" s="4" t="s">
        <v>57</v>
      </c>
      <c r="F53" s="4">
        <v>1</v>
      </c>
      <c r="G53" s="4" t="s">
        <v>177</v>
      </c>
      <c r="H53" s="4">
        <v>6117</v>
      </c>
      <c r="I53" s="4">
        <v>632</v>
      </c>
      <c r="J53" s="26">
        <f t="shared" ref="J53:J61" si="7">H53/I53*1000</f>
        <v>9678.7974683544307</v>
      </c>
      <c r="K53" s="4">
        <v>25</v>
      </c>
      <c r="L53" s="14">
        <f t="shared" ref="L53:L61" si="8">J53/K53</f>
        <v>387.15189873417722</v>
      </c>
      <c r="M53" s="21">
        <v>0.28000000000000003</v>
      </c>
      <c r="N53" s="4">
        <f t="shared" ref="N53:N61" si="9">I53*M53*8.76/1000</f>
        <v>1.5501696</v>
      </c>
      <c r="O53" s="17">
        <f t="shared" ref="O53:O61" si="10">H53/K53/N53</f>
        <v>157.84079367831751</v>
      </c>
      <c r="P53" s="14">
        <f t="shared" ref="P53:P61" si="11">N53*K53</f>
        <v>38.754240000000003</v>
      </c>
      <c r="Q53" s="17">
        <f t="shared" ref="Q53:Q61" si="12">H53/P53</f>
        <v>157.84079367831751</v>
      </c>
      <c r="S53" s="4">
        <v>1</v>
      </c>
      <c r="T53" s="4" t="s">
        <v>194</v>
      </c>
      <c r="V53" s="4">
        <v>1</v>
      </c>
      <c r="W53" s="4" t="str">
        <f t="shared" ref="W53:W65" si="13">INDEX($T$53:$T$82,V53*2-1)</f>
        <v>Arnot</v>
      </c>
      <c r="X53" s="4">
        <f t="shared" ref="X53:X65" si="14">SUMIF($S$53:$S$82,V53,$T$53:$T$82)</f>
        <v>677</v>
      </c>
      <c r="Y53" s="4">
        <f>INDEX($T$84:$T$114,MATCH(W53,$S$84:$S$114,0))</f>
        <v>2220</v>
      </c>
      <c r="Z53" s="17">
        <f t="shared" ref="Z53:Z65" si="15">X53/Y53*1000</f>
        <v>304.95495495495493</v>
      </c>
      <c r="AA53" s="21">
        <v>0.75</v>
      </c>
      <c r="AB53" s="14">
        <f t="shared" ref="AB53:AB65" si="16">Y53*8.76*AA53/1000</f>
        <v>14.585400000000002</v>
      </c>
      <c r="AC53" s="14">
        <f t="shared" ref="AC53:AC65" si="17">X53/AB53</f>
        <v>46.416279292991618</v>
      </c>
    </row>
    <row r="54" spans="1:30" x14ac:dyDescent="0.25">
      <c r="A54" s="4" t="s">
        <v>279</v>
      </c>
      <c r="B54" s="4">
        <v>13.02</v>
      </c>
      <c r="F54" s="4">
        <v>2</v>
      </c>
      <c r="G54" s="4" t="s">
        <v>177</v>
      </c>
      <c r="H54" s="4">
        <v>3809</v>
      </c>
      <c r="I54" s="4">
        <v>417</v>
      </c>
      <c r="J54" s="26">
        <f t="shared" si="7"/>
        <v>9134.2925659472421</v>
      </c>
      <c r="K54" s="4">
        <f>K53</f>
        <v>25</v>
      </c>
      <c r="L54" s="14">
        <f t="shared" si="8"/>
        <v>365.37170263788971</v>
      </c>
      <c r="M54" s="21">
        <v>0.28000000000000003</v>
      </c>
      <c r="N54" s="4">
        <f t="shared" si="9"/>
        <v>1.0228176</v>
      </c>
      <c r="O54" s="17">
        <f t="shared" si="10"/>
        <v>148.96106598087479</v>
      </c>
      <c r="P54" s="14">
        <f t="shared" si="11"/>
        <v>25.570440000000001</v>
      </c>
      <c r="Q54" s="17">
        <f t="shared" si="12"/>
        <v>148.96106598087479</v>
      </c>
      <c r="S54" s="4">
        <v>1</v>
      </c>
      <c r="T54" s="4">
        <v>677</v>
      </c>
      <c r="V54" s="4">
        <v>2</v>
      </c>
      <c r="W54" s="4" t="str">
        <f t="shared" si="13"/>
        <v>Camden</v>
      </c>
      <c r="X54" s="4">
        <f t="shared" si="14"/>
        <v>324</v>
      </c>
      <c r="Y54" s="4">
        <f>INDEX($T$84:$T$114,MATCH(W54,$S$84:$S$114,0))</f>
        <v>1520</v>
      </c>
      <c r="Z54" s="17">
        <f t="shared" si="15"/>
        <v>213.15789473684211</v>
      </c>
      <c r="AA54" s="21">
        <v>0.75</v>
      </c>
      <c r="AB54" s="14">
        <f t="shared" si="16"/>
        <v>9.9863999999999997</v>
      </c>
      <c r="AC54" s="14">
        <f t="shared" si="17"/>
        <v>32.444124008651769</v>
      </c>
    </row>
    <row r="55" spans="1:30" x14ac:dyDescent="0.25">
      <c r="A55" s="4" t="s">
        <v>278</v>
      </c>
      <c r="B55" s="4">
        <v>10.95</v>
      </c>
      <c r="F55" s="4">
        <v>3</v>
      </c>
      <c r="G55" s="4" t="s">
        <v>177</v>
      </c>
      <c r="H55" s="4">
        <v>7513</v>
      </c>
      <c r="I55" s="4">
        <v>435</v>
      </c>
      <c r="J55" s="26">
        <f t="shared" si="7"/>
        <v>17271.264367816089</v>
      </c>
      <c r="K55" s="4">
        <f>K54</f>
        <v>25</v>
      </c>
      <c r="L55" s="14">
        <f t="shared" si="8"/>
        <v>690.85057471264361</v>
      </c>
      <c r="M55" s="21">
        <v>0.28000000000000003</v>
      </c>
      <c r="N55" s="4">
        <f t="shared" si="9"/>
        <v>1.0669680000000001</v>
      </c>
      <c r="O55" s="17">
        <f t="shared" si="10"/>
        <v>281.65793163431323</v>
      </c>
      <c r="P55" s="14">
        <f t="shared" si="11"/>
        <v>26.674200000000003</v>
      </c>
      <c r="Q55" s="17">
        <f t="shared" si="12"/>
        <v>281.65793163431329</v>
      </c>
      <c r="S55" s="4">
        <f t="shared" ref="S55:S82" si="18">S53+1</f>
        <v>2</v>
      </c>
      <c r="T55" s="4" t="s">
        <v>193</v>
      </c>
      <c r="V55" s="4">
        <v>3</v>
      </c>
      <c r="W55" s="4" t="str">
        <f t="shared" si="13"/>
        <v>Duvha</v>
      </c>
      <c r="X55" s="4">
        <f t="shared" si="14"/>
        <v>696</v>
      </c>
      <c r="Y55" s="4">
        <f>INDEX($T$84:$T$114,MATCH(W55,$S$84:$S$114,0))</f>
        <v>3480</v>
      </c>
      <c r="Z55" s="17">
        <f t="shared" si="15"/>
        <v>200</v>
      </c>
      <c r="AA55" s="21">
        <v>0.75</v>
      </c>
      <c r="AB55" s="14">
        <f t="shared" si="16"/>
        <v>22.863599999999998</v>
      </c>
      <c r="AC55" s="14">
        <f t="shared" si="17"/>
        <v>30.441400304414007</v>
      </c>
    </row>
    <row r="56" spans="1:30" x14ac:dyDescent="0.25">
      <c r="F56" s="4">
        <v>1</v>
      </c>
      <c r="G56" s="4" t="s">
        <v>176</v>
      </c>
      <c r="H56" s="4">
        <v>2461</v>
      </c>
      <c r="I56" s="4">
        <v>634</v>
      </c>
      <c r="J56" s="26">
        <f t="shared" si="7"/>
        <v>3881.7034700315457</v>
      </c>
      <c r="K56" s="4">
        <v>20</v>
      </c>
      <c r="L56" s="14">
        <f t="shared" si="8"/>
        <v>194.08517350157729</v>
      </c>
      <c r="M56" s="21">
        <v>0.36370000000000002</v>
      </c>
      <c r="N56" s="4">
        <f t="shared" si="9"/>
        <v>2.0199316080000003</v>
      </c>
      <c r="O56" s="17">
        <f t="shared" si="10"/>
        <v>60.917904107573122</v>
      </c>
      <c r="P56" s="14">
        <f t="shared" si="11"/>
        <v>40.398632160000005</v>
      </c>
      <c r="Q56" s="17">
        <f t="shared" si="12"/>
        <v>60.917904107573122</v>
      </c>
      <c r="S56" s="4">
        <f t="shared" si="18"/>
        <v>2</v>
      </c>
      <c r="T56" s="4">
        <v>324</v>
      </c>
      <c r="V56" s="4">
        <v>4</v>
      </c>
      <c r="W56" s="4" t="str">
        <f t="shared" si="13"/>
        <v>Grootvlei</v>
      </c>
      <c r="X56" s="4">
        <f t="shared" si="14"/>
        <v>427</v>
      </c>
      <c r="Y56" s="4">
        <v>1080</v>
      </c>
      <c r="Z56" s="17">
        <f t="shared" si="15"/>
        <v>395.37037037037038</v>
      </c>
      <c r="AA56" s="21">
        <v>0.75</v>
      </c>
      <c r="AB56" s="14">
        <f t="shared" si="16"/>
        <v>7.0955999999999992</v>
      </c>
      <c r="AC56" s="14">
        <f t="shared" si="17"/>
        <v>60.178138564744359</v>
      </c>
    </row>
    <row r="57" spans="1:30" x14ac:dyDescent="0.25">
      <c r="F57" s="4">
        <v>2</v>
      </c>
      <c r="G57" s="4" t="s">
        <v>176</v>
      </c>
      <c r="H57" s="4">
        <v>2238</v>
      </c>
      <c r="I57" s="4">
        <v>563</v>
      </c>
      <c r="J57" s="26">
        <f t="shared" si="7"/>
        <v>3975.1332149200712</v>
      </c>
      <c r="K57" s="4">
        <f>K56</f>
        <v>20</v>
      </c>
      <c r="L57" s="14">
        <f t="shared" si="8"/>
        <v>198.75666074600355</v>
      </c>
      <c r="M57" s="21">
        <f>M56</f>
        <v>0.36370000000000002</v>
      </c>
      <c r="N57" s="4">
        <f t="shared" si="9"/>
        <v>1.793724756</v>
      </c>
      <c r="O57" s="17">
        <f t="shared" si="10"/>
        <v>62.384153212857818</v>
      </c>
      <c r="P57" s="14">
        <f t="shared" si="11"/>
        <v>35.874495119999999</v>
      </c>
      <c r="Q57" s="17">
        <f t="shared" si="12"/>
        <v>62.384153212857818</v>
      </c>
      <c r="S57" s="4">
        <f t="shared" si="18"/>
        <v>3</v>
      </c>
      <c r="T57" s="4" t="s">
        <v>192</v>
      </c>
      <c r="V57" s="4">
        <v>5</v>
      </c>
      <c r="W57" s="4" t="str">
        <f t="shared" si="13"/>
        <v>Hendrina</v>
      </c>
      <c r="X57" s="4">
        <f t="shared" si="14"/>
        <v>644</v>
      </c>
      <c r="Y57" s="4">
        <f>INDEX($T$84:$T$114,MATCH(W57,$S$84:$S$114,0))</f>
        <v>1900</v>
      </c>
      <c r="Z57" s="17">
        <f t="shared" si="15"/>
        <v>338.9473684210526</v>
      </c>
      <c r="AA57" s="21">
        <v>0.75</v>
      </c>
      <c r="AB57" s="14">
        <f t="shared" si="16"/>
        <v>12.483000000000001</v>
      </c>
      <c r="AC57" s="14">
        <f t="shared" si="17"/>
        <v>51.590162621164779</v>
      </c>
    </row>
    <row r="58" spans="1:30" x14ac:dyDescent="0.25">
      <c r="F58" s="4">
        <v>3</v>
      </c>
      <c r="G58" s="4" t="s">
        <v>176</v>
      </c>
      <c r="H58" s="4">
        <v>8506</v>
      </c>
      <c r="I58" s="4">
        <v>787</v>
      </c>
      <c r="J58" s="26">
        <f t="shared" si="7"/>
        <v>10808.132147395172</v>
      </c>
      <c r="K58" s="4">
        <f>K57</f>
        <v>20</v>
      </c>
      <c r="L58" s="14">
        <f t="shared" si="8"/>
        <v>540.4066073697586</v>
      </c>
      <c r="M58" s="21">
        <f>M57</f>
        <v>0.36370000000000002</v>
      </c>
      <c r="N58" s="4">
        <f t="shared" si="9"/>
        <v>2.507391444</v>
      </c>
      <c r="O58" s="17">
        <f t="shared" si="10"/>
        <v>169.61850971363529</v>
      </c>
      <c r="P58" s="14">
        <f t="shared" si="11"/>
        <v>50.147828879999999</v>
      </c>
      <c r="Q58" s="17">
        <f t="shared" si="12"/>
        <v>169.61850971363529</v>
      </c>
      <c r="S58" s="4">
        <f t="shared" si="18"/>
        <v>3</v>
      </c>
      <c r="T58" s="4">
        <v>696</v>
      </c>
      <c r="V58" s="4">
        <v>6</v>
      </c>
      <c r="W58" s="4" t="str">
        <f t="shared" si="13"/>
        <v>Kendal</v>
      </c>
      <c r="X58" s="4">
        <f t="shared" si="14"/>
        <v>668</v>
      </c>
      <c r="Y58" s="4">
        <f>INDEX($T$84:$T$114,MATCH(W58,$S$84:$S$114,0))</f>
        <v>3840</v>
      </c>
      <c r="Z58" s="17">
        <f t="shared" si="15"/>
        <v>173.95833333333331</v>
      </c>
      <c r="AA58" s="21">
        <v>0.75</v>
      </c>
      <c r="AB58" s="14">
        <f t="shared" si="16"/>
        <v>25.228800000000003</v>
      </c>
      <c r="AC58" s="14">
        <f t="shared" si="17"/>
        <v>26.477676306443428</v>
      </c>
    </row>
    <row r="59" spans="1:30" x14ac:dyDescent="0.25">
      <c r="F59" s="4">
        <v>1</v>
      </c>
      <c r="G59" s="4" t="s">
        <v>190</v>
      </c>
      <c r="H59" s="4">
        <v>1382</v>
      </c>
      <c r="I59" s="4">
        <v>150</v>
      </c>
      <c r="J59" s="26">
        <f t="shared" si="7"/>
        <v>9213.3333333333321</v>
      </c>
      <c r="K59" s="4">
        <v>30</v>
      </c>
      <c r="L59" s="14">
        <f t="shared" si="8"/>
        <v>307.11111111111109</v>
      </c>
      <c r="M59" s="21">
        <v>0.4</v>
      </c>
      <c r="N59" s="4">
        <f t="shared" si="9"/>
        <v>0.52560000000000007</v>
      </c>
      <c r="O59" s="17">
        <f t="shared" si="10"/>
        <v>87.645865043125312</v>
      </c>
      <c r="P59" s="14">
        <f t="shared" si="11"/>
        <v>15.768000000000002</v>
      </c>
      <c r="Q59" s="17">
        <f t="shared" si="12"/>
        <v>87.645865043125298</v>
      </c>
      <c r="S59" s="4">
        <f t="shared" si="18"/>
        <v>4</v>
      </c>
      <c r="T59" s="4" t="s">
        <v>191</v>
      </c>
      <c r="V59" s="4">
        <v>7</v>
      </c>
      <c r="W59" s="4" t="str">
        <f t="shared" si="13"/>
        <v>Komati</v>
      </c>
      <c r="X59" s="4">
        <f t="shared" si="14"/>
        <v>331</v>
      </c>
      <c r="Y59" s="4">
        <v>900</v>
      </c>
      <c r="Z59" s="17">
        <f t="shared" si="15"/>
        <v>367.77777777777777</v>
      </c>
      <c r="AA59" s="21">
        <v>0.75</v>
      </c>
      <c r="AB59" s="14">
        <f t="shared" si="16"/>
        <v>5.9130000000000003</v>
      </c>
      <c r="AC59" s="14">
        <f t="shared" si="17"/>
        <v>55.97835278200575</v>
      </c>
    </row>
    <row r="60" spans="1:30" x14ac:dyDescent="0.25">
      <c r="F60" s="4">
        <v>2</v>
      </c>
      <c r="G60" s="4" t="s">
        <v>190</v>
      </c>
      <c r="H60" s="4">
        <v>1180</v>
      </c>
      <c r="I60" s="4">
        <v>50</v>
      </c>
      <c r="J60" s="26">
        <f t="shared" si="7"/>
        <v>23600</v>
      </c>
      <c r="K60" s="4">
        <v>30</v>
      </c>
      <c r="L60" s="14">
        <f t="shared" si="8"/>
        <v>786.66666666666663</v>
      </c>
      <c r="M60" s="21">
        <f>M59</f>
        <v>0.4</v>
      </c>
      <c r="N60" s="4">
        <f t="shared" si="9"/>
        <v>0.17519999999999999</v>
      </c>
      <c r="O60" s="17">
        <f t="shared" si="10"/>
        <v>224.50532724505328</v>
      </c>
      <c r="P60" s="14">
        <f t="shared" si="11"/>
        <v>5.2560000000000002</v>
      </c>
      <c r="Q60" s="17">
        <f t="shared" si="12"/>
        <v>224.50532724505325</v>
      </c>
      <c r="S60" s="4">
        <f t="shared" si="18"/>
        <v>4</v>
      </c>
      <c r="T60" s="4">
        <v>427</v>
      </c>
      <c r="V60" s="4">
        <v>8</v>
      </c>
      <c r="W60" s="4" t="str">
        <f t="shared" si="13"/>
        <v>Kriel</v>
      </c>
      <c r="X60" s="4">
        <f t="shared" si="14"/>
        <v>701</v>
      </c>
      <c r="Y60" s="4">
        <f>INDEX($T$84:$T$114,MATCH(W60,$S$84:$S$114,0))</f>
        <v>2880</v>
      </c>
      <c r="Z60" s="17">
        <f t="shared" si="15"/>
        <v>243.40277777777777</v>
      </c>
      <c r="AA60" s="21">
        <v>0.75</v>
      </c>
      <c r="AB60" s="14">
        <f t="shared" si="16"/>
        <v>18.921599999999998</v>
      </c>
      <c r="AC60" s="14">
        <f t="shared" si="17"/>
        <v>37.047606967698293</v>
      </c>
    </row>
    <row r="61" spans="1:30" x14ac:dyDescent="0.25">
      <c r="F61" s="4">
        <v>3</v>
      </c>
      <c r="G61" s="4" t="s">
        <v>190</v>
      </c>
      <c r="H61" s="4">
        <v>1730</v>
      </c>
      <c r="I61" s="4">
        <v>200</v>
      </c>
      <c r="J61" s="26">
        <f t="shared" si="7"/>
        <v>8650</v>
      </c>
      <c r="K61" s="4">
        <v>30</v>
      </c>
      <c r="L61" s="14">
        <f t="shared" si="8"/>
        <v>288.33333333333331</v>
      </c>
      <c r="M61" s="21">
        <f>M60</f>
        <v>0.4</v>
      </c>
      <c r="N61" s="4">
        <f t="shared" si="9"/>
        <v>0.70079999999999998</v>
      </c>
      <c r="O61" s="17">
        <f t="shared" si="10"/>
        <v>82.286910197869105</v>
      </c>
      <c r="P61" s="14">
        <f t="shared" si="11"/>
        <v>21.024000000000001</v>
      </c>
      <c r="Q61" s="17">
        <f t="shared" si="12"/>
        <v>82.286910197869105</v>
      </c>
      <c r="S61" s="4">
        <f t="shared" si="18"/>
        <v>5</v>
      </c>
      <c r="T61" s="4" t="s">
        <v>189</v>
      </c>
      <c r="V61" s="4">
        <v>10</v>
      </c>
      <c r="W61" s="4" t="str">
        <f t="shared" si="13"/>
        <v>Lethabo</v>
      </c>
      <c r="X61" s="4">
        <f t="shared" si="14"/>
        <v>628</v>
      </c>
      <c r="Y61" s="4">
        <f>INDEX($T$84:$T$114,MATCH(W61,$S$84:$S$114,0))</f>
        <v>3540</v>
      </c>
      <c r="Z61" s="17">
        <f t="shared" si="15"/>
        <v>177.40112994350281</v>
      </c>
      <c r="AA61" s="21">
        <v>0.75</v>
      </c>
      <c r="AB61" s="14">
        <f t="shared" si="16"/>
        <v>23.2578</v>
      </c>
      <c r="AC61" s="14">
        <f t="shared" si="17"/>
        <v>27.001694055327675</v>
      </c>
    </row>
    <row r="62" spans="1:30" x14ac:dyDescent="0.25">
      <c r="S62" s="4">
        <f t="shared" si="18"/>
        <v>5</v>
      </c>
      <c r="T62" s="4">
        <v>644</v>
      </c>
      <c r="V62" s="4">
        <v>11</v>
      </c>
      <c r="W62" s="4" t="str">
        <f t="shared" si="13"/>
        <v>Majuba</v>
      </c>
      <c r="X62" s="4">
        <f t="shared" si="14"/>
        <v>508</v>
      </c>
      <c r="Y62" s="25">
        <f>T93+T94</f>
        <v>3840</v>
      </c>
      <c r="Z62" s="17">
        <f t="shared" si="15"/>
        <v>132.29166666666666</v>
      </c>
      <c r="AA62" s="21">
        <v>0.75</v>
      </c>
      <c r="AB62" s="14">
        <f t="shared" si="16"/>
        <v>25.228800000000003</v>
      </c>
      <c r="AC62" s="14">
        <f t="shared" si="17"/>
        <v>20.135717909690509</v>
      </c>
    </row>
    <row r="63" spans="1:30" x14ac:dyDescent="0.25">
      <c r="G63" s="4" t="s">
        <v>188</v>
      </c>
      <c r="J63" s="22">
        <f>AVERAGE(J53:J54)</f>
        <v>9406.5450171508364</v>
      </c>
      <c r="L63" s="24">
        <f>AVERAGE(L53:L54)</f>
        <v>376.26180068603344</v>
      </c>
      <c r="O63" s="17">
        <f>AVERAGE(O53:O54)</f>
        <v>153.40092982959615</v>
      </c>
      <c r="S63" s="4">
        <f t="shared" si="18"/>
        <v>6</v>
      </c>
      <c r="T63" s="4" t="s">
        <v>187</v>
      </c>
      <c r="V63" s="4">
        <v>12</v>
      </c>
      <c r="W63" s="4" t="str">
        <f t="shared" si="13"/>
        <v>Matimba</v>
      </c>
      <c r="X63" s="4">
        <f t="shared" si="14"/>
        <v>476</v>
      </c>
      <c r="Y63" s="4">
        <f>INDEX($T$84:$T$114,MATCH(W63,$S$84:$S$114,0))</f>
        <v>3720</v>
      </c>
      <c r="Z63" s="17">
        <f t="shared" si="15"/>
        <v>127.95698924731182</v>
      </c>
      <c r="AA63" s="21">
        <v>0.75</v>
      </c>
      <c r="AB63" s="14">
        <f t="shared" si="16"/>
        <v>24.4404</v>
      </c>
      <c r="AC63" s="14">
        <f t="shared" si="17"/>
        <v>19.475949657125089</v>
      </c>
    </row>
    <row r="64" spans="1:30" x14ac:dyDescent="0.25">
      <c r="G64" s="4" t="s">
        <v>186</v>
      </c>
      <c r="J64" s="22">
        <f>AVERAGE(J56:J58)</f>
        <v>6221.6562774489294</v>
      </c>
      <c r="L64" s="24">
        <f>AVERAGE(L56:L58)</f>
        <v>311.08281387244648</v>
      </c>
      <c r="O64" s="17">
        <f>AVERAGE(O56:O58)</f>
        <v>97.640189011355417</v>
      </c>
      <c r="S64" s="4">
        <f t="shared" si="18"/>
        <v>6</v>
      </c>
      <c r="T64" s="4">
        <v>668</v>
      </c>
      <c r="V64" s="4">
        <v>13</v>
      </c>
      <c r="W64" s="4" t="str">
        <f t="shared" si="13"/>
        <v>Matla</v>
      </c>
      <c r="X64" s="4">
        <f t="shared" si="14"/>
        <v>659</v>
      </c>
      <c r="Y64" s="4">
        <f>INDEX($T$84:$T$114,MATCH(W64,$S$84:$S$114,0))</f>
        <v>3480</v>
      </c>
      <c r="Z64" s="17">
        <f t="shared" si="15"/>
        <v>189.36781609195401</v>
      </c>
      <c r="AA64" s="21">
        <v>0.75</v>
      </c>
      <c r="AB64" s="14">
        <f t="shared" si="16"/>
        <v>22.863599999999998</v>
      </c>
      <c r="AC64" s="14">
        <f t="shared" si="17"/>
        <v>28.823107472139124</v>
      </c>
    </row>
    <row r="65" spans="5:31" x14ac:dyDescent="0.25">
      <c r="G65" s="4" t="s">
        <v>185</v>
      </c>
      <c r="J65" s="22">
        <f>AVERAGE(J59:J61)</f>
        <v>13821.111111111109</v>
      </c>
      <c r="L65" s="23">
        <f>AVERAGE(L59:L61)</f>
        <v>460.7037037037037</v>
      </c>
      <c r="O65" s="22">
        <f>AVERAGE(O59:O61)</f>
        <v>131.47936749534924</v>
      </c>
      <c r="S65" s="4">
        <f t="shared" si="18"/>
        <v>7</v>
      </c>
      <c r="T65" s="4" t="s">
        <v>184</v>
      </c>
      <c r="V65" s="4">
        <v>15</v>
      </c>
      <c r="W65" s="4" t="str">
        <f t="shared" si="13"/>
        <v>Tutuka</v>
      </c>
      <c r="X65" s="4">
        <f t="shared" si="14"/>
        <v>649</v>
      </c>
      <c r="Y65" s="4">
        <f>INDEX($T$84:$T$114,MATCH(W65,$S$84:$S$114,0))</f>
        <v>3540</v>
      </c>
      <c r="Z65" s="17">
        <f t="shared" si="15"/>
        <v>183.33333333333331</v>
      </c>
      <c r="AA65" s="21">
        <v>0.75</v>
      </c>
      <c r="AB65" s="14">
        <f t="shared" si="16"/>
        <v>23.2578</v>
      </c>
      <c r="AC65" s="14">
        <f t="shared" si="17"/>
        <v>27.904616945712835</v>
      </c>
    </row>
    <row r="66" spans="5:31" x14ac:dyDescent="0.25">
      <c r="S66" s="4">
        <f t="shared" si="18"/>
        <v>7</v>
      </c>
      <c r="T66" s="4">
        <v>331</v>
      </c>
      <c r="W66" s="4" t="s">
        <v>183</v>
      </c>
      <c r="Z66" s="17">
        <f>SUM(X53:X65)/SUM(Y53:Y65)*1000</f>
        <v>205.56483027267669</v>
      </c>
      <c r="AC66" s="17">
        <f>SUM(X53:X65)/SUM(AB53:AB65)</f>
        <v>31.288406434197366</v>
      </c>
    </row>
    <row r="67" spans="5:31" x14ac:dyDescent="0.25">
      <c r="F67" s="10" t="s">
        <v>182</v>
      </c>
      <c r="S67" s="4">
        <f t="shared" si="18"/>
        <v>8</v>
      </c>
      <c r="T67" s="4" t="s">
        <v>181</v>
      </c>
      <c r="AE67" s="20" t="s">
        <v>180</v>
      </c>
    </row>
    <row r="68" spans="5:31" x14ac:dyDescent="0.25">
      <c r="G68" s="34" t="s">
        <v>163</v>
      </c>
      <c r="H68" s="34"/>
      <c r="I68" s="34"/>
      <c r="J68" s="34"/>
      <c r="K68" s="34" t="s">
        <v>179</v>
      </c>
      <c r="L68" s="34"/>
      <c r="M68" s="34"/>
      <c r="N68" s="34"/>
      <c r="S68" s="4">
        <f t="shared" si="18"/>
        <v>8</v>
      </c>
      <c r="T68" s="4">
        <v>701</v>
      </c>
      <c r="W68" s="4" t="s">
        <v>178</v>
      </c>
      <c r="X68" s="4">
        <v>1200</v>
      </c>
      <c r="Y68" s="4">
        <v>1860</v>
      </c>
      <c r="Z68" s="17">
        <f>X68/Y68*1000</f>
        <v>645.16129032258061</v>
      </c>
      <c r="AA68" s="21">
        <v>0.8</v>
      </c>
      <c r="AB68" s="14">
        <f>Y68*8.76*AA68/1000</f>
        <v>13.034880000000001</v>
      </c>
      <c r="AC68" s="14">
        <f>X68/AB68</f>
        <v>92.060686404477821</v>
      </c>
    </row>
    <row r="69" spans="5:31" x14ac:dyDescent="0.25">
      <c r="G69" s="4" t="s">
        <v>177</v>
      </c>
      <c r="H69" s="4" t="s">
        <v>176</v>
      </c>
      <c r="I69" s="4" t="s">
        <v>175</v>
      </c>
      <c r="J69" s="4" t="s">
        <v>174</v>
      </c>
      <c r="K69" s="4" t="s">
        <v>177</v>
      </c>
      <c r="L69" s="4" t="s">
        <v>176</v>
      </c>
      <c r="M69" s="4" t="s">
        <v>175</v>
      </c>
      <c r="N69" s="4" t="s">
        <v>174</v>
      </c>
      <c r="S69" s="4">
        <f t="shared" si="18"/>
        <v>9</v>
      </c>
      <c r="T69" s="4" t="s">
        <v>173</v>
      </c>
    </row>
    <row r="70" spans="5:31" x14ac:dyDescent="0.25">
      <c r="F70" s="4" t="s">
        <v>172</v>
      </c>
      <c r="G70" s="17">
        <f>AVERAGE(Q53:Q54)</f>
        <v>153.40092982959615</v>
      </c>
      <c r="H70" s="17">
        <f>AVERAGE(Q56:Q57)</f>
        <v>61.651028660215474</v>
      </c>
      <c r="K70" s="17">
        <f>L63</f>
        <v>376.26180068603344</v>
      </c>
      <c r="L70" s="17">
        <f>AVERAGE(L56:L57)</f>
        <v>196.42091712379042</v>
      </c>
      <c r="S70" s="4">
        <f t="shared" si="18"/>
        <v>9</v>
      </c>
      <c r="T70" s="4">
        <v>247</v>
      </c>
    </row>
    <row r="71" spans="5:31" x14ac:dyDescent="0.25">
      <c r="F71" s="4" t="s">
        <v>171</v>
      </c>
      <c r="G71" s="17">
        <f>Q55</f>
        <v>281.65793163431329</v>
      </c>
      <c r="H71" s="17">
        <f>Q58</f>
        <v>169.61850971363529</v>
      </c>
      <c r="K71" s="17">
        <f>L55</f>
        <v>690.85057471264361</v>
      </c>
      <c r="L71" s="17">
        <f>L58</f>
        <v>540.4066073697586</v>
      </c>
      <c r="S71" s="4">
        <f t="shared" si="18"/>
        <v>10</v>
      </c>
      <c r="T71" s="4" t="s">
        <v>170</v>
      </c>
      <c r="AE71" s="20" t="s">
        <v>169</v>
      </c>
    </row>
    <row r="72" spans="5:31" x14ac:dyDescent="0.25">
      <c r="F72" s="4" t="s">
        <v>168</v>
      </c>
      <c r="G72" s="4">
        <v>107</v>
      </c>
      <c r="H72" s="4">
        <v>127</v>
      </c>
      <c r="I72" s="4">
        <v>28</v>
      </c>
      <c r="J72" s="4">
        <v>60</v>
      </c>
      <c r="K72" s="17">
        <f>G72*K70/G70</f>
        <v>262.44960000000003</v>
      </c>
      <c r="L72" s="17">
        <f>H72*L70/H70</f>
        <v>404.62352400000003</v>
      </c>
      <c r="M72" s="17">
        <f>M75/I75*I72</f>
        <v>183.95999999999995</v>
      </c>
      <c r="N72" s="17">
        <f>N75/J75*J72</f>
        <v>420.48000000000008</v>
      </c>
      <c r="S72" s="4">
        <f t="shared" si="18"/>
        <v>10</v>
      </c>
      <c r="T72" s="4">
        <v>628</v>
      </c>
    </row>
    <row r="73" spans="5:31" x14ac:dyDescent="0.25">
      <c r="F73" s="4" t="s">
        <v>167</v>
      </c>
      <c r="G73" s="17">
        <f>K73*G70/K70</f>
        <v>43.793038821952514</v>
      </c>
      <c r="H73" s="17">
        <f>L73*H70/L70</f>
        <v>21.522496903298855</v>
      </c>
      <c r="J73" s="17"/>
      <c r="K73" s="17">
        <v>107.41556562248512</v>
      </c>
      <c r="L73" s="17">
        <v>68.570933403872985</v>
      </c>
      <c r="S73" s="4">
        <f t="shared" si="18"/>
        <v>11</v>
      </c>
      <c r="T73" s="4" t="s">
        <v>166</v>
      </c>
      <c r="Y73" s="4" t="s">
        <v>99</v>
      </c>
      <c r="Z73" s="4" t="s">
        <v>165</v>
      </c>
      <c r="AA73" s="4" t="s">
        <v>164</v>
      </c>
      <c r="AC73" s="4" t="s">
        <v>163</v>
      </c>
    </row>
    <row r="74" spans="5:31" x14ac:dyDescent="0.25">
      <c r="F74" s="4" t="s">
        <v>162</v>
      </c>
      <c r="I74" s="14">
        <f>AVERAGE(AC53:AC65)</f>
        <v>35.685755914469944</v>
      </c>
      <c r="J74" s="14">
        <f>AC68</f>
        <v>92.060686404477821</v>
      </c>
      <c r="M74" s="17">
        <f>Z66</f>
        <v>205.56483027267669</v>
      </c>
      <c r="N74" s="17">
        <f>AA76</f>
        <v>645.16129032258061</v>
      </c>
      <c r="S74" s="4">
        <f t="shared" si="18"/>
        <v>11</v>
      </c>
      <c r="T74" s="4">
        <v>508</v>
      </c>
      <c r="W74" s="4" t="s">
        <v>161</v>
      </c>
      <c r="Y74" s="4">
        <v>35.840000000000003</v>
      </c>
      <c r="Z74" s="4">
        <f>SUM(X53:X65)</f>
        <v>7388</v>
      </c>
      <c r="AA74" s="17">
        <f>Z74/Y74</f>
        <v>206.13839285714283</v>
      </c>
      <c r="AB74" s="4" t="s">
        <v>160</v>
      </c>
    </row>
    <row r="75" spans="5:31" x14ac:dyDescent="0.25">
      <c r="F75" s="4" t="s">
        <v>104</v>
      </c>
      <c r="G75" s="17">
        <f>O63</f>
        <v>153.40092982959615</v>
      </c>
      <c r="H75" s="17">
        <f>O64</f>
        <v>97.640189011355417</v>
      </c>
      <c r="I75" s="14">
        <f>AC82</f>
        <v>1041.0463921990822</v>
      </c>
      <c r="J75" s="14">
        <f>J74</f>
        <v>92.060686404477821</v>
      </c>
      <c r="K75" s="17">
        <f>L63</f>
        <v>376.26180068603344</v>
      </c>
      <c r="L75" s="17">
        <f>L64</f>
        <v>311.08281387244648</v>
      </c>
      <c r="M75" s="17">
        <f>AA82</f>
        <v>6839.6747967479687</v>
      </c>
      <c r="N75" s="17">
        <f>N74</f>
        <v>645.16129032258061</v>
      </c>
      <c r="S75" s="4">
        <f t="shared" si="18"/>
        <v>12</v>
      </c>
      <c r="T75" s="4" t="s">
        <v>159</v>
      </c>
      <c r="W75" s="4" t="s">
        <v>61</v>
      </c>
      <c r="Y75" s="4">
        <v>0.67</v>
      </c>
      <c r="AA75" s="17">
        <f>Z75/Y75</f>
        <v>0</v>
      </c>
    </row>
    <row r="76" spans="5:31" x14ac:dyDescent="0.25">
      <c r="S76" s="4">
        <f t="shared" si="18"/>
        <v>12</v>
      </c>
      <c r="T76" s="4">
        <v>476</v>
      </c>
      <c r="W76" s="4" t="s">
        <v>48</v>
      </c>
      <c r="Y76" s="4">
        <v>1.86</v>
      </c>
      <c r="Z76" s="4">
        <f>X68</f>
        <v>1200</v>
      </c>
      <c r="AA76" s="19">
        <f>Z76/Y76</f>
        <v>645.16129032258061</v>
      </c>
    </row>
    <row r="77" spans="5:31" x14ac:dyDescent="0.25">
      <c r="S77" s="4">
        <f t="shared" si="18"/>
        <v>13</v>
      </c>
      <c r="T77" s="4" t="s">
        <v>158</v>
      </c>
      <c r="W77" s="4" t="s">
        <v>47</v>
      </c>
      <c r="Y77" s="4">
        <v>2.46</v>
      </c>
      <c r="AA77" s="17">
        <f>Z77/Y77</f>
        <v>0</v>
      </c>
    </row>
    <row r="78" spans="5:31" x14ac:dyDescent="0.25">
      <c r="E78" s="4" t="s">
        <v>151</v>
      </c>
      <c r="S78" s="4">
        <f t="shared" si="18"/>
        <v>13</v>
      </c>
      <c r="T78" s="4">
        <v>659</v>
      </c>
      <c r="W78" s="4" t="s">
        <v>65</v>
      </c>
      <c r="Y78" s="4">
        <v>1.58</v>
      </c>
      <c r="AA78" s="17">
        <f>Z78/Y78</f>
        <v>0</v>
      </c>
    </row>
    <row r="79" spans="5:31" x14ac:dyDescent="0.25">
      <c r="E79" s="4" t="s">
        <v>150</v>
      </c>
      <c r="H79" s="32" t="s">
        <v>289</v>
      </c>
      <c r="J79" s="32" t="s">
        <v>290</v>
      </c>
      <c r="S79" s="4">
        <f t="shared" si="18"/>
        <v>14</v>
      </c>
      <c r="T79" s="4" t="s">
        <v>157</v>
      </c>
      <c r="Y79" s="4">
        <f>SUM(Y74:Y78)</f>
        <v>42.410000000000004</v>
      </c>
      <c r="AA79" s="17"/>
    </row>
    <row r="80" spans="5:31" x14ac:dyDescent="0.25">
      <c r="H80" s="4">
        <v>2012</v>
      </c>
      <c r="J80" s="4" t="s">
        <v>284</v>
      </c>
      <c r="S80" s="4">
        <f t="shared" si="18"/>
        <v>14</v>
      </c>
      <c r="T80" s="4">
        <v>293</v>
      </c>
      <c r="Y80" s="4" t="s">
        <v>99</v>
      </c>
      <c r="Z80" s="4" t="s">
        <v>156</v>
      </c>
    </row>
    <row r="81" spans="2:29" x14ac:dyDescent="0.25">
      <c r="E81" s="4" t="s">
        <v>147</v>
      </c>
      <c r="F81" s="4" t="s">
        <v>140</v>
      </c>
      <c r="G81" s="4" t="s">
        <v>139</v>
      </c>
      <c r="H81" s="4">
        <v>3.730645</v>
      </c>
      <c r="I81" s="35" t="s">
        <v>311</v>
      </c>
      <c r="J81" s="4">
        <v>5.4489999999999998</v>
      </c>
      <c r="K81" s="31">
        <f>J81/$J$91</f>
        <v>0.3311656740002431</v>
      </c>
      <c r="S81" s="4">
        <f t="shared" si="18"/>
        <v>15</v>
      </c>
      <c r="T81" s="4" t="s">
        <v>155</v>
      </c>
      <c r="W81" s="4" t="s">
        <v>154</v>
      </c>
      <c r="Y81" s="5">
        <f>G26</f>
        <v>3.9099999999999997</v>
      </c>
      <c r="Z81" s="4">
        <f>F107*1000</f>
        <v>15221.333333333334</v>
      </c>
      <c r="AA81" s="17"/>
    </row>
    <row r="82" spans="2:29" x14ac:dyDescent="0.25">
      <c r="B82" s="4" t="s">
        <v>140</v>
      </c>
      <c r="C82" s="4" t="s">
        <v>286</v>
      </c>
      <c r="E82" s="4" t="s">
        <v>145</v>
      </c>
      <c r="F82" s="4" t="s">
        <v>140</v>
      </c>
      <c r="G82" s="4" t="s">
        <v>139</v>
      </c>
      <c r="H82" s="4">
        <v>4.2457479999999999</v>
      </c>
      <c r="I82" s="35" t="s">
        <v>147</v>
      </c>
      <c r="J82" s="4">
        <v>5.5880000000000001</v>
      </c>
      <c r="K82" s="31">
        <f>J82/$J$91</f>
        <v>0.33961346784976298</v>
      </c>
      <c r="S82" s="4">
        <f t="shared" si="18"/>
        <v>15</v>
      </c>
      <c r="T82" s="4">
        <v>649</v>
      </c>
      <c r="W82" s="4" t="s">
        <v>153</v>
      </c>
      <c r="Y82" s="5">
        <f>Y81-Y76</f>
        <v>2.0499999999999998</v>
      </c>
      <c r="Z82" s="4">
        <f>Z81-Z76</f>
        <v>14021.333333333334</v>
      </c>
      <c r="AA82" s="19">
        <f>Z82/Y82</f>
        <v>6839.6747967479687</v>
      </c>
      <c r="AB82" s="4" t="s">
        <v>152</v>
      </c>
      <c r="AC82" s="4">
        <f>AC66/Z66*AA82</f>
        <v>1041.0463921990822</v>
      </c>
    </row>
    <row r="83" spans="2:29" x14ac:dyDescent="0.25">
      <c r="B83" s="4" t="s">
        <v>140</v>
      </c>
      <c r="C83" s="4" t="s">
        <v>286</v>
      </c>
      <c r="E83" s="4" t="s">
        <v>143</v>
      </c>
      <c r="F83" s="4" t="s">
        <v>140</v>
      </c>
      <c r="G83" s="4" t="s">
        <v>139</v>
      </c>
      <c r="H83" s="4">
        <v>14.047689</v>
      </c>
      <c r="I83" s="35" t="s">
        <v>143</v>
      </c>
      <c r="J83" s="4">
        <v>5.4169999999999998</v>
      </c>
      <c r="K83" s="31">
        <f>J83/$J$91</f>
        <v>0.32922085814999391</v>
      </c>
    </row>
    <row r="84" spans="2:29" x14ac:dyDescent="0.25">
      <c r="B84" s="4" t="s">
        <v>140</v>
      </c>
      <c r="C84" s="4" t="s">
        <v>286</v>
      </c>
      <c r="E84" s="4" t="s">
        <v>141</v>
      </c>
      <c r="F84" s="4" t="s">
        <v>140</v>
      </c>
      <c r="G84" s="4" t="s">
        <v>139</v>
      </c>
      <c r="H84" s="4">
        <v>50.291947999999998</v>
      </c>
      <c r="K84" s="31"/>
      <c r="S84" s="3" t="s">
        <v>149</v>
      </c>
      <c r="T84" s="16">
        <v>1520</v>
      </c>
    </row>
    <row r="85" spans="2:29" x14ac:dyDescent="0.25">
      <c r="B85" s="4" t="s">
        <v>140</v>
      </c>
      <c r="C85" s="4" t="s">
        <v>286</v>
      </c>
      <c r="K85" s="31"/>
      <c r="S85" s="3" t="s">
        <v>148</v>
      </c>
      <c r="T85" s="16">
        <v>360</v>
      </c>
    </row>
    <row r="86" spans="2:29" x14ac:dyDescent="0.25">
      <c r="B86" s="4" t="s">
        <v>140</v>
      </c>
      <c r="C86" s="4" t="s">
        <v>286</v>
      </c>
      <c r="K86" s="31"/>
      <c r="S86" s="3" t="s">
        <v>146</v>
      </c>
      <c r="T86" s="16">
        <v>200</v>
      </c>
    </row>
    <row r="87" spans="2:29" x14ac:dyDescent="0.25">
      <c r="B87" s="4" t="s">
        <v>140</v>
      </c>
      <c r="C87" s="4" t="s">
        <v>286</v>
      </c>
      <c r="K87" s="31"/>
      <c r="S87" s="3" t="s">
        <v>144</v>
      </c>
      <c r="T87" s="16">
        <v>2220</v>
      </c>
    </row>
    <row r="88" spans="2:29" x14ac:dyDescent="0.25">
      <c r="B88" s="4" t="s">
        <v>140</v>
      </c>
      <c r="C88" s="4" t="s">
        <v>286</v>
      </c>
      <c r="K88" s="31"/>
      <c r="S88" s="3" t="s">
        <v>142</v>
      </c>
      <c r="T88" s="16">
        <v>3480</v>
      </c>
    </row>
    <row r="89" spans="2:29" x14ac:dyDescent="0.25">
      <c r="B89" s="4" t="s">
        <v>140</v>
      </c>
      <c r="C89" s="4" t="s">
        <v>286</v>
      </c>
      <c r="S89" s="3" t="s">
        <v>138</v>
      </c>
      <c r="T89" s="16">
        <v>1900</v>
      </c>
    </row>
    <row r="90" spans="2:29" x14ac:dyDescent="0.25">
      <c r="S90" s="3" t="s">
        <v>137</v>
      </c>
      <c r="T90" s="16">
        <v>3840</v>
      </c>
    </row>
    <row r="91" spans="2:29" x14ac:dyDescent="0.25">
      <c r="E91" s="4" t="s">
        <v>73</v>
      </c>
      <c r="H91" s="14">
        <f>SUM(H81:H84)</f>
        <v>72.316029999999998</v>
      </c>
      <c r="J91" s="14">
        <f>SUM(J81:J88)</f>
        <v>16.454000000000001</v>
      </c>
      <c r="S91" s="3" t="s">
        <v>136</v>
      </c>
      <c r="T91" s="16">
        <v>2880</v>
      </c>
    </row>
    <row r="92" spans="2:29" x14ac:dyDescent="0.25">
      <c r="E92" s="4" t="s">
        <v>135</v>
      </c>
      <c r="H92" s="4">
        <v>44</v>
      </c>
      <c r="S92" s="3" t="s">
        <v>134</v>
      </c>
      <c r="T92" s="16">
        <v>3540</v>
      </c>
    </row>
    <row r="93" spans="2:29" x14ac:dyDescent="0.25">
      <c r="E93" s="4" t="s">
        <v>133</v>
      </c>
      <c r="H93" s="17">
        <f>H91-H92</f>
        <v>28.316029999999998</v>
      </c>
      <c r="S93" s="3" t="s">
        <v>132</v>
      </c>
      <c r="T93" s="16">
        <v>1830</v>
      </c>
    </row>
    <row r="94" spans="2:29" x14ac:dyDescent="0.25">
      <c r="E94" s="4" t="s">
        <v>131</v>
      </c>
      <c r="H94" s="17">
        <f>H93</f>
        <v>28.316029999999998</v>
      </c>
      <c r="S94" s="3" t="s">
        <v>130</v>
      </c>
      <c r="T94" s="16">
        <v>2010</v>
      </c>
    </row>
    <row r="95" spans="2:29" x14ac:dyDescent="0.25">
      <c r="S95" s="3" t="s">
        <v>129</v>
      </c>
      <c r="T95" s="18">
        <v>3720</v>
      </c>
    </row>
    <row r="96" spans="2:29" x14ac:dyDescent="0.25">
      <c r="E96" s="4" t="s">
        <v>128</v>
      </c>
      <c r="H96" s="17">
        <f>H92-H94</f>
        <v>15.683970000000002</v>
      </c>
      <c r="S96" s="3" t="s">
        <v>127</v>
      </c>
      <c r="T96" s="16">
        <v>3480</v>
      </c>
    </row>
    <row r="97" spans="5:20" x14ac:dyDescent="0.25">
      <c r="E97" s="4" t="s">
        <v>118</v>
      </c>
      <c r="H97" s="14">
        <f>SUM(X53:X68)/1000</f>
        <v>8.5879999999999992</v>
      </c>
      <c r="S97" s="3" t="s">
        <v>126</v>
      </c>
      <c r="T97" s="18">
        <v>3540</v>
      </c>
    </row>
    <row r="98" spans="5:20" x14ac:dyDescent="0.25">
      <c r="E98" s="4" t="s">
        <v>125</v>
      </c>
      <c r="H98" s="17">
        <f>H96-H97</f>
        <v>7.095970000000003</v>
      </c>
      <c r="S98" s="3" t="s">
        <v>124</v>
      </c>
      <c r="T98" s="16">
        <v>50</v>
      </c>
    </row>
    <row r="99" spans="5:20" x14ac:dyDescent="0.25">
      <c r="S99" s="3" t="s">
        <v>123</v>
      </c>
      <c r="T99" s="16">
        <v>160</v>
      </c>
    </row>
    <row r="100" spans="5:20" x14ac:dyDescent="0.25">
      <c r="S100" s="3" t="s">
        <v>122</v>
      </c>
      <c r="T100" s="16">
        <v>90</v>
      </c>
    </row>
    <row r="101" spans="5:20" x14ac:dyDescent="0.25">
      <c r="E101" s="4" t="s">
        <v>121</v>
      </c>
      <c r="I101" s="4" t="s">
        <v>120</v>
      </c>
      <c r="S101" s="3" t="s">
        <v>119</v>
      </c>
      <c r="T101" s="16">
        <v>180</v>
      </c>
    </row>
    <row r="102" spans="5:20" x14ac:dyDescent="0.25">
      <c r="F102" s="4" t="s">
        <v>118</v>
      </c>
      <c r="G102" s="4" t="s">
        <v>117</v>
      </c>
      <c r="H102" s="4" t="s">
        <v>116</v>
      </c>
      <c r="I102" s="4" t="s">
        <v>115</v>
      </c>
      <c r="J102" s="4" t="s">
        <v>114</v>
      </c>
      <c r="K102" s="4" t="s">
        <v>113</v>
      </c>
      <c r="L102" s="4" t="s">
        <v>112</v>
      </c>
      <c r="M102" s="4" t="s">
        <v>111</v>
      </c>
      <c r="N102" s="4" t="s">
        <v>73</v>
      </c>
      <c r="S102" s="3" t="s">
        <v>110</v>
      </c>
      <c r="T102" s="16">
        <v>150</v>
      </c>
    </row>
    <row r="103" spans="5:20" x14ac:dyDescent="0.25">
      <c r="E103" s="4" t="s">
        <v>109</v>
      </c>
      <c r="F103" s="4">
        <v>10.106999999999999</v>
      </c>
      <c r="G103" s="4">
        <v>2.0049999999999999</v>
      </c>
      <c r="I103" s="4">
        <v>2.1349999999999998</v>
      </c>
      <c r="J103" s="4">
        <v>1.889</v>
      </c>
      <c r="K103" s="4">
        <v>5.1639999999999997</v>
      </c>
      <c r="L103" s="4">
        <v>1.4410000000000001</v>
      </c>
      <c r="M103" s="4">
        <v>10.507999999999999</v>
      </c>
      <c r="N103" s="4">
        <f>SUM(F103:M103)</f>
        <v>33.248999999999995</v>
      </c>
      <c r="S103" s="3" t="s">
        <v>108</v>
      </c>
      <c r="T103" s="16">
        <v>500</v>
      </c>
    </row>
    <row r="104" spans="5:20" x14ac:dyDescent="0.25">
      <c r="E104" s="4" t="s">
        <v>107</v>
      </c>
      <c r="F104" s="4">
        <v>12.42</v>
      </c>
      <c r="G104" s="4">
        <v>1.67</v>
      </c>
      <c r="I104" s="4">
        <f>44-F104-G104-M104</f>
        <v>7.8299999999999983</v>
      </c>
      <c r="M104" s="4">
        <v>22.08</v>
      </c>
      <c r="N104" s="4">
        <f>SUM(F104:M104)</f>
        <v>44</v>
      </c>
      <c r="S104" s="3" t="s">
        <v>103</v>
      </c>
      <c r="T104" s="3">
        <v>180</v>
      </c>
    </row>
    <row r="105" spans="5:20" x14ac:dyDescent="0.25">
      <c r="E105" s="4" t="s">
        <v>106</v>
      </c>
      <c r="F105" s="4">
        <v>1.08</v>
      </c>
      <c r="I105" s="14">
        <f>H91-68.6</f>
        <v>3.7160300000000035</v>
      </c>
      <c r="M105" s="4">
        <v>23.48</v>
      </c>
      <c r="N105" s="4">
        <f>SUM(F105:M105)</f>
        <v>28.276030000000006</v>
      </c>
      <c r="S105" s="3" t="s">
        <v>103</v>
      </c>
      <c r="T105" s="3">
        <v>1350</v>
      </c>
    </row>
    <row r="106" spans="5:20" x14ac:dyDescent="0.25">
      <c r="E106" s="4" t="s">
        <v>105</v>
      </c>
      <c r="F106" s="7">
        <f>F104+F105</f>
        <v>13.5</v>
      </c>
      <c r="G106" s="4">
        <f>G104+G105</f>
        <v>1.67</v>
      </c>
      <c r="I106" s="4">
        <f>I104+I105</f>
        <v>11.546030000000002</v>
      </c>
      <c r="M106" s="4">
        <f>M104+M105</f>
        <v>45.56</v>
      </c>
      <c r="N106" s="14">
        <f>N104+N105</f>
        <v>72.276030000000006</v>
      </c>
      <c r="S106" s="3" t="s">
        <v>103</v>
      </c>
      <c r="T106" s="3">
        <v>750</v>
      </c>
    </row>
    <row r="107" spans="5:20" x14ac:dyDescent="0.25">
      <c r="E107" s="4" t="s">
        <v>104</v>
      </c>
      <c r="F107" s="5">
        <f>F106+K103/3</f>
        <v>15.221333333333334</v>
      </c>
      <c r="H107" s="5">
        <f>N106-62.503</f>
        <v>9.7730300000000057</v>
      </c>
      <c r="M107" s="5">
        <f>M106+K103/3</f>
        <v>47.281333333333336</v>
      </c>
      <c r="N107" s="5">
        <f>SUM(F107:M107)</f>
        <v>72.275696666666676</v>
      </c>
      <c r="S107" s="3" t="s">
        <v>103</v>
      </c>
      <c r="T107" s="3">
        <v>180</v>
      </c>
    </row>
    <row r="108" spans="5:20" x14ac:dyDescent="0.25">
      <c r="F108" s="8">
        <f>F107/$N$107</f>
        <v>0.21060099086327264</v>
      </c>
      <c r="H108" s="8">
        <f>M107/$N$107</f>
        <v>0.65418025026300908</v>
      </c>
      <c r="M108" s="15">
        <f>H107/$N$107</f>
        <v>0.13521875887371829</v>
      </c>
      <c r="S108" s="3" t="s">
        <v>102</v>
      </c>
      <c r="T108" s="3">
        <v>1500</v>
      </c>
    </row>
    <row r="109" spans="5:20" x14ac:dyDescent="0.25">
      <c r="E109" s="4" t="s">
        <v>101</v>
      </c>
      <c r="F109" s="8"/>
      <c r="G109" s="8"/>
      <c r="H109" s="14">
        <v>40.991365439999996</v>
      </c>
      <c r="S109" s="3"/>
      <c r="T109" s="3"/>
    </row>
    <row r="110" spans="5:20" x14ac:dyDescent="0.25">
      <c r="F110" s="8"/>
      <c r="G110" s="8"/>
      <c r="H110" s="8"/>
      <c r="S110" s="3"/>
      <c r="T110" s="3"/>
    </row>
    <row r="111" spans="5:20" x14ac:dyDescent="0.25">
      <c r="E111" s="4" t="s">
        <v>100</v>
      </c>
      <c r="G111" s="4" t="s">
        <v>99</v>
      </c>
      <c r="H111" s="4">
        <f>[1]ElecBY!F77</f>
        <v>34.200000000000003</v>
      </c>
      <c r="S111" s="3" t="s">
        <v>95</v>
      </c>
      <c r="T111" s="3">
        <v>65</v>
      </c>
    </row>
    <row r="112" spans="5:20" x14ac:dyDescent="0.25">
      <c r="E112" s="4" t="s">
        <v>98</v>
      </c>
      <c r="G112" s="13" t="s">
        <v>97</v>
      </c>
      <c r="H112" s="4">
        <f>G106/H111</f>
        <v>4.8830409356725141E-2</v>
      </c>
      <c r="S112" s="3" t="s">
        <v>95</v>
      </c>
      <c r="T112" s="3">
        <v>360</v>
      </c>
    </row>
    <row r="113" spans="5:20" x14ac:dyDescent="0.25">
      <c r="E113" s="4" t="s">
        <v>96</v>
      </c>
      <c r="H113" s="12">
        <f>H107/H111</f>
        <v>0.28576111111111124</v>
      </c>
      <c r="S113" s="3" t="s">
        <v>95</v>
      </c>
      <c r="T113" s="3">
        <v>240</v>
      </c>
    </row>
    <row r="114" spans="5:20" x14ac:dyDescent="0.25">
      <c r="S114" s="3" t="s">
        <v>94</v>
      </c>
      <c r="T114" s="11">
        <v>1860</v>
      </c>
    </row>
    <row r="116" spans="5:20" x14ac:dyDescent="0.25">
      <c r="E116" s="4" t="s">
        <v>93</v>
      </c>
    </row>
    <row r="118" spans="5:20" x14ac:dyDescent="0.25">
      <c r="E118" s="10" t="s">
        <v>92</v>
      </c>
      <c r="F118" s="4" t="s">
        <v>91</v>
      </c>
    </row>
    <row r="119" spans="5:20" x14ac:dyDescent="0.25">
      <c r="E119" s="4" t="s">
        <v>90</v>
      </c>
      <c r="F119" s="4">
        <v>31.005621000000001</v>
      </c>
    </row>
    <row r="120" spans="5:20" x14ac:dyDescent="0.25">
      <c r="E120" s="4" t="s">
        <v>89</v>
      </c>
      <c r="F120" s="4">
        <v>0.108553</v>
      </c>
    </row>
    <row r="121" spans="5:20" x14ac:dyDescent="0.25">
      <c r="E121" s="4" t="s">
        <v>88</v>
      </c>
      <c r="F121" s="4">
        <v>1.1249999999999999E-3</v>
      </c>
    </row>
    <row r="122" spans="5:20" x14ac:dyDescent="0.25">
      <c r="E122" s="4" t="s">
        <v>87</v>
      </c>
      <c r="F122" s="4">
        <v>3.1538999999999998E-2</v>
      </c>
    </row>
    <row r="123" spans="5:20" x14ac:dyDescent="0.25">
      <c r="E123" s="4" t="s">
        <v>86</v>
      </c>
      <c r="F123" s="4">
        <v>0.32746700000000001</v>
      </c>
    </row>
    <row r="124" spans="5:20" x14ac:dyDescent="0.25">
      <c r="E124" s="4" t="s">
        <v>85</v>
      </c>
      <c r="F124" s="4">
        <v>6.1600000000000001E-4</v>
      </c>
    </row>
    <row r="125" spans="5:20" x14ac:dyDescent="0.25">
      <c r="E125" s="4" t="s">
        <v>84</v>
      </c>
      <c r="F125" s="4">
        <v>1.2408000000000001E-2</v>
      </c>
    </row>
    <row r="126" spans="5:20" x14ac:dyDescent="0.25">
      <c r="E126" s="4" t="s">
        <v>83</v>
      </c>
      <c r="F126" s="4">
        <v>1.0300000000000001E-3</v>
      </c>
    </row>
    <row r="127" spans="5:20" x14ac:dyDescent="0.25">
      <c r="E127" s="4" t="s">
        <v>73</v>
      </c>
      <c r="F127" s="4">
        <f>SUM(F119:F126)</f>
        <v>31.488358999999999</v>
      </c>
    </row>
    <row r="129" spans="5:14" x14ac:dyDescent="0.25">
      <c r="F129" s="4" t="s">
        <v>82</v>
      </c>
      <c r="G129" s="4">
        <v>0.6</v>
      </c>
      <c r="I129" s="4">
        <f>1-G129</f>
        <v>0.4</v>
      </c>
    </row>
    <row r="130" spans="5:14" ht="30" customHeight="1" x14ac:dyDescent="0.25">
      <c r="E130" s="9" t="s">
        <v>81</v>
      </c>
      <c r="F130" s="9" t="s">
        <v>80</v>
      </c>
      <c r="G130" s="9" t="s">
        <v>78</v>
      </c>
      <c r="H130" s="9" t="s">
        <v>79</v>
      </c>
      <c r="I130" s="9" t="s">
        <v>78</v>
      </c>
      <c r="J130" s="9" t="s">
        <v>77</v>
      </c>
      <c r="K130" s="9" t="s">
        <v>76</v>
      </c>
      <c r="L130" s="9" t="s">
        <v>75</v>
      </c>
      <c r="M130" s="9" t="s">
        <v>74</v>
      </c>
    </row>
    <row r="131" spans="5:14" x14ac:dyDescent="0.25">
      <c r="E131" s="4" t="s">
        <v>43</v>
      </c>
      <c r="F131" s="4">
        <f>F119</f>
        <v>31.005621000000001</v>
      </c>
      <c r="G131" s="8">
        <f>F131/$F$137</f>
        <v>0.98466931858849804</v>
      </c>
      <c r="H131" s="4">
        <f>[1]ElecBY!G69</f>
        <v>10.6821</v>
      </c>
      <c r="I131" s="8">
        <f>H131/$H$137</f>
        <v>0.28962751679672039</v>
      </c>
      <c r="J131" s="8">
        <f>I131*$I$129+G131*$G$129</f>
        <v>0.70665259787178702</v>
      </c>
      <c r="K131" s="7">
        <f>J131*$K$137</f>
        <v>33.411477030841922</v>
      </c>
      <c r="L131" s="6">
        <f>K131/H131</f>
        <v>3.1278004353864803</v>
      </c>
      <c r="M131" s="7">
        <f>J131*$M$137</f>
        <v>25.234093168269599</v>
      </c>
      <c r="N131" s="6">
        <f>M131/H131</f>
        <v>2.3622783130910214</v>
      </c>
    </row>
    <row r="132" spans="5:14" x14ac:dyDescent="0.25">
      <c r="E132" s="4" t="s">
        <v>46</v>
      </c>
      <c r="F132" s="4">
        <f>F120</f>
        <v>0.108553</v>
      </c>
      <c r="G132" s="8">
        <f>F132/$F$137</f>
        <v>3.4474009903151825E-3</v>
      </c>
      <c r="H132" s="4">
        <f>[1]ElecBY!G58</f>
        <v>0.91200000000000003</v>
      </c>
      <c r="I132" s="8">
        <f>H132/$H$137</f>
        <v>2.4727375265032998E-2</v>
      </c>
      <c r="J132" s="8">
        <f>I132*$I$129+G132*$G$129</f>
        <v>1.195939070020231E-2</v>
      </c>
      <c r="K132" s="7">
        <f>J132*$K$137</f>
        <v>0.56545593815983219</v>
      </c>
      <c r="L132" s="6">
        <f>K132/H132</f>
        <v>0.62001747605244761</v>
      </c>
      <c r="M132" s="7">
        <f>J132*$M$137</f>
        <v>0.42706186897709103</v>
      </c>
      <c r="N132" s="6">
        <f>M132/H132</f>
        <v>0.46826959317663486</v>
      </c>
    </row>
    <row r="133" spans="5:14" x14ac:dyDescent="0.25">
      <c r="E133" s="4" t="s">
        <v>40</v>
      </c>
      <c r="F133" s="4">
        <f>F122+F121+F125</f>
        <v>4.5072000000000001E-2</v>
      </c>
      <c r="G133" s="8">
        <f>F133/$F$137</f>
        <v>1.4313861195497674E-3</v>
      </c>
      <c r="H133" s="4">
        <f>SUM([1]ElecBY!G60:G68)+[1]ElecBY!G71</f>
        <v>18.776499999999999</v>
      </c>
      <c r="I133" s="8">
        <f>H133/$H$137</f>
        <v>0.5090938176139167</v>
      </c>
      <c r="J133" s="8">
        <f>I133*$I$129+G133*$G$129</f>
        <v>0.20449635871729657</v>
      </c>
      <c r="K133" s="7">
        <f>J133*$K$137</f>
        <v>9.6688605019654048</v>
      </c>
      <c r="L133" s="6">
        <f>K133/H133</f>
        <v>0.51494477149444284</v>
      </c>
      <c r="M133" s="7">
        <f>J133*$M$137</f>
        <v>7.3024286388888493</v>
      </c>
      <c r="N133" s="6">
        <f>M133/H133</f>
        <v>0.38891319675599018</v>
      </c>
    </row>
    <row r="134" spans="5:14" x14ac:dyDescent="0.25">
      <c r="E134" s="4" t="s">
        <v>45</v>
      </c>
      <c r="F134" s="4">
        <f>F123+F126</f>
        <v>0.32849699999999998</v>
      </c>
      <c r="G134" s="8">
        <f>F134/$F$137</f>
        <v>1.0432331516545526E-2</v>
      </c>
      <c r="H134" s="4">
        <f>[1]ElecBY!G59</f>
        <v>6.0609000000000002</v>
      </c>
      <c r="I134" s="8">
        <f>H134/$H$137</f>
        <v>0.16433130344719135</v>
      </c>
      <c r="J134" s="8">
        <f>I134*$I$129+G134*$G$129</f>
        <v>7.1991920288803857E-2</v>
      </c>
      <c r="K134" s="7">
        <f>J134*$K$137</f>
        <v>3.4038739804816984</v>
      </c>
      <c r="L134" s="6">
        <f>K134/H134</f>
        <v>0.5616119685990032</v>
      </c>
      <c r="M134" s="7">
        <f>J134*$M$137</f>
        <v>2.57078347889966</v>
      </c>
      <c r="N134" s="6">
        <f>M134/H134</f>
        <v>0.42415870232138131</v>
      </c>
    </row>
    <row r="135" spans="5:14" x14ac:dyDescent="0.25">
      <c r="E135" s="4" t="s">
        <v>42</v>
      </c>
      <c r="F135" s="4">
        <f>F124</f>
        <v>6.1600000000000001E-4</v>
      </c>
      <c r="G135" s="8">
        <f>F135/$F$137</f>
        <v>1.9562785091468246E-5</v>
      </c>
      <c r="H135" s="4">
        <f>[1]ElecBY!G70</f>
        <v>0.45069999999999999</v>
      </c>
      <c r="I135" s="8">
        <f>H135/$H$137</f>
        <v>1.2219986877138565E-2</v>
      </c>
      <c r="J135" s="8">
        <f>I135*$I$129+G135*$G$129</f>
        <v>4.8997324219103074E-3</v>
      </c>
      <c r="K135" s="7">
        <f>J135*$K$137</f>
        <v>0.23166588188448189</v>
      </c>
      <c r="L135" s="6">
        <f>K135/H135</f>
        <v>0.51401349430770338</v>
      </c>
      <c r="M135" s="7">
        <f>J135*$M$137</f>
        <v>0.17496617829813579</v>
      </c>
      <c r="N135" s="6">
        <f>M135/H135</f>
        <v>0.38820984756630972</v>
      </c>
    </row>
    <row r="137" spans="5:14" x14ac:dyDescent="0.25">
      <c r="E137" s="4" t="s">
        <v>73</v>
      </c>
      <c r="F137" s="4">
        <f>SUM(F131:F135)</f>
        <v>31.488359000000003</v>
      </c>
      <c r="H137" s="4">
        <f>SUM(H131:H135)</f>
        <v>36.882199999999997</v>
      </c>
      <c r="K137" s="5">
        <f>M107</f>
        <v>47.281333333333336</v>
      </c>
      <c r="M137" s="5">
        <f>M107-(M104-M103)</f>
        <v>35.709333333333333</v>
      </c>
    </row>
  </sheetData>
  <mergeCells count="2">
    <mergeCell ref="G68:J68"/>
    <mergeCell ref="K68:N68"/>
  </mergeCells>
  <hyperlinks>
    <hyperlink ref="AE67" r:id="rId1" xr:uid="{63B133F9-0257-4CC9-B2B4-6D014AED1119}"/>
    <hyperlink ref="AE71" r:id="rId2" xr:uid="{678DD88D-9DB1-4889-8D5D-69CB38E28A88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ITEMS-Con</vt:lpstr>
      <vt:lpstr>ConTID</vt:lpstr>
      <vt:lpstr>ConTSLabour</vt:lpstr>
      <vt:lpstr>PWR_Lab</vt:lpstr>
      <vt:lpstr>Lab.Calcs.Assumptions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2022-12-12T12:21:55Z</dcterms:created>
  <dcterms:modified xsi:type="dcterms:W3CDTF">2023-02-17T12:20:43Z</dcterms:modified>
</cp:coreProperties>
</file>