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"/>
    </mc:Choice>
  </mc:AlternateContent>
  <xr:revisionPtr revIDLastSave="0" documentId="13_ncr:1_{AED470BF-C0AD-374C-8DCD-B8F91ACFC3B3}" xr6:coauthVersionLast="47" xr6:coauthVersionMax="47" xr10:uidLastSave="{00000000-0000-0000-0000-000000000000}"/>
  <bookViews>
    <workbookView xWindow="0" yWindow="500" windowWidth="24980" windowHeight="17500" activeTab="2" xr2:uid="{528C1233-8D02-C142-86BB-C604BDF0C53B}"/>
  </bookViews>
  <sheets>
    <sheet name="Scenario demand summary" sheetId="16" r:id="rId1"/>
    <sheet name="Scenarios" sheetId="14" r:id="rId2"/>
    <sheet name="Fuel costs" sheetId="15" r:id="rId3"/>
    <sheet name="Summary" sheetId="1" r:id="rId4"/>
    <sheet name="Generic" sheetId="2" r:id="rId5"/>
    <sheet name="Existing" sheetId="3" r:id="rId6"/>
    <sheet name="New Generic (other)" sheetId="12" r:id="rId7"/>
    <sheet name="Hydro Small New" sheetId="4" r:id="rId8"/>
    <sheet name="Hydro Med New" sheetId="9" r:id="rId9"/>
    <sheet name="Hydro Large New" sheetId="10" r:id="rId10"/>
    <sheet name="Wind New" sheetId="5" r:id="rId11"/>
    <sheet name="Solar New" sheetId="6" r:id="rId12"/>
    <sheet name="NOTES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3" l="1"/>
  <c r="BF2" i="5" l="1"/>
  <c r="BF3" i="5"/>
  <c r="BG3" i="5"/>
  <c r="BH3" i="5"/>
  <c r="BF4" i="5"/>
  <c r="BG4" i="5"/>
  <c r="BH4" i="5"/>
  <c r="BF5" i="5"/>
  <c r="BG5" i="5"/>
  <c r="BH5" i="5"/>
  <c r="BF6" i="5"/>
  <c r="BG6" i="5"/>
  <c r="BH6" i="5"/>
  <c r="BF7" i="5"/>
  <c r="BG7" i="5"/>
  <c r="BH7" i="5"/>
  <c r="BF8" i="5"/>
  <c r="BG8" i="5"/>
  <c r="BH8" i="5"/>
  <c r="BF9" i="5"/>
  <c r="BG9" i="5"/>
  <c r="BH9" i="5"/>
  <c r="BF10" i="5"/>
  <c r="BG10" i="5"/>
  <c r="BH10" i="5"/>
  <c r="BF11" i="5"/>
  <c r="BG11" i="5"/>
  <c r="BH11" i="5"/>
  <c r="BF12" i="5"/>
  <c r="BG12" i="5"/>
  <c r="BH12" i="5"/>
  <c r="BF13" i="5"/>
  <c r="BG13" i="5"/>
  <c r="BH13" i="5"/>
  <c r="BF14" i="5"/>
  <c r="BG14" i="5"/>
  <c r="BH14" i="5"/>
  <c r="BF15" i="5"/>
  <c r="BG15" i="5"/>
  <c r="BH15" i="5"/>
  <c r="BF16" i="5"/>
  <c r="BG16" i="5"/>
  <c r="BH16" i="5"/>
  <c r="BF17" i="5"/>
  <c r="BG17" i="5"/>
  <c r="BH17" i="5"/>
  <c r="BF18" i="5"/>
  <c r="BG18" i="5"/>
  <c r="BH18" i="5"/>
  <c r="BF19" i="5"/>
  <c r="BG19" i="5"/>
  <c r="BH19" i="5"/>
  <c r="BF20" i="5"/>
  <c r="BG20" i="5"/>
  <c r="BH20" i="5"/>
  <c r="BF21" i="5"/>
  <c r="BG21" i="5"/>
  <c r="BH21" i="5"/>
  <c r="BF22" i="5"/>
  <c r="BG22" i="5"/>
  <c r="BH22" i="5"/>
  <c r="BF23" i="5"/>
  <c r="BG23" i="5"/>
  <c r="BH23" i="5"/>
  <c r="BF24" i="5"/>
  <c r="BG24" i="5"/>
  <c r="BH24" i="5"/>
  <c r="BH2" i="5"/>
  <c r="BG2" i="5"/>
  <c r="BH3" i="6"/>
  <c r="BH4" i="6"/>
  <c r="BH5" i="6"/>
  <c r="BH6" i="6"/>
  <c r="BH7" i="6"/>
  <c r="BH8" i="6"/>
  <c r="BH9" i="6"/>
  <c r="BH10" i="6"/>
  <c r="BH11" i="6"/>
  <c r="BH12" i="6"/>
  <c r="BH13" i="6"/>
  <c r="BH14" i="6"/>
  <c r="BH15" i="6"/>
  <c r="BH16" i="6"/>
  <c r="BH17" i="6"/>
  <c r="BH18" i="6"/>
  <c r="BH19" i="6"/>
  <c r="BH20" i="6"/>
  <c r="BH21" i="6"/>
  <c r="BH22" i="6"/>
  <c r="BH23" i="6"/>
  <c r="BH24" i="6"/>
  <c r="BH25" i="6"/>
  <c r="BH26" i="6"/>
  <c r="BH27" i="6"/>
  <c r="BH28" i="6"/>
  <c r="BH29" i="6"/>
  <c r="BH2" i="6"/>
  <c r="BG2" i="6"/>
  <c r="BF3" i="6"/>
  <c r="BG3" i="6"/>
  <c r="BF4" i="6"/>
  <c r="BG4" i="6"/>
  <c r="BF5" i="6"/>
  <c r="BG5" i="6"/>
  <c r="BF6" i="6"/>
  <c r="BG6" i="6"/>
  <c r="BF7" i="6"/>
  <c r="BG7" i="6"/>
  <c r="BF8" i="6"/>
  <c r="BG8" i="6"/>
  <c r="BF9" i="6"/>
  <c r="BG9" i="6"/>
  <c r="BF10" i="6"/>
  <c r="BG10" i="6"/>
  <c r="BF11" i="6"/>
  <c r="BG11" i="6"/>
  <c r="BF12" i="6"/>
  <c r="BG12" i="6"/>
  <c r="BF13" i="6"/>
  <c r="BG13" i="6"/>
  <c r="BF14" i="6"/>
  <c r="BG14" i="6"/>
  <c r="BF15" i="6"/>
  <c r="BG15" i="6"/>
  <c r="BF16" i="6"/>
  <c r="BG16" i="6"/>
  <c r="BF17" i="6"/>
  <c r="BG17" i="6"/>
  <c r="BF18" i="6"/>
  <c r="BG18" i="6"/>
  <c r="BF19" i="6"/>
  <c r="BG19" i="6"/>
  <c r="BF20" i="6"/>
  <c r="BG20" i="6"/>
  <c r="BF21" i="6"/>
  <c r="BG21" i="6"/>
  <c r="BF22" i="6"/>
  <c r="BG22" i="6"/>
  <c r="BF23" i="6"/>
  <c r="BG23" i="6"/>
  <c r="BF24" i="6"/>
  <c r="BG24" i="6"/>
  <c r="BF25" i="6"/>
  <c r="BG25" i="6"/>
  <c r="BF26" i="6"/>
  <c r="BG26" i="6"/>
  <c r="BF27" i="6"/>
  <c r="BG27" i="6"/>
  <c r="BF28" i="6"/>
  <c r="BG28" i="6"/>
  <c r="BF29" i="6"/>
  <c r="BG29" i="6"/>
  <c r="BF2" i="6"/>
  <c r="S11" i="6" l="1"/>
  <c r="S12" i="6"/>
  <c r="S22" i="6"/>
  <c r="S23" i="6"/>
  <c r="S28" i="6"/>
  <c r="S29" i="6"/>
  <c r="S3" i="10" l="1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1" i="10"/>
  <c r="S2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2" i="9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2" i="4"/>
  <c r="S23" i="4"/>
  <c r="S24" i="4"/>
  <c r="S3" i="4"/>
  <c r="S20" i="5"/>
  <c r="S19" i="5"/>
  <c r="S4" i="5"/>
  <c r="S5" i="5"/>
  <c r="S6" i="5"/>
  <c r="S7" i="5"/>
  <c r="S8" i="5"/>
  <c r="S9" i="5"/>
  <c r="S10" i="5"/>
  <c r="S11" i="5"/>
  <c r="P26" i="6"/>
  <c r="S26" i="6" s="1"/>
  <c r="P25" i="6"/>
  <c r="S25" i="6" s="1"/>
  <c r="P20" i="6"/>
  <c r="S20" i="6" s="1"/>
  <c r="P19" i="6"/>
  <c r="S19" i="6" s="1"/>
  <c r="P18" i="6"/>
  <c r="S18" i="6" s="1"/>
  <c r="P17" i="6"/>
  <c r="S17" i="6" s="1"/>
  <c r="P15" i="6"/>
  <c r="S15" i="6" s="1"/>
  <c r="P14" i="6"/>
  <c r="S14" i="6" s="1"/>
  <c r="P24" i="6"/>
  <c r="S24" i="6" s="1"/>
  <c r="P16" i="6"/>
  <c r="S16" i="6" s="1"/>
  <c r="P13" i="6"/>
  <c r="S13" i="6" s="1"/>
  <c r="P9" i="6"/>
  <c r="S9" i="6" s="1"/>
  <c r="P8" i="6"/>
  <c r="S8" i="6" s="1"/>
  <c r="P7" i="6"/>
  <c r="S7" i="6" s="1"/>
  <c r="P6" i="6"/>
  <c r="S6" i="6" s="1"/>
  <c r="P5" i="6"/>
  <c r="S5" i="6" s="1"/>
  <c r="P4" i="6"/>
  <c r="S4" i="6" s="1"/>
  <c r="P3" i="6"/>
  <c r="S3" i="6" s="1"/>
  <c r="P2" i="6"/>
  <c r="S2" i="6" s="1"/>
  <c r="P10" i="6" l="1"/>
  <c r="S10" i="6" s="1"/>
  <c r="P27" i="6"/>
  <c r="S27" i="6" s="1"/>
  <c r="S12" i="5"/>
  <c r="S13" i="5"/>
  <c r="S14" i="5"/>
  <c r="S15" i="5"/>
  <c r="S16" i="5"/>
  <c r="S17" i="5"/>
  <c r="S18" i="5"/>
  <c r="S21" i="5"/>
  <c r="S22" i="5"/>
  <c r="S23" i="5"/>
  <c r="J20" i="6" l="1"/>
  <c r="J19" i="6"/>
  <c r="J18" i="6"/>
  <c r="J17" i="6"/>
  <c r="E20" i="6"/>
  <c r="E19" i="6"/>
  <c r="E18" i="6"/>
  <c r="E17" i="6"/>
  <c r="E16" i="6"/>
  <c r="J16" i="6"/>
  <c r="E15" i="6"/>
  <c r="J15" i="6"/>
  <c r="E14" i="6"/>
  <c r="J14" i="6"/>
  <c r="E9" i="6" l="1"/>
  <c r="E8" i="6"/>
  <c r="E7" i="6"/>
  <c r="E6" i="6"/>
  <c r="E5" i="6"/>
  <c r="E4" i="6"/>
  <c r="E3" i="6"/>
  <c r="J9" i="6"/>
  <c r="J8" i="6"/>
  <c r="J7" i="6"/>
  <c r="J6" i="6"/>
  <c r="J5" i="6"/>
  <c r="J4" i="6"/>
  <c r="J3" i="6"/>
  <c r="J2" i="6"/>
  <c r="G154" i="16"/>
  <c r="H1" i="16"/>
  <c r="Y7" i="14" l="1" a="1"/>
  <c r="Y7" i="14" s="1"/>
  <c r="Y10" i="6" l="1"/>
  <c r="U10" i="6"/>
  <c r="AG3" i="6"/>
  <c r="AH3" i="6" s="1"/>
  <c r="AI3" i="6" s="1"/>
  <c r="AJ3" i="6" s="1"/>
  <c r="AK3" i="6" s="1"/>
  <c r="AL3" i="6" s="1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AX3" i="6" s="1"/>
  <c r="AY3" i="6" s="1"/>
  <c r="AZ3" i="6" s="1"/>
  <c r="BA3" i="6" s="1"/>
  <c r="BB3" i="6" s="1"/>
  <c r="BC3" i="6" s="1"/>
  <c r="BD3" i="6" s="1"/>
  <c r="BE3" i="6" s="1"/>
  <c r="AG4" i="6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AG5" i="6"/>
  <c r="AH5" i="6" s="1"/>
  <c r="AI5" i="6" s="1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BA5" i="6" s="1"/>
  <c r="BB5" i="6" s="1"/>
  <c r="BC5" i="6" s="1"/>
  <c r="BD5" i="6" s="1"/>
  <c r="BE5" i="6" s="1"/>
  <c r="AG6" i="6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AG7" i="6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BC7" i="6" s="1"/>
  <c r="BD7" i="6" s="1"/>
  <c r="BE7" i="6" s="1"/>
  <c r="AG8" i="6"/>
  <c r="AH8" i="6" s="1"/>
  <c r="AI8" i="6" s="1"/>
  <c r="AJ8" i="6" s="1"/>
  <c r="AK8" i="6" s="1"/>
  <c r="AL8" i="6" s="1"/>
  <c r="AM8" i="6" s="1"/>
  <c r="AN8" i="6" s="1"/>
  <c r="AO8" i="6" s="1"/>
  <c r="AP8" i="6" s="1"/>
  <c r="AQ8" i="6" s="1"/>
  <c r="AR8" i="6" s="1"/>
  <c r="AS8" i="6" s="1"/>
  <c r="AT8" i="6" s="1"/>
  <c r="AU8" i="6" s="1"/>
  <c r="AV8" i="6" s="1"/>
  <c r="AW8" i="6" s="1"/>
  <c r="AX8" i="6" s="1"/>
  <c r="AY8" i="6" s="1"/>
  <c r="AZ8" i="6" s="1"/>
  <c r="BA8" i="6" s="1"/>
  <c r="BB8" i="6" s="1"/>
  <c r="BC8" i="6" s="1"/>
  <c r="BD8" i="6" s="1"/>
  <c r="BE8" i="6" s="1"/>
  <c r="AG9" i="6"/>
  <c r="AH9" i="6" s="1"/>
  <c r="AI9" i="6" s="1"/>
  <c r="AJ9" i="6" s="1"/>
  <c r="AK9" i="6" s="1"/>
  <c r="AL9" i="6" s="1"/>
  <c r="AM9" i="6" s="1"/>
  <c r="AN9" i="6" s="1"/>
  <c r="AO9" i="6" s="1"/>
  <c r="AP9" i="6" s="1"/>
  <c r="AQ9" i="6" s="1"/>
  <c r="AR9" i="6" s="1"/>
  <c r="AS9" i="6" s="1"/>
  <c r="AT9" i="6" s="1"/>
  <c r="AU9" i="6" s="1"/>
  <c r="AV9" i="6" s="1"/>
  <c r="AW9" i="6" s="1"/>
  <c r="AX9" i="6" s="1"/>
  <c r="AY9" i="6" s="1"/>
  <c r="AZ9" i="6" s="1"/>
  <c r="BA9" i="6" s="1"/>
  <c r="BB9" i="6" s="1"/>
  <c r="BC9" i="6" s="1"/>
  <c r="BD9" i="6" s="1"/>
  <c r="BE9" i="6" s="1"/>
  <c r="AG2" i="6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V10" i="6" l="1"/>
  <c r="W10" i="6" s="1"/>
  <c r="X10" i="6" s="1"/>
  <c r="P21" i="6"/>
  <c r="S21" i="6" s="1"/>
  <c r="P22" i="6"/>
  <c r="P28" i="6" s="1"/>
  <c r="R22" i="6"/>
  <c r="R28" i="6" s="1"/>
  <c r="X7" i="14" l="1"/>
  <c r="W7" i="14"/>
  <c r="V7" i="14"/>
  <c r="U7" i="14"/>
  <c r="T7" i="14"/>
  <c r="S7" i="14"/>
  <c r="R7" i="14"/>
  <c r="P7" i="14"/>
  <c r="O7" i="14"/>
  <c r="N7" i="14"/>
  <c r="M7" i="14"/>
  <c r="L7" i="14"/>
  <c r="K7" i="14"/>
  <c r="H7" i="14"/>
  <c r="G7" i="14"/>
  <c r="J26" i="6"/>
  <c r="J25" i="6"/>
  <c r="J24" i="6"/>
  <c r="E26" i="6"/>
  <c r="D26" i="6"/>
  <c r="E25" i="6"/>
  <c r="D25" i="6"/>
  <c r="E24" i="6"/>
  <c r="D24" i="6"/>
  <c r="U9" i="6" l="1"/>
  <c r="U14" i="6"/>
  <c r="U8" i="6"/>
  <c r="U7" i="6"/>
  <c r="U6" i="6"/>
  <c r="U15" i="6"/>
  <c r="U4" i="6"/>
  <c r="U2" i="6"/>
  <c r="U20" i="6"/>
  <c r="U16" i="6"/>
  <c r="U3" i="6"/>
  <c r="U19" i="6"/>
  <c r="U5" i="6"/>
  <c r="U18" i="6"/>
  <c r="U17" i="6"/>
  <c r="F24" i="4"/>
  <c r="F23" i="4"/>
  <c r="F22" i="4"/>
  <c r="Z23" i="4"/>
  <c r="Z24" i="4"/>
  <c r="Z22" i="4"/>
  <c r="AA22" i="4"/>
  <c r="AB22" i="4"/>
  <c r="AC22" i="4"/>
  <c r="AD22" i="4"/>
  <c r="AE22" i="4"/>
  <c r="AA23" i="4"/>
  <c r="AB23" i="4"/>
  <c r="AC23" i="4"/>
  <c r="AD23" i="4"/>
  <c r="AE23" i="4"/>
  <c r="AA24" i="4"/>
  <c r="AB24" i="4"/>
  <c r="AC24" i="4"/>
  <c r="AD24" i="4"/>
  <c r="AE24" i="4"/>
  <c r="R23" i="4"/>
  <c r="R24" i="4"/>
  <c r="R22" i="4"/>
  <c r="H24" i="4"/>
  <c r="H23" i="4"/>
  <c r="H22" i="4"/>
  <c r="G24" i="4"/>
  <c r="G23" i="4"/>
  <c r="G22" i="4"/>
  <c r="Y9" i="2" l="1"/>
  <c r="Z9" i="2" s="1"/>
  <c r="AA9" i="2" s="1"/>
  <c r="AB9" i="2" s="1"/>
  <c r="AC9" i="2" s="1"/>
  <c r="AD9" i="2" s="1"/>
  <c r="Y8" i="2"/>
  <c r="Z8" i="2" s="1"/>
  <c r="Y7" i="2"/>
  <c r="Z7" i="2" s="1"/>
  <c r="Y6" i="2"/>
  <c r="Z6" i="2" s="1"/>
  <c r="Y5" i="2"/>
  <c r="Z5" i="2" s="1"/>
  <c r="AA5" i="2" s="1"/>
  <c r="AB5" i="2" s="1"/>
  <c r="AC5" i="2" s="1"/>
  <c r="AD5" i="2" s="1"/>
  <c r="Y4" i="2"/>
  <c r="Z4" i="2" s="1"/>
  <c r="AA4" i="2" s="1"/>
  <c r="AB4" i="2" s="1"/>
  <c r="AC4" i="2" s="1"/>
  <c r="AD4" i="2" s="1"/>
  <c r="Y3" i="2"/>
  <c r="Z3" i="2" s="1"/>
  <c r="AA3" i="2" s="1"/>
  <c r="AB3" i="2" s="1"/>
  <c r="AC3" i="2" s="1"/>
  <c r="AD3" i="2" s="1"/>
  <c r="Y2" i="2"/>
  <c r="Z2" i="2" s="1"/>
  <c r="AA2" i="2" s="1"/>
  <c r="AB2" i="2" s="1"/>
  <c r="AC2" i="2" s="1"/>
  <c r="AD2" i="2" s="1"/>
  <c r="W9" i="2"/>
  <c r="V9" i="2"/>
  <c r="U9" i="2"/>
  <c r="X9" i="2"/>
  <c r="T9" i="2"/>
  <c r="T12" i="2"/>
  <c r="S8" i="2"/>
  <c r="T8" i="2" s="1"/>
  <c r="U8" i="2" s="1"/>
  <c r="V8" i="2" s="1"/>
  <c r="W8" i="2" s="1"/>
  <c r="X8" i="2" s="1"/>
  <c r="S7" i="2"/>
  <c r="T7" i="2" s="1"/>
  <c r="U7" i="2" s="1"/>
  <c r="V7" i="2" s="1"/>
  <c r="W7" i="2" s="1"/>
  <c r="X7" i="2" s="1"/>
  <c r="S6" i="2"/>
  <c r="T6" i="2" s="1"/>
  <c r="U6" i="12" s="1"/>
  <c r="S5" i="2"/>
  <c r="T5" i="2" s="1"/>
  <c r="S4" i="2"/>
  <c r="T4" i="2" s="1"/>
  <c r="S3" i="2"/>
  <c r="T3" i="2" s="1"/>
  <c r="U3" i="12" s="1"/>
  <c r="S2" i="2"/>
  <c r="T2" i="2" s="1"/>
  <c r="U2" i="2" s="1"/>
  <c r="V2" i="2" s="1"/>
  <c r="W2" i="2" s="1"/>
  <c r="X2" i="2" s="1"/>
  <c r="U4" i="12" l="1"/>
  <c r="U4" i="2"/>
  <c r="V4" i="2" s="1"/>
  <c r="W4" i="2" s="1"/>
  <c r="X4" i="2" s="1"/>
  <c r="U5" i="12"/>
  <c r="U5" i="2"/>
  <c r="V5" i="2" s="1"/>
  <c r="W5" i="2" s="1"/>
  <c r="X5" i="2" s="1"/>
  <c r="U6" i="2"/>
  <c r="V6" i="2" s="1"/>
  <c r="W6" i="2" s="1"/>
  <c r="X6" i="2" s="1"/>
  <c r="U3" i="2"/>
  <c r="V3" i="2" s="1"/>
  <c r="W3" i="2" s="1"/>
  <c r="X3" i="2" s="1"/>
  <c r="F13" i="5"/>
  <c r="R24" i="3" l="1"/>
  <c r="R25" i="3"/>
  <c r="J24" i="3"/>
  <c r="AA25" i="3"/>
  <c r="AB25" i="3" s="1"/>
  <c r="AC25" i="3" s="1"/>
  <c r="AD25" i="3" s="1"/>
  <c r="AE25" i="3" s="1"/>
  <c r="U25" i="3"/>
  <c r="V25" i="3" s="1"/>
  <c r="W25" i="3" s="1"/>
  <c r="X25" i="3" s="1"/>
  <c r="Y25" i="3" s="1"/>
  <c r="U22" i="5" l="1"/>
  <c r="U23" i="5"/>
  <c r="U21" i="5"/>
  <c r="U9" i="3"/>
  <c r="AA9" i="3"/>
  <c r="L9" i="3"/>
  <c r="AB9" i="3" l="1"/>
  <c r="V9" i="3"/>
  <c r="J3" i="5"/>
  <c r="E3" i="5"/>
  <c r="J23" i="5"/>
  <c r="J22" i="5"/>
  <c r="J21" i="5"/>
  <c r="J20" i="5"/>
  <c r="J19" i="5"/>
  <c r="E20" i="5"/>
  <c r="E19" i="5"/>
  <c r="J8" i="5"/>
  <c r="J7" i="5"/>
  <c r="J6" i="5"/>
  <c r="J5" i="5"/>
  <c r="J4" i="5"/>
  <c r="E8" i="5"/>
  <c r="E7" i="5"/>
  <c r="E6" i="5"/>
  <c r="E5" i="5"/>
  <c r="E4" i="5"/>
  <c r="J18" i="5"/>
  <c r="J17" i="5"/>
  <c r="J16" i="5"/>
  <c r="J15" i="5"/>
  <c r="J14" i="5"/>
  <c r="J13" i="5"/>
  <c r="J12" i="5"/>
  <c r="J11" i="5"/>
  <c r="J10" i="5"/>
  <c r="J9" i="5"/>
  <c r="E11" i="5"/>
  <c r="E10" i="5"/>
  <c r="E9" i="5"/>
  <c r="J2" i="5"/>
  <c r="E2" i="5"/>
  <c r="W9" i="3" l="1"/>
  <c r="AC9" i="3"/>
  <c r="S22" i="3"/>
  <c r="S8" i="3"/>
  <c r="S7" i="3"/>
  <c r="S6" i="3"/>
  <c r="S2" i="3"/>
  <c r="AD9" i="3" l="1"/>
  <c r="X9" i="3"/>
  <c r="J321" i="16"/>
  <c r="K321" i="16" s="1"/>
  <c r="L321" i="16" s="1"/>
  <c r="M321" i="16" s="1"/>
  <c r="N321" i="16" s="1"/>
  <c r="O321" i="16" s="1"/>
  <c r="P321" i="16" s="1"/>
  <c r="Q321" i="16" s="1"/>
  <c r="R321" i="16" s="1"/>
  <c r="S321" i="16" s="1"/>
  <c r="T321" i="16" s="1"/>
  <c r="U321" i="16" s="1"/>
  <c r="V321" i="16" s="1"/>
  <c r="W321" i="16" s="1"/>
  <c r="X321" i="16" s="1"/>
  <c r="Y321" i="16" s="1"/>
  <c r="Z321" i="16" s="1"/>
  <c r="AA321" i="16" s="1"/>
  <c r="AB321" i="16" s="1"/>
  <c r="AC321" i="16" s="1"/>
  <c r="AD321" i="16" s="1"/>
  <c r="AE321" i="16" s="1"/>
  <c r="AF321" i="16" s="1"/>
  <c r="AG321" i="16" s="1"/>
  <c r="AH321" i="16" s="1"/>
  <c r="AI321" i="16" s="1"/>
  <c r="AJ321" i="16" s="1"/>
  <c r="AK321" i="16" s="1"/>
  <c r="AL321" i="16" s="1"/>
  <c r="AM321" i="16" s="1"/>
  <c r="J317" i="16"/>
  <c r="K317" i="16" s="1"/>
  <c r="L317" i="16" s="1"/>
  <c r="M317" i="16" s="1"/>
  <c r="N317" i="16" s="1"/>
  <c r="O317" i="16" s="1"/>
  <c r="P317" i="16" s="1"/>
  <c r="Q317" i="16" s="1"/>
  <c r="R317" i="16" s="1"/>
  <c r="S317" i="16" s="1"/>
  <c r="T317" i="16" s="1"/>
  <c r="U317" i="16" s="1"/>
  <c r="V317" i="16" s="1"/>
  <c r="W317" i="16" s="1"/>
  <c r="X317" i="16" s="1"/>
  <c r="Y317" i="16" s="1"/>
  <c r="Z317" i="16" s="1"/>
  <c r="AA317" i="16" s="1"/>
  <c r="AB317" i="16" s="1"/>
  <c r="AC317" i="16" s="1"/>
  <c r="AD317" i="16" s="1"/>
  <c r="AE317" i="16" s="1"/>
  <c r="AF317" i="16" s="1"/>
  <c r="AG317" i="16" s="1"/>
  <c r="AH317" i="16" s="1"/>
  <c r="AI317" i="16" s="1"/>
  <c r="AJ317" i="16" s="1"/>
  <c r="AK317" i="16" s="1"/>
  <c r="AL317" i="16" s="1"/>
  <c r="AM317" i="16" s="1"/>
  <c r="J313" i="16"/>
  <c r="K313" i="16" s="1"/>
  <c r="L313" i="16" s="1"/>
  <c r="M313" i="16" s="1"/>
  <c r="N313" i="16" s="1"/>
  <c r="O313" i="16" s="1"/>
  <c r="P313" i="16" s="1"/>
  <c r="Q313" i="16" s="1"/>
  <c r="R313" i="16" s="1"/>
  <c r="S313" i="16" s="1"/>
  <c r="T313" i="16" s="1"/>
  <c r="U313" i="16" s="1"/>
  <c r="V313" i="16" s="1"/>
  <c r="W313" i="16" s="1"/>
  <c r="X313" i="16" s="1"/>
  <c r="Y313" i="16" s="1"/>
  <c r="Z313" i="16" s="1"/>
  <c r="AA313" i="16" s="1"/>
  <c r="AB313" i="16" s="1"/>
  <c r="AC313" i="16" s="1"/>
  <c r="AD313" i="16" s="1"/>
  <c r="AE313" i="16" s="1"/>
  <c r="AF313" i="16" s="1"/>
  <c r="AG313" i="16" s="1"/>
  <c r="AH313" i="16" s="1"/>
  <c r="AI313" i="16" s="1"/>
  <c r="AJ313" i="16" s="1"/>
  <c r="AK313" i="16" s="1"/>
  <c r="AL313" i="16" s="1"/>
  <c r="AM313" i="16" s="1"/>
  <c r="Y9" i="3" l="1"/>
  <c r="AE9" i="3"/>
  <c r="AM157" i="16"/>
  <c r="AA16" i="6" l="1"/>
  <c r="Z16" i="6" s="1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AA17" i="6"/>
  <c r="Z17" i="6" s="1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AA18" i="6"/>
  <c r="Z18" i="6" s="1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AA19" i="6"/>
  <c r="Z19" i="6" s="1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AA20" i="6"/>
  <c r="Z20" i="6" s="1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Z5" i="6"/>
  <c r="AB5" i="6"/>
  <c r="Z6" i="6"/>
  <c r="AB6" i="6"/>
  <c r="Z7" i="6"/>
  <c r="AB7" i="6"/>
  <c r="Z8" i="6"/>
  <c r="AB8" i="6"/>
  <c r="Z9" i="6"/>
  <c r="AB9" i="6"/>
  <c r="Q16" i="6"/>
  <c r="Q17" i="6"/>
  <c r="Q18" i="6"/>
  <c r="Q19" i="6"/>
  <c r="Q20" i="6"/>
  <c r="D5" i="6"/>
  <c r="D6" i="6"/>
  <c r="D7" i="6"/>
  <c r="D8" i="6"/>
  <c r="D9" i="6"/>
  <c r="D14" i="6"/>
  <c r="D15" i="6"/>
  <c r="D16" i="6"/>
  <c r="D17" i="6"/>
  <c r="D18" i="6"/>
  <c r="D19" i="6"/>
  <c r="D20" i="6"/>
  <c r="D13" i="6"/>
  <c r="D4" i="6"/>
  <c r="D3" i="6"/>
  <c r="D2" i="6"/>
  <c r="E13" i="6"/>
  <c r="E2" i="6"/>
  <c r="AC9" i="6" l="1"/>
  <c r="AC5" i="6"/>
  <c r="AC8" i="6"/>
  <c r="AC7" i="6"/>
  <c r="AC6" i="6"/>
  <c r="AB18" i="6"/>
  <c r="AC20" i="6"/>
  <c r="AC17" i="6"/>
  <c r="AC16" i="6"/>
  <c r="AB20" i="6"/>
  <c r="AB19" i="6"/>
  <c r="AB17" i="6"/>
  <c r="AB16" i="6"/>
  <c r="C16" i="6"/>
  <c r="C5" i="6"/>
  <c r="AD8" i="6" l="1"/>
  <c r="H16" i="6"/>
  <c r="AD7" i="6"/>
  <c r="AC19" i="6"/>
  <c r="AC18" i="6"/>
  <c r="AD5" i="6"/>
  <c r="F16" i="6"/>
  <c r="AD6" i="6"/>
  <c r="AD9" i="6"/>
  <c r="C6" i="6"/>
  <c r="H5" i="6"/>
  <c r="C17" i="6"/>
  <c r="F5" i="6"/>
  <c r="F146" i="15"/>
  <c r="F145" i="15"/>
  <c r="F144" i="15"/>
  <c r="F143" i="15"/>
  <c r="F142" i="15"/>
  <c r="F141" i="15"/>
  <c r="F137" i="15"/>
  <c r="F136" i="15"/>
  <c r="F134" i="15"/>
  <c r="F133" i="15"/>
  <c r="F132" i="15"/>
  <c r="F131" i="15"/>
  <c r="F130" i="15"/>
  <c r="F129" i="15"/>
  <c r="F125" i="15"/>
  <c r="F124" i="15"/>
  <c r="F122" i="15"/>
  <c r="F121" i="15"/>
  <c r="F120" i="15"/>
  <c r="F119" i="15"/>
  <c r="F118" i="15"/>
  <c r="F117" i="15"/>
  <c r="F113" i="15"/>
  <c r="R2" i="10"/>
  <c r="AD20" i="6" l="1"/>
  <c r="AD17" i="6"/>
  <c r="G16" i="6"/>
  <c r="AD18" i="6"/>
  <c r="G5" i="6"/>
  <c r="AD16" i="6"/>
  <c r="AD19" i="6"/>
  <c r="H17" i="6"/>
  <c r="C18" i="6"/>
  <c r="F17" i="6"/>
  <c r="C7" i="6"/>
  <c r="F6" i="6"/>
  <c r="H6" i="6"/>
  <c r="Z23" i="5"/>
  <c r="H23" i="5"/>
  <c r="F23" i="5"/>
  <c r="G23" i="5" s="1"/>
  <c r="Z22" i="5"/>
  <c r="H22" i="5"/>
  <c r="F22" i="5"/>
  <c r="G22" i="5" s="1"/>
  <c r="Z21" i="5"/>
  <c r="H21" i="5"/>
  <c r="F21" i="5"/>
  <c r="G21" i="5" s="1"/>
  <c r="Z20" i="5"/>
  <c r="R20" i="5"/>
  <c r="H20" i="5"/>
  <c r="F20" i="5"/>
  <c r="G20" i="5" s="1"/>
  <c r="R19" i="5"/>
  <c r="F19" i="5"/>
  <c r="G19" i="5" s="1"/>
  <c r="Z19" i="5"/>
  <c r="H19" i="5"/>
  <c r="G6" i="6" l="1"/>
  <c r="G17" i="6"/>
  <c r="C8" i="6"/>
  <c r="H7" i="6"/>
  <c r="F7" i="6"/>
  <c r="C19" i="6"/>
  <c r="H18" i="6"/>
  <c r="F18" i="6"/>
  <c r="P24" i="4"/>
  <c r="P23" i="4"/>
  <c r="P22" i="4"/>
  <c r="Q23" i="4"/>
  <c r="Q22" i="4"/>
  <c r="Q24" i="4"/>
  <c r="Z18" i="5"/>
  <c r="R18" i="5"/>
  <c r="H18" i="5"/>
  <c r="F18" i="5"/>
  <c r="G18" i="5" s="1"/>
  <c r="Z17" i="5"/>
  <c r="R17" i="5"/>
  <c r="H17" i="5"/>
  <c r="F17" i="5"/>
  <c r="G17" i="5" s="1"/>
  <c r="Z16" i="5"/>
  <c r="R16" i="5"/>
  <c r="H16" i="5"/>
  <c r="F16" i="5"/>
  <c r="G16" i="5" s="1"/>
  <c r="Z15" i="5"/>
  <c r="R15" i="5"/>
  <c r="H15" i="5"/>
  <c r="F15" i="5"/>
  <c r="G15" i="5" s="1"/>
  <c r="Z14" i="5"/>
  <c r="R14" i="5"/>
  <c r="H14" i="5"/>
  <c r="F14" i="5"/>
  <c r="G14" i="5" s="1"/>
  <c r="G18" i="6" l="1"/>
  <c r="G7" i="6"/>
  <c r="C20" i="6"/>
  <c r="H19" i="6"/>
  <c r="F19" i="6"/>
  <c r="C9" i="6"/>
  <c r="F8" i="6"/>
  <c r="H8" i="6"/>
  <c r="R11" i="5"/>
  <c r="G19" i="6" l="1"/>
  <c r="G8" i="6"/>
  <c r="H9" i="6"/>
  <c r="F9" i="6"/>
  <c r="H20" i="6"/>
  <c r="F20" i="6"/>
  <c r="G20" i="6" s="1"/>
  <c r="J13" i="6"/>
  <c r="G9" i="6" l="1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G90" i="15"/>
  <c r="H90" i="15"/>
  <c r="I90" i="15"/>
  <c r="J90" i="15"/>
  <c r="K90" i="15"/>
  <c r="L90" i="15"/>
  <c r="M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A90" i="15"/>
  <c r="G91" i="15"/>
  <c r="H91" i="15"/>
  <c r="I91" i="15"/>
  <c r="J91" i="15"/>
  <c r="K91" i="15"/>
  <c r="L91" i="15"/>
  <c r="M91" i="15"/>
  <c r="N91" i="15"/>
  <c r="O91" i="15"/>
  <c r="P91" i="15"/>
  <c r="Q91" i="15"/>
  <c r="R91" i="15"/>
  <c r="S91" i="15"/>
  <c r="T91" i="15"/>
  <c r="U91" i="15"/>
  <c r="V91" i="15"/>
  <c r="W91" i="15"/>
  <c r="X91" i="15"/>
  <c r="Y91" i="15"/>
  <c r="Z91" i="15"/>
  <c r="AA91" i="15"/>
  <c r="G92" i="15"/>
  <c r="H92" i="15"/>
  <c r="I92" i="15"/>
  <c r="J92" i="15"/>
  <c r="K92" i="15"/>
  <c r="L92" i="15"/>
  <c r="M92" i="15"/>
  <c r="N92" i="15"/>
  <c r="O92" i="15"/>
  <c r="P92" i="15"/>
  <c r="Q92" i="15"/>
  <c r="R92" i="15"/>
  <c r="S92" i="15"/>
  <c r="T92" i="15"/>
  <c r="U92" i="15"/>
  <c r="V92" i="15"/>
  <c r="W92" i="15"/>
  <c r="X92" i="15"/>
  <c r="Y92" i="15"/>
  <c r="Z92" i="15"/>
  <c r="AA92" i="15"/>
  <c r="A25" i="15" l="1"/>
  <c r="E25" i="15" s="1"/>
  <c r="E24" i="15"/>
  <c r="A14" i="15"/>
  <c r="E14" i="15" s="1"/>
  <c r="E13" i="15"/>
  <c r="A26" i="15" l="1"/>
  <c r="A15" i="15"/>
  <c r="E26" i="15" l="1"/>
  <c r="A27" i="15"/>
  <c r="E15" i="15"/>
  <c r="A16" i="15"/>
  <c r="E27" i="15" l="1"/>
  <c r="A28" i="15"/>
  <c r="E16" i="15"/>
  <c r="A17" i="15"/>
  <c r="A29" i="15" l="1"/>
  <c r="E28" i="15"/>
  <c r="E17" i="15"/>
  <c r="A18" i="15"/>
  <c r="A30" i="15" l="1"/>
  <c r="E29" i="15"/>
  <c r="E18" i="15"/>
  <c r="A19" i="15"/>
  <c r="A31" i="15" l="1"/>
  <c r="E30" i="15"/>
  <c r="E19" i="15"/>
  <c r="A20" i="15"/>
  <c r="A32" i="15" l="1"/>
  <c r="E31" i="15"/>
  <c r="E20" i="15"/>
  <c r="A21" i="15"/>
  <c r="E32" i="15" l="1"/>
  <c r="A33" i="15"/>
  <c r="E21" i="15"/>
  <c r="A22" i="15"/>
  <c r="A34" i="15" l="1"/>
  <c r="E34" i="15" s="1"/>
  <c r="E33" i="15"/>
  <c r="E22" i="15"/>
  <c r="A23" i="15"/>
  <c r="E23" i="15" s="1"/>
  <c r="H147" i="16" l="1"/>
  <c r="I147" i="16"/>
  <c r="J147" i="16"/>
  <c r="K147" i="16"/>
  <c r="L147" i="16"/>
  <c r="M147" i="16"/>
  <c r="N147" i="16"/>
  <c r="O147" i="16"/>
  <c r="P147" i="16"/>
  <c r="Q147" i="16"/>
  <c r="R147" i="16"/>
  <c r="H308" i="16"/>
  <c r="H307" i="16"/>
  <c r="H306" i="16"/>
  <c r="S305" i="16"/>
  <c r="I305" i="16"/>
  <c r="H305" i="16"/>
  <c r="H304" i="16"/>
  <c r="H303" i="16"/>
  <c r="H302" i="16"/>
  <c r="S301" i="16"/>
  <c r="H301" i="16"/>
  <c r="H300" i="16"/>
  <c r="H299" i="16"/>
  <c r="H298" i="16"/>
  <c r="H297" i="16"/>
  <c r="H296" i="16"/>
  <c r="H295" i="16"/>
  <c r="H294" i="16"/>
  <c r="S293" i="16"/>
  <c r="I293" i="16"/>
  <c r="H293" i="16"/>
  <c r="H292" i="16"/>
  <c r="H291" i="16"/>
  <c r="H290" i="16"/>
  <c r="S289" i="16"/>
  <c r="H289" i="16"/>
  <c r="H288" i="16"/>
  <c r="H287" i="16"/>
  <c r="H286" i="16"/>
  <c r="S285" i="16"/>
  <c r="I285" i="16"/>
  <c r="H285" i="16"/>
  <c r="H284" i="16"/>
  <c r="H283" i="16"/>
  <c r="H282" i="16"/>
  <c r="S281" i="16"/>
  <c r="I281" i="16"/>
  <c r="H281" i="16"/>
  <c r="H280" i="16"/>
  <c r="H279" i="16"/>
  <c r="H278" i="16"/>
  <c r="S277" i="16"/>
  <c r="H277" i="16"/>
  <c r="H276" i="16"/>
  <c r="H275" i="16"/>
  <c r="H274" i="16"/>
  <c r="D308" i="16"/>
  <c r="G308" i="16" s="1"/>
  <c r="C308" i="16"/>
  <c r="D307" i="16"/>
  <c r="G307" i="16" s="1"/>
  <c r="C307" i="16"/>
  <c r="D306" i="16"/>
  <c r="G306" i="16" s="1"/>
  <c r="C306" i="16"/>
  <c r="E305" i="16"/>
  <c r="C305" i="16"/>
  <c r="D304" i="16"/>
  <c r="G304" i="16" s="1"/>
  <c r="C304" i="16"/>
  <c r="D303" i="16"/>
  <c r="G303" i="16" s="1"/>
  <c r="C303" i="16"/>
  <c r="D302" i="16"/>
  <c r="G302" i="16" s="1"/>
  <c r="C302" i="16"/>
  <c r="E301" i="16"/>
  <c r="C301" i="16"/>
  <c r="D300" i="16"/>
  <c r="G300" i="16" s="1"/>
  <c r="C300" i="16"/>
  <c r="D299" i="16"/>
  <c r="G299" i="16" s="1"/>
  <c r="C299" i="16"/>
  <c r="D298" i="16"/>
  <c r="G298" i="16" s="1"/>
  <c r="C298" i="16"/>
  <c r="D296" i="16"/>
  <c r="G296" i="16" s="1"/>
  <c r="C296" i="16"/>
  <c r="D295" i="16"/>
  <c r="G295" i="16" s="1"/>
  <c r="C295" i="16"/>
  <c r="D294" i="16"/>
  <c r="G294" i="16" s="1"/>
  <c r="C294" i="16"/>
  <c r="E293" i="16"/>
  <c r="C293" i="16"/>
  <c r="D292" i="16"/>
  <c r="G292" i="16" s="1"/>
  <c r="C292" i="16"/>
  <c r="D291" i="16"/>
  <c r="G291" i="16" s="1"/>
  <c r="C291" i="16"/>
  <c r="D290" i="16"/>
  <c r="G290" i="16" s="1"/>
  <c r="C290" i="16"/>
  <c r="E289" i="16"/>
  <c r="C289" i="16"/>
  <c r="D288" i="16"/>
  <c r="G288" i="16" s="1"/>
  <c r="C288" i="16"/>
  <c r="D287" i="16"/>
  <c r="G287" i="16" s="1"/>
  <c r="C287" i="16"/>
  <c r="D286" i="16"/>
  <c r="G286" i="16" s="1"/>
  <c r="C286" i="16"/>
  <c r="D272" i="16"/>
  <c r="G272" i="16" s="1"/>
  <c r="C272" i="16"/>
  <c r="D271" i="16"/>
  <c r="G271" i="16" s="1"/>
  <c r="C271" i="16"/>
  <c r="D270" i="16"/>
  <c r="G270" i="16" s="1"/>
  <c r="C270" i="16"/>
  <c r="E269" i="16"/>
  <c r="C269" i="16"/>
  <c r="D268" i="16"/>
  <c r="G268" i="16" s="1"/>
  <c r="C268" i="16"/>
  <c r="D267" i="16"/>
  <c r="G267" i="16" s="1"/>
  <c r="C267" i="16"/>
  <c r="D266" i="16"/>
  <c r="G266" i="16" s="1"/>
  <c r="C266" i="16"/>
  <c r="E265" i="16"/>
  <c r="C265" i="16"/>
  <c r="D264" i="16"/>
  <c r="G264" i="16" s="1"/>
  <c r="C264" i="16"/>
  <c r="D263" i="16"/>
  <c r="G263" i="16" s="1"/>
  <c r="C263" i="16"/>
  <c r="D262" i="16"/>
  <c r="G262" i="16" s="1"/>
  <c r="C262" i="16"/>
  <c r="D260" i="16"/>
  <c r="G260" i="16" s="1"/>
  <c r="C260" i="16"/>
  <c r="D259" i="16"/>
  <c r="G259" i="16" s="1"/>
  <c r="C259" i="16"/>
  <c r="D258" i="16"/>
  <c r="G258" i="16" s="1"/>
  <c r="C258" i="16"/>
  <c r="E257" i="16"/>
  <c r="C257" i="16"/>
  <c r="D256" i="16"/>
  <c r="G256" i="16" s="1"/>
  <c r="C256" i="16"/>
  <c r="D255" i="16"/>
  <c r="G255" i="16" s="1"/>
  <c r="C255" i="16"/>
  <c r="D254" i="16"/>
  <c r="G254" i="16" s="1"/>
  <c r="C254" i="16"/>
  <c r="E253" i="16"/>
  <c r="C253" i="16"/>
  <c r="D252" i="16"/>
  <c r="G252" i="16" s="1"/>
  <c r="C252" i="16"/>
  <c r="D251" i="16"/>
  <c r="G251" i="16" s="1"/>
  <c r="C251" i="16"/>
  <c r="D250" i="16"/>
  <c r="G250" i="16" s="1"/>
  <c r="C250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S269" i="16"/>
  <c r="I269" i="16"/>
  <c r="S265" i="16"/>
  <c r="S257" i="16"/>
  <c r="I257" i="16"/>
  <c r="S253" i="16"/>
  <c r="S249" i="16"/>
  <c r="I249" i="16"/>
  <c r="S245" i="16"/>
  <c r="I245" i="16"/>
  <c r="S241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02" i="16"/>
  <c r="D236" i="16"/>
  <c r="G236" i="16" s="1"/>
  <c r="C236" i="16"/>
  <c r="D235" i="16"/>
  <c r="G235" i="16" s="1"/>
  <c r="C235" i="16"/>
  <c r="D234" i="16"/>
  <c r="G234" i="16" s="1"/>
  <c r="C234" i="16"/>
  <c r="S233" i="16"/>
  <c r="I233" i="16"/>
  <c r="E233" i="16"/>
  <c r="C233" i="16"/>
  <c r="D232" i="16"/>
  <c r="G232" i="16" s="1"/>
  <c r="C232" i="16"/>
  <c r="D231" i="16"/>
  <c r="G231" i="16" s="1"/>
  <c r="C231" i="16"/>
  <c r="D230" i="16"/>
  <c r="G230" i="16" s="1"/>
  <c r="C230" i="16"/>
  <c r="S229" i="16"/>
  <c r="E229" i="16"/>
  <c r="C229" i="16"/>
  <c r="D228" i="16"/>
  <c r="G228" i="16" s="1"/>
  <c r="C228" i="16"/>
  <c r="D227" i="16"/>
  <c r="G227" i="16" s="1"/>
  <c r="C227" i="16"/>
  <c r="D226" i="16"/>
  <c r="G226" i="16" s="1"/>
  <c r="C226" i="16"/>
  <c r="D224" i="16"/>
  <c r="G224" i="16" s="1"/>
  <c r="C224" i="16"/>
  <c r="D223" i="16"/>
  <c r="G223" i="16" s="1"/>
  <c r="C223" i="16"/>
  <c r="D222" i="16"/>
  <c r="G222" i="16" s="1"/>
  <c r="C222" i="16"/>
  <c r="S221" i="16"/>
  <c r="I221" i="16"/>
  <c r="E221" i="16"/>
  <c r="C221" i="16"/>
  <c r="D220" i="16"/>
  <c r="G220" i="16" s="1"/>
  <c r="C220" i="16"/>
  <c r="D219" i="16"/>
  <c r="G219" i="16" s="1"/>
  <c r="C219" i="16"/>
  <c r="D218" i="16"/>
  <c r="G218" i="16" s="1"/>
  <c r="C218" i="16"/>
  <c r="S217" i="16"/>
  <c r="E217" i="16"/>
  <c r="C217" i="16"/>
  <c r="D216" i="16"/>
  <c r="G216" i="16" s="1"/>
  <c r="C216" i="16"/>
  <c r="D215" i="16"/>
  <c r="G215" i="16" s="1"/>
  <c r="C215" i="16"/>
  <c r="D214" i="16"/>
  <c r="G214" i="16" s="1"/>
  <c r="C214" i="16"/>
  <c r="I209" i="16"/>
  <c r="S205" i="16"/>
  <c r="S209" i="16"/>
  <c r="E110" i="16"/>
  <c r="E109" i="16"/>
  <c r="E108" i="16"/>
  <c r="E106" i="16"/>
  <c r="E105" i="16"/>
  <c r="E104" i="16"/>
  <c r="E100" i="16"/>
  <c r="E102" i="16"/>
  <c r="E101" i="16"/>
  <c r="E74" i="16"/>
  <c r="E73" i="16"/>
  <c r="E72" i="16"/>
  <c r="E70" i="16"/>
  <c r="E69" i="16"/>
  <c r="E68" i="16"/>
  <c r="E65" i="16"/>
  <c r="E66" i="16"/>
  <c r="E64" i="16"/>
  <c r="G101" i="16"/>
  <c r="G102" i="16"/>
  <c r="G103" i="16"/>
  <c r="G104" i="16"/>
  <c r="G105" i="16"/>
  <c r="G106" i="16"/>
  <c r="G107" i="16"/>
  <c r="G108" i="16"/>
  <c r="G109" i="16"/>
  <c r="G110" i="16"/>
  <c r="G111" i="16"/>
  <c r="G100" i="16"/>
  <c r="G65" i="16"/>
  <c r="G66" i="16"/>
  <c r="G67" i="16"/>
  <c r="G68" i="16"/>
  <c r="G69" i="16"/>
  <c r="G70" i="16"/>
  <c r="G71" i="16"/>
  <c r="G72" i="16"/>
  <c r="G73" i="16"/>
  <c r="G74" i="16"/>
  <c r="G75" i="16"/>
  <c r="G64" i="16"/>
  <c r="G61" i="16"/>
  <c r="G62" i="16" s="1"/>
  <c r="G57" i="16"/>
  <c r="G58" i="16" s="1"/>
  <c r="G53" i="16"/>
  <c r="G54" i="16" s="1"/>
  <c r="G49" i="16"/>
  <c r="G50" i="16" s="1"/>
  <c r="G45" i="16"/>
  <c r="G46" i="16" s="1"/>
  <c r="G41" i="16"/>
  <c r="G42" i="16" s="1"/>
  <c r="E38" i="16"/>
  <c r="E37" i="16"/>
  <c r="E36" i="16"/>
  <c r="E34" i="16"/>
  <c r="E33" i="16"/>
  <c r="E32" i="16"/>
  <c r="E29" i="16"/>
  <c r="E30" i="16"/>
  <c r="E28" i="16" l="1"/>
  <c r="F123" i="16"/>
  <c r="E123" i="16"/>
  <c r="D123" i="16"/>
  <c r="A123" i="16" s="1"/>
  <c r="B123" i="16"/>
  <c r="C123" i="16" s="1"/>
  <c r="D122" i="16"/>
  <c r="D134" i="16" s="1"/>
  <c r="B122" i="16"/>
  <c r="B134" i="16" s="1"/>
  <c r="C134" i="16" s="1"/>
  <c r="D121" i="16"/>
  <c r="D133" i="16" s="1"/>
  <c r="B121" i="16"/>
  <c r="B133" i="16" s="1"/>
  <c r="C133" i="16" s="1"/>
  <c r="D120" i="16"/>
  <c r="D132" i="16" s="1"/>
  <c r="B120" i="16"/>
  <c r="B132" i="16" s="1"/>
  <c r="C132" i="16" s="1"/>
  <c r="F119" i="16"/>
  <c r="F131" i="16" s="1"/>
  <c r="B119" i="16"/>
  <c r="B131" i="16" s="1"/>
  <c r="C131" i="16" s="1"/>
  <c r="D118" i="16"/>
  <c r="D130" i="16" s="1"/>
  <c r="B118" i="16"/>
  <c r="B130" i="16" s="1"/>
  <c r="C130" i="16" s="1"/>
  <c r="D117" i="16"/>
  <c r="D129" i="16" s="1"/>
  <c r="B117" i="16"/>
  <c r="B129" i="16" s="1"/>
  <c r="C129" i="16" s="1"/>
  <c r="D116" i="16"/>
  <c r="D128" i="16" s="1"/>
  <c r="B116" i="16"/>
  <c r="B128" i="16" s="1"/>
  <c r="C128" i="16" s="1"/>
  <c r="F115" i="16"/>
  <c r="F127" i="16" s="1"/>
  <c r="B115" i="16"/>
  <c r="B127" i="16" s="1"/>
  <c r="C127" i="16" s="1"/>
  <c r="D114" i="16"/>
  <c r="D126" i="16" s="1"/>
  <c r="B114" i="16"/>
  <c r="B126" i="16" s="1"/>
  <c r="C126" i="16" s="1"/>
  <c r="D113" i="16"/>
  <c r="D125" i="16" s="1"/>
  <c r="B113" i="16"/>
  <c r="B125" i="16" s="1"/>
  <c r="C125" i="16" s="1"/>
  <c r="D112" i="16"/>
  <c r="D124" i="16" s="1"/>
  <c r="B112" i="16"/>
  <c r="B124" i="16" s="1"/>
  <c r="C124" i="16" s="1"/>
  <c r="F87" i="16"/>
  <c r="B87" i="16"/>
  <c r="D86" i="16"/>
  <c r="B86" i="16"/>
  <c r="D85" i="16"/>
  <c r="D97" i="16" s="1"/>
  <c r="B85" i="16"/>
  <c r="D84" i="16"/>
  <c r="B84" i="16"/>
  <c r="F83" i="16"/>
  <c r="F95" i="16" s="1"/>
  <c r="B83" i="16"/>
  <c r="D82" i="16"/>
  <c r="B82" i="16"/>
  <c r="D81" i="16"/>
  <c r="D93" i="16" s="1"/>
  <c r="B81" i="16"/>
  <c r="D80" i="16"/>
  <c r="B80" i="16"/>
  <c r="F79" i="16"/>
  <c r="F91" i="16" s="1"/>
  <c r="B79" i="16"/>
  <c r="D78" i="16"/>
  <c r="B78" i="16"/>
  <c r="D77" i="16"/>
  <c r="D89" i="16" s="1"/>
  <c r="B77" i="16"/>
  <c r="D76" i="16"/>
  <c r="B76" i="16"/>
  <c r="B49" i="16"/>
  <c r="C49" i="16" s="1"/>
  <c r="D49" i="16"/>
  <c r="D61" i="16" s="1"/>
  <c r="B50" i="16"/>
  <c r="C50" i="16" s="1"/>
  <c r="D50" i="16"/>
  <c r="B51" i="16"/>
  <c r="C51" i="16" s="1"/>
  <c r="F51" i="16"/>
  <c r="B41" i="16"/>
  <c r="C41" i="16" s="1"/>
  <c r="D41" i="16"/>
  <c r="B42" i="16"/>
  <c r="C42" i="16" s="1"/>
  <c r="D42" i="16"/>
  <c r="B43" i="16"/>
  <c r="C43" i="16" s="1"/>
  <c r="F43" i="16"/>
  <c r="F55" i="16" s="1"/>
  <c r="B44" i="16"/>
  <c r="C44" i="16" s="1"/>
  <c r="D44" i="16"/>
  <c r="B45" i="16"/>
  <c r="C45" i="16" s="1"/>
  <c r="D45" i="16"/>
  <c r="B46" i="16"/>
  <c r="C46" i="16" s="1"/>
  <c r="D46" i="16"/>
  <c r="B47" i="16"/>
  <c r="C47" i="16" s="1"/>
  <c r="F47" i="16"/>
  <c r="F59" i="16" s="1"/>
  <c r="B48" i="16"/>
  <c r="C48" i="16" s="1"/>
  <c r="D48" i="16"/>
  <c r="D40" i="16"/>
  <c r="D52" i="16" s="1"/>
  <c r="B40" i="16"/>
  <c r="B52" i="16" s="1"/>
  <c r="C52" i="16" s="1"/>
  <c r="U28" i="16"/>
  <c r="H28" i="16" a="1"/>
  <c r="H28" i="16" l="1"/>
  <c r="B88" i="16"/>
  <c r="G76" i="16"/>
  <c r="G112" i="16"/>
  <c r="B90" i="16"/>
  <c r="G78" i="16"/>
  <c r="G114" i="16"/>
  <c r="B92" i="16"/>
  <c r="G80" i="16"/>
  <c r="G116" i="16"/>
  <c r="B94" i="16"/>
  <c r="G82" i="16"/>
  <c r="G118" i="16"/>
  <c r="B96" i="16"/>
  <c r="G84" i="16"/>
  <c r="G120" i="16"/>
  <c r="B98" i="16"/>
  <c r="G86" i="16"/>
  <c r="G122" i="16"/>
  <c r="C77" i="16"/>
  <c r="A77" i="16" s="1"/>
  <c r="G77" i="16"/>
  <c r="G113" i="16"/>
  <c r="C79" i="16"/>
  <c r="G115" i="16"/>
  <c r="G79" i="16"/>
  <c r="C81" i="16"/>
  <c r="A81" i="16" s="1"/>
  <c r="G81" i="16"/>
  <c r="G117" i="16"/>
  <c r="C83" i="16"/>
  <c r="G119" i="16"/>
  <c r="G83" i="16"/>
  <c r="C85" i="16"/>
  <c r="A85" i="16" s="1"/>
  <c r="G121" i="16"/>
  <c r="G85" i="16"/>
  <c r="C87" i="16"/>
  <c r="G123" i="16"/>
  <c r="G87" i="16"/>
  <c r="C80" i="16"/>
  <c r="A80" i="16" s="1"/>
  <c r="A48" i="16"/>
  <c r="A128" i="16"/>
  <c r="A46" i="16"/>
  <c r="A44" i="16"/>
  <c r="A42" i="16"/>
  <c r="C84" i="16"/>
  <c r="A84" i="16" s="1"/>
  <c r="C115" i="16"/>
  <c r="C86" i="16"/>
  <c r="A86" i="16" s="1"/>
  <c r="C117" i="16"/>
  <c r="A117" i="16" s="1"/>
  <c r="A129" i="16"/>
  <c r="C121" i="16"/>
  <c r="A121" i="16" s="1"/>
  <c r="C76" i="16"/>
  <c r="A76" i="16" s="1"/>
  <c r="C82" i="16"/>
  <c r="A82" i="16" s="1"/>
  <c r="A130" i="16"/>
  <c r="C119" i="16"/>
  <c r="C78" i="16"/>
  <c r="A78" i="16" s="1"/>
  <c r="C113" i="16"/>
  <c r="A113" i="16" s="1"/>
  <c r="C40" i="16"/>
  <c r="A40" i="16" s="1"/>
  <c r="A124" i="16"/>
  <c r="A132" i="16"/>
  <c r="A125" i="16"/>
  <c r="A126" i="16"/>
  <c r="A133" i="16"/>
  <c r="A134" i="16"/>
  <c r="C112" i="16"/>
  <c r="A112" i="16" s="1"/>
  <c r="C114" i="16"/>
  <c r="A114" i="16" s="1"/>
  <c r="C116" i="16"/>
  <c r="A116" i="16" s="1"/>
  <c r="C118" i="16"/>
  <c r="A118" i="16" s="1"/>
  <c r="C120" i="16"/>
  <c r="A120" i="16" s="1"/>
  <c r="C122" i="16"/>
  <c r="A122" i="16" s="1"/>
  <c r="D88" i="16"/>
  <c r="B89" i="16"/>
  <c r="D90" i="16"/>
  <c r="B91" i="16"/>
  <c r="D92" i="16"/>
  <c r="B93" i="16"/>
  <c r="D94" i="16"/>
  <c r="B95" i="16"/>
  <c r="D96" i="16"/>
  <c r="B97" i="16"/>
  <c r="D98" i="16"/>
  <c r="A45" i="16"/>
  <c r="A41" i="16"/>
  <c r="B62" i="16"/>
  <c r="C62" i="16" s="1"/>
  <c r="B61" i="16"/>
  <c r="C61" i="16" s="1"/>
  <c r="A61" i="16" s="1"/>
  <c r="A50" i="16"/>
  <c r="D62" i="16"/>
  <c r="D60" i="16"/>
  <c r="D58" i="16"/>
  <c r="D57" i="16"/>
  <c r="D56" i="16"/>
  <c r="D54" i="16"/>
  <c r="D53" i="16"/>
  <c r="A52" i="16"/>
  <c r="A49" i="16"/>
  <c r="B60" i="16"/>
  <c r="C60" i="16" s="1"/>
  <c r="B59" i="16"/>
  <c r="C59" i="16" s="1"/>
  <c r="B58" i="16"/>
  <c r="C58" i="16" s="1"/>
  <c r="B57" i="16"/>
  <c r="C57" i="16" s="1"/>
  <c r="B56" i="16"/>
  <c r="C56" i="16" s="1"/>
  <c r="B55" i="16"/>
  <c r="C55" i="16" s="1"/>
  <c r="B54" i="16"/>
  <c r="C54" i="16" s="1"/>
  <c r="B53" i="16"/>
  <c r="C53" i="16" s="1"/>
  <c r="N110" i="16"/>
  <c r="L34" i="16"/>
  <c r="P72" i="16" a="1"/>
  <c r="P74" i="16"/>
  <c r="R69" i="16" a="1"/>
  <c r="K68" i="16" a="1"/>
  <c r="H36" i="16" a="1"/>
  <c r="Q65" i="16" a="1"/>
  <c r="O38" i="16"/>
  <c r="L33" i="16" a="1"/>
  <c r="L105" i="16" a="1"/>
  <c r="I37" i="16" a="1"/>
  <c r="H66" i="16"/>
  <c r="Q36" i="16" a="1"/>
  <c r="O104" i="16" a="1"/>
  <c r="K106" i="16"/>
  <c r="Q104" i="16" a="1"/>
  <c r="I34" i="16"/>
  <c r="N65" i="16" a="1"/>
  <c r="N64" i="16" a="1"/>
  <c r="M32" i="16" a="1"/>
  <c r="N33" i="16" a="1"/>
  <c r="I109" i="16" a="1"/>
  <c r="H73" i="16" a="1"/>
  <c r="I72" i="16" a="1"/>
  <c r="O69" i="16" a="1"/>
  <c r="Q108" i="16" a="1"/>
  <c r="H30" i="16"/>
  <c r="N106" i="16"/>
  <c r="L101" i="16" a="1"/>
  <c r="R64" i="16" a="1"/>
  <c r="J65" i="16" a="1"/>
  <c r="M64" i="16" a="1"/>
  <c r="Q100" i="16" a="1"/>
  <c r="O108" i="16" a="1"/>
  <c r="N70" i="16"/>
  <c r="I74" i="16"/>
  <c r="I106" i="16"/>
  <c r="K36" i="16" a="1"/>
  <c r="J109" i="16" a="1"/>
  <c r="K32" i="16" a="1"/>
  <c r="H38" i="16"/>
  <c r="L32" i="16" a="1"/>
  <c r="H37" i="16" a="1"/>
  <c r="I30" i="16"/>
  <c r="J37" i="16" a="1"/>
  <c r="H105" i="16" a="1"/>
  <c r="Q64" i="16" a="1"/>
  <c r="I28" i="16" a="1"/>
  <c r="H74" i="16"/>
  <c r="O37" i="16" a="1"/>
  <c r="I32" i="16" a="1"/>
  <c r="K64" i="16" a="1"/>
  <c r="L66" i="16"/>
  <c r="N74" i="16"/>
  <c r="P68" i="16" a="1"/>
  <c r="K29" i="16" a="1"/>
  <c r="Q70" i="16"/>
  <c r="O74" i="16"/>
  <c r="P38" i="16"/>
  <c r="Q72" i="16" a="1"/>
  <c r="R100" i="16" a="1"/>
  <c r="Q110" i="16"/>
  <c r="L70" i="16"/>
  <c r="M66" i="16"/>
  <c r="R30" i="16"/>
  <c r="L74" i="16"/>
  <c r="I73" i="16" a="1"/>
  <c r="R66" i="16"/>
  <c r="H64" i="16" a="1"/>
  <c r="I38" i="16"/>
  <c r="R33" i="16" a="1"/>
  <c r="K34" i="16"/>
  <c r="H102" i="16"/>
  <c r="M74" i="16"/>
  <c r="Q74" i="16"/>
  <c r="P100" i="16" a="1"/>
  <c r="I102" i="16"/>
  <c r="K110" i="16"/>
  <c r="R37" i="16" a="1"/>
  <c r="Q29" i="16" a="1"/>
  <c r="P36" i="16" a="1"/>
  <c r="K28" i="16" a="1"/>
  <c r="P73" i="16" a="1"/>
  <c r="H68" i="16" a="1"/>
  <c r="K73" i="16" a="1"/>
  <c r="J102" i="16"/>
  <c r="O102" i="16"/>
  <c r="P32" i="16" a="1"/>
  <c r="J101" i="16" a="1"/>
  <c r="O66" i="16"/>
  <c r="M36" i="16" a="1"/>
  <c r="J104" i="16" a="1"/>
  <c r="H34" i="16"/>
  <c r="M73" i="16" a="1"/>
  <c r="N36" i="16" a="1"/>
  <c r="O73" i="16" a="1"/>
  <c r="J66" i="16"/>
  <c r="O106" i="16"/>
  <c r="O28" i="16" a="1"/>
  <c r="N100" i="16" a="1"/>
  <c r="O105" i="16" a="1"/>
  <c r="O64" i="16" a="1"/>
  <c r="P70" i="16"/>
  <c r="J74" i="16"/>
  <c r="N34" i="16"/>
  <c r="M104" i="16" a="1"/>
  <c r="L68" i="16" a="1"/>
  <c r="N66" i="16"/>
  <c r="M106" i="16"/>
  <c r="L65" i="16" a="1"/>
  <c r="L108" i="16" a="1"/>
  <c r="I69" i="16" a="1"/>
  <c r="M28" i="16" a="1"/>
  <c r="M108" i="16" a="1"/>
  <c r="M65" i="16" a="1"/>
  <c r="M33" i="16" a="1"/>
  <c r="R106" i="16"/>
  <c r="K104" i="16" a="1"/>
  <c r="R34" i="16"/>
  <c r="P106" i="16"/>
  <c r="J32" i="16" a="1"/>
  <c r="J110" i="16"/>
  <c r="J34" i="16"/>
  <c r="I105" i="16" a="1"/>
  <c r="I101" i="16" a="1"/>
  <c r="O29" i="16" a="1"/>
  <c r="Q30" i="16"/>
  <c r="Q105" i="16" a="1"/>
  <c r="R65" i="16" a="1"/>
  <c r="O68" i="16" a="1"/>
  <c r="N102" i="16"/>
  <c r="H32" i="16" a="1"/>
  <c r="L110" i="16"/>
  <c r="P64" i="16" a="1"/>
  <c r="O32" i="16" a="1"/>
  <c r="P102" i="16"/>
  <c r="M68" i="16" a="1"/>
  <c r="I110" i="16"/>
  <c r="K74" i="16"/>
  <c r="Q32" i="16" a="1"/>
  <c r="L106" i="16"/>
  <c r="N101" i="16" a="1"/>
  <c r="I64" i="16" a="1"/>
  <c r="H104" i="16" a="1"/>
  <c r="N37" i="16" a="1"/>
  <c r="R108" i="16" a="1"/>
  <c r="I36" i="16" a="1"/>
  <c r="O72" i="16" a="1"/>
  <c r="P37" i="16" a="1"/>
  <c r="I66" i="16"/>
  <c r="H65" i="16" a="1"/>
  <c r="K109" i="16" a="1"/>
  <c r="R72" i="16" a="1"/>
  <c r="I100" i="16" a="1"/>
  <c r="K105" i="16" a="1"/>
  <c r="J30" i="16"/>
  <c r="J106" i="16"/>
  <c r="M34" i="16"/>
  <c r="J73" i="16" a="1"/>
  <c r="M38" i="16"/>
  <c r="K101" i="16" a="1"/>
  <c r="L73" i="16" a="1"/>
  <c r="J105" i="16" a="1"/>
  <c r="Q38" i="16"/>
  <c r="K72" i="16" a="1"/>
  <c r="Q37" i="16" a="1"/>
  <c r="K30" i="16"/>
  <c r="N104" i="16" a="1"/>
  <c r="P69" i="16" a="1"/>
  <c r="K102" i="16"/>
  <c r="M30" i="16"/>
  <c r="N30" i="16"/>
  <c r="K100" i="16" a="1"/>
  <c r="O101" i="16" a="1"/>
  <c r="Q106" i="16"/>
  <c r="N69" i="16" a="1"/>
  <c r="I65" i="16" a="1"/>
  <c r="R29" i="16" a="1"/>
  <c r="O65" i="16" a="1"/>
  <c r="H29" i="16" a="1"/>
  <c r="N29" i="16" a="1"/>
  <c r="M109" i="16" a="1"/>
  <c r="P65" i="16" a="1"/>
  <c r="J28" i="16" a="1"/>
  <c r="M105" i="16" a="1"/>
  <c r="R32" i="16" a="1"/>
  <c r="L30" i="16"/>
  <c r="I29" i="16" a="1"/>
  <c r="O70" i="16"/>
  <c r="H109" i="16" a="1"/>
  <c r="R109" i="16" a="1"/>
  <c r="R104" i="16" a="1"/>
  <c r="J29" i="16" a="1"/>
  <c r="Q101" i="16" a="1"/>
  <c r="K38" i="16"/>
  <c r="K66" i="16"/>
  <c r="O36" i="16" a="1"/>
  <c r="M72" i="16" a="1"/>
  <c r="J100" i="16" a="1"/>
  <c r="M37" i="16" a="1"/>
  <c r="P66" i="16"/>
  <c r="J72" i="16" a="1"/>
  <c r="I70" i="16"/>
  <c r="L36" i="16" a="1"/>
  <c r="P101" i="16" a="1"/>
  <c r="I33" i="16" a="1"/>
  <c r="N32" i="16" a="1"/>
  <c r="N109" i="16" a="1"/>
  <c r="J36" i="16" a="1"/>
  <c r="N72" i="16" a="1"/>
  <c r="Q73" i="16" a="1"/>
  <c r="O30" i="16"/>
  <c r="H33" i="16" a="1"/>
  <c r="Q34" i="16"/>
  <c r="K65" i="16" a="1"/>
  <c r="P109" i="16" a="1"/>
  <c r="H70" i="16"/>
  <c r="H110" i="16"/>
  <c r="Q69" i="16" a="1"/>
  <c r="P110" i="16"/>
  <c r="J38" i="16"/>
  <c r="L69" i="16" a="1"/>
  <c r="R102" i="16"/>
  <c r="L64" i="16" a="1"/>
  <c r="Q33" i="16" a="1"/>
  <c r="J68" i="16" a="1"/>
  <c r="K69" i="16" a="1"/>
  <c r="M70" i="16"/>
  <c r="R74" i="16"/>
  <c r="P104" i="16" a="1"/>
  <c r="J64" i="16" a="1"/>
  <c r="J33" i="16" a="1"/>
  <c r="O109" i="16" a="1"/>
  <c r="O33" i="16" a="1"/>
  <c r="P105" i="16" a="1"/>
  <c r="J70" i="16"/>
  <c r="H100" i="16" a="1"/>
  <c r="J69" i="16" a="1"/>
  <c r="L104" i="16" a="1"/>
  <c r="N105" i="16" a="1"/>
  <c r="P33" i="16" a="1"/>
  <c r="M69" i="16" a="1"/>
  <c r="N28" i="16" a="1"/>
  <c r="L102" i="16"/>
  <c r="P34" i="16"/>
  <c r="N73" i="16" a="1"/>
  <c r="K33" i="16" a="1"/>
  <c r="I68" i="16" a="1"/>
  <c r="N108" i="16" a="1"/>
  <c r="J108" i="16" a="1"/>
  <c r="R28" i="16" a="1"/>
  <c r="O100" i="16" a="1"/>
  <c r="M101" i="16" a="1"/>
  <c r="R70" i="16"/>
  <c r="M29" i="16" a="1"/>
  <c r="N38" i="16"/>
  <c r="L29" i="16" a="1"/>
  <c r="P30" i="16"/>
  <c r="R68" i="16" a="1"/>
  <c r="H101" i="16" a="1"/>
  <c r="Q28" i="16" a="1"/>
  <c r="R38" i="16"/>
  <c r="L37" i="16" a="1"/>
  <c r="Q68" i="16" a="1"/>
  <c r="M100" i="16" a="1"/>
  <c r="H72" i="16" a="1"/>
  <c r="H108" i="16" a="1"/>
  <c r="R105" i="16" a="1"/>
  <c r="P108" i="16" a="1"/>
  <c r="I104" i="16" a="1"/>
  <c r="K37" i="16" a="1"/>
  <c r="R36" i="16" a="1"/>
  <c r="K108" i="16" a="1"/>
  <c r="O34" i="16"/>
  <c r="R110" i="16"/>
  <c r="N68" i="16" a="1"/>
  <c r="O110" i="16"/>
  <c r="L100" i="16" a="1"/>
  <c r="Q109" i="16" a="1"/>
  <c r="P28" i="16" a="1"/>
  <c r="Q102" i="16"/>
  <c r="L109" i="16" a="1"/>
  <c r="L28" i="16" a="1"/>
  <c r="Q66" i="16"/>
  <c r="R73" i="16" a="1"/>
  <c r="L38" i="16"/>
  <c r="R101" i="16" a="1"/>
  <c r="L72" i="16" a="1"/>
  <c r="H69" i="16" a="1"/>
  <c r="M110" i="16"/>
  <c r="I108" i="16" a="1"/>
  <c r="P29" i="16" a="1"/>
  <c r="K70" i="16"/>
  <c r="H106" i="16"/>
  <c r="M102" i="16"/>
  <c r="AA29" i="16" l="1"/>
  <c r="Z33" i="16"/>
  <c r="Z37" i="16"/>
  <c r="Z29" i="16"/>
  <c r="AA33" i="16"/>
  <c r="AA37" i="16"/>
  <c r="Y29" i="16"/>
  <c r="Y37" i="16"/>
  <c r="Y33" i="16"/>
  <c r="O28" i="16"/>
  <c r="K105" i="16"/>
  <c r="I101" i="16"/>
  <c r="R73" i="16"/>
  <c r="Z36" i="16" s="1"/>
  <c r="M64" i="16"/>
  <c r="L37" i="16"/>
  <c r="Q73" i="16"/>
  <c r="L68" i="16"/>
  <c r="N104" i="16"/>
  <c r="P33" i="16"/>
  <c r="I64" i="16"/>
  <c r="M37" i="16"/>
  <c r="M32" i="16"/>
  <c r="L73" i="16"/>
  <c r="J36" i="16"/>
  <c r="J109" i="16"/>
  <c r="R105" i="16"/>
  <c r="AA32" i="16" s="1"/>
  <c r="P68" i="16"/>
  <c r="L100" i="16"/>
  <c r="J65" i="16"/>
  <c r="O109" i="16"/>
  <c r="M105" i="16"/>
  <c r="M68" i="16"/>
  <c r="O36" i="16"/>
  <c r="H100" i="16"/>
  <c r="M69" i="16"/>
  <c r="K100" i="16"/>
  <c r="H69" i="16"/>
  <c r="N29" i="16"/>
  <c r="Q37" i="16"/>
  <c r="N65" i="16"/>
  <c r="K33" i="16"/>
  <c r="N64" i="16"/>
  <c r="L64" i="16"/>
  <c r="I32" i="16"/>
  <c r="K72" i="16"/>
  <c r="H32" i="16"/>
  <c r="I108" i="16"/>
  <c r="H73" i="16"/>
  <c r="P28" i="16"/>
  <c r="R32" i="16"/>
  <c r="Y31" i="16" s="1"/>
  <c r="I65" i="16"/>
  <c r="O69" i="16"/>
  <c r="H37" i="16"/>
  <c r="R109" i="16"/>
  <c r="AA36" i="16" s="1"/>
  <c r="N101" i="16"/>
  <c r="I29" i="16"/>
  <c r="H109" i="16"/>
  <c r="L104" i="16"/>
  <c r="M65" i="16"/>
  <c r="L69" i="16"/>
  <c r="R65" i="16"/>
  <c r="Z28" i="16" s="1"/>
  <c r="Q105" i="16"/>
  <c r="K28" i="16"/>
  <c r="I73" i="16"/>
  <c r="K36" i="16"/>
  <c r="O37" i="16"/>
  <c r="N109" i="16"/>
  <c r="L72" i="16"/>
  <c r="O100" i="16"/>
  <c r="M108" i="16"/>
  <c r="H104" i="16"/>
  <c r="P100" i="16"/>
  <c r="I100" i="16"/>
  <c r="P104" i="16"/>
  <c r="Q36" i="16"/>
  <c r="P65" i="16"/>
  <c r="L108" i="16"/>
  <c r="O73" i="16"/>
  <c r="K32" i="16"/>
  <c r="J29" i="16"/>
  <c r="O105" i="16"/>
  <c r="H72" i="16"/>
  <c r="P69" i="16"/>
  <c r="H29" i="16"/>
  <c r="L105" i="16"/>
  <c r="R72" i="16"/>
  <c r="Z35" i="16" s="1"/>
  <c r="O72" i="16"/>
  <c r="O33" i="16"/>
  <c r="R69" i="16"/>
  <c r="Z32" i="16" s="1"/>
  <c r="H64" i="16"/>
  <c r="N105" i="16"/>
  <c r="J100" i="16"/>
  <c r="R101" i="16"/>
  <c r="AA28" i="16" s="1"/>
  <c r="R64" i="16"/>
  <c r="Z27" i="16" s="1"/>
  <c r="O68" i="16"/>
  <c r="L101" i="16"/>
  <c r="N72" i="16"/>
  <c r="J69" i="16"/>
  <c r="I69" i="16"/>
  <c r="I109" i="16"/>
  <c r="O32" i="16"/>
  <c r="Q28" i="16"/>
  <c r="N36" i="16"/>
  <c r="L65" i="16"/>
  <c r="Q68" i="16"/>
  <c r="P37" i="16"/>
  <c r="H36" i="16"/>
  <c r="J101" i="16"/>
  <c r="M72" i="16"/>
  <c r="N69" i="16"/>
  <c r="M36" i="16"/>
  <c r="R37" i="16"/>
  <c r="Y36" i="16" s="1"/>
  <c r="J64" i="16"/>
  <c r="R104" i="16"/>
  <c r="K69" i="16"/>
  <c r="Q108" i="16"/>
  <c r="L109" i="16"/>
  <c r="P105" i="16"/>
  <c r="Q101" i="16"/>
  <c r="J68" i="16"/>
  <c r="Q72" i="16"/>
  <c r="H68" i="16"/>
  <c r="I72" i="16"/>
  <c r="Q104" i="16"/>
  <c r="M100" i="16"/>
  <c r="N73" i="16"/>
  <c r="Q69" i="16"/>
  <c r="I36" i="16"/>
  <c r="M29" i="16"/>
  <c r="N37" i="16"/>
  <c r="J108" i="16"/>
  <c r="P36" i="16"/>
  <c r="P72" i="16"/>
  <c r="H108" i="16"/>
  <c r="P108" i="16"/>
  <c r="P101" i="16"/>
  <c r="L32" i="16"/>
  <c r="P29" i="16"/>
  <c r="K108" i="16"/>
  <c r="K68" i="16"/>
  <c r="P32" i="16"/>
  <c r="P64" i="16"/>
  <c r="M33" i="16"/>
  <c r="M101" i="16"/>
  <c r="J105" i="16"/>
  <c r="R33" i="16"/>
  <c r="Y32" i="16" s="1"/>
  <c r="L33" i="16"/>
  <c r="K29" i="16"/>
  <c r="H101" i="16"/>
  <c r="J28" i="16"/>
  <c r="N32" i="16"/>
  <c r="R100" i="16"/>
  <c r="AA27" i="16" s="1"/>
  <c r="O101" i="16"/>
  <c r="H105" i="16"/>
  <c r="J37" i="16"/>
  <c r="Q33" i="16"/>
  <c r="K109" i="16"/>
  <c r="P109" i="16"/>
  <c r="O29" i="16"/>
  <c r="J73" i="16"/>
  <c r="I28" i="16"/>
  <c r="K73" i="16"/>
  <c r="Q64" i="16"/>
  <c r="J32" i="16"/>
  <c r="M28" i="16"/>
  <c r="I105" i="16"/>
  <c r="J104" i="16"/>
  <c r="O65" i="16"/>
  <c r="J33" i="16"/>
  <c r="R29" i="16"/>
  <c r="Y28" i="16" s="1"/>
  <c r="Q109" i="16"/>
  <c r="Q100" i="16"/>
  <c r="M73" i="16"/>
  <c r="M109" i="16"/>
  <c r="I104" i="16"/>
  <c r="I33" i="16"/>
  <c r="M104" i="16"/>
  <c r="K101" i="16"/>
  <c r="L29" i="16"/>
  <c r="O64" i="16"/>
  <c r="I37" i="16"/>
  <c r="N28" i="16"/>
  <c r="I68" i="16"/>
  <c r="K64" i="16"/>
  <c r="R36" i="16"/>
  <c r="Y35" i="16" s="1"/>
  <c r="Q29" i="16"/>
  <c r="O104" i="16"/>
  <c r="J72" i="16"/>
  <c r="R68" i="16"/>
  <c r="Z31" i="16" s="1"/>
  <c r="L28" i="16"/>
  <c r="N33" i="16"/>
  <c r="K104" i="16"/>
  <c r="Q32" i="16"/>
  <c r="Q65" i="16"/>
  <c r="R28" i="16"/>
  <c r="Y27" i="16" s="1"/>
  <c r="N100" i="16"/>
  <c r="N108" i="16"/>
  <c r="H33" i="16"/>
  <c r="O108" i="16"/>
  <c r="L36" i="16"/>
  <c r="R108" i="16"/>
  <c r="AA35" i="16" s="1"/>
  <c r="P73" i="16"/>
  <c r="H65" i="16"/>
  <c r="N68" i="16"/>
  <c r="K65" i="16"/>
  <c r="K37" i="16"/>
  <c r="C91" i="16"/>
  <c r="G127" i="16"/>
  <c r="G91" i="16"/>
  <c r="C98" i="16"/>
  <c r="G98" i="16"/>
  <c r="G134" i="16"/>
  <c r="C90" i="16"/>
  <c r="A90" i="16" s="1"/>
  <c r="G90" i="16"/>
  <c r="G126" i="16"/>
  <c r="A98" i="16"/>
  <c r="C92" i="16"/>
  <c r="A92" i="16" s="1"/>
  <c r="G92" i="16"/>
  <c r="G128" i="16"/>
  <c r="C95" i="16"/>
  <c r="G131" i="16"/>
  <c r="G95" i="16"/>
  <c r="C97" i="16"/>
  <c r="A97" i="16" s="1"/>
  <c r="G133" i="16"/>
  <c r="G97" i="16"/>
  <c r="C93" i="16"/>
  <c r="A93" i="16" s="1"/>
  <c r="G129" i="16"/>
  <c r="G93" i="16"/>
  <c r="C89" i="16"/>
  <c r="A89" i="16" s="1"/>
  <c r="G89" i="16"/>
  <c r="G125" i="16"/>
  <c r="C94" i="16"/>
  <c r="A94" i="16" s="1"/>
  <c r="G94" i="16"/>
  <c r="G130" i="16"/>
  <c r="C96" i="16"/>
  <c r="A96" i="16" s="1"/>
  <c r="G96" i="16"/>
  <c r="G132" i="16"/>
  <c r="C88" i="16"/>
  <c r="A88" i="16" s="1"/>
  <c r="G88" i="16"/>
  <c r="G124" i="16"/>
  <c r="A62" i="16"/>
  <c r="A54" i="16"/>
  <c r="A53" i="16"/>
  <c r="A58" i="16"/>
  <c r="A56" i="16"/>
  <c r="A60" i="16"/>
  <c r="A57" i="16"/>
  <c r="N111" i="16" l="1"/>
  <c r="R107" i="16"/>
  <c r="AA31" i="16"/>
  <c r="N31" i="16"/>
  <c r="O111" i="16"/>
  <c r="P111" i="16"/>
  <c r="R103" i="16"/>
  <c r="K67" i="16"/>
  <c r="P67" i="16"/>
  <c r="P75" i="16"/>
  <c r="K75" i="16"/>
  <c r="P39" i="16"/>
  <c r="O75" i="16"/>
  <c r="I67" i="16"/>
  <c r="O39" i="16"/>
  <c r="Q75" i="16"/>
  <c r="J67" i="16"/>
  <c r="N75" i="16"/>
  <c r="Q67" i="16"/>
  <c r="R75" i="16"/>
  <c r="R67" i="16"/>
  <c r="M75" i="16"/>
  <c r="J75" i="16"/>
  <c r="L75" i="16"/>
  <c r="I75" i="16"/>
  <c r="H75" i="16"/>
  <c r="I103" i="16"/>
  <c r="K39" i="16"/>
  <c r="P31" i="16"/>
  <c r="K31" i="16"/>
  <c r="I111" i="16"/>
  <c r="M67" i="16"/>
  <c r="O67" i="16"/>
  <c r="L67" i="16"/>
  <c r="H67" i="16"/>
  <c r="N67" i="16"/>
  <c r="J31" i="16"/>
  <c r="I31" i="16"/>
  <c r="H111" i="16"/>
  <c r="K111" i="16"/>
  <c r="Q111" i="16"/>
  <c r="M111" i="16"/>
  <c r="L111" i="16"/>
  <c r="J111" i="16"/>
  <c r="R111" i="16"/>
  <c r="P103" i="16"/>
  <c r="Q103" i="16"/>
  <c r="M103" i="16"/>
  <c r="O103" i="16"/>
  <c r="J103" i="16"/>
  <c r="K103" i="16"/>
  <c r="L103" i="16"/>
  <c r="N103" i="16"/>
  <c r="H103" i="16"/>
  <c r="Q31" i="16"/>
  <c r="H35" i="16"/>
  <c r="M31" i="16"/>
  <c r="P107" i="16"/>
  <c r="P71" i="16"/>
  <c r="O31" i="16"/>
  <c r="I71" i="16"/>
  <c r="I107" i="16"/>
  <c r="M71" i="16"/>
  <c r="Q107" i="16"/>
  <c r="J71" i="16"/>
  <c r="N107" i="16"/>
  <c r="R39" i="16"/>
  <c r="J107" i="16"/>
  <c r="M39" i="16"/>
  <c r="N71" i="16"/>
  <c r="K107" i="16"/>
  <c r="L107" i="16"/>
  <c r="K71" i="16"/>
  <c r="Q71" i="16"/>
  <c r="H71" i="16"/>
  <c r="L71" i="16"/>
  <c r="R71" i="16"/>
  <c r="L31" i="16"/>
  <c r="R31" i="16"/>
  <c r="N39" i="16"/>
  <c r="H107" i="16"/>
  <c r="O107" i="16"/>
  <c r="Q39" i="16"/>
  <c r="M107" i="16"/>
  <c r="I39" i="16"/>
  <c r="J39" i="16"/>
  <c r="H31" i="16"/>
  <c r="L39" i="16"/>
  <c r="O71" i="16"/>
  <c r="H39" i="16"/>
  <c r="A110" i="16"/>
  <c r="A109" i="16"/>
  <c r="A108" i="16"/>
  <c r="A106" i="16"/>
  <c r="A105" i="16"/>
  <c r="A104" i="16"/>
  <c r="A102" i="16"/>
  <c r="A101" i="16"/>
  <c r="A100" i="16"/>
  <c r="A74" i="16"/>
  <c r="A73" i="16"/>
  <c r="A72" i="16"/>
  <c r="A70" i="16"/>
  <c r="A69" i="16"/>
  <c r="A68" i="16"/>
  <c r="A66" i="16"/>
  <c r="A65" i="16"/>
  <c r="A64" i="16"/>
  <c r="D107" i="16"/>
  <c r="D119" i="16" s="1"/>
  <c r="D103" i="16"/>
  <c r="D115" i="16" s="1"/>
  <c r="D71" i="16"/>
  <c r="D83" i="16" s="1"/>
  <c r="D67" i="16"/>
  <c r="D79" i="16" s="1"/>
  <c r="A38" i="16"/>
  <c r="W37" i="16" s="1"/>
  <c r="A37" i="16"/>
  <c r="W36" i="16" s="1"/>
  <c r="A36" i="16"/>
  <c r="W35" i="16" s="1"/>
  <c r="A34" i="16"/>
  <c r="W33" i="16" s="1"/>
  <c r="A33" i="16"/>
  <c r="W32" i="16" s="1"/>
  <c r="A32" i="16"/>
  <c r="W31" i="16" s="1"/>
  <c r="A30" i="16"/>
  <c r="W29" i="16" s="1"/>
  <c r="A28" i="16"/>
  <c r="W27" i="16" s="1"/>
  <c r="A29" i="16"/>
  <c r="W28" i="16" s="1"/>
  <c r="S137" i="16" l="1"/>
  <c r="D91" i="16"/>
  <c r="A91" i="16" s="1"/>
  <c r="A79" i="16"/>
  <c r="D95" i="16"/>
  <c r="A95" i="16" s="1"/>
  <c r="A83" i="16"/>
  <c r="D127" i="16"/>
  <c r="A127" i="16" s="1"/>
  <c r="A115" i="16"/>
  <c r="D131" i="16"/>
  <c r="A131" i="16" s="1"/>
  <c r="A119" i="16"/>
  <c r="I26" i="3" l="1"/>
  <c r="D26" i="3"/>
  <c r="T2" i="3"/>
  <c r="T25" i="10"/>
  <c r="R25" i="10"/>
  <c r="T24" i="10"/>
  <c r="R24" i="10"/>
  <c r="T23" i="10"/>
  <c r="R23" i="10"/>
  <c r="T22" i="10"/>
  <c r="R22" i="10"/>
  <c r="T21" i="10"/>
  <c r="R21" i="10"/>
  <c r="T20" i="10"/>
  <c r="R20" i="10"/>
  <c r="T19" i="10"/>
  <c r="R19" i="10"/>
  <c r="T18" i="10"/>
  <c r="R18" i="10"/>
  <c r="T17" i="10"/>
  <c r="R17" i="10"/>
  <c r="T51" i="10"/>
  <c r="T24" i="3" s="1"/>
  <c r="R51" i="10"/>
  <c r="T16" i="10"/>
  <c r="R16" i="10"/>
  <c r="T15" i="10"/>
  <c r="R15" i="10"/>
  <c r="T14" i="10"/>
  <c r="R14" i="10"/>
  <c r="T13" i="10"/>
  <c r="R13" i="10"/>
  <c r="T12" i="10"/>
  <c r="R12" i="10"/>
  <c r="T11" i="10"/>
  <c r="R11" i="10"/>
  <c r="T10" i="10"/>
  <c r="R10" i="10"/>
  <c r="T9" i="10"/>
  <c r="T8" i="10"/>
  <c r="R8" i="10"/>
  <c r="T7" i="10"/>
  <c r="R7" i="10"/>
  <c r="T6" i="10"/>
  <c r="R6" i="10"/>
  <c r="T5" i="10"/>
  <c r="R5" i="10"/>
  <c r="T4" i="10"/>
  <c r="R4" i="10"/>
  <c r="T3" i="10"/>
  <c r="R3" i="10"/>
  <c r="T2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51" i="10"/>
  <c r="C51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T44" i="9"/>
  <c r="R44" i="9"/>
  <c r="T43" i="9"/>
  <c r="R43" i="9"/>
  <c r="T42" i="9"/>
  <c r="R42" i="9"/>
  <c r="T41" i="9"/>
  <c r="R41" i="9"/>
  <c r="T40" i="9"/>
  <c r="R40" i="9"/>
  <c r="T39" i="9"/>
  <c r="R39" i="9"/>
  <c r="T38" i="9"/>
  <c r="R38" i="9"/>
  <c r="T37" i="9"/>
  <c r="R37" i="9"/>
  <c r="T36" i="9"/>
  <c r="R36" i="9"/>
  <c r="T35" i="9"/>
  <c r="R35" i="9"/>
  <c r="T34" i="9"/>
  <c r="R34" i="9"/>
  <c r="T33" i="9"/>
  <c r="R33" i="9"/>
  <c r="T32" i="9"/>
  <c r="R32" i="9"/>
  <c r="T31" i="9"/>
  <c r="R31" i="9"/>
  <c r="T30" i="9"/>
  <c r="R30" i="9"/>
  <c r="T29" i="9"/>
  <c r="R29" i="9"/>
  <c r="T28" i="9"/>
  <c r="R28" i="9"/>
  <c r="T27" i="9"/>
  <c r="R27" i="9"/>
  <c r="T26" i="9"/>
  <c r="R26" i="9"/>
  <c r="T25" i="9"/>
  <c r="R25" i="9"/>
  <c r="T24" i="9"/>
  <c r="R24" i="9"/>
  <c r="T23" i="9"/>
  <c r="R23" i="9"/>
  <c r="T22" i="9"/>
  <c r="R22" i="9"/>
  <c r="T21" i="9"/>
  <c r="R21" i="9"/>
  <c r="T20" i="9"/>
  <c r="R20" i="9"/>
  <c r="T19" i="9"/>
  <c r="R19" i="9"/>
  <c r="T18" i="9"/>
  <c r="R18" i="9"/>
  <c r="T17" i="9"/>
  <c r="R17" i="9"/>
  <c r="T16" i="9"/>
  <c r="R16" i="9"/>
  <c r="T15" i="9"/>
  <c r="R15" i="9"/>
  <c r="T14" i="9"/>
  <c r="R14" i="9"/>
  <c r="T13" i="9"/>
  <c r="R13" i="9"/>
  <c r="T12" i="9"/>
  <c r="R12" i="9"/>
  <c r="T11" i="9"/>
  <c r="R11" i="9"/>
  <c r="T10" i="9"/>
  <c r="R10" i="9"/>
  <c r="T9" i="9"/>
  <c r="R9" i="9"/>
  <c r="T8" i="9"/>
  <c r="R8" i="9"/>
  <c r="T7" i="9"/>
  <c r="R7" i="9"/>
  <c r="T6" i="9"/>
  <c r="R6" i="9"/>
  <c r="T5" i="9"/>
  <c r="R5" i="9"/>
  <c r="T4" i="9"/>
  <c r="R4" i="9"/>
  <c r="T3" i="9"/>
  <c r="R3" i="9"/>
  <c r="T2" i="9"/>
  <c r="R2" i="9"/>
  <c r="D44" i="9"/>
  <c r="C44" i="9"/>
  <c r="D43" i="9"/>
  <c r="C43" i="9"/>
  <c r="D42" i="9"/>
  <c r="C42" i="9"/>
  <c r="D41" i="9"/>
  <c r="C41" i="9"/>
  <c r="D40" i="9"/>
  <c r="C40" i="9"/>
  <c r="D39" i="9"/>
  <c r="C39" i="9"/>
  <c r="D38" i="9"/>
  <c r="C38" i="9"/>
  <c r="D37" i="9"/>
  <c r="C37" i="9"/>
  <c r="D36" i="9"/>
  <c r="C36" i="9"/>
  <c r="D35" i="9"/>
  <c r="C35" i="9"/>
  <c r="D34" i="9"/>
  <c r="C34" i="9"/>
  <c r="D33" i="9"/>
  <c r="C33" i="9"/>
  <c r="D32" i="9"/>
  <c r="C32" i="9"/>
  <c r="D31" i="9"/>
  <c r="C31" i="9"/>
  <c r="D30" i="9"/>
  <c r="C30" i="9"/>
  <c r="D29" i="9"/>
  <c r="C29" i="9"/>
  <c r="D28" i="9"/>
  <c r="C28" i="9"/>
  <c r="D27" i="9"/>
  <c r="C27" i="9"/>
  <c r="D26" i="9"/>
  <c r="C26" i="9"/>
  <c r="D25" i="9"/>
  <c r="C25" i="9"/>
  <c r="D24" i="9"/>
  <c r="C24" i="9"/>
  <c r="D23" i="9"/>
  <c r="C23" i="9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T20" i="4"/>
  <c r="R20" i="4"/>
  <c r="T19" i="4"/>
  <c r="R19" i="4"/>
  <c r="T18" i="4"/>
  <c r="R18" i="4"/>
  <c r="T17" i="4"/>
  <c r="R17" i="4"/>
  <c r="T16" i="4"/>
  <c r="R16" i="4"/>
  <c r="T15" i="4"/>
  <c r="R15" i="4"/>
  <c r="T14" i="4"/>
  <c r="R14" i="4"/>
  <c r="T13" i="4"/>
  <c r="R13" i="4"/>
  <c r="T12" i="4"/>
  <c r="R12" i="4"/>
  <c r="T11" i="4"/>
  <c r="R11" i="4"/>
  <c r="T10" i="4"/>
  <c r="R10" i="4"/>
  <c r="T9" i="4"/>
  <c r="R9" i="4"/>
  <c r="T8" i="4"/>
  <c r="R8" i="4"/>
  <c r="T7" i="4"/>
  <c r="R7" i="4"/>
  <c r="T6" i="4"/>
  <c r="R6" i="4"/>
  <c r="T5" i="4"/>
  <c r="R5" i="4"/>
  <c r="T4" i="4"/>
  <c r="R4" i="4"/>
  <c r="T3" i="4"/>
  <c r="R3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R8" i="5"/>
  <c r="R7" i="5"/>
  <c r="R6" i="5"/>
  <c r="R5" i="5"/>
  <c r="R4" i="5"/>
  <c r="R3" i="5"/>
  <c r="R2" i="5"/>
  <c r="R13" i="5"/>
  <c r="R12" i="5"/>
  <c r="R10" i="5"/>
  <c r="R9" i="5"/>
  <c r="X6" i="14" l="1"/>
  <c r="W6" i="14"/>
  <c r="V6" i="14"/>
  <c r="U6" i="14"/>
  <c r="T6" i="14"/>
  <c r="S6" i="14"/>
  <c r="R6" i="14"/>
  <c r="Q6" i="14"/>
  <c r="D284" i="16"/>
  <c r="D283" i="16"/>
  <c r="D282" i="16"/>
  <c r="D280" i="16"/>
  <c r="D279" i="16"/>
  <c r="D278" i="16"/>
  <c r="D276" i="16"/>
  <c r="D275" i="16"/>
  <c r="D274" i="16"/>
  <c r="D248" i="16"/>
  <c r="D247" i="16"/>
  <c r="D246" i="16"/>
  <c r="D244" i="16"/>
  <c r="D243" i="16"/>
  <c r="D242" i="16"/>
  <c r="D240" i="16"/>
  <c r="D239" i="16"/>
  <c r="D238" i="16"/>
  <c r="D212" i="16"/>
  <c r="D211" i="16"/>
  <c r="D210" i="16"/>
  <c r="D208" i="16"/>
  <c r="D207" i="16"/>
  <c r="D206" i="16"/>
  <c r="D204" i="16"/>
  <c r="D203" i="16"/>
  <c r="D202" i="16"/>
  <c r="F110" i="16"/>
  <c r="F122" i="16" s="1"/>
  <c r="F134" i="16" s="1"/>
  <c r="F109" i="16"/>
  <c r="F121" i="16" s="1"/>
  <c r="F133" i="16" s="1"/>
  <c r="F108" i="16"/>
  <c r="F120" i="16" s="1"/>
  <c r="F132" i="16" s="1"/>
  <c r="F106" i="16"/>
  <c r="F118" i="16" s="1"/>
  <c r="F130" i="16" s="1"/>
  <c r="F105" i="16"/>
  <c r="F117" i="16" s="1"/>
  <c r="F129" i="16" s="1"/>
  <c r="F104" i="16"/>
  <c r="F116" i="16" s="1"/>
  <c r="F128" i="16" s="1"/>
  <c r="F102" i="16"/>
  <c r="F114" i="16" s="1"/>
  <c r="F126" i="16" s="1"/>
  <c r="F101" i="16"/>
  <c r="F113" i="16" s="1"/>
  <c r="F125" i="16" s="1"/>
  <c r="F100" i="16"/>
  <c r="F74" i="16"/>
  <c r="F86" i="16" s="1"/>
  <c r="F98" i="16" s="1"/>
  <c r="F73" i="16"/>
  <c r="F85" i="16" s="1"/>
  <c r="F97" i="16" s="1"/>
  <c r="F72" i="16"/>
  <c r="F84" i="16" s="1"/>
  <c r="F96" i="16" s="1"/>
  <c r="F70" i="16"/>
  <c r="F82" i="16" s="1"/>
  <c r="F94" i="16" s="1"/>
  <c r="F69" i="16"/>
  <c r="F81" i="16" s="1"/>
  <c r="F93" i="16" s="1"/>
  <c r="F68" i="16"/>
  <c r="F80" i="16" s="1"/>
  <c r="F92" i="16" s="1"/>
  <c r="F66" i="16"/>
  <c r="F78" i="16" s="1"/>
  <c r="F90" i="16" s="1"/>
  <c r="F65" i="16"/>
  <c r="F77" i="16" s="1"/>
  <c r="F89" i="16" s="1"/>
  <c r="F64" i="16"/>
  <c r="F38" i="16"/>
  <c r="F37" i="16"/>
  <c r="F36" i="16"/>
  <c r="F34" i="16"/>
  <c r="F33" i="16"/>
  <c r="F32" i="16"/>
  <c r="F30" i="16"/>
  <c r="F29" i="16"/>
  <c r="F28" i="16"/>
  <c r="X27" i="16" s="1"/>
  <c r="H5" i="16"/>
  <c r="H157" i="16"/>
  <c r="H136" i="16" s="1"/>
  <c r="E205" i="16"/>
  <c r="E209" i="16"/>
  <c r="E213" i="16"/>
  <c r="E241" i="16"/>
  <c r="E245" i="16"/>
  <c r="G249" i="16"/>
  <c r="E277" i="16"/>
  <c r="E281" i="16"/>
  <c r="S213" i="16"/>
  <c r="I213" i="16"/>
  <c r="C284" i="16"/>
  <c r="C283" i="16"/>
  <c r="C282" i="16"/>
  <c r="C281" i="16"/>
  <c r="C280" i="16"/>
  <c r="C279" i="16"/>
  <c r="C278" i="16"/>
  <c r="C277" i="16"/>
  <c r="C276" i="16"/>
  <c r="C275" i="16"/>
  <c r="C274" i="16"/>
  <c r="E249" i="16"/>
  <c r="C248" i="16"/>
  <c r="C247" i="16"/>
  <c r="C246" i="16"/>
  <c r="C245" i="16"/>
  <c r="C244" i="16"/>
  <c r="C243" i="16"/>
  <c r="C242" i="16"/>
  <c r="C241" i="16"/>
  <c r="C240" i="16"/>
  <c r="C239" i="16"/>
  <c r="C238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J201" i="16"/>
  <c r="K201" i="16" s="1"/>
  <c r="L201" i="16" s="1"/>
  <c r="M201" i="16" s="1"/>
  <c r="N201" i="16" s="1"/>
  <c r="O201" i="16" s="1"/>
  <c r="P201" i="16" s="1"/>
  <c r="Q201" i="16" s="1"/>
  <c r="R201" i="16" s="1"/>
  <c r="S201" i="16" s="1"/>
  <c r="R157" i="16" s="1"/>
  <c r="R136" i="16" s="1"/>
  <c r="D249" i="16"/>
  <c r="J21" i="16"/>
  <c r="I27" i="16"/>
  <c r="J27" i="16" s="1"/>
  <c r="K27" i="16" s="1"/>
  <c r="L27" i="16" s="1"/>
  <c r="M27" i="16" s="1"/>
  <c r="N27" i="16" s="1"/>
  <c r="O27" i="16" s="1"/>
  <c r="P27" i="16" s="1"/>
  <c r="Q27" i="16" s="1"/>
  <c r="R27" i="16" s="1"/>
  <c r="R5" i="16" s="1"/>
  <c r="G31" i="16"/>
  <c r="G35" i="16"/>
  <c r="G39" i="16"/>
  <c r="E41" i="16"/>
  <c r="E42" i="16"/>
  <c r="E31" i="16"/>
  <c r="E43" i="16" s="1"/>
  <c r="E55" i="16" s="1"/>
  <c r="E44" i="16"/>
  <c r="E45" i="16"/>
  <c r="E46" i="16"/>
  <c r="E35" i="16"/>
  <c r="E47" i="16" s="1"/>
  <c r="E59" i="16" s="1"/>
  <c r="E48" i="16"/>
  <c r="E49" i="16"/>
  <c r="E50" i="16"/>
  <c r="E39" i="16"/>
  <c r="E51" i="16" s="1"/>
  <c r="E76" i="16"/>
  <c r="E77" i="16"/>
  <c r="E78" i="16"/>
  <c r="E67" i="16"/>
  <c r="E79" i="16" s="1"/>
  <c r="E91" i="16" s="1"/>
  <c r="E80" i="16"/>
  <c r="E81" i="16"/>
  <c r="E82" i="16"/>
  <c r="E71" i="16"/>
  <c r="E83" i="16" s="1"/>
  <c r="E95" i="16" s="1"/>
  <c r="E84" i="16"/>
  <c r="E85" i="16"/>
  <c r="E86" i="16"/>
  <c r="E75" i="16"/>
  <c r="E87" i="16" s="1"/>
  <c r="E112" i="16"/>
  <c r="E113" i="16"/>
  <c r="E114" i="16"/>
  <c r="E103" i="16"/>
  <c r="E115" i="16" s="1"/>
  <c r="E127" i="16" s="1"/>
  <c r="E116" i="16"/>
  <c r="E117" i="16"/>
  <c r="E118" i="16"/>
  <c r="E107" i="16"/>
  <c r="E119" i="16" s="1"/>
  <c r="E131" i="16" s="1"/>
  <c r="E120" i="16"/>
  <c r="E121" i="16"/>
  <c r="E122" i="16"/>
  <c r="E40" i="16"/>
  <c r="D31" i="16"/>
  <c r="D43" i="16" s="1"/>
  <c r="D35" i="16"/>
  <c r="D47" i="16" s="1"/>
  <c r="D39" i="16"/>
  <c r="D51" i="16" s="1"/>
  <c r="A51" i="16" s="1"/>
  <c r="D75" i="16"/>
  <c r="D87" i="16" s="1"/>
  <c r="A87" i="16" s="1"/>
  <c r="U26" i="6" l="1"/>
  <c r="Y16" i="6"/>
  <c r="V16" i="6" s="1"/>
  <c r="W16" i="6" s="1"/>
  <c r="X16" i="6" s="1"/>
  <c r="Y5" i="6"/>
  <c r="U25" i="6"/>
  <c r="U24" i="6"/>
  <c r="U13" i="6"/>
  <c r="Y20" i="6"/>
  <c r="V20" i="6" s="1"/>
  <c r="W20" i="6" s="1"/>
  <c r="X20" i="6" s="1"/>
  <c r="Y9" i="6"/>
  <c r="Y19" i="6"/>
  <c r="V19" i="6" s="1"/>
  <c r="W19" i="6" s="1"/>
  <c r="X19" i="6" s="1"/>
  <c r="Y8" i="6"/>
  <c r="Y18" i="6"/>
  <c r="V18" i="6" s="1"/>
  <c r="W18" i="6" s="1"/>
  <c r="X18" i="6" s="1"/>
  <c r="Y7" i="6"/>
  <c r="Y17" i="6"/>
  <c r="V17" i="6" s="1"/>
  <c r="W17" i="6" s="1"/>
  <c r="X17" i="6" s="1"/>
  <c r="Y6" i="6"/>
  <c r="R13" i="6"/>
  <c r="R4" i="6"/>
  <c r="R9" i="6"/>
  <c r="R20" i="6"/>
  <c r="R3" i="6"/>
  <c r="R19" i="6"/>
  <c r="R10" i="6"/>
  <c r="R2" i="6"/>
  <c r="R18" i="6"/>
  <c r="R26" i="6"/>
  <c r="R17" i="6"/>
  <c r="R8" i="6"/>
  <c r="R25" i="6"/>
  <c r="R16" i="6"/>
  <c r="R7" i="6"/>
  <c r="R24" i="6"/>
  <c r="R15" i="6"/>
  <c r="R6" i="6"/>
  <c r="R14" i="6"/>
  <c r="R5" i="6"/>
  <c r="F50" i="16"/>
  <c r="F62" i="16" s="1"/>
  <c r="X37" i="16"/>
  <c r="F49" i="16"/>
  <c r="F61" i="16" s="1"/>
  <c r="X36" i="16"/>
  <c r="F42" i="16"/>
  <c r="F54" i="16" s="1"/>
  <c r="X29" i="16"/>
  <c r="S5" i="16"/>
  <c r="T5" i="16" s="1"/>
  <c r="U5" i="16" s="1"/>
  <c r="V5" i="16" s="1"/>
  <c r="W5" i="16" s="1"/>
  <c r="X5" i="16" s="1"/>
  <c r="Y5" i="16" s="1"/>
  <c r="Z5" i="16" s="1"/>
  <c r="AA5" i="16" s="1"/>
  <c r="AB5" i="16" s="1"/>
  <c r="AC5" i="16" s="1"/>
  <c r="AD5" i="16" s="1"/>
  <c r="AE5" i="16" s="1"/>
  <c r="AF5" i="16" s="1"/>
  <c r="AG5" i="16" s="1"/>
  <c r="AH5" i="16" s="1"/>
  <c r="AI5" i="16" s="1"/>
  <c r="AJ5" i="16" s="1"/>
  <c r="AK5" i="16" s="1"/>
  <c r="AL5" i="16" s="1"/>
  <c r="I1" i="16"/>
  <c r="J1" i="16" s="1"/>
  <c r="K1" i="16" s="1"/>
  <c r="L1" i="16" s="1"/>
  <c r="M1" i="16" s="1"/>
  <c r="N1" i="16" s="1"/>
  <c r="O1" i="16" s="1"/>
  <c r="P1" i="16" s="1"/>
  <c r="Q1" i="16" s="1"/>
  <c r="F45" i="16"/>
  <c r="F57" i="16" s="1"/>
  <c r="X32" i="16"/>
  <c r="F48" i="16"/>
  <c r="F60" i="16" s="1"/>
  <c r="X35" i="16"/>
  <c r="F41" i="16"/>
  <c r="F53" i="16" s="1"/>
  <c r="X28" i="16"/>
  <c r="F44" i="16"/>
  <c r="F56" i="16" s="1"/>
  <c r="X31" i="16"/>
  <c r="F46" i="16"/>
  <c r="F58" i="16" s="1"/>
  <c r="X33" i="16"/>
  <c r="B27" i="15"/>
  <c r="B17" i="15"/>
  <c r="B34" i="15"/>
  <c r="B26" i="15"/>
  <c r="B16" i="15"/>
  <c r="B28" i="15"/>
  <c r="B22" i="15"/>
  <c r="B33" i="15"/>
  <c r="B23" i="15"/>
  <c r="B15" i="15"/>
  <c r="I206" i="16"/>
  <c r="H6" i="16" s="1"/>
  <c r="E7" i="16"/>
  <c r="E11" i="16"/>
  <c r="E6" i="16"/>
  <c r="E8" i="16"/>
  <c r="E12" i="16"/>
  <c r="E9" i="16"/>
  <c r="E13" i="16"/>
  <c r="E10" i="16"/>
  <c r="E14" i="16"/>
  <c r="F112" i="16"/>
  <c r="F124" i="16" s="1"/>
  <c r="I300" i="16"/>
  <c r="I308" i="16"/>
  <c r="I292" i="16"/>
  <c r="I296" i="16"/>
  <c r="I288" i="16"/>
  <c r="I304" i="16"/>
  <c r="I303" i="16"/>
  <c r="I306" i="16"/>
  <c r="I286" i="16"/>
  <c r="I307" i="16"/>
  <c r="I299" i="16"/>
  <c r="I294" i="16"/>
  <c r="I295" i="16"/>
  <c r="I302" i="16"/>
  <c r="I291" i="16"/>
  <c r="I287" i="16"/>
  <c r="I298" i="16"/>
  <c r="I290" i="16"/>
  <c r="G206" i="16"/>
  <c r="S206" i="16"/>
  <c r="G211" i="16"/>
  <c r="S211" i="16"/>
  <c r="I211" i="16"/>
  <c r="G240" i="16"/>
  <c r="I240" i="16"/>
  <c r="S240" i="16"/>
  <c r="G246" i="16"/>
  <c r="I246" i="16"/>
  <c r="S246" i="16"/>
  <c r="G275" i="16"/>
  <c r="S275" i="16"/>
  <c r="I275" i="16"/>
  <c r="G280" i="16"/>
  <c r="I280" i="16"/>
  <c r="H14" i="16" s="1"/>
  <c r="S280" i="16"/>
  <c r="G202" i="16"/>
  <c r="I202" i="16"/>
  <c r="S202" i="16"/>
  <c r="G207" i="16"/>
  <c r="I207" i="16"/>
  <c r="H7" i="16" s="1"/>
  <c r="S207" i="16"/>
  <c r="G212" i="16"/>
  <c r="I212" i="16"/>
  <c r="S212" i="16"/>
  <c r="G242" i="16"/>
  <c r="S242" i="16"/>
  <c r="I242" i="16"/>
  <c r="H9" i="16" s="1"/>
  <c r="G247" i="16"/>
  <c r="I247" i="16"/>
  <c r="S247" i="16"/>
  <c r="G276" i="16"/>
  <c r="S276" i="16"/>
  <c r="I276" i="16"/>
  <c r="G282" i="16"/>
  <c r="I282" i="16"/>
  <c r="S282" i="16"/>
  <c r="F40" i="16"/>
  <c r="F52" i="16" s="1"/>
  <c r="I232" i="16"/>
  <c r="I216" i="16"/>
  <c r="I228" i="16"/>
  <c r="I224" i="16"/>
  <c r="I236" i="16"/>
  <c r="I220" i="16"/>
  <c r="I215" i="16"/>
  <c r="I235" i="16"/>
  <c r="I219" i="16"/>
  <c r="I231" i="16"/>
  <c r="I227" i="16"/>
  <c r="I223" i="16"/>
  <c r="I234" i="16"/>
  <c r="I222" i="16"/>
  <c r="I230" i="16"/>
  <c r="I214" i="16"/>
  <c r="I226" i="16"/>
  <c r="I218" i="16"/>
  <c r="G203" i="16"/>
  <c r="I203" i="16"/>
  <c r="S203" i="16"/>
  <c r="G208" i="16"/>
  <c r="S208" i="16"/>
  <c r="I208" i="16"/>
  <c r="H8" i="16" s="1"/>
  <c r="G238" i="16"/>
  <c r="S238" i="16"/>
  <c r="I238" i="16"/>
  <c r="G243" i="16"/>
  <c r="S243" i="16"/>
  <c r="I243" i="16"/>
  <c r="H10" i="16" s="1"/>
  <c r="G248" i="16"/>
  <c r="I248" i="16"/>
  <c r="S248" i="16"/>
  <c r="G278" i="16"/>
  <c r="S278" i="16"/>
  <c r="I278" i="16"/>
  <c r="H12" i="16" s="1"/>
  <c r="G283" i="16"/>
  <c r="I283" i="16"/>
  <c r="S283" i="16"/>
  <c r="F76" i="16"/>
  <c r="F88" i="16" s="1"/>
  <c r="I264" i="16"/>
  <c r="I256" i="16"/>
  <c r="I272" i="16"/>
  <c r="I252" i="16"/>
  <c r="I268" i="16"/>
  <c r="I260" i="16"/>
  <c r="I263" i="16"/>
  <c r="I270" i="16"/>
  <c r="I250" i="16"/>
  <c r="I267" i="16"/>
  <c r="I259" i="16"/>
  <c r="I254" i="16"/>
  <c r="I266" i="16"/>
  <c r="I255" i="16"/>
  <c r="I258" i="16"/>
  <c r="I271" i="16"/>
  <c r="I262" i="16"/>
  <c r="I251" i="16"/>
  <c r="G204" i="16"/>
  <c r="I204" i="16"/>
  <c r="S204" i="16"/>
  <c r="G210" i="16"/>
  <c r="S210" i="16"/>
  <c r="I210" i="16"/>
  <c r="G239" i="16"/>
  <c r="I239" i="16"/>
  <c r="S239" i="16"/>
  <c r="G244" i="16"/>
  <c r="I244" i="16"/>
  <c r="H11" i="16" s="1"/>
  <c r="S244" i="16"/>
  <c r="G274" i="16"/>
  <c r="I274" i="16"/>
  <c r="S274" i="16"/>
  <c r="G279" i="16"/>
  <c r="S279" i="16"/>
  <c r="I279" i="16"/>
  <c r="H13" i="16" s="1"/>
  <c r="G284" i="16"/>
  <c r="I284" i="16"/>
  <c r="S284" i="16"/>
  <c r="E52" i="16"/>
  <c r="E133" i="16"/>
  <c r="E125" i="16"/>
  <c r="E93" i="16"/>
  <c r="E132" i="16"/>
  <c r="E128" i="16"/>
  <c r="E124" i="16"/>
  <c r="E96" i="16"/>
  <c r="E92" i="16"/>
  <c r="E88" i="16"/>
  <c r="E60" i="16"/>
  <c r="E56" i="16"/>
  <c r="E134" i="16"/>
  <c r="E130" i="16"/>
  <c r="E126" i="16"/>
  <c r="E98" i="16"/>
  <c r="E94" i="16"/>
  <c r="E90" i="16"/>
  <c r="E62" i="16"/>
  <c r="E58" i="16"/>
  <c r="E54" i="16"/>
  <c r="E129" i="16"/>
  <c r="E97" i="16"/>
  <c r="E89" i="16"/>
  <c r="E61" i="16"/>
  <c r="E57" i="16"/>
  <c r="E53" i="16"/>
  <c r="A43" i="16"/>
  <c r="D55" i="16"/>
  <c r="A55" i="16" s="1"/>
  <c r="A47" i="16"/>
  <c r="D59" i="16"/>
  <c r="A59" i="16" s="1"/>
  <c r="N5" i="16"/>
  <c r="J5" i="16"/>
  <c r="Q5" i="16"/>
  <c r="M5" i="16"/>
  <c r="I5" i="16"/>
  <c r="P5" i="16"/>
  <c r="L5" i="16"/>
  <c r="T201" i="16"/>
  <c r="O5" i="16"/>
  <c r="K5" i="16"/>
  <c r="P157" i="16"/>
  <c r="P136" i="16" s="1"/>
  <c r="L157" i="16"/>
  <c r="L136" i="16" s="1"/>
  <c r="O157" i="16"/>
  <c r="O136" i="16" s="1"/>
  <c r="K157" i="16"/>
  <c r="K136" i="16" s="1"/>
  <c r="N157" i="16"/>
  <c r="N136" i="16" s="1"/>
  <c r="J157" i="16"/>
  <c r="J136" i="16" s="1"/>
  <c r="Q157" i="16"/>
  <c r="Q136" i="16" s="1"/>
  <c r="M157" i="16"/>
  <c r="M136" i="16" s="1"/>
  <c r="I157" i="16"/>
  <c r="I136" i="16" s="1"/>
  <c r="R35" i="16"/>
  <c r="N35" i="16"/>
  <c r="J35" i="16"/>
  <c r="P35" i="16"/>
  <c r="L35" i="16"/>
  <c r="O35" i="16"/>
  <c r="K35" i="16"/>
  <c r="Q35" i="16"/>
  <c r="M35" i="16"/>
  <c r="I35" i="16"/>
  <c r="AA20" i="14"/>
  <c r="A3" i="15"/>
  <c r="A4" i="15" s="1"/>
  <c r="H1" i="15"/>
  <c r="I1" i="15" s="1"/>
  <c r="J1" i="15" s="1"/>
  <c r="K1" i="15" s="1"/>
  <c r="L1" i="15" s="1"/>
  <c r="M1" i="15" s="1"/>
  <c r="N1" i="15" s="1"/>
  <c r="O1" i="15" s="1"/>
  <c r="P1" i="15" s="1"/>
  <c r="Q1" i="15" s="1"/>
  <c r="R1" i="15" s="1"/>
  <c r="S1" i="15" s="1"/>
  <c r="T1" i="15" s="1"/>
  <c r="U1" i="15" s="1"/>
  <c r="V1" i="15" s="1"/>
  <c r="W1" i="15" s="1"/>
  <c r="X1" i="15" s="1"/>
  <c r="Y1" i="15" s="1"/>
  <c r="Z1" i="15" s="1"/>
  <c r="AA1" i="15" s="1"/>
  <c r="AB1" i="15" s="1"/>
  <c r="AC1" i="15" s="1"/>
  <c r="AD1" i="15" s="1"/>
  <c r="AE1" i="15" s="1"/>
  <c r="I7" i="14"/>
  <c r="B13" i="15"/>
  <c r="B14" i="15"/>
  <c r="B29" i="15"/>
  <c r="B30" i="15"/>
  <c r="B20" i="15"/>
  <c r="B21" i="15"/>
  <c r="AA146" i="15"/>
  <c r="Z146" i="15"/>
  <c r="Y146" i="15"/>
  <c r="X146" i="15"/>
  <c r="W146" i="15"/>
  <c r="V146" i="15"/>
  <c r="U146" i="15"/>
  <c r="T146" i="15"/>
  <c r="S146" i="15"/>
  <c r="R146" i="15"/>
  <c r="Q146" i="15"/>
  <c r="P146" i="15"/>
  <c r="O146" i="15"/>
  <c r="N146" i="15"/>
  <c r="M146" i="15"/>
  <c r="L146" i="15"/>
  <c r="K146" i="15"/>
  <c r="J146" i="15"/>
  <c r="I146" i="15"/>
  <c r="H146" i="15"/>
  <c r="G146" i="15"/>
  <c r="AA145" i="15"/>
  <c r="Z145" i="15"/>
  <c r="Y145" i="15"/>
  <c r="X145" i="15"/>
  <c r="W145" i="15"/>
  <c r="V145" i="15"/>
  <c r="U145" i="15"/>
  <c r="T145" i="15"/>
  <c r="S145" i="15"/>
  <c r="R145" i="15"/>
  <c r="Q145" i="15"/>
  <c r="P145" i="15"/>
  <c r="O145" i="15"/>
  <c r="N145" i="15"/>
  <c r="M145" i="15"/>
  <c r="L145" i="15"/>
  <c r="K145" i="15"/>
  <c r="J145" i="15"/>
  <c r="I145" i="15"/>
  <c r="H145" i="15"/>
  <c r="G145" i="15"/>
  <c r="AA144" i="15"/>
  <c r="Z144" i="15"/>
  <c r="Y144" i="15"/>
  <c r="X144" i="15"/>
  <c r="W144" i="15"/>
  <c r="V144" i="15"/>
  <c r="U144" i="15"/>
  <c r="T144" i="15"/>
  <c r="S144" i="15"/>
  <c r="R144" i="15"/>
  <c r="Q144" i="15"/>
  <c r="P144" i="15"/>
  <c r="O144" i="15"/>
  <c r="N144" i="15"/>
  <c r="M144" i="15"/>
  <c r="L144" i="15"/>
  <c r="K144" i="15"/>
  <c r="J144" i="15"/>
  <c r="I144" i="15"/>
  <c r="H144" i="15"/>
  <c r="G144" i="15"/>
  <c r="AA143" i="15"/>
  <c r="Z143" i="15"/>
  <c r="Y143" i="15"/>
  <c r="X143" i="15"/>
  <c r="W143" i="15"/>
  <c r="V143" i="15"/>
  <c r="U143" i="15"/>
  <c r="T143" i="15"/>
  <c r="S143" i="15"/>
  <c r="R143" i="15"/>
  <c r="Q143" i="15"/>
  <c r="P143" i="15"/>
  <c r="O143" i="15"/>
  <c r="N143" i="15"/>
  <c r="M143" i="15"/>
  <c r="L143" i="15"/>
  <c r="K143" i="15"/>
  <c r="J143" i="15"/>
  <c r="I143" i="15"/>
  <c r="H143" i="15"/>
  <c r="G143" i="15"/>
  <c r="AA142" i="15"/>
  <c r="Z142" i="15"/>
  <c r="Y142" i="15"/>
  <c r="X142" i="15"/>
  <c r="W142" i="15"/>
  <c r="V142" i="15"/>
  <c r="U142" i="15"/>
  <c r="T142" i="15"/>
  <c r="S142" i="15"/>
  <c r="R142" i="15"/>
  <c r="Q142" i="15"/>
  <c r="P142" i="15"/>
  <c r="O142" i="15"/>
  <c r="N142" i="15"/>
  <c r="M142" i="15"/>
  <c r="L142" i="15"/>
  <c r="K142" i="15"/>
  <c r="J142" i="15"/>
  <c r="I142" i="15"/>
  <c r="H142" i="15"/>
  <c r="G142" i="15"/>
  <c r="AA141" i="15"/>
  <c r="Z141" i="15"/>
  <c r="Y141" i="15"/>
  <c r="X141" i="15"/>
  <c r="W141" i="15"/>
  <c r="V141" i="15"/>
  <c r="U141" i="15"/>
  <c r="T141" i="15"/>
  <c r="S141" i="15"/>
  <c r="R141" i="15"/>
  <c r="Q141" i="15"/>
  <c r="P141" i="15"/>
  <c r="O141" i="15"/>
  <c r="N141" i="15"/>
  <c r="M141" i="15"/>
  <c r="L141" i="15"/>
  <c r="K141" i="15"/>
  <c r="J141" i="15"/>
  <c r="I141" i="15"/>
  <c r="H141" i="15"/>
  <c r="G141" i="15"/>
  <c r="AA140" i="15"/>
  <c r="Z140" i="15"/>
  <c r="Y140" i="15"/>
  <c r="X140" i="15"/>
  <c r="W140" i="15"/>
  <c r="V140" i="15"/>
  <c r="U140" i="15"/>
  <c r="T140" i="15"/>
  <c r="S140" i="15"/>
  <c r="R140" i="15"/>
  <c r="Q140" i="15"/>
  <c r="P140" i="15"/>
  <c r="O140" i="15"/>
  <c r="N140" i="15"/>
  <c r="M140" i="15"/>
  <c r="L140" i="15"/>
  <c r="K140" i="15"/>
  <c r="J140" i="15"/>
  <c r="I140" i="15"/>
  <c r="H140" i="15"/>
  <c r="G140" i="15"/>
  <c r="AA139" i="15"/>
  <c r="Z139" i="15"/>
  <c r="Y139" i="15"/>
  <c r="X139" i="15"/>
  <c r="W139" i="15"/>
  <c r="V139" i="15"/>
  <c r="U139" i="15"/>
  <c r="T139" i="15"/>
  <c r="S139" i="15"/>
  <c r="R139" i="15"/>
  <c r="Q139" i="15"/>
  <c r="P139" i="15"/>
  <c r="O139" i="15"/>
  <c r="N139" i="15"/>
  <c r="M139" i="15"/>
  <c r="L139" i="15"/>
  <c r="K139" i="15"/>
  <c r="J139" i="15"/>
  <c r="I139" i="15"/>
  <c r="H139" i="15"/>
  <c r="G139" i="15"/>
  <c r="AA138" i="15"/>
  <c r="Z138" i="15"/>
  <c r="Y138" i="15"/>
  <c r="X138" i="15"/>
  <c r="W138" i="15"/>
  <c r="V138" i="15"/>
  <c r="U138" i="15"/>
  <c r="T138" i="15"/>
  <c r="S138" i="15"/>
  <c r="R138" i="15"/>
  <c r="Q138" i="15"/>
  <c r="P138" i="15"/>
  <c r="O138" i="15"/>
  <c r="N138" i="15"/>
  <c r="M138" i="15"/>
  <c r="L138" i="15"/>
  <c r="K138" i="15"/>
  <c r="J138" i="15"/>
  <c r="I138" i="15"/>
  <c r="H138" i="15"/>
  <c r="G138" i="15"/>
  <c r="AA137" i="15"/>
  <c r="Z137" i="15"/>
  <c r="Y137" i="15"/>
  <c r="X137" i="15"/>
  <c r="W137" i="15"/>
  <c r="V137" i="15"/>
  <c r="U137" i="15"/>
  <c r="T137" i="15"/>
  <c r="S137" i="15"/>
  <c r="R137" i="15"/>
  <c r="Q137" i="15"/>
  <c r="P137" i="15"/>
  <c r="O137" i="15"/>
  <c r="N137" i="15"/>
  <c r="M137" i="15"/>
  <c r="L137" i="15"/>
  <c r="K137" i="15"/>
  <c r="J137" i="15"/>
  <c r="I137" i="15"/>
  <c r="H137" i="15"/>
  <c r="G137" i="15"/>
  <c r="AA136" i="15"/>
  <c r="Z136" i="15"/>
  <c r="Y136" i="15"/>
  <c r="X136" i="15"/>
  <c r="W136" i="15"/>
  <c r="V136" i="15"/>
  <c r="U136" i="15"/>
  <c r="T136" i="15"/>
  <c r="S136" i="15"/>
  <c r="R136" i="15"/>
  <c r="Q136" i="15"/>
  <c r="P136" i="15"/>
  <c r="O136" i="15"/>
  <c r="N136" i="15"/>
  <c r="M136" i="15"/>
  <c r="L136" i="15"/>
  <c r="K136" i="15"/>
  <c r="J136" i="15"/>
  <c r="I136" i="15"/>
  <c r="H136" i="15"/>
  <c r="G136" i="15"/>
  <c r="AA134" i="15"/>
  <c r="Z134" i="15"/>
  <c r="Y134" i="15"/>
  <c r="X134" i="15"/>
  <c r="W134" i="15"/>
  <c r="V134" i="15"/>
  <c r="U134" i="15"/>
  <c r="T134" i="15"/>
  <c r="S134" i="15"/>
  <c r="R134" i="15"/>
  <c r="Q134" i="15"/>
  <c r="P134" i="15"/>
  <c r="O134" i="15"/>
  <c r="N134" i="15"/>
  <c r="M134" i="15"/>
  <c r="L134" i="15"/>
  <c r="K134" i="15"/>
  <c r="J134" i="15"/>
  <c r="I134" i="15"/>
  <c r="H134" i="15"/>
  <c r="G134" i="15"/>
  <c r="AA133" i="15"/>
  <c r="Z133" i="15"/>
  <c r="Y133" i="15"/>
  <c r="X133" i="15"/>
  <c r="W133" i="15"/>
  <c r="V133" i="15"/>
  <c r="U133" i="15"/>
  <c r="T133" i="15"/>
  <c r="S133" i="15"/>
  <c r="R133" i="15"/>
  <c r="Q133" i="15"/>
  <c r="P133" i="15"/>
  <c r="O133" i="15"/>
  <c r="N133" i="15"/>
  <c r="M133" i="15"/>
  <c r="L133" i="15"/>
  <c r="K133" i="15"/>
  <c r="J133" i="15"/>
  <c r="I133" i="15"/>
  <c r="H133" i="15"/>
  <c r="G133" i="15"/>
  <c r="AA132" i="15"/>
  <c r="Z132" i="15"/>
  <c r="Y132" i="15"/>
  <c r="X132" i="15"/>
  <c r="W132" i="15"/>
  <c r="V132" i="15"/>
  <c r="U132" i="15"/>
  <c r="T132" i="15"/>
  <c r="S132" i="15"/>
  <c r="R132" i="15"/>
  <c r="Q132" i="15"/>
  <c r="P132" i="15"/>
  <c r="O132" i="15"/>
  <c r="N132" i="15"/>
  <c r="M132" i="15"/>
  <c r="L132" i="15"/>
  <c r="K132" i="15"/>
  <c r="J132" i="15"/>
  <c r="I132" i="15"/>
  <c r="H132" i="15"/>
  <c r="G132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AA130" i="15"/>
  <c r="Z130" i="15"/>
  <c r="Y130" i="15"/>
  <c r="X130" i="15"/>
  <c r="W130" i="15"/>
  <c r="V130" i="15"/>
  <c r="U130" i="15"/>
  <c r="T130" i="15"/>
  <c r="S130" i="15"/>
  <c r="R130" i="15"/>
  <c r="Q130" i="15"/>
  <c r="P130" i="15"/>
  <c r="O130" i="15"/>
  <c r="N130" i="15"/>
  <c r="M130" i="15"/>
  <c r="L130" i="15"/>
  <c r="K130" i="15"/>
  <c r="J130" i="15"/>
  <c r="I130" i="15"/>
  <c r="H130" i="15"/>
  <c r="G130" i="15"/>
  <c r="AA129" i="15"/>
  <c r="Z129" i="15"/>
  <c r="Y129" i="15"/>
  <c r="X129" i="15"/>
  <c r="W129" i="15"/>
  <c r="V129" i="15"/>
  <c r="U129" i="15"/>
  <c r="T129" i="15"/>
  <c r="S129" i="15"/>
  <c r="R129" i="15"/>
  <c r="Q129" i="15"/>
  <c r="P129" i="15"/>
  <c r="O129" i="15"/>
  <c r="N129" i="15"/>
  <c r="M129" i="15"/>
  <c r="L129" i="15"/>
  <c r="K129" i="15"/>
  <c r="J129" i="15"/>
  <c r="I129" i="15"/>
  <c r="H129" i="15"/>
  <c r="G129" i="15"/>
  <c r="AA128" i="15"/>
  <c r="Z128" i="15"/>
  <c r="Y128" i="15"/>
  <c r="X128" i="15"/>
  <c r="W128" i="15"/>
  <c r="V128" i="15"/>
  <c r="U128" i="15"/>
  <c r="T128" i="15"/>
  <c r="S128" i="15"/>
  <c r="R128" i="15"/>
  <c r="Q128" i="15"/>
  <c r="P128" i="15"/>
  <c r="O128" i="15"/>
  <c r="N128" i="15"/>
  <c r="M128" i="15"/>
  <c r="L128" i="15"/>
  <c r="K128" i="15"/>
  <c r="J128" i="15"/>
  <c r="I128" i="15"/>
  <c r="H128" i="15"/>
  <c r="G128" i="15"/>
  <c r="AA127" i="15"/>
  <c r="Z127" i="15"/>
  <c r="Y127" i="15"/>
  <c r="X127" i="15"/>
  <c r="W127" i="15"/>
  <c r="V127" i="15"/>
  <c r="U127" i="15"/>
  <c r="T127" i="15"/>
  <c r="S127" i="15"/>
  <c r="R127" i="15"/>
  <c r="Q127" i="15"/>
  <c r="P127" i="15"/>
  <c r="O127" i="15"/>
  <c r="N127" i="15"/>
  <c r="M127" i="15"/>
  <c r="L127" i="15"/>
  <c r="K127" i="15"/>
  <c r="J127" i="15"/>
  <c r="I127" i="15"/>
  <c r="H127" i="15"/>
  <c r="G127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H126" i="15"/>
  <c r="G126" i="15"/>
  <c r="AA125" i="15"/>
  <c r="Z125" i="15"/>
  <c r="Y125" i="15"/>
  <c r="X125" i="15"/>
  <c r="W125" i="15"/>
  <c r="V125" i="15"/>
  <c r="U125" i="15"/>
  <c r="T125" i="15"/>
  <c r="S125" i="15"/>
  <c r="R125" i="15"/>
  <c r="Q125" i="15"/>
  <c r="P125" i="15"/>
  <c r="O125" i="15"/>
  <c r="N125" i="15"/>
  <c r="M125" i="15"/>
  <c r="L125" i="15"/>
  <c r="K125" i="15"/>
  <c r="J125" i="15"/>
  <c r="I125" i="15"/>
  <c r="H125" i="15"/>
  <c r="G125" i="15"/>
  <c r="AA124" i="15"/>
  <c r="Z124" i="15"/>
  <c r="Y124" i="15"/>
  <c r="X124" i="15"/>
  <c r="W124" i="15"/>
  <c r="V124" i="15"/>
  <c r="U124" i="15"/>
  <c r="T124" i="15"/>
  <c r="S124" i="15"/>
  <c r="R124" i="15"/>
  <c r="Q124" i="15"/>
  <c r="P124" i="15"/>
  <c r="O124" i="15"/>
  <c r="N124" i="15"/>
  <c r="M124" i="15"/>
  <c r="L124" i="15"/>
  <c r="K124" i="15"/>
  <c r="J124" i="15"/>
  <c r="I124" i="15"/>
  <c r="H124" i="15"/>
  <c r="G124" i="15"/>
  <c r="AA122" i="15"/>
  <c r="Z122" i="15"/>
  <c r="Y122" i="15"/>
  <c r="X122" i="15"/>
  <c r="W122" i="15"/>
  <c r="V122" i="15"/>
  <c r="U122" i="15"/>
  <c r="T122" i="15"/>
  <c r="S122" i="15"/>
  <c r="R122" i="15"/>
  <c r="Q122" i="15"/>
  <c r="P122" i="15"/>
  <c r="O122" i="15"/>
  <c r="N122" i="15"/>
  <c r="M122" i="15"/>
  <c r="L122" i="15"/>
  <c r="K122" i="15"/>
  <c r="J122" i="15"/>
  <c r="I122" i="15"/>
  <c r="H122" i="15"/>
  <c r="AA121" i="15"/>
  <c r="Z121" i="15"/>
  <c r="Y121" i="15"/>
  <c r="X121" i="15"/>
  <c r="W121" i="15"/>
  <c r="V121" i="15"/>
  <c r="U121" i="15"/>
  <c r="T121" i="15"/>
  <c r="S121" i="15"/>
  <c r="R121" i="15"/>
  <c r="Q121" i="15"/>
  <c r="P121" i="15"/>
  <c r="O121" i="15"/>
  <c r="N121" i="15"/>
  <c r="M121" i="15"/>
  <c r="L121" i="15"/>
  <c r="K121" i="15"/>
  <c r="J121" i="15"/>
  <c r="I121" i="15"/>
  <c r="H121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H120" i="15"/>
  <c r="AA119" i="15"/>
  <c r="Z119" i="15"/>
  <c r="Y119" i="15"/>
  <c r="X119" i="15"/>
  <c r="W119" i="15"/>
  <c r="V119" i="15"/>
  <c r="U119" i="15"/>
  <c r="T119" i="15"/>
  <c r="S119" i="15"/>
  <c r="R119" i="15"/>
  <c r="Q119" i="15"/>
  <c r="P119" i="15"/>
  <c r="O119" i="15"/>
  <c r="N119" i="15"/>
  <c r="M119" i="15"/>
  <c r="L119" i="15"/>
  <c r="K119" i="15"/>
  <c r="J119" i="15"/>
  <c r="I119" i="15"/>
  <c r="H119" i="15"/>
  <c r="AA118" i="15"/>
  <c r="Z118" i="15"/>
  <c r="Y118" i="15"/>
  <c r="X118" i="15"/>
  <c r="W118" i="15"/>
  <c r="V118" i="15"/>
  <c r="U118" i="15"/>
  <c r="T118" i="15"/>
  <c r="S118" i="15"/>
  <c r="R118" i="15"/>
  <c r="Q118" i="15"/>
  <c r="P118" i="15"/>
  <c r="O118" i="15"/>
  <c r="N118" i="15"/>
  <c r="M118" i="15"/>
  <c r="L118" i="15"/>
  <c r="K118" i="15"/>
  <c r="J118" i="15"/>
  <c r="I118" i="15"/>
  <c r="H118" i="15"/>
  <c r="AA117" i="15"/>
  <c r="Z117" i="15"/>
  <c r="Y117" i="15"/>
  <c r="X117" i="15"/>
  <c r="W117" i="15"/>
  <c r="V117" i="15"/>
  <c r="U117" i="15"/>
  <c r="T117" i="15"/>
  <c r="S117" i="15"/>
  <c r="R117" i="15"/>
  <c r="Q117" i="15"/>
  <c r="P117" i="15"/>
  <c r="O117" i="15"/>
  <c r="N117" i="15"/>
  <c r="M117" i="15"/>
  <c r="L117" i="15"/>
  <c r="K117" i="15"/>
  <c r="J117" i="15"/>
  <c r="I117" i="15"/>
  <c r="H117" i="15"/>
  <c r="AA116" i="15"/>
  <c r="Z116" i="15"/>
  <c r="Y116" i="15"/>
  <c r="X116" i="15"/>
  <c r="W116" i="15"/>
  <c r="V116" i="15"/>
  <c r="U116" i="15"/>
  <c r="T116" i="15"/>
  <c r="S116" i="15"/>
  <c r="R116" i="15"/>
  <c r="Q116" i="15"/>
  <c r="P116" i="15"/>
  <c r="O116" i="15"/>
  <c r="N116" i="15"/>
  <c r="M116" i="15"/>
  <c r="L116" i="15"/>
  <c r="K116" i="15"/>
  <c r="J116" i="15"/>
  <c r="I116" i="15"/>
  <c r="H116" i="15"/>
  <c r="AA115" i="15"/>
  <c r="Z115" i="15"/>
  <c r="Y115" i="15"/>
  <c r="X115" i="15"/>
  <c r="W115" i="15"/>
  <c r="V115" i="15"/>
  <c r="U115" i="15"/>
  <c r="T115" i="15"/>
  <c r="S115" i="15"/>
  <c r="R115" i="15"/>
  <c r="Q115" i="15"/>
  <c r="P115" i="15"/>
  <c r="O115" i="15"/>
  <c r="N115" i="15"/>
  <c r="M115" i="15"/>
  <c r="L115" i="15"/>
  <c r="K115" i="15"/>
  <c r="J115" i="15"/>
  <c r="I115" i="15"/>
  <c r="H115" i="15"/>
  <c r="AA114" i="15"/>
  <c r="Z114" i="15"/>
  <c r="Y114" i="15"/>
  <c r="X114" i="15"/>
  <c r="W114" i="15"/>
  <c r="V114" i="15"/>
  <c r="U114" i="15"/>
  <c r="T114" i="15"/>
  <c r="S114" i="15"/>
  <c r="R114" i="15"/>
  <c r="Q114" i="15"/>
  <c r="P114" i="15"/>
  <c r="O114" i="15"/>
  <c r="N114" i="15"/>
  <c r="M114" i="15"/>
  <c r="L114" i="15"/>
  <c r="K114" i="15"/>
  <c r="J114" i="15"/>
  <c r="I114" i="15"/>
  <c r="H114" i="15"/>
  <c r="AA113" i="15"/>
  <c r="Z113" i="15"/>
  <c r="Y113" i="15"/>
  <c r="X113" i="15"/>
  <c r="W113" i="15"/>
  <c r="V113" i="15"/>
  <c r="U113" i="15"/>
  <c r="T113" i="15"/>
  <c r="S113" i="15"/>
  <c r="R113" i="15"/>
  <c r="Q113" i="15"/>
  <c r="P113" i="15"/>
  <c r="O113" i="15"/>
  <c r="N113" i="15"/>
  <c r="M113" i="15"/>
  <c r="L113" i="15"/>
  <c r="K113" i="15"/>
  <c r="J113" i="15"/>
  <c r="I113" i="15"/>
  <c r="H113" i="15"/>
  <c r="AA112" i="15"/>
  <c r="Z112" i="15"/>
  <c r="Y112" i="15"/>
  <c r="X112" i="15"/>
  <c r="W112" i="15"/>
  <c r="V112" i="15"/>
  <c r="U112" i="15"/>
  <c r="T112" i="15"/>
  <c r="S112" i="15"/>
  <c r="R112" i="15"/>
  <c r="Q112" i="15"/>
  <c r="P112" i="15"/>
  <c r="O112" i="15"/>
  <c r="N112" i="15"/>
  <c r="M112" i="15"/>
  <c r="L112" i="15"/>
  <c r="K112" i="15"/>
  <c r="J112" i="15"/>
  <c r="I112" i="15"/>
  <c r="H112" i="15"/>
  <c r="G113" i="15"/>
  <c r="G114" i="15"/>
  <c r="G115" i="15"/>
  <c r="G116" i="15"/>
  <c r="G117" i="15"/>
  <c r="G118" i="15"/>
  <c r="G119" i="15"/>
  <c r="G120" i="15"/>
  <c r="G121" i="15"/>
  <c r="G122" i="15"/>
  <c r="G112" i="15"/>
  <c r="AA110" i="15"/>
  <c r="Z110" i="15"/>
  <c r="Y110" i="15"/>
  <c r="X110" i="15"/>
  <c r="W110" i="15"/>
  <c r="V110" i="15"/>
  <c r="U110" i="15"/>
  <c r="T110" i="15"/>
  <c r="S110" i="15"/>
  <c r="R110" i="15"/>
  <c r="Q110" i="15"/>
  <c r="P110" i="15"/>
  <c r="O110" i="15"/>
  <c r="N110" i="15"/>
  <c r="M110" i="15"/>
  <c r="L110" i="15"/>
  <c r="K110" i="15"/>
  <c r="J110" i="15"/>
  <c r="I110" i="15"/>
  <c r="H110" i="15"/>
  <c r="G110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H109" i="15"/>
  <c r="G109" i="15"/>
  <c r="AA108" i="15"/>
  <c r="Z108" i="15"/>
  <c r="Y108" i="15"/>
  <c r="X108" i="15"/>
  <c r="W108" i="15"/>
  <c r="V108" i="15"/>
  <c r="U108" i="15"/>
  <c r="T108" i="15"/>
  <c r="S108" i="15"/>
  <c r="R108" i="15"/>
  <c r="Q108" i="15"/>
  <c r="P108" i="15"/>
  <c r="O108" i="15"/>
  <c r="N108" i="15"/>
  <c r="M108" i="15"/>
  <c r="L108" i="15"/>
  <c r="K108" i="15"/>
  <c r="J108" i="15"/>
  <c r="I108" i="15"/>
  <c r="H108" i="15"/>
  <c r="G108" i="15"/>
  <c r="AA107" i="15"/>
  <c r="Z107" i="15"/>
  <c r="Y107" i="15"/>
  <c r="X107" i="15"/>
  <c r="W107" i="15"/>
  <c r="V107" i="15"/>
  <c r="U107" i="15"/>
  <c r="T107" i="15"/>
  <c r="S107" i="15"/>
  <c r="R107" i="15"/>
  <c r="Q107" i="15"/>
  <c r="P107" i="15"/>
  <c r="O107" i="15"/>
  <c r="N107" i="15"/>
  <c r="M107" i="15"/>
  <c r="L107" i="15"/>
  <c r="K107" i="15"/>
  <c r="J107" i="15"/>
  <c r="I107" i="15"/>
  <c r="H107" i="15"/>
  <c r="G107" i="15"/>
  <c r="AA106" i="15"/>
  <c r="Z106" i="15"/>
  <c r="Y106" i="15"/>
  <c r="X106" i="15"/>
  <c r="W106" i="15"/>
  <c r="V106" i="15"/>
  <c r="U106" i="15"/>
  <c r="T106" i="15"/>
  <c r="S106" i="15"/>
  <c r="R106" i="15"/>
  <c r="Q106" i="15"/>
  <c r="P106" i="15"/>
  <c r="O106" i="15"/>
  <c r="N106" i="15"/>
  <c r="M106" i="15"/>
  <c r="L106" i="15"/>
  <c r="K106" i="15"/>
  <c r="J106" i="15"/>
  <c r="I106" i="15"/>
  <c r="H106" i="15"/>
  <c r="G106" i="15"/>
  <c r="AA105" i="15"/>
  <c r="Z105" i="15"/>
  <c r="Y105" i="15"/>
  <c r="X105" i="15"/>
  <c r="W105" i="15"/>
  <c r="V105" i="15"/>
  <c r="U105" i="15"/>
  <c r="T105" i="15"/>
  <c r="S105" i="15"/>
  <c r="R105" i="15"/>
  <c r="Q105" i="15"/>
  <c r="P105" i="15"/>
  <c r="O105" i="15"/>
  <c r="N105" i="15"/>
  <c r="M105" i="15"/>
  <c r="L105" i="15"/>
  <c r="K105" i="15"/>
  <c r="J105" i="15"/>
  <c r="I105" i="15"/>
  <c r="H105" i="15"/>
  <c r="G105" i="15"/>
  <c r="AA104" i="15"/>
  <c r="Z104" i="15"/>
  <c r="Y104" i="15"/>
  <c r="X104" i="15"/>
  <c r="W104" i="15"/>
  <c r="V104" i="15"/>
  <c r="U104" i="15"/>
  <c r="T104" i="15"/>
  <c r="S104" i="15"/>
  <c r="R104" i="15"/>
  <c r="Q104" i="15"/>
  <c r="P104" i="15"/>
  <c r="O104" i="15"/>
  <c r="N104" i="15"/>
  <c r="M104" i="15"/>
  <c r="L104" i="15"/>
  <c r="K104" i="15"/>
  <c r="J104" i="15"/>
  <c r="I104" i="15"/>
  <c r="H104" i="15"/>
  <c r="G104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H103" i="15"/>
  <c r="G103" i="15"/>
  <c r="AA102" i="15"/>
  <c r="Z102" i="15"/>
  <c r="Y102" i="15"/>
  <c r="X102" i="15"/>
  <c r="W102" i="15"/>
  <c r="V102" i="15"/>
  <c r="U102" i="15"/>
  <c r="T102" i="15"/>
  <c r="S102" i="15"/>
  <c r="R102" i="15"/>
  <c r="Q102" i="15"/>
  <c r="P102" i="15"/>
  <c r="O102" i="15"/>
  <c r="N102" i="15"/>
  <c r="M102" i="15"/>
  <c r="L102" i="15"/>
  <c r="K102" i="15"/>
  <c r="J102" i="15"/>
  <c r="I102" i="15"/>
  <c r="H102" i="15"/>
  <c r="G102" i="15"/>
  <c r="AA101" i="15"/>
  <c r="Z101" i="15"/>
  <c r="Y101" i="15"/>
  <c r="X101" i="15"/>
  <c r="W101" i="15"/>
  <c r="V101" i="15"/>
  <c r="U101" i="15"/>
  <c r="T101" i="15"/>
  <c r="S101" i="15"/>
  <c r="R101" i="15"/>
  <c r="Q101" i="15"/>
  <c r="P101" i="15"/>
  <c r="O101" i="15"/>
  <c r="N101" i="15"/>
  <c r="M101" i="15"/>
  <c r="L101" i="15"/>
  <c r="K101" i="15"/>
  <c r="J101" i="15"/>
  <c r="I101" i="15"/>
  <c r="H101" i="15"/>
  <c r="G101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H84" i="15"/>
  <c r="I84" i="15"/>
  <c r="J84" i="15"/>
  <c r="K84" i="15"/>
  <c r="L84" i="15"/>
  <c r="M84" i="15"/>
  <c r="N84" i="15"/>
  <c r="O84" i="15"/>
  <c r="P84" i="15"/>
  <c r="Q84" i="15"/>
  <c r="R84" i="15"/>
  <c r="S84" i="15"/>
  <c r="T84" i="15"/>
  <c r="U84" i="15"/>
  <c r="V84" i="15"/>
  <c r="W84" i="15"/>
  <c r="X84" i="15"/>
  <c r="Y84" i="15"/>
  <c r="Z84" i="15"/>
  <c r="AA84" i="15"/>
  <c r="H85" i="15"/>
  <c r="I85" i="15"/>
  <c r="J85" i="15"/>
  <c r="K85" i="15"/>
  <c r="L85" i="15"/>
  <c r="M85" i="15"/>
  <c r="N85" i="15"/>
  <c r="O85" i="15"/>
  <c r="P85" i="15"/>
  <c r="Q85" i="15"/>
  <c r="R85" i="15"/>
  <c r="S85" i="15"/>
  <c r="T85" i="15"/>
  <c r="U85" i="15"/>
  <c r="V85" i="15"/>
  <c r="W85" i="15"/>
  <c r="X85" i="15"/>
  <c r="Y85" i="15"/>
  <c r="Z85" i="15"/>
  <c r="AA85" i="15"/>
  <c r="H86" i="15"/>
  <c r="I86" i="15"/>
  <c r="J86" i="15"/>
  <c r="K86" i="15"/>
  <c r="L86" i="15"/>
  <c r="M86" i="15"/>
  <c r="N86" i="15"/>
  <c r="O86" i="15"/>
  <c r="P86" i="15"/>
  <c r="Q86" i="15"/>
  <c r="R86" i="15"/>
  <c r="S86" i="15"/>
  <c r="T86" i="15"/>
  <c r="U86" i="15"/>
  <c r="V86" i="15"/>
  <c r="W86" i="15"/>
  <c r="X86" i="15"/>
  <c r="Y86" i="15"/>
  <c r="Z86" i="15"/>
  <c r="AA86" i="15"/>
  <c r="G77" i="15"/>
  <c r="G81" i="15"/>
  <c r="G82" i="15"/>
  <c r="G83" i="15"/>
  <c r="G84" i="15"/>
  <c r="G85" i="15"/>
  <c r="G86" i="15"/>
  <c r="G76" i="15"/>
  <c r="B74" i="15"/>
  <c r="B73" i="15"/>
  <c r="B72" i="15"/>
  <c r="B71" i="15"/>
  <c r="B70" i="15"/>
  <c r="B69" i="15"/>
  <c r="B68" i="15"/>
  <c r="B67" i="15"/>
  <c r="B66" i="15"/>
  <c r="B65" i="15"/>
  <c r="B64" i="15"/>
  <c r="B62" i="15"/>
  <c r="B61" i="15"/>
  <c r="B60" i="15"/>
  <c r="B59" i="15"/>
  <c r="B58" i="15"/>
  <c r="B57" i="15"/>
  <c r="B56" i="15"/>
  <c r="B55" i="15"/>
  <c r="B54" i="15"/>
  <c r="B53" i="15"/>
  <c r="B52" i="15"/>
  <c r="B41" i="15"/>
  <c r="B42" i="15"/>
  <c r="B43" i="15"/>
  <c r="B44" i="15"/>
  <c r="B45" i="15"/>
  <c r="B46" i="15"/>
  <c r="B47" i="15"/>
  <c r="B48" i="15"/>
  <c r="B49" i="15"/>
  <c r="B50" i="15"/>
  <c r="B40" i="15"/>
  <c r="B146" i="15"/>
  <c r="B145" i="15"/>
  <c r="B144" i="15"/>
  <c r="B143" i="15"/>
  <c r="B142" i="15"/>
  <c r="B141" i="15"/>
  <c r="B140" i="15"/>
  <c r="B139" i="15"/>
  <c r="B138" i="15"/>
  <c r="B137" i="15"/>
  <c r="B136" i="15"/>
  <c r="B134" i="15"/>
  <c r="B133" i="15"/>
  <c r="B132" i="15"/>
  <c r="B131" i="15"/>
  <c r="B130" i="15"/>
  <c r="B129" i="15"/>
  <c r="B128" i="15"/>
  <c r="B127" i="15"/>
  <c r="B126" i="15"/>
  <c r="B125" i="15"/>
  <c r="B124" i="15"/>
  <c r="B113" i="15"/>
  <c r="B114" i="15"/>
  <c r="B115" i="15"/>
  <c r="B116" i="15"/>
  <c r="B117" i="15"/>
  <c r="B118" i="15"/>
  <c r="B119" i="15"/>
  <c r="B120" i="15"/>
  <c r="B121" i="15"/>
  <c r="B122" i="15"/>
  <c r="B112" i="15"/>
  <c r="B110" i="15"/>
  <c r="B109" i="15"/>
  <c r="B108" i="15"/>
  <c r="B107" i="15"/>
  <c r="B106" i="15"/>
  <c r="B105" i="15"/>
  <c r="B104" i="15"/>
  <c r="B103" i="15"/>
  <c r="B102" i="15"/>
  <c r="B101" i="15"/>
  <c r="B100" i="15"/>
  <c r="B98" i="15"/>
  <c r="B97" i="15"/>
  <c r="B96" i="15"/>
  <c r="B95" i="15"/>
  <c r="B94" i="15"/>
  <c r="B93" i="15"/>
  <c r="B92" i="15"/>
  <c r="B91" i="15"/>
  <c r="B90" i="15"/>
  <c r="B89" i="15"/>
  <c r="B88" i="15"/>
  <c r="B77" i="15"/>
  <c r="B78" i="15"/>
  <c r="B79" i="15"/>
  <c r="B80" i="15"/>
  <c r="B81" i="15"/>
  <c r="B82" i="15"/>
  <c r="B83" i="15"/>
  <c r="B84" i="15"/>
  <c r="B85" i="15"/>
  <c r="B86" i="15"/>
  <c r="B76" i="15"/>
  <c r="E146" i="15"/>
  <c r="E145" i="15"/>
  <c r="E144" i="15"/>
  <c r="E143" i="15"/>
  <c r="E142" i="15"/>
  <c r="E141" i="15"/>
  <c r="E140" i="15"/>
  <c r="E139" i="15"/>
  <c r="E138" i="15"/>
  <c r="E137" i="15"/>
  <c r="E136" i="15"/>
  <c r="E134" i="15"/>
  <c r="E133" i="15"/>
  <c r="E132" i="15"/>
  <c r="E131" i="15"/>
  <c r="E130" i="15"/>
  <c r="E129" i="15"/>
  <c r="E128" i="15"/>
  <c r="E127" i="15"/>
  <c r="E126" i="15"/>
  <c r="E125" i="15"/>
  <c r="E124" i="15"/>
  <c r="E122" i="15"/>
  <c r="E121" i="15"/>
  <c r="E120" i="15"/>
  <c r="E119" i="15"/>
  <c r="E118" i="15"/>
  <c r="E117" i="15"/>
  <c r="E116" i="15"/>
  <c r="E115" i="15"/>
  <c r="E114" i="15"/>
  <c r="E113" i="15"/>
  <c r="E112" i="15"/>
  <c r="E110" i="15"/>
  <c r="E109" i="15"/>
  <c r="E108" i="15"/>
  <c r="E107" i="15"/>
  <c r="E106" i="15"/>
  <c r="E105" i="15"/>
  <c r="E104" i="15"/>
  <c r="E103" i="15"/>
  <c r="E102" i="15"/>
  <c r="E101" i="15"/>
  <c r="E100" i="15"/>
  <c r="E98" i="15"/>
  <c r="E97" i="15"/>
  <c r="E96" i="15"/>
  <c r="E95" i="15"/>
  <c r="E94" i="15"/>
  <c r="E93" i="15"/>
  <c r="E92" i="15"/>
  <c r="E91" i="15"/>
  <c r="E90" i="15"/>
  <c r="E89" i="15"/>
  <c r="E88" i="15"/>
  <c r="E86" i="15"/>
  <c r="E85" i="15"/>
  <c r="E84" i="15"/>
  <c r="E83" i="15"/>
  <c r="E82" i="15"/>
  <c r="E81" i="15"/>
  <c r="E80" i="15"/>
  <c r="E79" i="15"/>
  <c r="E78" i="15"/>
  <c r="E77" i="15"/>
  <c r="E76" i="15"/>
  <c r="E74" i="15"/>
  <c r="E73" i="15"/>
  <c r="E72" i="15"/>
  <c r="E71" i="15"/>
  <c r="E70" i="15"/>
  <c r="E69" i="15"/>
  <c r="E68" i="15"/>
  <c r="E67" i="15"/>
  <c r="E66" i="15"/>
  <c r="E65" i="15"/>
  <c r="E64" i="15"/>
  <c r="E62" i="15"/>
  <c r="E61" i="15"/>
  <c r="E60" i="15"/>
  <c r="E59" i="15"/>
  <c r="E58" i="15"/>
  <c r="E57" i="15"/>
  <c r="E56" i="15"/>
  <c r="E55" i="15"/>
  <c r="E54" i="15"/>
  <c r="E53" i="15"/>
  <c r="E52" i="15"/>
  <c r="E41" i="15"/>
  <c r="E42" i="15"/>
  <c r="E43" i="15"/>
  <c r="E44" i="15"/>
  <c r="E45" i="15"/>
  <c r="E46" i="15"/>
  <c r="E47" i="15"/>
  <c r="E48" i="15"/>
  <c r="E49" i="15"/>
  <c r="E50" i="15"/>
  <c r="E40" i="15"/>
  <c r="H39" i="15"/>
  <c r="I39" i="15" s="1"/>
  <c r="J39" i="15" s="1"/>
  <c r="K39" i="15" s="1"/>
  <c r="L39" i="15" s="1"/>
  <c r="M39" i="15" s="1"/>
  <c r="N39" i="15" s="1"/>
  <c r="O39" i="15" s="1"/>
  <c r="P39" i="15" s="1"/>
  <c r="Q39" i="15" s="1"/>
  <c r="R39" i="15" s="1"/>
  <c r="S39" i="15" s="1"/>
  <c r="T39" i="15" s="1"/>
  <c r="U39" i="15" s="1"/>
  <c r="V39" i="15" s="1"/>
  <c r="W39" i="15" s="1"/>
  <c r="X39" i="15" s="1"/>
  <c r="Y39" i="15" s="1"/>
  <c r="Z39" i="15" s="1"/>
  <c r="AA39" i="15" s="1"/>
  <c r="AB39" i="15" s="1"/>
  <c r="AC39" i="15" s="1"/>
  <c r="AD39" i="15" s="1"/>
  <c r="AE39" i="15" s="1"/>
  <c r="V9" i="6" l="1"/>
  <c r="V6" i="6"/>
  <c r="V7" i="6"/>
  <c r="V5" i="6"/>
  <c r="V8" i="6"/>
  <c r="P8" i="5"/>
  <c r="P7" i="5"/>
  <c r="P20" i="5"/>
  <c r="P6" i="5"/>
  <c r="P5" i="5"/>
  <c r="P19" i="5"/>
  <c r="P4" i="5"/>
  <c r="P11" i="5"/>
  <c r="P3" i="5"/>
  <c r="S3" i="5" s="1"/>
  <c r="P10" i="5"/>
  <c r="P2" i="5"/>
  <c r="P9" i="5"/>
  <c r="R9" i="10"/>
  <c r="Q9" i="10"/>
  <c r="U3" i="5"/>
  <c r="U20" i="5"/>
  <c r="U11" i="5"/>
  <c r="U2" i="5"/>
  <c r="U19" i="5"/>
  <c r="U8" i="5"/>
  <c r="U10" i="5"/>
  <c r="U6" i="5"/>
  <c r="U7" i="5"/>
  <c r="U9" i="5"/>
  <c r="U5" i="5"/>
  <c r="U4" i="5"/>
  <c r="R13" i="16"/>
  <c r="R14" i="16"/>
  <c r="R10" i="16"/>
  <c r="R11" i="16"/>
  <c r="R7" i="16"/>
  <c r="R8" i="16"/>
  <c r="J274" i="16"/>
  <c r="K274" i="16" s="1"/>
  <c r="L274" i="16" s="1"/>
  <c r="M274" i="16" s="1"/>
  <c r="N274" i="16" s="1"/>
  <c r="O274" i="16" s="1"/>
  <c r="P274" i="16" s="1"/>
  <c r="Q274" i="16" s="1"/>
  <c r="R274" i="16" s="1"/>
  <c r="J248" i="16"/>
  <c r="K248" i="16" s="1"/>
  <c r="L248" i="16" s="1"/>
  <c r="M248" i="16" s="1"/>
  <c r="N248" i="16" s="1"/>
  <c r="O248" i="16" s="1"/>
  <c r="P248" i="16" s="1"/>
  <c r="Q248" i="16" s="1"/>
  <c r="R248" i="16" s="1"/>
  <c r="J247" i="16"/>
  <c r="K247" i="16" s="1"/>
  <c r="L247" i="16" s="1"/>
  <c r="M247" i="16" s="1"/>
  <c r="N247" i="16" s="1"/>
  <c r="O247" i="16" s="1"/>
  <c r="P247" i="16" s="1"/>
  <c r="Q247" i="16" s="1"/>
  <c r="R247" i="16" s="1"/>
  <c r="Q137" i="16"/>
  <c r="M137" i="16"/>
  <c r="K137" i="16"/>
  <c r="O140" i="16"/>
  <c r="Q140" i="16"/>
  <c r="H140" i="16"/>
  <c r="K143" i="16"/>
  <c r="N143" i="16"/>
  <c r="M143" i="16"/>
  <c r="H137" i="16"/>
  <c r="P137" i="16"/>
  <c r="L137" i="16"/>
  <c r="P143" i="16"/>
  <c r="I140" i="16"/>
  <c r="N137" i="16"/>
  <c r="O137" i="16"/>
  <c r="L143" i="16"/>
  <c r="K140" i="16"/>
  <c r="R140" i="16"/>
  <c r="R143" i="16"/>
  <c r="M140" i="16"/>
  <c r="Q143" i="16"/>
  <c r="P140" i="16"/>
  <c r="H143" i="16"/>
  <c r="N140" i="16"/>
  <c r="O143" i="16"/>
  <c r="I137" i="16"/>
  <c r="J137" i="16"/>
  <c r="L140" i="16"/>
  <c r="R137" i="16"/>
  <c r="J143" i="16"/>
  <c r="J140" i="16"/>
  <c r="I143" i="16"/>
  <c r="J240" i="16"/>
  <c r="K240" i="16" s="1"/>
  <c r="L240" i="16" s="1"/>
  <c r="M240" i="16" s="1"/>
  <c r="N240" i="16" s="1"/>
  <c r="O240" i="16" s="1"/>
  <c r="P240" i="16" s="1"/>
  <c r="Q240" i="16" s="1"/>
  <c r="R240" i="16" s="1"/>
  <c r="J282" i="16"/>
  <c r="K282" i="16" s="1"/>
  <c r="L282" i="16" s="1"/>
  <c r="M282" i="16" s="1"/>
  <c r="N282" i="16" s="1"/>
  <c r="O282" i="16" s="1"/>
  <c r="P282" i="16" s="1"/>
  <c r="Q282" i="16" s="1"/>
  <c r="R282" i="16" s="1"/>
  <c r="J278" i="16"/>
  <c r="K278" i="16" s="1"/>
  <c r="L278" i="16" s="1"/>
  <c r="M278" i="16" s="1"/>
  <c r="N278" i="16" s="1"/>
  <c r="O278" i="16" s="1"/>
  <c r="P278" i="16" s="1"/>
  <c r="Q278" i="16" s="1"/>
  <c r="R278" i="16" s="1"/>
  <c r="J276" i="16"/>
  <c r="K276" i="16" s="1"/>
  <c r="L276" i="16" s="1"/>
  <c r="M276" i="16" s="1"/>
  <c r="N276" i="16" s="1"/>
  <c r="O276" i="16" s="1"/>
  <c r="P276" i="16" s="1"/>
  <c r="Q276" i="16" s="1"/>
  <c r="R276" i="16" s="1"/>
  <c r="J284" i="16"/>
  <c r="K284" i="16" s="1"/>
  <c r="L284" i="16" s="1"/>
  <c r="M284" i="16" s="1"/>
  <c r="N284" i="16" s="1"/>
  <c r="O284" i="16" s="1"/>
  <c r="P284" i="16" s="1"/>
  <c r="Q284" i="16" s="1"/>
  <c r="R284" i="16" s="1"/>
  <c r="J283" i="16"/>
  <c r="K283" i="16" s="1"/>
  <c r="L283" i="16" s="1"/>
  <c r="M283" i="16" s="1"/>
  <c r="N283" i="16" s="1"/>
  <c r="O283" i="16" s="1"/>
  <c r="P283" i="16" s="1"/>
  <c r="Q283" i="16" s="1"/>
  <c r="R283" i="16" s="1"/>
  <c r="J279" i="16"/>
  <c r="K279" i="16" s="1"/>
  <c r="L279" i="16" s="1"/>
  <c r="M279" i="16" s="1"/>
  <c r="N279" i="16" s="1"/>
  <c r="O279" i="16" s="1"/>
  <c r="P279" i="16" s="1"/>
  <c r="Q279" i="16" s="1"/>
  <c r="R279" i="16" s="1"/>
  <c r="J280" i="16"/>
  <c r="K280" i="16" s="1"/>
  <c r="L280" i="16" s="1"/>
  <c r="M280" i="16" s="1"/>
  <c r="N280" i="16" s="1"/>
  <c r="O280" i="16" s="1"/>
  <c r="P280" i="16" s="1"/>
  <c r="Q280" i="16" s="1"/>
  <c r="R280" i="16" s="1"/>
  <c r="J275" i="16"/>
  <c r="K275" i="16" s="1"/>
  <c r="L275" i="16" s="1"/>
  <c r="M275" i="16" s="1"/>
  <c r="N275" i="16" s="1"/>
  <c r="O275" i="16" s="1"/>
  <c r="P275" i="16" s="1"/>
  <c r="Q275" i="16" s="1"/>
  <c r="R275" i="16" s="1"/>
  <c r="J239" i="16"/>
  <c r="K239" i="16" s="1"/>
  <c r="L239" i="16" s="1"/>
  <c r="M239" i="16" s="1"/>
  <c r="N239" i="16" s="1"/>
  <c r="O239" i="16" s="1"/>
  <c r="P239" i="16" s="1"/>
  <c r="Q239" i="16" s="1"/>
  <c r="R239" i="16" s="1"/>
  <c r="J246" i="16"/>
  <c r="K246" i="16" s="1"/>
  <c r="L246" i="16" s="1"/>
  <c r="M246" i="16" s="1"/>
  <c r="N246" i="16" s="1"/>
  <c r="O246" i="16" s="1"/>
  <c r="P246" i="16" s="1"/>
  <c r="Q246" i="16" s="1"/>
  <c r="R246" i="16" s="1"/>
  <c r="J210" i="16"/>
  <c r="K210" i="16" s="1"/>
  <c r="L210" i="16" s="1"/>
  <c r="M210" i="16" s="1"/>
  <c r="N210" i="16" s="1"/>
  <c r="O210" i="16" s="1"/>
  <c r="P210" i="16" s="1"/>
  <c r="Q210" i="16" s="1"/>
  <c r="R210" i="16" s="1"/>
  <c r="J243" i="16"/>
  <c r="K243" i="16" s="1"/>
  <c r="L243" i="16" s="1"/>
  <c r="M243" i="16" s="1"/>
  <c r="N243" i="16" s="1"/>
  <c r="O243" i="16" s="1"/>
  <c r="P243" i="16" s="1"/>
  <c r="Q243" i="16" s="1"/>
  <c r="R243" i="16" s="1"/>
  <c r="J242" i="16"/>
  <c r="K242" i="16" s="1"/>
  <c r="L242" i="16" s="1"/>
  <c r="M242" i="16" s="1"/>
  <c r="N242" i="16" s="1"/>
  <c r="O242" i="16" s="1"/>
  <c r="P242" i="16" s="1"/>
  <c r="Q242" i="16" s="1"/>
  <c r="R242" i="16" s="1"/>
  <c r="J244" i="16"/>
  <c r="K244" i="16" s="1"/>
  <c r="L244" i="16" s="1"/>
  <c r="M244" i="16" s="1"/>
  <c r="N244" i="16" s="1"/>
  <c r="O244" i="16" s="1"/>
  <c r="P244" i="16" s="1"/>
  <c r="Q244" i="16" s="1"/>
  <c r="R244" i="16" s="1"/>
  <c r="J238" i="16"/>
  <c r="K238" i="16" s="1"/>
  <c r="L238" i="16" s="1"/>
  <c r="M238" i="16" s="1"/>
  <c r="N238" i="16" s="1"/>
  <c r="O238" i="16" s="1"/>
  <c r="P238" i="16" s="1"/>
  <c r="Q238" i="16" s="1"/>
  <c r="R238" i="16" s="1"/>
  <c r="J211" i="16"/>
  <c r="K211" i="16" s="1"/>
  <c r="L211" i="16" s="1"/>
  <c r="M211" i="16" s="1"/>
  <c r="N211" i="16" s="1"/>
  <c r="O211" i="16" s="1"/>
  <c r="P211" i="16" s="1"/>
  <c r="Q211" i="16" s="1"/>
  <c r="R211" i="16" s="1"/>
  <c r="J206" i="16"/>
  <c r="K206" i="16" s="1"/>
  <c r="L206" i="16" s="1"/>
  <c r="M206" i="16" s="1"/>
  <c r="N206" i="16" s="1"/>
  <c r="O206" i="16" s="1"/>
  <c r="P206" i="16" s="1"/>
  <c r="Q206" i="16" s="1"/>
  <c r="R206" i="16" s="1"/>
  <c r="J212" i="16"/>
  <c r="K212" i="16" s="1"/>
  <c r="L212" i="16" s="1"/>
  <c r="M212" i="16" s="1"/>
  <c r="N212" i="16" s="1"/>
  <c r="O212" i="16" s="1"/>
  <c r="P212" i="16" s="1"/>
  <c r="Q212" i="16" s="1"/>
  <c r="R212" i="16" s="1"/>
  <c r="J208" i="16"/>
  <c r="K208" i="16" s="1"/>
  <c r="L208" i="16" s="1"/>
  <c r="M208" i="16" s="1"/>
  <c r="N208" i="16" s="1"/>
  <c r="O208" i="16" s="1"/>
  <c r="P208" i="16" s="1"/>
  <c r="Q208" i="16" s="1"/>
  <c r="R208" i="16" s="1"/>
  <c r="J207" i="16"/>
  <c r="K207" i="16" s="1"/>
  <c r="L207" i="16" s="1"/>
  <c r="M207" i="16" s="1"/>
  <c r="N207" i="16" s="1"/>
  <c r="O207" i="16" s="1"/>
  <c r="P207" i="16" s="1"/>
  <c r="Q207" i="16" s="1"/>
  <c r="R207" i="16" s="1"/>
  <c r="J204" i="16"/>
  <c r="K204" i="16" s="1"/>
  <c r="L204" i="16" s="1"/>
  <c r="M204" i="16" s="1"/>
  <c r="N204" i="16" s="1"/>
  <c r="O204" i="16" s="1"/>
  <c r="P204" i="16" s="1"/>
  <c r="Q204" i="16" s="1"/>
  <c r="R204" i="16" s="1"/>
  <c r="J203" i="16"/>
  <c r="K203" i="16" s="1"/>
  <c r="L203" i="16" s="1"/>
  <c r="M203" i="16" s="1"/>
  <c r="N203" i="16" s="1"/>
  <c r="O203" i="16" s="1"/>
  <c r="P203" i="16" s="1"/>
  <c r="Q203" i="16" s="1"/>
  <c r="R203" i="16" s="1"/>
  <c r="J202" i="16"/>
  <c r="K202" i="16" s="1"/>
  <c r="L202" i="16" s="1"/>
  <c r="M202" i="16" s="1"/>
  <c r="N202" i="16" s="1"/>
  <c r="O202" i="16" s="1"/>
  <c r="P202" i="16" s="1"/>
  <c r="Q202" i="16" s="1"/>
  <c r="R202" i="16" s="1"/>
  <c r="E202" i="16"/>
  <c r="S316" i="16"/>
  <c r="I322" i="16"/>
  <c r="I316" i="16"/>
  <c r="S322" i="16"/>
  <c r="S324" i="16"/>
  <c r="I324" i="16"/>
  <c r="S320" i="16"/>
  <c r="S323" i="16"/>
  <c r="I318" i="16"/>
  <c r="I323" i="16"/>
  <c r="I319" i="16"/>
  <c r="S319" i="16"/>
  <c r="I320" i="16"/>
  <c r="S318" i="16"/>
  <c r="S314" i="16"/>
  <c r="S315" i="16"/>
  <c r="I315" i="16"/>
  <c r="I314" i="16"/>
  <c r="R9" i="16"/>
  <c r="R12" i="16"/>
  <c r="R6" i="16"/>
  <c r="H158" i="16"/>
  <c r="B18" i="15"/>
  <c r="R18" i="15" s="1"/>
  <c r="B25" i="15"/>
  <c r="P25" i="15" s="1"/>
  <c r="B24" i="15"/>
  <c r="Z24" i="15" s="1"/>
  <c r="B32" i="15"/>
  <c r="S32" i="15" s="1"/>
  <c r="B31" i="15"/>
  <c r="I31" i="15" s="1"/>
  <c r="B19" i="15"/>
  <c r="U19" i="15" s="1"/>
  <c r="T33" i="15"/>
  <c r="K33" i="15"/>
  <c r="U33" i="15"/>
  <c r="H33" i="15"/>
  <c r="Z33" i="15"/>
  <c r="Q33" i="15"/>
  <c r="O33" i="15"/>
  <c r="V33" i="15"/>
  <c r="G33" i="15"/>
  <c r="J33" i="15"/>
  <c r="Y33" i="15"/>
  <c r="N33" i="15"/>
  <c r="M33" i="15"/>
  <c r="W33" i="15"/>
  <c r="I33" i="15"/>
  <c r="AA33" i="15"/>
  <c r="L33" i="15"/>
  <c r="R33" i="15"/>
  <c r="S33" i="15"/>
  <c r="P33" i="15"/>
  <c r="X33" i="15"/>
  <c r="S16" i="15"/>
  <c r="O16" i="15"/>
  <c r="AA16" i="15"/>
  <c r="T16" i="15"/>
  <c r="Q16" i="15"/>
  <c r="X16" i="15"/>
  <c r="V16" i="15"/>
  <c r="L16" i="15"/>
  <c r="I16" i="15"/>
  <c r="Z16" i="15"/>
  <c r="K16" i="15"/>
  <c r="W16" i="15"/>
  <c r="P16" i="15"/>
  <c r="U16" i="15"/>
  <c r="H16" i="15"/>
  <c r="J16" i="15"/>
  <c r="Y16" i="15"/>
  <c r="R16" i="15"/>
  <c r="N16" i="15"/>
  <c r="M16" i="15"/>
  <c r="G16" i="15"/>
  <c r="V30" i="15"/>
  <c r="H30" i="15"/>
  <c r="N30" i="15"/>
  <c r="U30" i="15"/>
  <c r="S30" i="15"/>
  <c r="K30" i="15"/>
  <c r="P30" i="15"/>
  <c r="O30" i="15"/>
  <c r="AA30" i="15"/>
  <c r="Q30" i="15"/>
  <c r="G30" i="15"/>
  <c r="I30" i="15"/>
  <c r="L30" i="15"/>
  <c r="W30" i="15"/>
  <c r="Y30" i="15"/>
  <c r="R30" i="15"/>
  <c r="T30" i="15"/>
  <c r="Z30" i="15"/>
  <c r="M30" i="15"/>
  <c r="X30" i="15"/>
  <c r="J30" i="15"/>
  <c r="T17" i="15"/>
  <c r="R17" i="15"/>
  <c r="O17" i="15"/>
  <c r="AA17" i="15"/>
  <c r="N17" i="15"/>
  <c r="P17" i="15"/>
  <c r="K17" i="15"/>
  <c r="S17" i="15"/>
  <c r="J17" i="15"/>
  <c r="L17" i="15"/>
  <c r="Z17" i="15"/>
  <c r="X17" i="15"/>
  <c r="Q17" i="15"/>
  <c r="W17" i="15"/>
  <c r="U17" i="15"/>
  <c r="V17" i="15"/>
  <c r="H17" i="15"/>
  <c r="I17" i="15"/>
  <c r="M17" i="15"/>
  <c r="Y17" i="15"/>
  <c r="G17" i="15"/>
  <c r="P23" i="15"/>
  <c r="M23" i="15"/>
  <c r="Q23" i="15"/>
  <c r="U23" i="15"/>
  <c r="Y23" i="15"/>
  <c r="I23" i="15"/>
  <c r="T23" i="15"/>
  <c r="W23" i="15"/>
  <c r="L23" i="15"/>
  <c r="J23" i="15"/>
  <c r="N23" i="15"/>
  <c r="V23" i="15"/>
  <c r="AA23" i="15"/>
  <c r="O23" i="15"/>
  <c r="X23" i="15"/>
  <c r="H23" i="15"/>
  <c r="Z23" i="15"/>
  <c r="G23" i="15"/>
  <c r="R23" i="15"/>
  <c r="K23" i="15"/>
  <c r="S23" i="15"/>
  <c r="T22" i="15"/>
  <c r="N22" i="15"/>
  <c r="R22" i="15"/>
  <c r="I22" i="15"/>
  <c r="M22" i="15"/>
  <c r="P22" i="15"/>
  <c r="U22" i="15"/>
  <c r="S22" i="15"/>
  <c r="H22" i="15"/>
  <c r="AA22" i="15"/>
  <c r="Q22" i="15"/>
  <c r="O22" i="15"/>
  <c r="W22" i="15"/>
  <c r="Y22" i="15"/>
  <c r="L22" i="15"/>
  <c r="G22" i="15"/>
  <c r="K22" i="15"/>
  <c r="Z22" i="15"/>
  <c r="V22" i="15"/>
  <c r="X22" i="15"/>
  <c r="J22" i="15"/>
  <c r="P20" i="15"/>
  <c r="V20" i="15"/>
  <c r="Z20" i="15"/>
  <c r="U20" i="15"/>
  <c r="R20" i="15"/>
  <c r="L20" i="15"/>
  <c r="S20" i="15"/>
  <c r="G20" i="15"/>
  <c r="H20" i="15"/>
  <c r="N20" i="15"/>
  <c r="T20" i="15"/>
  <c r="O20" i="15"/>
  <c r="W20" i="15"/>
  <c r="Y20" i="15"/>
  <c r="K20" i="15"/>
  <c r="X20" i="15"/>
  <c r="I20" i="15"/>
  <c r="M20" i="15"/>
  <c r="Q20" i="15"/>
  <c r="AA20" i="15"/>
  <c r="J20" i="15"/>
  <c r="Q34" i="15"/>
  <c r="L34" i="15"/>
  <c r="U34" i="15"/>
  <c r="H34" i="15"/>
  <c r="N34" i="15"/>
  <c r="J34" i="15"/>
  <c r="P34" i="15"/>
  <c r="W34" i="15"/>
  <c r="R34" i="15"/>
  <c r="I34" i="15"/>
  <c r="K34" i="15"/>
  <c r="T34" i="15"/>
  <c r="AA34" i="15"/>
  <c r="X34" i="15"/>
  <c r="Y34" i="15"/>
  <c r="S34" i="15"/>
  <c r="M34" i="15"/>
  <c r="O34" i="15"/>
  <c r="V34" i="15"/>
  <c r="G34" i="15"/>
  <c r="Z34" i="15"/>
  <c r="T21" i="15"/>
  <c r="K21" i="15"/>
  <c r="O21" i="15"/>
  <c r="J21" i="15"/>
  <c r="N21" i="15"/>
  <c r="P21" i="15"/>
  <c r="Q21" i="15"/>
  <c r="S21" i="15"/>
  <c r="W21" i="15"/>
  <c r="R21" i="15"/>
  <c r="X21" i="15"/>
  <c r="Y21" i="15"/>
  <c r="L21" i="15"/>
  <c r="Z21" i="15"/>
  <c r="H21" i="15"/>
  <c r="M21" i="15"/>
  <c r="U21" i="15"/>
  <c r="AA21" i="15"/>
  <c r="G21" i="15"/>
  <c r="V21" i="15"/>
  <c r="I21" i="15"/>
  <c r="X28" i="15"/>
  <c r="M28" i="15"/>
  <c r="W28" i="15"/>
  <c r="U28" i="15"/>
  <c r="S28" i="15"/>
  <c r="I28" i="15"/>
  <c r="P28" i="15"/>
  <c r="O28" i="15"/>
  <c r="G28" i="15"/>
  <c r="Y28" i="15"/>
  <c r="Z28" i="15"/>
  <c r="AA28" i="15"/>
  <c r="J28" i="15"/>
  <c r="V28" i="15"/>
  <c r="N28" i="15"/>
  <c r="Q28" i="15"/>
  <c r="L28" i="15"/>
  <c r="T28" i="15"/>
  <c r="R28" i="15"/>
  <c r="K28" i="15"/>
  <c r="H28" i="15"/>
  <c r="G14" i="15"/>
  <c r="S14" i="15"/>
  <c r="V14" i="15"/>
  <c r="M14" i="15"/>
  <c r="Y14" i="15"/>
  <c r="R14" i="15"/>
  <c r="H14" i="15"/>
  <c r="J14" i="15"/>
  <c r="T14" i="15"/>
  <c r="L14" i="15"/>
  <c r="O14" i="15"/>
  <c r="U14" i="15"/>
  <c r="Z14" i="15"/>
  <c r="Q14" i="15"/>
  <c r="AA14" i="15"/>
  <c r="K14" i="15"/>
  <c r="N14" i="15"/>
  <c r="P14" i="15"/>
  <c r="I14" i="15"/>
  <c r="W14" i="15"/>
  <c r="X14" i="15"/>
  <c r="N27" i="15"/>
  <c r="AA27" i="15"/>
  <c r="O27" i="15"/>
  <c r="Y27" i="15"/>
  <c r="U27" i="15"/>
  <c r="L27" i="15"/>
  <c r="S27" i="15"/>
  <c r="M27" i="15"/>
  <c r="X27" i="15"/>
  <c r="Z27" i="15"/>
  <c r="K27" i="15"/>
  <c r="G27" i="15"/>
  <c r="V27" i="15"/>
  <c r="P27" i="15"/>
  <c r="I27" i="15"/>
  <c r="Q27" i="15"/>
  <c r="T27" i="15"/>
  <c r="J27" i="15"/>
  <c r="W27" i="15"/>
  <c r="R27" i="15"/>
  <c r="H27" i="15"/>
  <c r="L15" i="15"/>
  <c r="U15" i="15"/>
  <c r="X15" i="15"/>
  <c r="M15" i="15"/>
  <c r="V15" i="15"/>
  <c r="AA15" i="15"/>
  <c r="H15" i="15"/>
  <c r="P15" i="15"/>
  <c r="J15" i="15"/>
  <c r="Q15" i="15"/>
  <c r="W15" i="15"/>
  <c r="Y15" i="15"/>
  <c r="T15" i="15"/>
  <c r="N15" i="15"/>
  <c r="O15" i="15"/>
  <c r="I15" i="15"/>
  <c r="K15" i="15"/>
  <c r="S15" i="15"/>
  <c r="G15" i="15"/>
  <c r="Z15" i="15"/>
  <c r="R15" i="15"/>
  <c r="L29" i="15"/>
  <c r="R29" i="15"/>
  <c r="H29" i="15"/>
  <c r="Y29" i="15"/>
  <c r="V29" i="15"/>
  <c r="K29" i="15"/>
  <c r="U29" i="15"/>
  <c r="M29" i="15"/>
  <c r="O29" i="15"/>
  <c r="T29" i="15"/>
  <c r="G29" i="15"/>
  <c r="AA29" i="15"/>
  <c r="J29" i="15"/>
  <c r="W29" i="15"/>
  <c r="Z29" i="15"/>
  <c r="I29" i="15"/>
  <c r="S29" i="15"/>
  <c r="N29" i="15"/>
  <c r="X29" i="15"/>
  <c r="Q29" i="15"/>
  <c r="P29" i="15"/>
  <c r="AA13" i="15"/>
  <c r="K13" i="15"/>
  <c r="R13" i="15"/>
  <c r="T13" i="15"/>
  <c r="X13" i="15"/>
  <c r="Q13" i="15"/>
  <c r="N13" i="15"/>
  <c r="Y13" i="15"/>
  <c r="V13" i="15"/>
  <c r="I13" i="15"/>
  <c r="W13" i="15"/>
  <c r="G13" i="15"/>
  <c r="M13" i="15"/>
  <c r="L13" i="15"/>
  <c r="P13" i="15"/>
  <c r="S13" i="15"/>
  <c r="Z13" i="15"/>
  <c r="J13" i="15"/>
  <c r="H13" i="15"/>
  <c r="U13" i="15"/>
  <c r="O13" i="15"/>
  <c r="R26" i="15"/>
  <c r="H26" i="15"/>
  <c r="Q26" i="15"/>
  <c r="G26" i="15"/>
  <c r="U26" i="15"/>
  <c r="M26" i="15"/>
  <c r="J26" i="15"/>
  <c r="W26" i="15"/>
  <c r="N26" i="15"/>
  <c r="L26" i="15"/>
  <c r="Y26" i="15"/>
  <c r="O26" i="15"/>
  <c r="T26" i="15"/>
  <c r="X26" i="15"/>
  <c r="P26" i="15"/>
  <c r="V26" i="15"/>
  <c r="Z26" i="15"/>
  <c r="I26" i="15"/>
  <c r="K26" i="15"/>
  <c r="AA26" i="15"/>
  <c r="S26" i="15"/>
  <c r="E243" i="16"/>
  <c r="AC243" i="16" s="1"/>
  <c r="E247" i="16"/>
  <c r="AC247" i="16" s="1"/>
  <c r="E248" i="16"/>
  <c r="AC248" i="16" s="1"/>
  <c r="E280" i="16"/>
  <c r="AC280" i="16" s="1"/>
  <c r="E283" i="16"/>
  <c r="AC283" i="16" s="1"/>
  <c r="E239" i="16"/>
  <c r="AC239" i="16" s="1"/>
  <c r="E275" i="16"/>
  <c r="AC275" i="16" s="1"/>
  <c r="U201" i="16"/>
  <c r="S157" i="16"/>
  <c r="E284" i="16"/>
  <c r="AC284" i="16" s="1"/>
  <c r="E244" i="16"/>
  <c r="AC244" i="16" s="1"/>
  <c r="E276" i="16"/>
  <c r="AC276" i="16" s="1"/>
  <c r="R178" i="16"/>
  <c r="E240" i="16"/>
  <c r="AC240" i="16" s="1"/>
  <c r="R170" i="16"/>
  <c r="R168" i="16"/>
  <c r="R169" i="16"/>
  <c r="E282" i="16"/>
  <c r="AC282" i="16" s="1"/>
  <c r="H180" i="16"/>
  <c r="E246" i="16"/>
  <c r="AC246" i="16" s="1"/>
  <c r="H170" i="16"/>
  <c r="E242" i="16"/>
  <c r="AC242" i="16" s="1"/>
  <c r="H169" i="16"/>
  <c r="E274" i="16"/>
  <c r="AC274" i="16" s="1"/>
  <c r="H178" i="16"/>
  <c r="E279" i="16"/>
  <c r="AC279" i="16" s="1"/>
  <c r="R179" i="16"/>
  <c r="R180" i="16"/>
  <c r="E238" i="16"/>
  <c r="AC238" i="16" s="1"/>
  <c r="H168" i="16"/>
  <c r="E278" i="16"/>
  <c r="AC278" i="16" s="1"/>
  <c r="H179" i="16"/>
  <c r="S139" i="16"/>
  <c r="S138" i="16"/>
  <c r="H154" i="16"/>
  <c r="E2" i="15"/>
  <c r="B6" i="15"/>
  <c r="E4" i="15"/>
  <c r="A5" i="15"/>
  <c r="A6" i="15" s="1"/>
  <c r="A7" i="15" s="1"/>
  <c r="E3" i="15"/>
  <c r="B2" i="15"/>
  <c r="B9" i="15"/>
  <c r="B5" i="15"/>
  <c r="B12" i="15"/>
  <c r="B8" i="15"/>
  <c r="B4" i="15"/>
  <c r="B11" i="15"/>
  <c r="B7" i="15"/>
  <c r="B3" i="15"/>
  <c r="B10" i="15"/>
  <c r="Q25" i="6"/>
  <c r="Q26" i="6"/>
  <c r="Q27" i="6"/>
  <c r="Q28" i="6"/>
  <c r="Q24" i="6"/>
  <c r="Q14" i="6"/>
  <c r="Q15" i="6"/>
  <c r="Q13" i="6"/>
  <c r="Q4" i="4"/>
  <c r="P4" i="4"/>
  <c r="S2" i="5" l="1"/>
  <c r="T4" i="5"/>
  <c r="T2" i="5"/>
  <c r="T5" i="5"/>
  <c r="T11" i="5"/>
  <c r="T9" i="5"/>
  <c r="T7" i="5"/>
  <c r="T3" i="5"/>
  <c r="T6" i="5"/>
  <c r="T10" i="5"/>
  <c r="T8" i="5"/>
  <c r="W5" i="6"/>
  <c r="W7" i="6"/>
  <c r="W6" i="6"/>
  <c r="W8" i="6"/>
  <c r="W9" i="6"/>
  <c r="I9" i="16"/>
  <c r="I11" i="16"/>
  <c r="I10" i="16"/>
  <c r="I13" i="16"/>
  <c r="I8" i="16"/>
  <c r="I7" i="16"/>
  <c r="I12" i="16"/>
  <c r="I14" i="16"/>
  <c r="I6" i="16"/>
  <c r="H15" i="16"/>
  <c r="H16" i="16" s="1"/>
  <c r="P32" i="15"/>
  <c r="V32" i="15"/>
  <c r="E6" i="15"/>
  <c r="G32" i="15"/>
  <c r="AA32" i="15"/>
  <c r="N25" i="15"/>
  <c r="L25" i="15"/>
  <c r="K25" i="15"/>
  <c r="I25" i="15"/>
  <c r="G18" i="15"/>
  <c r="Z25" i="15"/>
  <c r="Y25" i="15"/>
  <c r="H25" i="15"/>
  <c r="Y32" i="15"/>
  <c r="R25" i="15"/>
  <c r="T25" i="15"/>
  <c r="W25" i="15"/>
  <c r="Q25" i="15"/>
  <c r="G25" i="15"/>
  <c r="V25" i="15"/>
  <c r="U25" i="15"/>
  <c r="J25" i="15"/>
  <c r="X25" i="15"/>
  <c r="O25" i="15"/>
  <c r="AA25" i="15"/>
  <c r="S25" i="15"/>
  <c r="M25" i="15"/>
  <c r="Q31" i="15"/>
  <c r="AM239" i="16"/>
  <c r="AD239" i="16" s="1"/>
  <c r="AE239" i="16" s="1"/>
  <c r="AF239" i="16" s="1"/>
  <c r="AG239" i="16" s="1"/>
  <c r="AH239" i="16" s="1"/>
  <c r="AI239" i="16" s="1"/>
  <c r="AJ239" i="16" s="1"/>
  <c r="AK239" i="16" s="1"/>
  <c r="AL239" i="16" s="1"/>
  <c r="AM238" i="16"/>
  <c r="AD238" i="16" s="1"/>
  <c r="AE238" i="16" s="1"/>
  <c r="AF238" i="16" s="1"/>
  <c r="AG238" i="16" s="1"/>
  <c r="AH238" i="16" s="1"/>
  <c r="AI238" i="16" s="1"/>
  <c r="AJ238" i="16" s="1"/>
  <c r="AK238" i="16" s="1"/>
  <c r="AL238" i="16" s="1"/>
  <c r="T284" i="16"/>
  <c r="U284" i="16" s="1"/>
  <c r="V284" i="16" s="1"/>
  <c r="W284" i="16" s="1"/>
  <c r="X284" i="16" s="1"/>
  <c r="Y284" i="16" s="1"/>
  <c r="Z284" i="16" s="1"/>
  <c r="AA284" i="16" s="1"/>
  <c r="AB284" i="16" s="1"/>
  <c r="AM284" i="16"/>
  <c r="AD284" i="16" s="1"/>
  <c r="AE284" i="16" s="1"/>
  <c r="AF284" i="16" s="1"/>
  <c r="AG284" i="16" s="1"/>
  <c r="AH284" i="16" s="1"/>
  <c r="AI284" i="16" s="1"/>
  <c r="AJ284" i="16" s="1"/>
  <c r="AK284" i="16" s="1"/>
  <c r="AL284" i="16" s="1"/>
  <c r="T282" i="16"/>
  <c r="U282" i="16" s="1"/>
  <c r="V282" i="16" s="1"/>
  <c r="W282" i="16" s="1"/>
  <c r="X282" i="16" s="1"/>
  <c r="Y282" i="16" s="1"/>
  <c r="Z282" i="16" s="1"/>
  <c r="AA282" i="16" s="1"/>
  <c r="AB282" i="16" s="1"/>
  <c r="AM282" i="16"/>
  <c r="AD282" i="16" s="1"/>
  <c r="AE282" i="16" s="1"/>
  <c r="AF282" i="16" s="1"/>
  <c r="AG282" i="16" s="1"/>
  <c r="AH282" i="16" s="1"/>
  <c r="AI282" i="16" s="1"/>
  <c r="AJ282" i="16" s="1"/>
  <c r="AK282" i="16" s="1"/>
  <c r="AL282" i="16" s="1"/>
  <c r="T283" i="16"/>
  <c r="U283" i="16" s="1"/>
  <c r="V283" i="16" s="1"/>
  <c r="W283" i="16" s="1"/>
  <c r="X283" i="16" s="1"/>
  <c r="Y283" i="16" s="1"/>
  <c r="Z283" i="16" s="1"/>
  <c r="AA283" i="16" s="1"/>
  <c r="AB283" i="16" s="1"/>
  <c r="AM283" i="16"/>
  <c r="AD283" i="16" s="1"/>
  <c r="AE283" i="16" s="1"/>
  <c r="AF283" i="16" s="1"/>
  <c r="AG283" i="16" s="1"/>
  <c r="AH283" i="16" s="1"/>
  <c r="AI283" i="16" s="1"/>
  <c r="AJ283" i="16" s="1"/>
  <c r="AK283" i="16" s="1"/>
  <c r="AL283" i="16" s="1"/>
  <c r="T279" i="16"/>
  <c r="U279" i="16" s="1"/>
  <c r="V279" i="16" s="1"/>
  <c r="W279" i="16" s="1"/>
  <c r="X279" i="16" s="1"/>
  <c r="Y279" i="16" s="1"/>
  <c r="Z279" i="16" s="1"/>
  <c r="AA279" i="16" s="1"/>
  <c r="AB279" i="16" s="1"/>
  <c r="AM279" i="16"/>
  <c r="AD279" i="16" s="1"/>
  <c r="AE279" i="16" s="1"/>
  <c r="AF279" i="16" s="1"/>
  <c r="AG279" i="16" s="1"/>
  <c r="AH279" i="16" s="1"/>
  <c r="AI279" i="16" s="1"/>
  <c r="AJ279" i="16" s="1"/>
  <c r="AK279" i="16" s="1"/>
  <c r="AL279" i="16" s="1"/>
  <c r="T278" i="16"/>
  <c r="U278" i="16" s="1"/>
  <c r="V278" i="16" s="1"/>
  <c r="W278" i="16" s="1"/>
  <c r="X278" i="16" s="1"/>
  <c r="Y278" i="16" s="1"/>
  <c r="Z278" i="16" s="1"/>
  <c r="AA278" i="16" s="1"/>
  <c r="AB278" i="16" s="1"/>
  <c r="AM278" i="16"/>
  <c r="AD278" i="16" s="1"/>
  <c r="AE278" i="16" s="1"/>
  <c r="AF278" i="16" s="1"/>
  <c r="AG278" i="16" s="1"/>
  <c r="AH278" i="16" s="1"/>
  <c r="AI278" i="16" s="1"/>
  <c r="AJ278" i="16" s="1"/>
  <c r="AK278" i="16" s="1"/>
  <c r="AL278" i="16" s="1"/>
  <c r="T280" i="16"/>
  <c r="U280" i="16" s="1"/>
  <c r="V280" i="16" s="1"/>
  <c r="W280" i="16" s="1"/>
  <c r="X280" i="16" s="1"/>
  <c r="Y280" i="16" s="1"/>
  <c r="Z280" i="16" s="1"/>
  <c r="AA280" i="16" s="1"/>
  <c r="AB280" i="16" s="1"/>
  <c r="AM280" i="16"/>
  <c r="AD280" i="16" s="1"/>
  <c r="AE280" i="16" s="1"/>
  <c r="AF280" i="16" s="1"/>
  <c r="AG280" i="16" s="1"/>
  <c r="AH280" i="16" s="1"/>
  <c r="AI280" i="16" s="1"/>
  <c r="AJ280" i="16" s="1"/>
  <c r="AK280" i="16" s="1"/>
  <c r="AL280" i="16" s="1"/>
  <c r="T275" i="16"/>
  <c r="U275" i="16" s="1"/>
  <c r="V275" i="16" s="1"/>
  <c r="W275" i="16" s="1"/>
  <c r="X275" i="16" s="1"/>
  <c r="Y275" i="16" s="1"/>
  <c r="Z275" i="16" s="1"/>
  <c r="AA275" i="16" s="1"/>
  <c r="AB275" i="16" s="1"/>
  <c r="AM275" i="16"/>
  <c r="AD275" i="16" s="1"/>
  <c r="AE275" i="16" s="1"/>
  <c r="AF275" i="16" s="1"/>
  <c r="AG275" i="16" s="1"/>
  <c r="AH275" i="16" s="1"/>
  <c r="AI275" i="16" s="1"/>
  <c r="AJ275" i="16" s="1"/>
  <c r="AK275" i="16" s="1"/>
  <c r="AL275" i="16" s="1"/>
  <c r="T276" i="16"/>
  <c r="U276" i="16" s="1"/>
  <c r="V276" i="16" s="1"/>
  <c r="W276" i="16" s="1"/>
  <c r="X276" i="16" s="1"/>
  <c r="Y276" i="16" s="1"/>
  <c r="Z276" i="16" s="1"/>
  <c r="AA276" i="16" s="1"/>
  <c r="AB276" i="16" s="1"/>
  <c r="AM276" i="16"/>
  <c r="AD276" i="16" s="1"/>
  <c r="AE276" i="16" s="1"/>
  <c r="AF276" i="16" s="1"/>
  <c r="AG276" i="16" s="1"/>
  <c r="AH276" i="16" s="1"/>
  <c r="AI276" i="16" s="1"/>
  <c r="AJ276" i="16" s="1"/>
  <c r="AK276" i="16" s="1"/>
  <c r="AL276" i="16" s="1"/>
  <c r="T274" i="16"/>
  <c r="U274" i="16" s="1"/>
  <c r="V274" i="16" s="1"/>
  <c r="W274" i="16" s="1"/>
  <c r="X274" i="16" s="1"/>
  <c r="Y274" i="16" s="1"/>
  <c r="Z274" i="16" s="1"/>
  <c r="AA274" i="16" s="1"/>
  <c r="AB274" i="16" s="1"/>
  <c r="AM274" i="16"/>
  <c r="AD274" i="16" s="1"/>
  <c r="AE274" i="16" s="1"/>
  <c r="AF274" i="16" s="1"/>
  <c r="AG274" i="16" s="1"/>
  <c r="AH274" i="16" s="1"/>
  <c r="AI274" i="16" s="1"/>
  <c r="AJ274" i="16" s="1"/>
  <c r="AK274" i="16" s="1"/>
  <c r="AL274" i="16" s="1"/>
  <c r="T247" i="16"/>
  <c r="U247" i="16" s="1"/>
  <c r="V247" i="16" s="1"/>
  <c r="W247" i="16" s="1"/>
  <c r="X247" i="16" s="1"/>
  <c r="Y247" i="16" s="1"/>
  <c r="Z247" i="16" s="1"/>
  <c r="AA247" i="16" s="1"/>
  <c r="AB247" i="16" s="1"/>
  <c r="AM247" i="16"/>
  <c r="AD247" i="16" s="1"/>
  <c r="AE247" i="16" s="1"/>
  <c r="AF247" i="16" s="1"/>
  <c r="AG247" i="16" s="1"/>
  <c r="AH247" i="16" s="1"/>
  <c r="AI247" i="16" s="1"/>
  <c r="AJ247" i="16" s="1"/>
  <c r="AK247" i="16" s="1"/>
  <c r="AL247" i="16" s="1"/>
  <c r="T246" i="16"/>
  <c r="U246" i="16" s="1"/>
  <c r="V246" i="16" s="1"/>
  <c r="W246" i="16" s="1"/>
  <c r="X246" i="16" s="1"/>
  <c r="Y246" i="16" s="1"/>
  <c r="Z246" i="16" s="1"/>
  <c r="AA246" i="16" s="1"/>
  <c r="AB246" i="16" s="1"/>
  <c r="AM246" i="16"/>
  <c r="AD246" i="16" s="1"/>
  <c r="AE246" i="16" s="1"/>
  <c r="AF246" i="16" s="1"/>
  <c r="AG246" i="16" s="1"/>
  <c r="AH246" i="16" s="1"/>
  <c r="AI246" i="16" s="1"/>
  <c r="AJ246" i="16" s="1"/>
  <c r="AK246" i="16" s="1"/>
  <c r="AL246" i="16" s="1"/>
  <c r="T248" i="16"/>
  <c r="U248" i="16" s="1"/>
  <c r="V248" i="16" s="1"/>
  <c r="W248" i="16" s="1"/>
  <c r="X248" i="16" s="1"/>
  <c r="Y248" i="16" s="1"/>
  <c r="Z248" i="16" s="1"/>
  <c r="AA248" i="16" s="1"/>
  <c r="AB248" i="16" s="1"/>
  <c r="AM248" i="16"/>
  <c r="AD248" i="16" s="1"/>
  <c r="AE248" i="16" s="1"/>
  <c r="AF248" i="16" s="1"/>
  <c r="AG248" i="16" s="1"/>
  <c r="AH248" i="16" s="1"/>
  <c r="AI248" i="16" s="1"/>
  <c r="AJ248" i="16" s="1"/>
  <c r="AK248" i="16" s="1"/>
  <c r="AL248" i="16" s="1"/>
  <c r="T244" i="16"/>
  <c r="U244" i="16" s="1"/>
  <c r="V244" i="16" s="1"/>
  <c r="W244" i="16" s="1"/>
  <c r="X244" i="16" s="1"/>
  <c r="Y244" i="16" s="1"/>
  <c r="Z244" i="16" s="1"/>
  <c r="AA244" i="16" s="1"/>
  <c r="AB244" i="16" s="1"/>
  <c r="AM244" i="16"/>
  <c r="AD244" i="16" s="1"/>
  <c r="AE244" i="16" s="1"/>
  <c r="AF244" i="16" s="1"/>
  <c r="AG244" i="16" s="1"/>
  <c r="AH244" i="16" s="1"/>
  <c r="AI244" i="16" s="1"/>
  <c r="AJ244" i="16" s="1"/>
  <c r="AK244" i="16" s="1"/>
  <c r="AL244" i="16" s="1"/>
  <c r="T242" i="16"/>
  <c r="U242" i="16" s="1"/>
  <c r="V242" i="16" s="1"/>
  <c r="W242" i="16" s="1"/>
  <c r="X242" i="16" s="1"/>
  <c r="Y242" i="16" s="1"/>
  <c r="Z242" i="16" s="1"/>
  <c r="AA242" i="16" s="1"/>
  <c r="AB242" i="16" s="1"/>
  <c r="AM242" i="16"/>
  <c r="AD242" i="16" s="1"/>
  <c r="AE242" i="16" s="1"/>
  <c r="AF242" i="16" s="1"/>
  <c r="AG242" i="16" s="1"/>
  <c r="AH242" i="16" s="1"/>
  <c r="AI242" i="16" s="1"/>
  <c r="AJ242" i="16" s="1"/>
  <c r="AK242" i="16" s="1"/>
  <c r="AL242" i="16" s="1"/>
  <c r="T243" i="16"/>
  <c r="U243" i="16" s="1"/>
  <c r="V243" i="16" s="1"/>
  <c r="W243" i="16" s="1"/>
  <c r="X243" i="16" s="1"/>
  <c r="Y243" i="16" s="1"/>
  <c r="Z243" i="16" s="1"/>
  <c r="AA243" i="16" s="1"/>
  <c r="AB243" i="16" s="1"/>
  <c r="AM243" i="16"/>
  <c r="AD243" i="16" s="1"/>
  <c r="AE243" i="16" s="1"/>
  <c r="AF243" i="16" s="1"/>
  <c r="AG243" i="16" s="1"/>
  <c r="AH243" i="16" s="1"/>
  <c r="AI243" i="16" s="1"/>
  <c r="AJ243" i="16" s="1"/>
  <c r="AK243" i="16" s="1"/>
  <c r="AL243" i="16" s="1"/>
  <c r="T240" i="16"/>
  <c r="U240" i="16" s="1"/>
  <c r="V240" i="16" s="1"/>
  <c r="W240" i="16" s="1"/>
  <c r="X240" i="16" s="1"/>
  <c r="Y240" i="16" s="1"/>
  <c r="Z240" i="16" s="1"/>
  <c r="AA240" i="16" s="1"/>
  <c r="AB240" i="16" s="1"/>
  <c r="AM240" i="16"/>
  <c r="AD240" i="16" s="1"/>
  <c r="AE240" i="16" s="1"/>
  <c r="AF240" i="16" s="1"/>
  <c r="AG240" i="16" s="1"/>
  <c r="AH240" i="16" s="1"/>
  <c r="AI240" i="16" s="1"/>
  <c r="AJ240" i="16" s="1"/>
  <c r="AK240" i="16" s="1"/>
  <c r="AL240" i="16" s="1"/>
  <c r="T239" i="16"/>
  <c r="U239" i="16" s="1"/>
  <c r="V239" i="16" s="1"/>
  <c r="W239" i="16" s="1"/>
  <c r="X239" i="16" s="1"/>
  <c r="Y239" i="16" s="1"/>
  <c r="Z239" i="16" s="1"/>
  <c r="AA239" i="16" s="1"/>
  <c r="AB239" i="16" s="1"/>
  <c r="T238" i="16"/>
  <c r="U238" i="16" s="1"/>
  <c r="V238" i="16" s="1"/>
  <c r="W238" i="16" s="1"/>
  <c r="X238" i="16" s="1"/>
  <c r="Y238" i="16" s="1"/>
  <c r="Z238" i="16" s="1"/>
  <c r="AA238" i="16" s="1"/>
  <c r="AB238" i="16" s="1"/>
  <c r="AC202" i="16"/>
  <c r="AM202" i="16" s="1"/>
  <c r="AC200" i="16"/>
  <c r="C9" i="16"/>
  <c r="I325" i="16"/>
  <c r="H17" i="16"/>
  <c r="C12" i="16"/>
  <c r="C6" i="16"/>
  <c r="Y18" i="15"/>
  <c r="S18" i="15"/>
  <c r="S31" i="15"/>
  <c r="U32" i="15"/>
  <c r="L32" i="15"/>
  <c r="K32" i="15"/>
  <c r="V31" i="15"/>
  <c r="M32" i="15"/>
  <c r="H32" i="15"/>
  <c r="T32" i="15"/>
  <c r="O18" i="15"/>
  <c r="L31" i="15"/>
  <c r="P31" i="15"/>
  <c r="Z31" i="15"/>
  <c r="M31" i="15"/>
  <c r="N31" i="15"/>
  <c r="M18" i="15"/>
  <c r="K18" i="15"/>
  <c r="T18" i="15"/>
  <c r="Q18" i="15"/>
  <c r="AA18" i="15"/>
  <c r="J18" i="15"/>
  <c r="U18" i="15"/>
  <c r="W31" i="15"/>
  <c r="O31" i="15"/>
  <c r="G31" i="15"/>
  <c r="K31" i="15"/>
  <c r="J32" i="15"/>
  <c r="X32" i="15"/>
  <c r="N32" i="15"/>
  <c r="Q32" i="15"/>
  <c r="Z32" i="15"/>
  <c r="R31" i="15"/>
  <c r="Y31" i="15"/>
  <c r="X31" i="15"/>
  <c r="T31" i="15"/>
  <c r="O32" i="15"/>
  <c r="I32" i="15"/>
  <c r="W32" i="15"/>
  <c r="R32" i="15"/>
  <c r="S24" i="15"/>
  <c r="N18" i="15"/>
  <c r="I18" i="15"/>
  <c r="X18" i="15"/>
  <c r="V18" i="15"/>
  <c r="N24" i="15"/>
  <c r="H18" i="15"/>
  <c r="U31" i="15"/>
  <c r="H31" i="15"/>
  <c r="AA31" i="15"/>
  <c r="J31" i="15"/>
  <c r="Z18" i="15"/>
  <c r="P18" i="15"/>
  <c r="L18" i="15"/>
  <c r="W18" i="15"/>
  <c r="N19" i="15"/>
  <c r="Z19" i="15"/>
  <c r="R19" i="15"/>
  <c r="O24" i="15"/>
  <c r="P24" i="15"/>
  <c r="R24" i="15"/>
  <c r="H24" i="15"/>
  <c r="M24" i="15"/>
  <c r="U24" i="15"/>
  <c r="V24" i="15"/>
  <c r="I24" i="15"/>
  <c r="T24" i="15"/>
  <c r="W24" i="15"/>
  <c r="Q24" i="15"/>
  <c r="L24" i="15"/>
  <c r="AA24" i="15"/>
  <c r="J24" i="15"/>
  <c r="G24" i="15"/>
  <c r="X24" i="15"/>
  <c r="Y24" i="15"/>
  <c r="K24" i="15"/>
  <c r="X19" i="15"/>
  <c r="I19" i="15"/>
  <c r="O19" i="15"/>
  <c r="L19" i="15"/>
  <c r="J19" i="15"/>
  <c r="V19" i="15"/>
  <c r="Q19" i="15"/>
  <c r="AA19" i="15"/>
  <c r="K19" i="15"/>
  <c r="T19" i="15"/>
  <c r="S19" i="15"/>
  <c r="G19" i="15"/>
  <c r="Y19" i="15"/>
  <c r="W19" i="15"/>
  <c r="M19" i="15"/>
  <c r="P19" i="15"/>
  <c r="H19" i="15"/>
  <c r="Y23" i="5"/>
  <c r="V23" i="5" s="1"/>
  <c r="W23" i="5" s="1"/>
  <c r="X23" i="5" s="1"/>
  <c r="Y19" i="5"/>
  <c r="V19" i="5" s="1"/>
  <c r="W19" i="5" s="1"/>
  <c r="X19" i="5" s="1"/>
  <c r="T19" i="5"/>
  <c r="T20" i="5"/>
  <c r="Y20" i="5"/>
  <c r="V20" i="5" s="1"/>
  <c r="W20" i="5" s="1"/>
  <c r="X20" i="5" s="1"/>
  <c r="Y22" i="5"/>
  <c r="V22" i="5" s="1"/>
  <c r="W22" i="5" s="1"/>
  <c r="X22" i="5" s="1"/>
  <c r="Y21" i="5"/>
  <c r="V21" i="5" s="1"/>
  <c r="W21" i="5" s="1"/>
  <c r="X21" i="5" s="1"/>
  <c r="Y14" i="5"/>
  <c r="V14" i="5" s="1"/>
  <c r="W14" i="5" s="1"/>
  <c r="X14" i="5" s="1"/>
  <c r="Y18" i="5"/>
  <c r="V18" i="5" s="1"/>
  <c r="W18" i="5" s="1"/>
  <c r="X18" i="5" s="1"/>
  <c r="Y15" i="5"/>
  <c r="V15" i="5" s="1"/>
  <c r="W15" i="5" s="1"/>
  <c r="X15" i="5" s="1"/>
  <c r="Y17" i="5"/>
  <c r="V17" i="5" s="1"/>
  <c r="W17" i="5" s="1"/>
  <c r="X17" i="5" s="1"/>
  <c r="Y16" i="5"/>
  <c r="V16" i="5" s="1"/>
  <c r="W16" i="5" s="1"/>
  <c r="X16" i="5" s="1"/>
  <c r="E5" i="15"/>
  <c r="N3" i="15"/>
  <c r="V2" i="15"/>
  <c r="V201" i="16"/>
  <c r="T157" i="16"/>
  <c r="I168" i="16"/>
  <c r="I180" i="16"/>
  <c r="I179" i="16"/>
  <c r="I178" i="16"/>
  <c r="I169" i="16"/>
  <c r="I170" i="16"/>
  <c r="X3" i="15"/>
  <c r="Y3" i="15"/>
  <c r="T2" i="15"/>
  <c r="O2" i="15"/>
  <c r="M2" i="15"/>
  <c r="AA2" i="15"/>
  <c r="Q2" i="15"/>
  <c r="H3" i="15"/>
  <c r="G2" i="15"/>
  <c r="P2" i="15"/>
  <c r="W3" i="15"/>
  <c r="Z2" i="15"/>
  <c r="H2" i="15"/>
  <c r="L3" i="15"/>
  <c r="X2" i="15"/>
  <c r="U2" i="15"/>
  <c r="I3" i="15"/>
  <c r="J2" i="15"/>
  <c r="K2" i="15"/>
  <c r="N2" i="15"/>
  <c r="W2" i="15"/>
  <c r="L2" i="15"/>
  <c r="I2" i="15"/>
  <c r="Y2" i="15"/>
  <c r="R2" i="15"/>
  <c r="S2" i="15"/>
  <c r="K3" i="15"/>
  <c r="U3" i="15"/>
  <c r="Z3" i="15"/>
  <c r="J3" i="15"/>
  <c r="T3" i="15"/>
  <c r="AA3" i="15"/>
  <c r="Q3" i="15"/>
  <c r="V3" i="15"/>
  <c r="P3" i="15"/>
  <c r="S3" i="15"/>
  <c r="O3" i="15"/>
  <c r="M3" i="15"/>
  <c r="R3" i="15"/>
  <c r="G3" i="15"/>
  <c r="H4" i="15"/>
  <c r="L4" i="15"/>
  <c r="P4" i="15"/>
  <c r="T4" i="15"/>
  <c r="X4" i="15"/>
  <c r="J4" i="15"/>
  <c r="N4" i="15"/>
  <c r="R4" i="15"/>
  <c r="V4" i="15"/>
  <c r="I4" i="15"/>
  <c r="M4" i="15"/>
  <c r="Q4" i="15"/>
  <c r="U4" i="15"/>
  <c r="Y4" i="15"/>
  <c r="G4" i="15"/>
  <c r="Z4" i="15"/>
  <c r="O4" i="15"/>
  <c r="S4" i="15"/>
  <c r="W4" i="15"/>
  <c r="K4" i="15"/>
  <c r="AA4" i="15"/>
  <c r="A8" i="15"/>
  <c r="E7" i="15"/>
  <c r="Q35" i="9"/>
  <c r="Q23" i="9"/>
  <c r="Q15" i="9"/>
  <c r="Q3" i="9"/>
  <c r="Q16" i="10"/>
  <c r="Q4" i="10"/>
  <c r="Q15" i="4"/>
  <c r="Q2" i="9"/>
  <c r="Q42" i="9"/>
  <c r="Q38" i="9"/>
  <c r="Q34" i="9"/>
  <c r="Q30" i="9"/>
  <c r="Q26" i="9"/>
  <c r="Q22" i="9"/>
  <c r="Q18" i="9"/>
  <c r="Q14" i="9"/>
  <c r="Q10" i="9"/>
  <c r="Q6" i="9"/>
  <c r="Q2" i="10"/>
  <c r="Q22" i="10"/>
  <c r="Q18" i="10"/>
  <c r="Q15" i="10"/>
  <c r="Q11" i="10"/>
  <c r="Q7" i="10"/>
  <c r="Q3" i="10"/>
  <c r="Q18" i="4"/>
  <c r="Q14" i="4"/>
  <c r="Q10" i="4"/>
  <c r="Q6" i="4"/>
  <c r="Q39" i="9"/>
  <c r="Q27" i="9"/>
  <c r="Q11" i="9"/>
  <c r="Q23" i="10"/>
  <c r="Q12" i="10"/>
  <c r="Q19" i="4"/>
  <c r="Q11" i="4"/>
  <c r="Q41" i="9"/>
  <c r="Q37" i="9"/>
  <c r="Q33" i="9"/>
  <c r="Q29" i="9"/>
  <c r="Q25" i="9"/>
  <c r="Q21" i="9"/>
  <c r="Q17" i="9"/>
  <c r="Q13" i="9"/>
  <c r="Q9" i="9"/>
  <c r="Q5" i="9"/>
  <c r="Q25" i="10"/>
  <c r="Q21" i="10"/>
  <c r="Q17" i="10"/>
  <c r="Q14" i="10"/>
  <c r="Q10" i="10"/>
  <c r="Q6" i="10"/>
  <c r="Q3" i="4"/>
  <c r="Q17" i="4"/>
  <c r="Q13" i="4"/>
  <c r="Q9" i="4"/>
  <c r="Q5" i="4"/>
  <c r="Q43" i="9"/>
  <c r="Q31" i="9"/>
  <c r="Q19" i="9"/>
  <c r="Q7" i="9"/>
  <c r="Q19" i="10"/>
  <c r="Q8" i="10"/>
  <c r="Q7" i="4"/>
  <c r="Q44" i="9"/>
  <c r="Q40" i="9"/>
  <c r="Q36" i="9"/>
  <c r="Q32" i="9"/>
  <c r="Q28" i="9"/>
  <c r="Q24" i="9"/>
  <c r="Q20" i="9"/>
  <c r="Q16" i="9"/>
  <c r="Q12" i="9"/>
  <c r="Q8" i="9"/>
  <c r="Q4" i="9"/>
  <c r="Q24" i="10"/>
  <c r="Q20" i="10"/>
  <c r="Q51" i="10"/>
  <c r="Q13" i="10"/>
  <c r="Q5" i="10"/>
  <c r="Q20" i="4"/>
  <c r="Q16" i="4"/>
  <c r="Q12" i="4"/>
  <c r="Q8" i="4"/>
  <c r="P2" i="9"/>
  <c r="P40" i="9"/>
  <c r="P34" i="9"/>
  <c r="P24" i="9"/>
  <c r="P18" i="9"/>
  <c r="P12" i="9"/>
  <c r="P8" i="9"/>
  <c r="P24" i="10"/>
  <c r="P18" i="10"/>
  <c r="P13" i="10"/>
  <c r="P7" i="10"/>
  <c r="P20" i="4"/>
  <c r="P16" i="4"/>
  <c r="P14" i="4"/>
  <c r="P6" i="4"/>
  <c r="P3" i="4"/>
  <c r="P42" i="9"/>
  <c r="P36" i="9"/>
  <c r="P30" i="9"/>
  <c r="P26" i="9"/>
  <c r="P20" i="9"/>
  <c r="P16" i="9"/>
  <c r="P10" i="9"/>
  <c r="P4" i="9"/>
  <c r="P20" i="10"/>
  <c r="P15" i="10"/>
  <c r="P9" i="10"/>
  <c r="P3" i="10"/>
  <c r="P10" i="4"/>
  <c r="P43" i="9"/>
  <c r="P39" i="9"/>
  <c r="P35" i="9"/>
  <c r="P31" i="9"/>
  <c r="P27" i="9"/>
  <c r="P21" i="9"/>
  <c r="P17" i="9"/>
  <c r="P13" i="9"/>
  <c r="P9" i="9"/>
  <c r="P7" i="9"/>
  <c r="P3" i="9"/>
  <c r="P23" i="10"/>
  <c r="P21" i="10"/>
  <c r="P17" i="10"/>
  <c r="P16" i="10"/>
  <c r="P14" i="10"/>
  <c r="P12" i="10"/>
  <c r="P10" i="10"/>
  <c r="P8" i="10"/>
  <c r="P4" i="10"/>
  <c r="P19" i="4"/>
  <c r="P17" i="4"/>
  <c r="P15" i="4"/>
  <c r="P13" i="4"/>
  <c r="P11" i="4"/>
  <c r="P9" i="4"/>
  <c r="P7" i="4"/>
  <c r="P5" i="4"/>
  <c r="P41" i="9"/>
  <c r="P37" i="9"/>
  <c r="P33" i="9"/>
  <c r="P29" i="9"/>
  <c r="P25" i="9"/>
  <c r="P23" i="9"/>
  <c r="P19" i="9"/>
  <c r="P15" i="9"/>
  <c r="P11" i="9"/>
  <c r="P5" i="9"/>
  <c r="P25" i="10"/>
  <c r="P19" i="10"/>
  <c r="P6" i="10"/>
  <c r="P2" i="10"/>
  <c r="P44" i="9"/>
  <c r="P38" i="9"/>
  <c r="P32" i="9"/>
  <c r="P28" i="9"/>
  <c r="P22" i="9"/>
  <c r="P14" i="9"/>
  <c r="P6" i="9"/>
  <c r="P22" i="10"/>
  <c r="P51" i="10"/>
  <c r="P11" i="10"/>
  <c r="P5" i="10"/>
  <c r="P18" i="4"/>
  <c r="P12" i="4"/>
  <c r="P8" i="4"/>
  <c r="J8" i="16" l="1"/>
  <c r="J7" i="16"/>
  <c r="J6" i="16"/>
  <c r="J12" i="16"/>
  <c r="J13" i="16"/>
  <c r="J14" i="16"/>
  <c r="X6" i="6"/>
  <c r="X9" i="6"/>
  <c r="X7" i="6"/>
  <c r="X8" i="6"/>
  <c r="X5" i="6"/>
  <c r="J11" i="16"/>
  <c r="J10" i="16"/>
  <c r="J9" i="16"/>
  <c r="S10" i="16"/>
  <c r="S11" i="16"/>
  <c r="S13" i="16"/>
  <c r="S14" i="16"/>
  <c r="C15" i="16"/>
  <c r="AD202" i="16"/>
  <c r="AE202" i="16" s="1"/>
  <c r="AF202" i="16" s="1"/>
  <c r="AG202" i="16" s="1"/>
  <c r="AH202" i="16" s="1"/>
  <c r="AI202" i="16" s="1"/>
  <c r="AJ202" i="16" s="1"/>
  <c r="AK202" i="16" s="1"/>
  <c r="AL202" i="16" s="1"/>
  <c r="T202" i="16"/>
  <c r="U202" i="16" s="1"/>
  <c r="V202" i="16" s="1"/>
  <c r="W202" i="16" s="1"/>
  <c r="X202" i="16" s="1"/>
  <c r="Y202" i="16" s="1"/>
  <c r="Z202" i="16" s="1"/>
  <c r="AA202" i="16" s="1"/>
  <c r="AB202" i="16" s="1"/>
  <c r="T323" i="16"/>
  <c r="T320" i="16"/>
  <c r="T322" i="16"/>
  <c r="J323" i="16"/>
  <c r="T318" i="16"/>
  <c r="J324" i="16"/>
  <c r="J322" i="16"/>
  <c r="T324" i="16"/>
  <c r="J320" i="16"/>
  <c r="T319" i="16"/>
  <c r="J318" i="16"/>
  <c r="J319" i="16"/>
  <c r="K320" i="16"/>
  <c r="S12" i="16"/>
  <c r="U320" i="16"/>
  <c r="S9" i="16"/>
  <c r="K324" i="16"/>
  <c r="U324" i="16"/>
  <c r="T11" i="16"/>
  <c r="T13" i="16"/>
  <c r="T14" i="16"/>
  <c r="T10" i="16"/>
  <c r="W201" i="16"/>
  <c r="U157" i="16"/>
  <c r="S180" i="16"/>
  <c r="S169" i="16"/>
  <c r="S168" i="16"/>
  <c r="S170" i="16"/>
  <c r="S179" i="16"/>
  <c r="S178" i="16"/>
  <c r="J169" i="16"/>
  <c r="J179" i="16"/>
  <c r="J168" i="16"/>
  <c r="J170" i="16"/>
  <c r="J178" i="16"/>
  <c r="J180" i="16"/>
  <c r="H5" i="15"/>
  <c r="L5" i="15"/>
  <c r="P5" i="15"/>
  <c r="T5" i="15"/>
  <c r="X5" i="15"/>
  <c r="J5" i="15"/>
  <c r="N5" i="15"/>
  <c r="R5" i="15"/>
  <c r="V5" i="15"/>
  <c r="Z5" i="15"/>
  <c r="I5" i="15"/>
  <c r="M5" i="15"/>
  <c r="Q5" i="15"/>
  <c r="U5" i="15"/>
  <c r="Y5" i="15"/>
  <c r="K5" i="15"/>
  <c r="AA5" i="15"/>
  <c r="O5" i="15"/>
  <c r="S5" i="15"/>
  <c r="W5" i="15"/>
  <c r="G5" i="15"/>
  <c r="A9" i="15"/>
  <c r="E8" i="15"/>
  <c r="Y2" i="6"/>
  <c r="K7" i="16" l="1"/>
  <c r="K6" i="16"/>
  <c r="K8" i="16"/>
  <c r="K14" i="16"/>
  <c r="K13" i="16"/>
  <c r="K12" i="16"/>
  <c r="J3" i="16"/>
  <c r="V2" i="6"/>
  <c r="K9" i="16"/>
  <c r="K10" i="16"/>
  <c r="K11" i="16"/>
  <c r="K323" i="16"/>
  <c r="U322" i="16"/>
  <c r="K318" i="16"/>
  <c r="U323" i="16"/>
  <c r="K322" i="16"/>
  <c r="K319" i="16"/>
  <c r="U318" i="16"/>
  <c r="U319" i="16"/>
  <c r="T12" i="16"/>
  <c r="T9" i="16"/>
  <c r="L324" i="16"/>
  <c r="V320" i="16"/>
  <c r="V324" i="16"/>
  <c r="L320" i="16"/>
  <c r="U13" i="16"/>
  <c r="U10" i="16"/>
  <c r="U14" i="16"/>
  <c r="U11" i="16"/>
  <c r="X201" i="16"/>
  <c r="V157" i="16"/>
  <c r="T170" i="16"/>
  <c r="T169" i="16"/>
  <c r="T178" i="16"/>
  <c r="T179" i="16"/>
  <c r="T168" i="16"/>
  <c r="T180" i="16"/>
  <c r="K180" i="16"/>
  <c r="K170" i="16"/>
  <c r="K179" i="16"/>
  <c r="K178" i="16"/>
  <c r="K168" i="16"/>
  <c r="K169" i="16"/>
  <c r="H6" i="15"/>
  <c r="L6" i="15"/>
  <c r="P6" i="15"/>
  <c r="T6" i="15"/>
  <c r="X6" i="15"/>
  <c r="J6" i="15"/>
  <c r="N6" i="15"/>
  <c r="R6" i="15"/>
  <c r="V6" i="15"/>
  <c r="Z6" i="15"/>
  <c r="I6" i="15"/>
  <c r="M6" i="15"/>
  <c r="Q6" i="15"/>
  <c r="U6" i="15"/>
  <c r="Y6" i="15"/>
  <c r="W6" i="15"/>
  <c r="G6" i="15"/>
  <c r="K6" i="15"/>
  <c r="AA6" i="15"/>
  <c r="O6" i="15"/>
  <c r="S6" i="15"/>
  <c r="A10" i="15"/>
  <c r="E9" i="15"/>
  <c r="L8" i="16" l="1"/>
  <c r="L6" i="16"/>
  <c r="L7" i="16"/>
  <c r="L13" i="16"/>
  <c r="L14" i="16"/>
  <c r="L12" i="16"/>
  <c r="W2" i="6"/>
  <c r="L11" i="16"/>
  <c r="L10" i="16"/>
  <c r="L9" i="16"/>
  <c r="V323" i="16"/>
  <c r="L323" i="16"/>
  <c r="L322" i="16"/>
  <c r="V322" i="16"/>
  <c r="L319" i="16"/>
  <c r="V318" i="16"/>
  <c r="V319" i="16"/>
  <c r="L318" i="16"/>
  <c r="U9" i="16"/>
  <c r="U12" i="16"/>
  <c r="W320" i="16"/>
  <c r="M324" i="16"/>
  <c r="W324" i="16"/>
  <c r="M320" i="16"/>
  <c r="V14" i="16"/>
  <c r="V11" i="16"/>
  <c r="V10" i="16"/>
  <c r="V13" i="16"/>
  <c r="Y201" i="16"/>
  <c r="W157" i="16"/>
  <c r="U179" i="16"/>
  <c r="U178" i="16"/>
  <c r="U168" i="16"/>
  <c r="U180" i="16"/>
  <c r="U169" i="16"/>
  <c r="U170" i="16"/>
  <c r="L168" i="16"/>
  <c r="L170" i="16"/>
  <c r="L169" i="16"/>
  <c r="L178" i="16"/>
  <c r="L179" i="16"/>
  <c r="L180" i="16"/>
  <c r="H7" i="15"/>
  <c r="L7" i="15"/>
  <c r="P7" i="15"/>
  <c r="T7" i="15"/>
  <c r="X7" i="15"/>
  <c r="G7" i="15"/>
  <c r="J7" i="15"/>
  <c r="N7" i="15"/>
  <c r="R7" i="15"/>
  <c r="V7" i="15"/>
  <c r="Z7" i="15"/>
  <c r="I7" i="15"/>
  <c r="M7" i="15"/>
  <c r="Q7" i="15"/>
  <c r="U7" i="15"/>
  <c r="Y7" i="15"/>
  <c r="S7" i="15"/>
  <c r="W7" i="15"/>
  <c r="K7" i="15"/>
  <c r="AA7" i="15"/>
  <c r="O7" i="15"/>
  <c r="E10" i="15"/>
  <c r="A11" i="15"/>
  <c r="M6" i="16" l="1"/>
  <c r="M7" i="16"/>
  <c r="M8" i="16"/>
  <c r="M13" i="16"/>
  <c r="M12" i="16"/>
  <c r="M14" i="16"/>
  <c r="X2" i="6"/>
  <c r="M10" i="16"/>
  <c r="M9" i="16"/>
  <c r="M11" i="16"/>
  <c r="M322" i="16"/>
  <c r="W319" i="16"/>
  <c r="W323" i="16"/>
  <c r="M323" i="16"/>
  <c r="M318" i="16"/>
  <c r="W322" i="16"/>
  <c r="M319" i="16"/>
  <c r="W318" i="16"/>
  <c r="N324" i="16"/>
  <c r="X320" i="16"/>
  <c r="V9" i="16"/>
  <c r="V12" i="16"/>
  <c r="N320" i="16"/>
  <c r="X324" i="16"/>
  <c r="W13" i="16"/>
  <c r="W11" i="16"/>
  <c r="W10" i="16"/>
  <c r="W14" i="16"/>
  <c r="Z201" i="16"/>
  <c r="X157" i="16"/>
  <c r="V169" i="16"/>
  <c r="V179" i="16"/>
  <c r="V170" i="16"/>
  <c r="V180" i="16"/>
  <c r="V168" i="16"/>
  <c r="V178" i="16"/>
  <c r="M179" i="16"/>
  <c r="M170" i="16"/>
  <c r="M168" i="16"/>
  <c r="M169" i="16"/>
  <c r="M180" i="16"/>
  <c r="M178" i="16"/>
  <c r="H8" i="15"/>
  <c r="L8" i="15"/>
  <c r="P8" i="15"/>
  <c r="T8" i="15"/>
  <c r="X8" i="15"/>
  <c r="J8" i="15"/>
  <c r="N8" i="15"/>
  <c r="I8" i="15"/>
  <c r="M8" i="15"/>
  <c r="Q8" i="15"/>
  <c r="U8" i="15"/>
  <c r="Y8" i="15"/>
  <c r="G8" i="15"/>
  <c r="O8" i="15"/>
  <c r="W8" i="15"/>
  <c r="R8" i="15"/>
  <c r="Z8" i="15"/>
  <c r="S8" i="15"/>
  <c r="AA8" i="15"/>
  <c r="K8" i="15"/>
  <c r="V8" i="15"/>
  <c r="A12" i="15"/>
  <c r="E12" i="15" s="1"/>
  <c r="E11" i="15"/>
  <c r="F10" i="6"/>
  <c r="F11" i="6"/>
  <c r="F12" i="6"/>
  <c r="F24" i="6"/>
  <c r="F25" i="6"/>
  <c r="F26" i="6"/>
  <c r="F14" i="6"/>
  <c r="F15" i="6"/>
  <c r="F13" i="6"/>
  <c r="N8" i="16" l="1"/>
  <c r="N7" i="16"/>
  <c r="N6" i="16"/>
  <c r="N13" i="16"/>
  <c r="N14" i="16"/>
  <c r="N12" i="16"/>
  <c r="N11" i="16"/>
  <c r="N9" i="16"/>
  <c r="N10" i="16"/>
  <c r="X323" i="16"/>
  <c r="N323" i="16"/>
  <c r="X322" i="16"/>
  <c r="N322" i="16"/>
  <c r="N318" i="16"/>
  <c r="X318" i="16"/>
  <c r="N319" i="16"/>
  <c r="X319" i="16"/>
  <c r="Y324" i="16"/>
  <c r="O320" i="16"/>
  <c r="Y320" i="16"/>
  <c r="W9" i="16"/>
  <c r="W12" i="16"/>
  <c r="O324" i="16"/>
  <c r="X14" i="16"/>
  <c r="X10" i="16"/>
  <c r="X11" i="16"/>
  <c r="X13" i="16"/>
  <c r="AA201" i="16"/>
  <c r="Y157" i="16"/>
  <c r="W178" i="16"/>
  <c r="W180" i="16"/>
  <c r="W179" i="16"/>
  <c r="W169" i="16"/>
  <c r="W168" i="16"/>
  <c r="W170" i="16"/>
  <c r="N169" i="16"/>
  <c r="N180" i="16"/>
  <c r="N168" i="16"/>
  <c r="N179" i="16"/>
  <c r="N178" i="16"/>
  <c r="N170" i="16"/>
  <c r="H9" i="15"/>
  <c r="L9" i="15"/>
  <c r="P9" i="15"/>
  <c r="T9" i="15"/>
  <c r="X9" i="15"/>
  <c r="I9" i="15"/>
  <c r="M9" i="15"/>
  <c r="Q9" i="15"/>
  <c r="U9" i="15"/>
  <c r="Y9" i="15"/>
  <c r="K9" i="15"/>
  <c r="S9" i="15"/>
  <c r="AA9" i="15"/>
  <c r="N9" i="15"/>
  <c r="V9" i="15"/>
  <c r="G9" i="15"/>
  <c r="O9" i="15"/>
  <c r="W9" i="15"/>
  <c r="J9" i="15"/>
  <c r="R9" i="15"/>
  <c r="Z9" i="15"/>
  <c r="Z2" i="5"/>
  <c r="Z3" i="5"/>
  <c r="Z4" i="5"/>
  <c r="Z5" i="5"/>
  <c r="Z6" i="5"/>
  <c r="Z7" i="5"/>
  <c r="Z8" i="5"/>
  <c r="Z9" i="5"/>
  <c r="Z10" i="5"/>
  <c r="Z11" i="5"/>
  <c r="Z12" i="5"/>
  <c r="Z13" i="5"/>
  <c r="Y13" i="5"/>
  <c r="V13" i="5" s="1"/>
  <c r="W13" i="5" s="1"/>
  <c r="X13" i="5" s="1"/>
  <c r="Y9" i="5"/>
  <c r="V9" i="5" s="1"/>
  <c r="Y7" i="5"/>
  <c r="V7" i="5" s="1"/>
  <c r="W7" i="5" s="1"/>
  <c r="X7" i="5" s="1"/>
  <c r="Y8" i="5"/>
  <c r="V8" i="5" s="1"/>
  <c r="W8" i="5" s="1"/>
  <c r="X8" i="5" s="1"/>
  <c r="Y12" i="5"/>
  <c r="V12" i="5" s="1"/>
  <c r="W12" i="5" s="1"/>
  <c r="X12" i="5" s="1"/>
  <c r="Y4" i="5"/>
  <c r="V4" i="5" s="1"/>
  <c r="Y5" i="5"/>
  <c r="V5" i="5" s="1"/>
  <c r="W5" i="5" s="1"/>
  <c r="X5" i="5" s="1"/>
  <c r="Y6" i="5"/>
  <c r="V6" i="5" s="1"/>
  <c r="W6" i="5" s="1"/>
  <c r="X6" i="5" s="1"/>
  <c r="Y10" i="5"/>
  <c r="V10" i="5" s="1"/>
  <c r="W10" i="5" s="1"/>
  <c r="X10" i="5" s="1"/>
  <c r="Y11" i="5"/>
  <c r="V11" i="5" s="1"/>
  <c r="W11" i="5" s="1"/>
  <c r="X11" i="5" s="1"/>
  <c r="Y3" i="5"/>
  <c r="V3" i="5" s="1"/>
  <c r="W3" i="5" s="1"/>
  <c r="X3" i="5" s="1"/>
  <c r="O6" i="16" l="1"/>
  <c r="O7" i="16"/>
  <c r="O8" i="16"/>
  <c r="O12" i="16"/>
  <c r="O13" i="16"/>
  <c r="O14" i="16"/>
  <c r="O10" i="16"/>
  <c r="O9" i="16"/>
  <c r="O11" i="16"/>
  <c r="Y318" i="16"/>
  <c r="Y322" i="16"/>
  <c r="O318" i="16"/>
  <c r="Y323" i="16"/>
  <c r="Y319" i="16"/>
  <c r="O323" i="16"/>
  <c r="O322" i="16"/>
  <c r="O319" i="16"/>
  <c r="X9" i="16"/>
  <c r="Z320" i="16"/>
  <c r="P320" i="16"/>
  <c r="X12" i="16"/>
  <c r="P324" i="16"/>
  <c r="Z324" i="16"/>
  <c r="Y13" i="16"/>
  <c r="Y10" i="16"/>
  <c r="Y11" i="16"/>
  <c r="Y14" i="16"/>
  <c r="W9" i="5"/>
  <c r="X9" i="5" s="1"/>
  <c r="W4" i="5"/>
  <c r="X4" i="5" s="1"/>
  <c r="AB201" i="16"/>
  <c r="Z157" i="16"/>
  <c r="X170" i="16"/>
  <c r="X169" i="16"/>
  <c r="X179" i="16"/>
  <c r="X178" i="16"/>
  <c r="X168" i="16"/>
  <c r="X180" i="16"/>
  <c r="O169" i="16"/>
  <c r="O179" i="16"/>
  <c r="O170" i="16"/>
  <c r="O178" i="16"/>
  <c r="O168" i="16"/>
  <c r="O180" i="16"/>
  <c r="Y2" i="5"/>
  <c r="V2" i="5" s="1"/>
  <c r="H10" i="15"/>
  <c r="L10" i="15"/>
  <c r="P10" i="15"/>
  <c r="T10" i="15"/>
  <c r="X10" i="15"/>
  <c r="I10" i="15"/>
  <c r="M10" i="15"/>
  <c r="Q10" i="15"/>
  <c r="U10" i="15"/>
  <c r="Y10" i="15"/>
  <c r="O10" i="15"/>
  <c r="W10" i="15"/>
  <c r="J10" i="15"/>
  <c r="R10" i="15"/>
  <c r="Z10" i="15"/>
  <c r="K10" i="15"/>
  <c r="S10" i="15"/>
  <c r="AA10" i="15"/>
  <c r="G10" i="15"/>
  <c r="N10" i="15"/>
  <c r="V10" i="15"/>
  <c r="H2" i="5"/>
  <c r="H3" i="5"/>
  <c r="H4" i="5"/>
  <c r="H5" i="5"/>
  <c r="H6" i="5"/>
  <c r="H7" i="5"/>
  <c r="H8" i="5"/>
  <c r="H9" i="5"/>
  <c r="H10" i="5"/>
  <c r="H11" i="5"/>
  <c r="H12" i="5"/>
  <c r="G13" i="5"/>
  <c r="H13" i="5"/>
  <c r="F10" i="5"/>
  <c r="G10" i="5" s="1"/>
  <c r="F11" i="5"/>
  <c r="G11" i="5" s="1"/>
  <c r="F12" i="5"/>
  <c r="G12" i="5" s="1"/>
  <c r="F9" i="5"/>
  <c r="F5" i="5"/>
  <c r="G5" i="5" s="1"/>
  <c r="F6" i="5"/>
  <c r="G6" i="5" s="1"/>
  <c r="F7" i="5"/>
  <c r="G7" i="5" s="1"/>
  <c r="F8" i="5"/>
  <c r="G8" i="5" s="1"/>
  <c r="F4" i="5"/>
  <c r="F2" i="5"/>
  <c r="G2" i="5" s="1"/>
  <c r="F3" i="5"/>
  <c r="G3" i="5" s="1"/>
  <c r="J28" i="6"/>
  <c r="J29" i="6"/>
  <c r="J27" i="6"/>
  <c r="R27" i="6" s="1"/>
  <c r="AG13" i="6"/>
  <c r="AG24" i="6" s="1"/>
  <c r="AH13" i="6"/>
  <c r="AH24" i="6" s="1"/>
  <c r="AI13" i="6"/>
  <c r="AI24" i="6" s="1"/>
  <c r="AJ13" i="6"/>
  <c r="AJ24" i="6" s="1"/>
  <c r="AK13" i="6"/>
  <c r="AK24" i="6" s="1"/>
  <c r="AL13" i="6"/>
  <c r="AL24" i="6" s="1"/>
  <c r="AM13" i="6"/>
  <c r="AM24" i="6" s="1"/>
  <c r="AN13" i="6"/>
  <c r="AN24" i="6" s="1"/>
  <c r="AO13" i="6"/>
  <c r="AO24" i="6" s="1"/>
  <c r="AP13" i="6"/>
  <c r="AP24" i="6" s="1"/>
  <c r="AQ13" i="6"/>
  <c r="AQ24" i="6" s="1"/>
  <c r="AR13" i="6"/>
  <c r="AR24" i="6" s="1"/>
  <c r="AS13" i="6"/>
  <c r="AS24" i="6" s="1"/>
  <c r="AT13" i="6"/>
  <c r="AT24" i="6" s="1"/>
  <c r="AU13" i="6"/>
  <c r="AU24" i="6" s="1"/>
  <c r="AV13" i="6"/>
  <c r="AV24" i="6" s="1"/>
  <c r="AW13" i="6"/>
  <c r="AW24" i="6" s="1"/>
  <c r="AX13" i="6"/>
  <c r="AX24" i="6" s="1"/>
  <c r="AY13" i="6"/>
  <c r="AY24" i="6" s="1"/>
  <c r="AZ13" i="6"/>
  <c r="AZ24" i="6" s="1"/>
  <c r="BA13" i="6"/>
  <c r="BA24" i="6" s="1"/>
  <c r="BB13" i="6"/>
  <c r="BB24" i="6" s="1"/>
  <c r="BC13" i="6"/>
  <c r="BC24" i="6" s="1"/>
  <c r="BD13" i="6"/>
  <c r="BD24" i="6" s="1"/>
  <c r="BE13" i="6"/>
  <c r="BE24" i="6" s="1"/>
  <c r="AG14" i="6"/>
  <c r="AG25" i="6" s="1"/>
  <c r="AH14" i="6"/>
  <c r="AH25" i="6" s="1"/>
  <c r="AI14" i="6"/>
  <c r="AI25" i="6" s="1"/>
  <c r="AJ14" i="6"/>
  <c r="AJ25" i="6" s="1"/>
  <c r="AK14" i="6"/>
  <c r="AK25" i="6" s="1"/>
  <c r="AL14" i="6"/>
  <c r="AL25" i="6" s="1"/>
  <c r="AM14" i="6"/>
  <c r="AM25" i="6" s="1"/>
  <c r="AN14" i="6"/>
  <c r="AN25" i="6" s="1"/>
  <c r="AO14" i="6"/>
  <c r="AO25" i="6" s="1"/>
  <c r="AP14" i="6"/>
  <c r="AP25" i="6" s="1"/>
  <c r="AQ14" i="6"/>
  <c r="AQ25" i="6" s="1"/>
  <c r="AR14" i="6"/>
  <c r="AR25" i="6" s="1"/>
  <c r="AS14" i="6"/>
  <c r="AS25" i="6" s="1"/>
  <c r="AT14" i="6"/>
  <c r="AT25" i="6" s="1"/>
  <c r="AU14" i="6"/>
  <c r="AU25" i="6" s="1"/>
  <c r="AV14" i="6"/>
  <c r="AV25" i="6" s="1"/>
  <c r="AW14" i="6"/>
  <c r="AW25" i="6" s="1"/>
  <c r="AX14" i="6"/>
  <c r="AX25" i="6" s="1"/>
  <c r="AY14" i="6"/>
  <c r="AY25" i="6" s="1"/>
  <c r="AZ14" i="6"/>
  <c r="AZ25" i="6" s="1"/>
  <c r="BA14" i="6"/>
  <c r="BA25" i="6" s="1"/>
  <c r="BB14" i="6"/>
  <c r="BB25" i="6" s="1"/>
  <c r="BC14" i="6"/>
  <c r="BC25" i="6" s="1"/>
  <c r="BD14" i="6"/>
  <c r="BD25" i="6" s="1"/>
  <c r="BE14" i="6"/>
  <c r="BE25" i="6" s="1"/>
  <c r="AG15" i="6"/>
  <c r="AG26" i="6" s="1"/>
  <c r="AH15" i="6"/>
  <c r="AH26" i="6" s="1"/>
  <c r="AI15" i="6"/>
  <c r="AI26" i="6" s="1"/>
  <c r="AJ15" i="6"/>
  <c r="AJ26" i="6" s="1"/>
  <c r="AK15" i="6"/>
  <c r="AK26" i="6" s="1"/>
  <c r="AL15" i="6"/>
  <c r="AL26" i="6" s="1"/>
  <c r="AM15" i="6"/>
  <c r="AM26" i="6" s="1"/>
  <c r="AN15" i="6"/>
  <c r="AN26" i="6" s="1"/>
  <c r="AO15" i="6"/>
  <c r="AO26" i="6" s="1"/>
  <c r="AP15" i="6"/>
  <c r="AP26" i="6" s="1"/>
  <c r="AQ15" i="6"/>
  <c r="AQ26" i="6" s="1"/>
  <c r="AR15" i="6"/>
  <c r="AR26" i="6" s="1"/>
  <c r="AS15" i="6"/>
  <c r="AS26" i="6" s="1"/>
  <c r="AT15" i="6"/>
  <c r="AT26" i="6" s="1"/>
  <c r="AU15" i="6"/>
  <c r="AU26" i="6" s="1"/>
  <c r="AV15" i="6"/>
  <c r="AV26" i="6" s="1"/>
  <c r="AW15" i="6"/>
  <c r="AW26" i="6" s="1"/>
  <c r="AX15" i="6"/>
  <c r="AX26" i="6" s="1"/>
  <c r="AY15" i="6"/>
  <c r="AY26" i="6" s="1"/>
  <c r="AZ15" i="6"/>
  <c r="AZ26" i="6" s="1"/>
  <c r="BA15" i="6"/>
  <c r="BA26" i="6" s="1"/>
  <c r="BB15" i="6"/>
  <c r="BB26" i="6" s="1"/>
  <c r="BC15" i="6"/>
  <c r="BC26" i="6" s="1"/>
  <c r="BD15" i="6"/>
  <c r="BD26" i="6" s="1"/>
  <c r="BE15" i="6"/>
  <c r="BE26" i="6" s="1"/>
  <c r="AG21" i="6"/>
  <c r="AG27" i="6" s="1"/>
  <c r="AH21" i="6"/>
  <c r="AH27" i="6" s="1"/>
  <c r="AI21" i="6"/>
  <c r="AI27" i="6" s="1"/>
  <c r="AJ21" i="6"/>
  <c r="AJ27" i="6" s="1"/>
  <c r="AK21" i="6"/>
  <c r="AK27" i="6" s="1"/>
  <c r="AL21" i="6"/>
  <c r="AL27" i="6" s="1"/>
  <c r="AM21" i="6"/>
  <c r="AM27" i="6" s="1"/>
  <c r="AN21" i="6"/>
  <c r="AN27" i="6" s="1"/>
  <c r="AO21" i="6"/>
  <c r="AO27" i="6" s="1"/>
  <c r="AP21" i="6"/>
  <c r="AP27" i="6" s="1"/>
  <c r="AQ21" i="6"/>
  <c r="AQ27" i="6" s="1"/>
  <c r="AR21" i="6"/>
  <c r="AR27" i="6" s="1"/>
  <c r="AS21" i="6"/>
  <c r="AS27" i="6" s="1"/>
  <c r="AT21" i="6"/>
  <c r="AT27" i="6" s="1"/>
  <c r="AU21" i="6"/>
  <c r="AU27" i="6" s="1"/>
  <c r="AV21" i="6"/>
  <c r="AV27" i="6" s="1"/>
  <c r="AW21" i="6"/>
  <c r="AW27" i="6" s="1"/>
  <c r="AX21" i="6"/>
  <c r="AX27" i="6" s="1"/>
  <c r="AY21" i="6"/>
  <c r="AY27" i="6" s="1"/>
  <c r="AZ21" i="6"/>
  <c r="AZ27" i="6" s="1"/>
  <c r="BA21" i="6"/>
  <c r="BA27" i="6" s="1"/>
  <c r="BB21" i="6"/>
  <c r="BB27" i="6" s="1"/>
  <c r="BC21" i="6"/>
  <c r="BC27" i="6" s="1"/>
  <c r="BD21" i="6"/>
  <c r="BD27" i="6" s="1"/>
  <c r="BE21" i="6"/>
  <c r="BE27" i="6" s="1"/>
  <c r="AG22" i="6"/>
  <c r="AG28" i="6" s="1"/>
  <c r="AH22" i="6"/>
  <c r="AH28" i="6" s="1"/>
  <c r="AI22" i="6"/>
  <c r="AI28" i="6" s="1"/>
  <c r="AJ22" i="6"/>
  <c r="AJ28" i="6" s="1"/>
  <c r="AK22" i="6"/>
  <c r="AK28" i="6" s="1"/>
  <c r="AL22" i="6"/>
  <c r="AL28" i="6" s="1"/>
  <c r="AM22" i="6"/>
  <c r="AM28" i="6" s="1"/>
  <c r="AN22" i="6"/>
  <c r="AN28" i="6" s="1"/>
  <c r="AO22" i="6"/>
  <c r="AO28" i="6" s="1"/>
  <c r="AP22" i="6"/>
  <c r="AP28" i="6" s="1"/>
  <c r="AQ22" i="6"/>
  <c r="AQ28" i="6" s="1"/>
  <c r="AR22" i="6"/>
  <c r="AR28" i="6" s="1"/>
  <c r="AS22" i="6"/>
  <c r="AS28" i="6" s="1"/>
  <c r="AT22" i="6"/>
  <c r="AT28" i="6" s="1"/>
  <c r="AU22" i="6"/>
  <c r="AU28" i="6" s="1"/>
  <c r="AV22" i="6"/>
  <c r="AV28" i="6" s="1"/>
  <c r="AW22" i="6"/>
  <c r="AW28" i="6" s="1"/>
  <c r="AX22" i="6"/>
  <c r="AX28" i="6" s="1"/>
  <c r="AY22" i="6"/>
  <c r="AY28" i="6" s="1"/>
  <c r="AZ22" i="6"/>
  <c r="AZ28" i="6" s="1"/>
  <c r="BA22" i="6"/>
  <c r="BA28" i="6" s="1"/>
  <c r="BB22" i="6"/>
  <c r="BB28" i="6" s="1"/>
  <c r="BC22" i="6"/>
  <c r="BC28" i="6" s="1"/>
  <c r="BD22" i="6"/>
  <c r="BD28" i="6" s="1"/>
  <c r="BE22" i="6"/>
  <c r="BE28" i="6" s="1"/>
  <c r="AG23" i="6"/>
  <c r="AG29" i="6" s="1"/>
  <c r="AH23" i="6"/>
  <c r="AH29" i="6" s="1"/>
  <c r="AI23" i="6"/>
  <c r="AI29" i="6" s="1"/>
  <c r="AJ23" i="6"/>
  <c r="AJ29" i="6" s="1"/>
  <c r="AK23" i="6"/>
  <c r="AK29" i="6" s="1"/>
  <c r="AL23" i="6"/>
  <c r="AL29" i="6" s="1"/>
  <c r="AM23" i="6"/>
  <c r="AM29" i="6" s="1"/>
  <c r="AN23" i="6"/>
  <c r="AN29" i="6" s="1"/>
  <c r="AO23" i="6"/>
  <c r="AO29" i="6" s="1"/>
  <c r="AP23" i="6"/>
  <c r="AP29" i="6" s="1"/>
  <c r="AQ23" i="6"/>
  <c r="AQ29" i="6" s="1"/>
  <c r="AR23" i="6"/>
  <c r="AR29" i="6" s="1"/>
  <c r="AS23" i="6"/>
  <c r="AS29" i="6" s="1"/>
  <c r="AT23" i="6"/>
  <c r="AT29" i="6" s="1"/>
  <c r="AU23" i="6"/>
  <c r="AU29" i="6" s="1"/>
  <c r="AV23" i="6"/>
  <c r="AV29" i="6" s="1"/>
  <c r="AW23" i="6"/>
  <c r="AW29" i="6" s="1"/>
  <c r="AX23" i="6"/>
  <c r="AX29" i="6" s="1"/>
  <c r="AY23" i="6"/>
  <c r="AY29" i="6" s="1"/>
  <c r="AZ23" i="6"/>
  <c r="AZ29" i="6" s="1"/>
  <c r="BA23" i="6"/>
  <c r="BA29" i="6" s="1"/>
  <c r="BB23" i="6"/>
  <c r="BB29" i="6" s="1"/>
  <c r="BC23" i="6"/>
  <c r="BC29" i="6" s="1"/>
  <c r="BD23" i="6"/>
  <c r="BD29" i="6" s="1"/>
  <c r="BE23" i="6"/>
  <c r="BE29" i="6" s="1"/>
  <c r="AF14" i="6"/>
  <c r="AF25" i="6" s="1"/>
  <c r="AF15" i="6"/>
  <c r="AF26" i="6" s="1"/>
  <c r="AF21" i="6"/>
  <c r="AF27" i="6" s="1"/>
  <c r="AF22" i="6"/>
  <c r="AF28" i="6" s="1"/>
  <c r="AF23" i="6"/>
  <c r="AF29" i="6" s="1"/>
  <c r="AF13" i="6"/>
  <c r="AF24" i="6" s="1"/>
  <c r="AB3" i="6"/>
  <c r="AB4" i="6"/>
  <c r="AB2" i="6"/>
  <c r="AE13" i="6"/>
  <c r="AE24" i="6" s="1"/>
  <c r="AE14" i="6"/>
  <c r="AE25" i="6" s="1"/>
  <c r="AE15" i="6"/>
  <c r="AE26" i="6" s="1"/>
  <c r="AA14" i="6"/>
  <c r="AA25" i="6" s="1"/>
  <c r="AA15" i="6"/>
  <c r="AA26" i="6" s="1"/>
  <c r="AA13" i="6"/>
  <c r="AA24" i="6" s="1"/>
  <c r="Z2" i="6"/>
  <c r="O84" i="16" a="1"/>
  <c r="I116" i="16" a="1"/>
  <c r="P78" i="16"/>
  <c r="K116" i="16" a="1"/>
  <c r="N53" i="16" a="1"/>
  <c r="H46" i="16"/>
  <c r="I134" i="16"/>
  <c r="R94" i="16"/>
  <c r="N92" i="16" a="1"/>
  <c r="J58" i="16"/>
  <c r="K60" i="16" a="1"/>
  <c r="J97" i="16" a="1"/>
  <c r="K50" i="16"/>
  <c r="K52" i="16" a="1"/>
  <c r="N117" i="16" a="1"/>
  <c r="K84" i="16" a="1"/>
  <c r="I45" i="16" a="1"/>
  <c r="H129" i="16" a="1"/>
  <c r="O122" i="16"/>
  <c r="O45" i="16" a="1"/>
  <c r="H114" i="16"/>
  <c r="L117" i="16" a="1"/>
  <c r="J41" i="16" a="1"/>
  <c r="Q44" i="16" a="1"/>
  <c r="H113" i="16" a="1"/>
  <c r="K49" i="16" a="1"/>
  <c r="P57" i="16" a="1"/>
  <c r="N90" i="16"/>
  <c r="I77" i="16" a="1"/>
  <c r="H86" i="16"/>
  <c r="P90" i="16"/>
  <c r="Q113" i="16" a="1"/>
  <c r="O60" i="16" a="1"/>
  <c r="I130" i="16"/>
  <c r="R48" i="16" a="1"/>
  <c r="L44" i="16" a="1"/>
  <c r="M88" i="16" a="1"/>
  <c r="J121" i="16" a="1"/>
  <c r="M84" i="16" a="1"/>
  <c r="R122" i="16"/>
  <c r="Q81" i="16" a="1"/>
  <c r="P117" i="16" a="1"/>
  <c r="Q133" i="16" a="1"/>
  <c r="L133" i="16" a="1"/>
  <c r="I121" i="16" a="1"/>
  <c r="H77" i="16" a="1"/>
  <c r="J98" i="16"/>
  <c r="J114" i="16"/>
  <c r="M125" i="16" a="1"/>
  <c r="Q56" i="16" a="1"/>
  <c r="H128" i="16" a="1"/>
  <c r="O94" i="16"/>
  <c r="N132" i="16" a="1"/>
  <c r="H92" i="16" a="1"/>
  <c r="R76" i="16" a="1"/>
  <c r="R93" i="16" a="1"/>
  <c r="K61" i="16" a="1"/>
  <c r="I53" i="16" a="1"/>
  <c r="H93" i="16" a="1"/>
  <c r="N113" i="16" a="1"/>
  <c r="K129" i="16" a="1"/>
  <c r="L52" i="16" a="1"/>
  <c r="H126" i="16"/>
  <c r="O77" i="16" a="1"/>
  <c r="M57" i="16" a="1"/>
  <c r="K98" i="16"/>
  <c r="Q116" i="16" a="1"/>
  <c r="R49" i="16" a="1"/>
  <c r="Q54" i="16"/>
  <c r="N133" i="16" a="1"/>
  <c r="P114" i="16"/>
  <c r="N98" i="16"/>
  <c r="J96" i="16" a="1"/>
  <c r="K86" i="16"/>
  <c r="R81" i="16" a="1"/>
  <c r="I80" i="16" a="1"/>
  <c r="P120" i="16" a="1"/>
  <c r="O46" i="16"/>
  <c r="Q114" i="16"/>
  <c r="H132" i="16" a="1"/>
  <c r="I57" i="16" a="1"/>
  <c r="O62" i="16"/>
  <c r="N80" i="16" a="1"/>
  <c r="N89" i="16" a="1"/>
  <c r="J45" i="16" a="1"/>
  <c r="L92" i="16" a="1"/>
  <c r="H76" i="16" a="1"/>
  <c r="I62" i="16"/>
  <c r="O53" i="16" a="1"/>
  <c r="K48" i="16" a="1"/>
  <c r="Q76" i="16" a="1"/>
  <c r="I133" i="16" a="1"/>
  <c r="H56" i="16" a="1"/>
  <c r="I122" i="16"/>
  <c r="N50" i="16"/>
  <c r="P50" i="16"/>
  <c r="O134" i="16"/>
  <c r="O96" i="16" a="1"/>
  <c r="Q96" i="16" a="1"/>
  <c r="P85" i="16" a="1"/>
  <c r="R57" i="16" a="1"/>
  <c r="R45" i="16" a="1"/>
  <c r="M85" i="16" a="1"/>
  <c r="R82" i="16"/>
  <c r="L84" i="16" a="1"/>
  <c r="Q92" i="16" a="1"/>
  <c r="O40" i="16" a="1"/>
  <c r="M98" i="16"/>
  <c r="N85" i="16" a="1"/>
  <c r="H82" i="16"/>
  <c r="J44" i="16" a="1"/>
  <c r="N88" i="16" a="1"/>
  <c r="Q80" i="16" a="1"/>
  <c r="R92" i="16" a="1"/>
  <c r="O54" i="16"/>
  <c r="R42" i="16"/>
  <c r="M93" i="16" a="1"/>
  <c r="Q40" i="16" a="1"/>
  <c r="I82" i="16"/>
  <c r="Q77" i="16" a="1"/>
  <c r="Q42" i="16"/>
  <c r="Q121" i="16" a="1"/>
  <c r="J130" i="16"/>
  <c r="Q132" i="16" a="1"/>
  <c r="I114" i="16"/>
  <c r="I40" i="16" a="1"/>
  <c r="N81" i="16" a="1"/>
  <c r="K94" i="16"/>
  <c r="J46" i="16"/>
  <c r="K126" i="16"/>
  <c r="N82" i="16"/>
  <c r="P49" i="16" a="1"/>
  <c r="I76" i="16" a="1"/>
  <c r="J60" i="16" a="1"/>
  <c r="R46" i="16"/>
  <c r="K56" i="16" a="1"/>
  <c r="O118" i="16"/>
  <c r="N49" i="16" a="1"/>
  <c r="P125" i="16" a="1"/>
  <c r="I118" i="16"/>
  <c r="P76" i="16" a="1"/>
  <c r="H80" i="16" a="1"/>
  <c r="O86" i="16"/>
  <c r="J90" i="16"/>
  <c r="H52" i="16" a="1"/>
  <c r="M76" i="16" a="1"/>
  <c r="K96" i="16" a="1"/>
  <c r="Q61" i="16" a="1"/>
  <c r="M58" i="16"/>
  <c r="M45" i="16" a="1"/>
  <c r="I126" i="16"/>
  <c r="K92" i="16" a="1"/>
  <c r="Q122" i="16"/>
  <c r="N129" i="16" a="1"/>
  <c r="J117" i="16" a="1"/>
  <c r="P133" i="16" a="1"/>
  <c r="N124" i="16" a="1"/>
  <c r="O56" i="16" a="1"/>
  <c r="O133" i="16" a="1"/>
  <c r="I56" i="16" a="1"/>
  <c r="R53" i="16" a="1"/>
  <c r="N128" i="16" a="1"/>
  <c r="I88" i="16" a="1"/>
  <c r="P44" i="16" a="1"/>
  <c r="J50" i="16"/>
  <c r="K118" i="16"/>
  <c r="P42" i="16"/>
  <c r="M121" i="16" a="1"/>
  <c r="H44" i="16" a="1"/>
  <c r="N57" i="16" a="1"/>
  <c r="H117" i="16" a="1"/>
  <c r="L58" i="16"/>
  <c r="P121" i="16" a="1"/>
  <c r="O48" i="16" a="1"/>
  <c r="M40" i="16" a="1"/>
  <c r="M50" i="16"/>
  <c r="P92" i="16" a="1"/>
  <c r="O76" i="16" a="1"/>
  <c r="Q45" i="16" a="1"/>
  <c r="L41" i="16" a="1"/>
  <c r="I120" i="16" a="1"/>
  <c r="I78" i="16"/>
  <c r="K121" i="16" a="1"/>
  <c r="K97" i="16" a="1"/>
  <c r="M82" i="16"/>
  <c r="I92" i="16" a="1"/>
  <c r="J62" i="16"/>
  <c r="M42" i="16"/>
  <c r="H53" i="16" a="1"/>
  <c r="H89" i="16" a="1"/>
  <c r="L57" i="16" a="1"/>
  <c r="P80" i="16" a="1"/>
  <c r="J49" i="16" a="1"/>
  <c r="L125" i="16" a="1"/>
  <c r="O116" i="16" a="1"/>
  <c r="K93" i="16" a="1"/>
  <c r="J125" i="16" a="1"/>
  <c r="R61" i="16" a="1"/>
  <c r="L45" i="16" a="1"/>
  <c r="M52" i="16" a="1"/>
  <c r="K82" i="16"/>
  <c r="M77" i="16" a="1"/>
  <c r="M117" i="16" a="1"/>
  <c r="M44" i="16" a="1"/>
  <c r="J122" i="16"/>
  <c r="J78" i="16"/>
  <c r="N122" i="16"/>
  <c r="N120" i="16" a="1"/>
  <c r="L40" i="16" a="1"/>
  <c r="H122" i="16"/>
  <c r="O130" i="16"/>
  <c r="R96" i="16" a="1"/>
  <c r="H124" i="16" a="1"/>
  <c r="L113" i="16" a="1"/>
  <c r="L86" i="16"/>
  <c r="L93" i="16" a="1"/>
  <c r="H78" i="16"/>
  <c r="L62" i="16"/>
  <c r="O44" i="16" a="1"/>
  <c r="M132" i="16" a="1"/>
  <c r="Q134" i="16"/>
  <c r="P134" i="16"/>
  <c r="H45" i="16" a="1"/>
  <c r="N45" i="16" a="1"/>
  <c r="M128" i="16" a="1"/>
  <c r="R132" i="16" a="1"/>
  <c r="O41" i="16" a="1"/>
  <c r="K134" i="16"/>
  <c r="P53" i="16" a="1"/>
  <c r="L56" i="16" a="1"/>
  <c r="R134" i="16"/>
  <c r="J54" i="16"/>
  <c r="K40" i="16" a="1"/>
  <c r="N48" i="16" a="1"/>
  <c r="Q46" i="16"/>
  <c r="K133" i="16" a="1"/>
  <c r="M124" i="16" a="1"/>
  <c r="L126" i="16"/>
  <c r="J76" i="16" a="1"/>
  <c r="Q78" i="16"/>
  <c r="O120" i="16" a="1"/>
  <c r="H90" i="16"/>
  <c r="L88" i="16" a="1"/>
  <c r="M46" i="16"/>
  <c r="M112" i="16" a="1"/>
  <c r="P61" i="16" a="1"/>
  <c r="H41" i="16" a="1"/>
  <c r="P126" i="16"/>
  <c r="L98" i="16"/>
  <c r="I129" i="16" a="1"/>
  <c r="N61" i="16" a="1"/>
  <c r="R133" i="16" a="1"/>
  <c r="P129" i="16" a="1"/>
  <c r="K45" i="16" a="1"/>
  <c r="L96" i="16" a="1"/>
  <c r="Q90" i="16"/>
  <c r="Q125" i="16" a="1"/>
  <c r="K88" i="16" a="1"/>
  <c r="J82" i="16"/>
  <c r="O88" i="16" a="1"/>
  <c r="M49" i="16" a="1"/>
  <c r="P116" i="16" a="1"/>
  <c r="M81" i="16" a="1"/>
  <c r="R58" i="16"/>
  <c r="P48" i="16" a="1"/>
  <c r="M61" i="16" a="1"/>
  <c r="M129" i="16" a="1"/>
  <c r="O93" i="16" a="1"/>
  <c r="M80" i="16" a="1"/>
  <c r="Q98" i="16"/>
  <c r="I98" i="16"/>
  <c r="L94" i="16"/>
  <c r="J84" i="16" a="1"/>
  <c r="Q97" i="16" a="1"/>
  <c r="K53" i="16" a="1"/>
  <c r="I94" i="16"/>
  <c r="L77" i="16" a="1"/>
  <c r="P54" i="16"/>
  <c r="K122" i="16"/>
  <c r="J48" i="16" a="1"/>
  <c r="H42" i="16"/>
  <c r="K125" i="16" a="1"/>
  <c r="L129" i="16" a="1"/>
  <c r="R88" i="16" a="1"/>
  <c r="M133" i="16" a="1"/>
  <c r="I89" i="16" a="1"/>
  <c r="R60" i="16" a="1"/>
  <c r="L116" i="16" a="1"/>
  <c r="J52" i="16" a="1"/>
  <c r="N62" i="16"/>
  <c r="H125" i="16" a="1"/>
  <c r="I117" i="16" a="1"/>
  <c r="P88" i="16" a="1"/>
  <c r="P60" i="16" a="1"/>
  <c r="L128" i="16" a="1"/>
  <c r="I90" i="16"/>
  <c r="J57" i="16" a="1"/>
  <c r="K80" i="16" a="1"/>
  <c r="R80" i="16" a="1"/>
  <c r="K42" i="16"/>
  <c r="O92" i="16" a="1"/>
  <c r="N126" i="16"/>
  <c r="Q52" i="16" a="1"/>
  <c r="K58" i="16"/>
  <c r="M134" i="16"/>
  <c r="H62" i="16"/>
  <c r="P118" i="16"/>
  <c r="M56" i="16" a="1"/>
  <c r="M114" i="16"/>
  <c r="I85" i="16" a="1"/>
  <c r="M130" i="16"/>
  <c r="Q129" i="16" a="1"/>
  <c r="Q58" i="16"/>
  <c r="Q118" i="16"/>
  <c r="Q84" i="16" a="1"/>
  <c r="P81" i="16" a="1"/>
  <c r="L46" i="16"/>
  <c r="K44" i="16" a="1"/>
  <c r="N40" i="16" a="1"/>
  <c r="O90" i="16"/>
  <c r="H133" i="16" a="1"/>
  <c r="N54" i="16"/>
  <c r="N114" i="16"/>
  <c r="H57" i="16" a="1"/>
  <c r="Q86" i="16"/>
  <c r="Q60" i="16" a="1"/>
  <c r="N76" i="16" a="1"/>
  <c r="O124" i="16" a="1"/>
  <c r="O117" i="16" a="1"/>
  <c r="K81" i="16" a="1"/>
  <c r="N56" i="16" a="1"/>
  <c r="L50" i="16"/>
  <c r="R128" i="16" a="1"/>
  <c r="J56" i="16" a="1"/>
  <c r="N93" i="16" a="1"/>
  <c r="M122" i="16"/>
  <c r="J92" i="16" a="1"/>
  <c r="L53" i="16" a="1"/>
  <c r="R56" i="16" a="1"/>
  <c r="L60" i="16" a="1"/>
  <c r="K128" i="16" a="1"/>
  <c r="J126" i="16"/>
  <c r="Q130" i="16"/>
  <c r="L130" i="16"/>
  <c r="J113" i="16" a="1"/>
  <c r="I60" i="16" a="1"/>
  <c r="O49" i="16" a="1"/>
  <c r="R116" i="16" a="1"/>
  <c r="L121" i="16" a="1"/>
  <c r="J40" i="16" a="1"/>
  <c r="Q117" i="16" a="1"/>
  <c r="N44" i="16" a="1"/>
  <c r="R84" i="16" a="1"/>
  <c r="Q49" i="16" a="1"/>
  <c r="M89" i="16" a="1"/>
  <c r="Q88" i="16" a="1"/>
  <c r="L90" i="16"/>
  <c r="L112" i="16" a="1"/>
  <c r="N86" i="16"/>
  <c r="O81" i="16" a="1"/>
  <c r="K78" i="16"/>
  <c r="L114" i="16"/>
  <c r="I61" i="16" a="1"/>
  <c r="I52" i="16" a="1"/>
  <c r="H48" i="16" a="1"/>
  <c r="J81" i="16" a="1"/>
  <c r="H96" i="16" a="1"/>
  <c r="O85" i="16" a="1"/>
  <c r="K41" i="16" a="1"/>
  <c r="P86" i="16"/>
  <c r="R86" i="16"/>
  <c r="I112" i="16" a="1"/>
  <c r="K62" i="16"/>
  <c r="P122" i="16"/>
  <c r="J133" i="16" a="1"/>
  <c r="O58" i="16"/>
  <c r="R50" i="16"/>
  <c r="O132" i="16" a="1"/>
  <c r="R77" i="16" a="1"/>
  <c r="I124" i="16" a="1"/>
  <c r="H112" i="16" a="1"/>
  <c r="K46" i="16"/>
  <c r="O78" i="16"/>
  <c r="J112" i="16" a="1"/>
  <c r="N58" i="16"/>
  <c r="H49" i="16" a="1"/>
  <c r="H134" i="16"/>
  <c r="I86" i="16"/>
  <c r="R126" i="16"/>
  <c r="K89" i="16" a="1"/>
  <c r="P132" i="16" a="1"/>
  <c r="J118" i="16"/>
  <c r="K132" i="16" a="1"/>
  <c r="O61" i="16" a="1"/>
  <c r="I81" i="16" a="1"/>
  <c r="N46" i="16"/>
  <c r="H50" i="16"/>
  <c r="J85" i="16" a="1"/>
  <c r="R44" i="16" a="1"/>
  <c r="M48" i="16" a="1"/>
  <c r="O125" i="16" a="1"/>
  <c r="R97" i="16" a="1"/>
  <c r="K76" i="16" a="1"/>
  <c r="J53" i="16" a="1"/>
  <c r="M53" i="16" a="1"/>
  <c r="O112" i="16" a="1"/>
  <c r="H81" i="16" a="1"/>
  <c r="Q57" i="16" a="1"/>
  <c r="P40" i="16" a="1"/>
  <c r="P94" i="16"/>
  <c r="K90" i="16"/>
  <c r="P58" i="16"/>
  <c r="R78" i="16"/>
  <c r="L80" i="16" a="1"/>
  <c r="M94" i="16"/>
  <c r="H120" i="16" a="1"/>
  <c r="M113" i="16" a="1"/>
  <c r="K85" i="16" a="1"/>
  <c r="I113" i="16" a="1"/>
  <c r="I128" i="16" a="1"/>
  <c r="M90" i="16"/>
  <c r="I42" i="16"/>
  <c r="H61" i="16" a="1"/>
  <c r="L61" i="16" a="1"/>
  <c r="R85" i="16" a="1"/>
  <c r="P46" i="16"/>
  <c r="J42" i="16"/>
  <c r="Q62" i="16"/>
  <c r="H97" i="16" a="1"/>
  <c r="R89" i="16" a="1"/>
  <c r="Q93" i="16" a="1"/>
  <c r="P82" i="16"/>
  <c r="J124" i="16" a="1"/>
  <c r="H121" i="16" a="1"/>
  <c r="N77" i="16" a="1"/>
  <c r="H84" i="16" a="1"/>
  <c r="N41" i="16" a="1"/>
  <c r="P98" i="16"/>
  <c r="K54" i="16"/>
  <c r="P77" i="16" a="1"/>
  <c r="O42" i="16"/>
  <c r="L81" i="16" a="1"/>
  <c r="O121" i="16" a="1"/>
  <c r="J120" i="16" a="1"/>
  <c r="L132" i="16" a="1"/>
  <c r="M86" i="16"/>
  <c r="O98" i="16"/>
  <c r="R98" i="16"/>
  <c r="P113" i="16" a="1"/>
  <c r="L89" i="16" a="1"/>
  <c r="J128" i="16" a="1"/>
  <c r="Q120" i="16" a="1"/>
  <c r="I46" i="16"/>
  <c r="Q94" i="16"/>
  <c r="P62" i="16"/>
  <c r="N96" i="16" a="1"/>
  <c r="L120" i="16" a="1"/>
  <c r="K112" i="16" a="1"/>
  <c r="R112" i="16" a="1"/>
  <c r="I49" i="16" a="1"/>
  <c r="R121" i="16" a="1"/>
  <c r="H58" i="16"/>
  <c r="N116" i="16" a="1"/>
  <c r="H94" i="16"/>
  <c r="M120" i="16" a="1"/>
  <c r="N118" i="16"/>
  <c r="P41" i="16" a="1"/>
  <c r="H40" i="16" a="1"/>
  <c r="J116" i="16" a="1"/>
  <c r="O82" i="16"/>
  <c r="N60" i="16" a="1"/>
  <c r="N42" i="16"/>
  <c r="P89" i="16" a="1"/>
  <c r="L97" i="16" a="1"/>
  <c r="M54" i="16"/>
  <c r="Q85" i="16" a="1"/>
  <c r="H85" i="16" a="1"/>
  <c r="I97" i="16" a="1"/>
  <c r="J88" i="16" a="1"/>
  <c r="O129" i="16" a="1"/>
  <c r="J80" i="16" a="1"/>
  <c r="J93" i="16" a="1"/>
  <c r="L122" i="16"/>
  <c r="N84" i="16" a="1"/>
  <c r="Q128" i="16" a="1"/>
  <c r="M78" i="16"/>
  <c r="M60" i="16" a="1"/>
  <c r="P96" i="16" a="1"/>
  <c r="Q89" i="16" a="1"/>
  <c r="K57" i="16" a="1"/>
  <c r="Q126" i="16"/>
  <c r="O50" i="16"/>
  <c r="P112" i="16" a="1"/>
  <c r="I58" i="16"/>
  <c r="J132" i="16" a="1"/>
  <c r="J94" i="16"/>
  <c r="R120" i="16" a="1"/>
  <c r="O89" i="16" a="1"/>
  <c r="N52" i="16" a="1"/>
  <c r="R114" i="16"/>
  <c r="L124" i="16" a="1"/>
  <c r="M41" i="16" a="1"/>
  <c r="J89" i="16" a="1"/>
  <c r="L48" i="16" a="1"/>
  <c r="H118" i="16"/>
  <c r="I54" i="16"/>
  <c r="N112" i="16" a="1"/>
  <c r="L54" i="16"/>
  <c r="M92" i="16" a="1"/>
  <c r="R118" i="16"/>
  <c r="M118" i="16"/>
  <c r="R113" i="16" a="1"/>
  <c r="O113" i="16" a="1"/>
  <c r="R90" i="16"/>
  <c r="H54" i="16"/>
  <c r="Q112" i="16" a="1"/>
  <c r="K77" i="16" a="1"/>
  <c r="N121" i="16" a="1"/>
  <c r="R52" i="16" a="1"/>
  <c r="I125" i="16" a="1"/>
  <c r="L85" i="16" a="1"/>
  <c r="Q48" i="16" a="1"/>
  <c r="J61" i="16" a="1"/>
  <c r="N130" i="16"/>
  <c r="O57" i="16" a="1"/>
  <c r="O114" i="16"/>
  <c r="O52" i="16" a="1"/>
  <c r="L118" i="16"/>
  <c r="I48" i="16" a="1"/>
  <c r="M116" i="16" a="1"/>
  <c r="R54" i="16"/>
  <c r="O80" i="16" a="1"/>
  <c r="I50" i="16"/>
  <c r="O128" i="16" a="1"/>
  <c r="H98" i="16"/>
  <c r="L76" i="16" a="1"/>
  <c r="P84" i="16" a="1"/>
  <c r="K130" i="16"/>
  <c r="O126" i="16"/>
  <c r="J86" i="16"/>
  <c r="R129" i="16" a="1"/>
  <c r="J77" i="16" a="1"/>
  <c r="L42" i="16"/>
  <c r="J129" i="16" a="1"/>
  <c r="M62" i="16"/>
  <c r="R41" i="16" a="1"/>
  <c r="P52" i="16" a="1"/>
  <c r="L82" i="16"/>
  <c r="L134" i="16"/>
  <c r="K114" i="16"/>
  <c r="H60" i="16" a="1"/>
  <c r="K113" i="16" a="1"/>
  <c r="M126" i="16"/>
  <c r="P130" i="16"/>
  <c r="P45" i="16" a="1"/>
  <c r="M96" i="16" a="1"/>
  <c r="K120" i="16" a="1"/>
  <c r="N94" i="16"/>
  <c r="R130" i="16"/>
  <c r="Q41" i="16" a="1"/>
  <c r="R117" i="16" a="1"/>
  <c r="O97" i="16" a="1"/>
  <c r="I132" i="16" a="1"/>
  <c r="Q53" i="16" a="1"/>
  <c r="N125" i="16" a="1"/>
  <c r="K117" i="16" a="1"/>
  <c r="J134" i="16"/>
  <c r="P97" i="16" a="1"/>
  <c r="L49" i="16" a="1"/>
  <c r="K124" i="16" a="1"/>
  <c r="M97" i="16" a="1"/>
  <c r="R40" i="16" a="1"/>
  <c r="L78" i="16"/>
  <c r="H116" i="16" a="1"/>
  <c r="P128" i="16" a="1"/>
  <c r="I44" i="16" a="1"/>
  <c r="I84" i="16" a="1"/>
  <c r="N97" i="16" a="1"/>
  <c r="P56" i="16" a="1"/>
  <c r="R125" i="16" a="1"/>
  <c r="R124" i="16" a="1"/>
  <c r="R62" i="16"/>
  <c r="P124" i="16" a="1"/>
  <c r="N78" i="16"/>
  <c r="I93" i="16" a="1"/>
  <c r="Q50" i="16"/>
  <c r="I96" i="16" a="1"/>
  <c r="H88" i="16" a="1"/>
  <c r="N134" i="16"/>
  <c r="Q82" i="16"/>
  <c r="I41" i="16" a="1"/>
  <c r="H130" i="16"/>
  <c r="P93" i="16" a="1"/>
  <c r="Q124" i="16" a="1"/>
  <c r="Q124" i="16" l="1"/>
  <c r="Q127" i="16" s="1"/>
  <c r="P93" i="16"/>
  <c r="I41" i="16"/>
  <c r="H88" i="16"/>
  <c r="H91" i="16" s="1"/>
  <c r="I96" i="16"/>
  <c r="I99" i="16" s="1"/>
  <c r="I93" i="16"/>
  <c r="P124" i="16"/>
  <c r="P127" i="16" s="1"/>
  <c r="S236" i="16"/>
  <c r="E236" i="16" s="1"/>
  <c r="J236" i="16" s="1"/>
  <c r="K236" i="16" s="1"/>
  <c r="L236" i="16" s="1"/>
  <c r="M236" i="16" s="1"/>
  <c r="N236" i="16" s="1"/>
  <c r="O236" i="16" s="1"/>
  <c r="P236" i="16" s="1"/>
  <c r="Q236" i="16" s="1"/>
  <c r="R236" i="16" s="1"/>
  <c r="R124" i="16"/>
  <c r="S298" i="16" s="1"/>
  <c r="E298" i="16" s="1"/>
  <c r="J298" i="16" s="1"/>
  <c r="K298" i="16" s="1"/>
  <c r="L298" i="16" s="1"/>
  <c r="M298" i="16" s="1"/>
  <c r="N298" i="16" s="1"/>
  <c r="O298" i="16" s="1"/>
  <c r="P298" i="16" s="1"/>
  <c r="Q298" i="16" s="1"/>
  <c r="R298" i="16" s="1"/>
  <c r="R125" i="16"/>
  <c r="S299" i="16" s="1"/>
  <c r="E299" i="16" s="1"/>
  <c r="J299" i="16" s="1"/>
  <c r="K299" i="16" s="1"/>
  <c r="L299" i="16" s="1"/>
  <c r="M299" i="16" s="1"/>
  <c r="N299" i="16" s="1"/>
  <c r="O299" i="16" s="1"/>
  <c r="P299" i="16" s="1"/>
  <c r="Q299" i="16" s="1"/>
  <c r="R299" i="16" s="1"/>
  <c r="P56" i="16"/>
  <c r="P142" i="16" s="1"/>
  <c r="N97" i="16"/>
  <c r="I84" i="16"/>
  <c r="I87" i="16" s="1"/>
  <c r="I44" i="16"/>
  <c r="I141" i="16" s="1"/>
  <c r="P128" i="16"/>
  <c r="P131" i="16" s="1"/>
  <c r="H116" i="16"/>
  <c r="H119" i="16" s="1"/>
  <c r="R40" i="16"/>
  <c r="R43" i="16" s="1"/>
  <c r="M97" i="16"/>
  <c r="K124" i="16"/>
  <c r="K127" i="16" s="1"/>
  <c r="L49" i="16"/>
  <c r="P97" i="16"/>
  <c r="K117" i="16"/>
  <c r="N125" i="16"/>
  <c r="Q53" i="16"/>
  <c r="I132" i="16"/>
  <c r="I135" i="16" s="1"/>
  <c r="O97" i="16"/>
  <c r="R117" i="16"/>
  <c r="S291" i="16" s="1"/>
  <c r="E291" i="16" s="1"/>
  <c r="J291" i="16" s="1"/>
  <c r="K291" i="16" s="1"/>
  <c r="L291" i="16" s="1"/>
  <c r="M291" i="16" s="1"/>
  <c r="N291" i="16" s="1"/>
  <c r="O291" i="16" s="1"/>
  <c r="P291" i="16" s="1"/>
  <c r="Q291" i="16" s="1"/>
  <c r="R291" i="16" s="1"/>
  <c r="Q41" i="16"/>
  <c r="S304" i="16"/>
  <c r="E304" i="16" s="1"/>
  <c r="J304" i="16" s="1"/>
  <c r="K304" i="16" s="1"/>
  <c r="L304" i="16" s="1"/>
  <c r="M304" i="16" s="1"/>
  <c r="N304" i="16" s="1"/>
  <c r="O304" i="16" s="1"/>
  <c r="P304" i="16" s="1"/>
  <c r="Q304" i="16" s="1"/>
  <c r="R304" i="16" s="1"/>
  <c r="K120" i="16"/>
  <c r="K123" i="16" s="1"/>
  <c r="M96" i="16"/>
  <c r="M99" i="16" s="1"/>
  <c r="P45" i="16"/>
  <c r="K113" i="16"/>
  <c r="H60" i="16"/>
  <c r="H145" i="16" s="1"/>
  <c r="P52" i="16"/>
  <c r="P55" i="16" s="1"/>
  <c r="R41" i="16"/>
  <c r="S215" i="16" s="1"/>
  <c r="E215" i="16" s="1"/>
  <c r="J215" i="16" s="1"/>
  <c r="K215" i="16" s="1"/>
  <c r="L215" i="16" s="1"/>
  <c r="M215" i="16" s="1"/>
  <c r="N215" i="16" s="1"/>
  <c r="O215" i="16" s="1"/>
  <c r="P215" i="16" s="1"/>
  <c r="Q215" i="16" s="1"/>
  <c r="R215" i="16" s="1"/>
  <c r="J129" i="16"/>
  <c r="J77" i="16"/>
  <c r="R129" i="16"/>
  <c r="S303" i="16" s="1"/>
  <c r="E303" i="16" s="1"/>
  <c r="J303" i="16" s="1"/>
  <c r="K303" i="16" s="1"/>
  <c r="L303" i="16" s="1"/>
  <c r="M303" i="16" s="1"/>
  <c r="N303" i="16" s="1"/>
  <c r="O303" i="16" s="1"/>
  <c r="P303" i="16" s="1"/>
  <c r="Q303" i="16" s="1"/>
  <c r="R303" i="16" s="1"/>
  <c r="P84" i="16"/>
  <c r="P87" i="16" s="1"/>
  <c r="L76" i="16"/>
  <c r="L79" i="16" s="1"/>
  <c r="O128" i="16"/>
  <c r="O131" i="16" s="1"/>
  <c r="O80" i="16"/>
  <c r="O83" i="16" s="1"/>
  <c r="S228" i="16"/>
  <c r="E228" i="16" s="1"/>
  <c r="J228" i="16" s="1"/>
  <c r="K228" i="16" s="1"/>
  <c r="L228" i="16" s="1"/>
  <c r="M228" i="16" s="1"/>
  <c r="N228" i="16" s="1"/>
  <c r="O228" i="16" s="1"/>
  <c r="P228" i="16" s="1"/>
  <c r="Q228" i="16" s="1"/>
  <c r="R228" i="16" s="1"/>
  <c r="M116" i="16"/>
  <c r="M119" i="16" s="1"/>
  <c r="I48" i="16"/>
  <c r="I51" i="16" s="1"/>
  <c r="O52" i="16"/>
  <c r="O139" i="16" s="1"/>
  <c r="O57" i="16"/>
  <c r="J61" i="16"/>
  <c r="Q48" i="16"/>
  <c r="Q144" i="16" s="1"/>
  <c r="L85" i="16"/>
  <c r="I125" i="16"/>
  <c r="R52" i="16"/>
  <c r="S226" i="16" s="1"/>
  <c r="E226" i="16" s="1"/>
  <c r="J226" i="16" s="1"/>
  <c r="K226" i="16" s="1"/>
  <c r="L226" i="16" s="1"/>
  <c r="M226" i="16" s="1"/>
  <c r="N226" i="16" s="1"/>
  <c r="O226" i="16" s="1"/>
  <c r="P226" i="16" s="1"/>
  <c r="Q226" i="16" s="1"/>
  <c r="R226" i="16" s="1"/>
  <c r="N121" i="16"/>
  <c r="K77" i="16"/>
  <c r="Q112" i="16"/>
  <c r="Q115" i="16" s="1"/>
  <c r="S264" i="16"/>
  <c r="E264" i="16" s="1"/>
  <c r="J264" i="16" s="1"/>
  <c r="K264" i="16" s="1"/>
  <c r="L264" i="16" s="1"/>
  <c r="M264" i="16" s="1"/>
  <c r="N264" i="16" s="1"/>
  <c r="O264" i="16" s="1"/>
  <c r="P264" i="16" s="1"/>
  <c r="Q264" i="16" s="1"/>
  <c r="R264" i="16" s="1"/>
  <c r="O113" i="16"/>
  <c r="R113" i="16"/>
  <c r="S287" i="16" s="1"/>
  <c r="E287" i="16" s="1"/>
  <c r="J287" i="16" s="1"/>
  <c r="K287" i="16" s="1"/>
  <c r="L287" i="16" s="1"/>
  <c r="M287" i="16" s="1"/>
  <c r="N287" i="16" s="1"/>
  <c r="O287" i="16" s="1"/>
  <c r="P287" i="16" s="1"/>
  <c r="Q287" i="16" s="1"/>
  <c r="R287" i="16" s="1"/>
  <c r="S292" i="16"/>
  <c r="E292" i="16" s="1"/>
  <c r="J292" i="16" s="1"/>
  <c r="K292" i="16" s="1"/>
  <c r="L292" i="16" s="1"/>
  <c r="M292" i="16" s="1"/>
  <c r="N292" i="16" s="1"/>
  <c r="O292" i="16" s="1"/>
  <c r="P292" i="16" s="1"/>
  <c r="Q292" i="16" s="1"/>
  <c r="R292" i="16" s="1"/>
  <c r="M92" i="16"/>
  <c r="M95" i="16" s="1"/>
  <c r="N112" i="16"/>
  <c r="N115" i="16" s="1"/>
  <c r="L48" i="16"/>
  <c r="L51" i="16" s="1"/>
  <c r="J89" i="16"/>
  <c r="M41" i="16"/>
  <c r="L124" i="16"/>
  <c r="L127" i="16" s="1"/>
  <c r="S288" i="16"/>
  <c r="E288" i="16" s="1"/>
  <c r="J288" i="16" s="1"/>
  <c r="K288" i="16" s="1"/>
  <c r="L288" i="16" s="1"/>
  <c r="M288" i="16" s="1"/>
  <c r="N288" i="16" s="1"/>
  <c r="O288" i="16" s="1"/>
  <c r="P288" i="16" s="1"/>
  <c r="Q288" i="16" s="1"/>
  <c r="R288" i="16" s="1"/>
  <c r="N52" i="16"/>
  <c r="N139" i="16" s="1"/>
  <c r="O89" i="16"/>
  <c r="R120" i="16"/>
  <c r="R123" i="16" s="1"/>
  <c r="J132" i="16"/>
  <c r="J135" i="16" s="1"/>
  <c r="P112" i="16"/>
  <c r="P115" i="16" s="1"/>
  <c r="K57" i="16"/>
  <c r="Q89" i="16"/>
  <c r="P96" i="16"/>
  <c r="P99" i="16" s="1"/>
  <c r="M60" i="16"/>
  <c r="M145" i="16" s="1"/>
  <c r="Q128" i="16"/>
  <c r="Q131" i="16" s="1"/>
  <c r="N84" i="16"/>
  <c r="N87" i="16" s="1"/>
  <c r="J93" i="16"/>
  <c r="J80" i="16"/>
  <c r="J83" i="16" s="1"/>
  <c r="O129" i="16"/>
  <c r="J88" i="16"/>
  <c r="J91" i="16" s="1"/>
  <c r="I97" i="16"/>
  <c r="H85" i="16"/>
  <c r="Q85" i="16"/>
  <c r="L97" i="16"/>
  <c r="P89" i="16"/>
  <c r="N60" i="16"/>
  <c r="N145" i="16" s="1"/>
  <c r="J116" i="16"/>
  <c r="J119" i="16" s="1"/>
  <c r="H40" i="16"/>
  <c r="H138" i="16" s="1"/>
  <c r="P41" i="16"/>
  <c r="M120" i="16"/>
  <c r="M123" i="16" s="1"/>
  <c r="N116" i="16"/>
  <c r="N119" i="16" s="1"/>
  <c r="R121" i="16"/>
  <c r="S295" i="16" s="1"/>
  <c r="E295" i="16" s="1"/>
  <c r="J295" i="16" s="1"/>
  <c r="K295" i="16" s="1"/>
  <c r="L295" i="16" s="1"/>
  <c r="M295" i="16" s="1"/>
  <c r="N295" i="16" s="1"/>
  <c r="O295" i="16" s="1"/>
  <c r="P295" i="16" s="1"/>
  <c r="Q295" i="16" s="1"/>
  <c r="R295" i="16" s="1"/>
  <c r="I49" i="16"/>
  <c r="R112" i="16"/>
  <c r="S286" i="16" s="1"/>
  <c r="E286" i="16" s="1"/>
  <c r="J286" i="16" s="1"/>
  <c r="K286" i="16" s="1"/>
  <c r="L286" i="16" s="1"/>
  <c r="M286" i="16" s="1"/>
  <c r="N286" i="16" s="1"/>
  <c r="O286" i="16" s="1"/>
  <c r="P286" i="16" s="1"/>
  <c r="Q286" i="16" s="1"/>
  <c r="R286" i="16" s="1"/>
  <c r="K112" i="16"/>
  <c r="K115" i="16" s="1"/>
  <c r="L120" i="16"/>
  <c r="L123" i="16" s="1"/>
  <c r="N96" i="16"/>
  <c r="N99" i="16" s="1"/>
  <c r="Q120" i="16"/>
  <c r="Q123" i="16" s="1"/>
  <c r="J128" i="16"/>
  <c r="J131" i="16" s="1"/>
  <c r="L89" i="16"/>
  <c r="P113" i="16"/>
  <c r="S272" i="16"/>
  <c r="E272" i="16" s="1"/>
  <c r="J272" i="16" s="1"/>
  <c r="K272" i="16" s="1"/>
  <c r="L272" i="16" s="1"/>
  <c r="M272" i="16" s="1"/>
  <c r="N272" i="16" s="1"/>
  <c r="O272" i="16" s="1"/>
  <c r="P272" i="16" s="1"/>
  <c r="Q272" i="16" s="1"/>
  <c r="R272" i="16" s="1"/>
  <c r="L132" i="16"/>
  <c r="L135" i="16" s="1"/>
  <c r="J120" i="16"/>
  <c r="J123" i="16" s="1"/>
  <c r="O121" i="16"/>
  <c r="L81" i="16"/>
  <c r="P77" i="16"/>
  <c r="N41" i="16"/>
  <c r="H84" i="16"/>
  <c r="H87" i="16" s="1"/>
  <c r="N77" i="16"/>
  <c r="H121" i="16"/>
  <c r="J124" i="16"/>
  <c r="J127" i="16" s="1"/>
  <c r="Q93" i="16"/>
  <c r="R89" i="16"/>
  <c r="S263" i="16" s="1"/>
  <c r="E263" i="16" s="1"/>
  <c r="J263" i="16" s="1"/>
  <c r="K263" i="16" s="1"/>
  <c r="L263" i="16" s="1"/>
  <c r="M263" i="16" s="1"/>
  <c r="N263" i="16" s="1"/>
  <c r="O263" i="16" s="1"/>
  <c r="P263" i="16" s="1"/>
  <c r="Q263" i="16" s="1"/>
  <c r="R263" i="16" s="1"/>
  <c r="H97" i="16"/>
  <c r="R85" i="16"/>
  <c r="S259" i="16" s="1"/>
  <c r="E259" i="16" s="1"/>
  <c r="J259" i="16" s="1"/>
  <c r="K259" i="16" s="1"/>
  <c r="L259" i="16" s="1"/>
  <c r="M259" i="16" s="1"/>
  <c r="N259" i="16" s="1"/>
  <c r="O259" i="16" s="1"/>
  <c r="P259" i="16" s="1"/>
  <c r="Q259" i="16" s="1"/>
  <c r="R259" i="16" s="1"/>
  <c r="L61" i="16"/>
  <c r="H61" i="16"/>
  <c r="I128" i="16"/>
  <c r="I131" i="16" s="1"/>
  <c r="I113" i="16"/>
  <c r="K85" i="16"/>
  <c r="M113" i="16"/>
  <c r="H120" i="16"/>
  <c r="H123" i="16" s="1"/>
  <c r="L80" i="16"/>
  <c r="L83" i="16" s="1"/>
  <c r="S252" i="16"/>
  <c r="E252" i="16" s="1"/>
  <c r="J252" i="16" s="1"/>
  <c r="K252" i="16" s="1"/>
  <c r="L252" i="16" s="1"/>
  <c r="M252" i="16" s="1"/>
  <c r="N252" i="16" s="1"/>
  <c r="O252" i="16" s="1"/>
  <c r="P252" i="16" s="1"/>
  <c r="Q252" i="16" s="1"/>
  <c r="R252" i="16" s="1"/>
  <c r="P40" i="16"/>
  <c r="P138" i="16" s="1"/>
  <c r="Q57" i="16"/>
  <c r="H81" i="16"/>
  <c r="O112" i="16"/>
  <c r="O115" i="16" s="1"/>
  <c r="M53" i="16"/>
  <c r="J53" i="16"/>
  <c r="K76" i="16"/>
  <c r="K79" i="16" s="1"/>
  <c r="R97" i="16"/>
  <c r="S271" i="16" s="1"/>
  <c r="E271" i="16" s="1"/>
  <c r="J271" i="16" s="1"/>
  <c r="K271" i="16" s="1"/>
  <c r="L271" i="16" s="1"/>
  <c r="M271" i="16" s="1"/>
  <c r="N271" i="16" s="1"/>
  <c r="O271" i="16" s="1"/>
  <c r="P271" i="16" s="1"/>
  <c r="Q271" i="16" s="1"/>
  <c r="R271" i="16" s="1"/>
  <c r="O125" i="16"/>
  <c r="M48" i="16"/>
  <c r="M144" i="16" s="1"/>
  <c r="R44" i="16"/>
  <c r="S218" i="16" s="1"/>
  <c r="E218" i="16" s="1"/>
  <c r="J218" i="16" s="1"/>
  <c r="K218" i="16" s="1"/>
  <c r="L218" i="16" s="1"/>
  <c r="M218" i="16" s="1"/>
  <c r="N218" i="16" s="1"/>
  <c r="O218" i="16" s="1"/>
  <c r="P218" i="16" s="1"/>
  <c r="Q218" i="16" s="1"/>
  <c r="R218" i="16" s="1"/>
  <c r="J85" i="16"/>
  <c r="I81" i="16"/>
  <c r="O61" i="16"/>
  <c r="K132" i="16"/>
  <c r="K135" i="16" s="1"/>
  <c r="P132" i="16"/>
  <c r="P135" i="16" s="1"/>
  <c r="K89" i="16"/>
  <c r="S300" i="16"/>
  <c r="E300" i="16" s="1"/>
  <c r="J300" i="16" s="1"/>
  <c r="K300" i="16" s="1"/>
  <c r="L300" i="16" s="1"/>
  <c r="M300" i="16" s="1"/>
  <c r="N300" i="16" s="1"/>
  <c r="O300" i="16" s="1"/>
  <c r="P300" i="16" s="1"/>
  <c r="Q300" i="16" s="1"/>
  <c r="R300" i="16" s="1"/>
  <c r="H49" i="16"/>
  <c r="J112" i="16"/>
  <c r="J115" i="16" s="1"/>
  <c r="H112" i="16"/>
  <c r="H115" i="16" s="1"/>
  <c r="I124" i="16"/>
  <c r="I127" i="16" s="1"/>
  <c r="R77" i="16"/>
  <c r="S251" i="16" s="1"/>
  <c r="E251" i="16" s="1"/>
  <c r="J251" i="16" s="1"/>
  <c r="K251" i="16" s="1"/>
  <c r="L251" i="16" s="1"/>
  <c r="M251" i="16" s="1"/>
  <c r="N251" i="16" s="1"/>
  <c r="O251" i="16" s="1"/>
  <c r="P251" i="16" s="1"/>
  <c r="Q251" i="16" s="1"/>
  <c r="R251" i="16" s="1"/>
  <c r="O132" i="16"/>
  <c r="O135" i="16" s="1"/>
  <c r="S224" i="16"/>
  <c r="E224" i="16" s="1"/>
  <c r="T224" i="16" s="1"/>
  <c r="U224" i="16" s="1"/>
  <c r="V224" i="16" s="1"/>
  <c r="W224" i="16" s="1"/>
  <c r="X224" i="16" s="1"/>
  <c r="Y224" i="16" s="1"/>
  <c r="Z224" i="16" s="1"/>
  <c r="AA224" i="16" s="1"/>
  <c r="AB224" i="16" s="1"/>
  <c r="AC224" i="16" s="1"/>
  <c r="AD224" i="16" s="1"/>
  <c r="AE224" i="16" s="1"/>
  <c r="AF224" i="16" s="1"/>
  <c r="AG224" i="16" s="1"/>
  <c r="AH224" i="16" s="1"/>
  <c r="AI224" i="16" s="1"/>
  <c r="AJ224" i="16" s="1"/>
  <c r="AK224" i="16" s="1"/>
  <c r="AL224" i="16" s="1"/>
  <c r="AM224" i="16" s="1"/>
  <c r="J133" i="16"/>
  <c r="I112" i="16"/>
  <c r="I115" i="16" s="1"/>
  <c r="S260" i="16"/>
  <c r="E260" i="16" s="1"/>
  <c r="J260" i="16" s="1"/>
  <c r="K260" i="16" s="1"/>
  <c r="L260" i="16" s="1"/>
  <c r="M260" i="16" s="1"/>
  <c r="N260" i="16" s="1"/>
  <c r="O260" i="16" s="1"/>
  <c r="P260" i="16" s="1"/>
  <c r="Q260" i="16" s="1"/>
  <c r="R260" i="16" s="1"/>
  <c r="K41" i="16"/>
  <c r="O85" i="16"/>
  <c r="H96" i="16"/>
  <c r="H99" i="16" s="1"/>
  <c r="J81" i="16"/>
  <c r="H48" i="16"/>
  <c r="H51" i="16" s="1"/>
  <c r="I52" i="16"/>
  <c r="I139" i="16" s="1"/>
  <c r="I61" i="16"/>
  <c r="O81" i="16"/>
  <c r="L112" i="16"/>
  <c r="L115" i="16" s="1"/>
  <c r="Q88" i="16"/>
  <c r="Q91" i="16" s="1"/>
  <c r="M89" i="16"/>
  <c r="Q49" i="16"/>
  <c r="R84" i="16"/>
  <c r="S258" i="16" s="1"/>
  <c r="E258" i="16" s="1"/>
  <c r="J258" i="16" s="1"/>
  <c r="K258" i="16" s="1"/>
  <c r="L258" i="16" s="1"/>
  <c r="M258" i="16" s="1"/>
  <c r="N258" i="16" s="1"/>
  <c r="O258" i="16" s="1"/>
  <c r="P258" i="16" s="1"/>
  <c r="Q258" i="16" s="1"/>
  <c r="R258" i="16" s="1"/>
  <c r="N44" i="16"/>
  <c r="N47" i="16" s="1"/>
  <c r="Q117" i="16"/>
  <c r="J40" i="16"/>
  <c r="J138" i="16" s="1"/>
  <c r="L121" i="16"/>
  <c r="R116" i="16"/>
  <c r="S290" i="16" s="1"/>
  <c r="E290" i="16" s="1"/>
  <c r="J290" i="16" s="1"/>
  <c r="K290" i="16" s="1"/>
  <c r="L290" i="16" s="1"/>
  <c r="M290" i="16" s="1"/>
  <c r="N290" i="16" s="1"/>
  <c r="O290" i="16" s="1"/>
  <c r="P290" i="16" s="1"/>
  <c r="Q290" i="16" s="1"/>
  <c r="R290" i="16" s="1"/>
  <c r="O49" i="16"/>
  <c r="I60" i="16"/>
  <c r="I145" i="16" s="1"/>
  <c r="J113" i="16"/>
  <c r="K128" i="16"/>
  <c r="K131" i="16" s="1"/>
  <c r="L60" i="16"/>
  <c r="L63" i="16" s="1"/>
  <c r="R56" i="16"/>
  <c r="S230" i="16" s="1"/>
  <c r="E230" i="16" s="1"/>
  <c r="J230" i="16" s="1"/>
  <c r="K230" i="16" s="1"/>
  <c r="L230" i="16" s="1"/>
  <c r="M230" i="16" s="1"/>
  <c r="N230" i="16" s="1"/>
  <c r="O230" i="16" s="1"/>
  <c r="P230" i="16" s="1"/>
  <c r="Q230" i="16" s="1"/>
  <c r="R230" i="16" s="1"/>
  <c r="L53" i="16"/>
  <c r="J92" i="16"/>
  <c r="J95" i="16" s="1"/>
  <c r="N93" i="16"/>
  <c r="J56" i="16"/>
  <c r="J142" i="16" s="1"/>
  <c r="R128" i="16"/>
  <c r="S302" i="16" s="1"/>
  <c r="E302" i="16" s="1"/>
  <c r="J302" i="16" s="1"/>
  <c r="K302" i="16" s="1"/>
  <c r="L302" i="16" s="1"/>
  <c r="M302" i="16" s="1"/>
  <c r="N302" i="16" s="1"/>
  <c r="O302" i="16" s="1"/>
  <c r="P302" i="16" s="1"/>
  <c r="Q302" i="16" s="1"/>
  <c r="R302" i="16" s="1"/>
  <c r="N56" i="16"/>
  <c r="N142" i="16" s="1"/>
  <c r="K81" i="16"/>
  <c r="O117" i="16"/>
  <c r="O124" i="16"/>
  <c r="O127" i="16" s="1"/>
  <c r="N76" i="16"/>
  <c r="N79" i="16" s="1"/>
  <c r="Q60" i="16"/>
  <c r="Q145" i="16" s="1"/>
  <c r="H57" i="16"/>
  <c r="H133" i="16"/>
  <c r="N40" i="16"/>
  <c r="N138" i="16" s="1"/>
  <c r="K44" i="16"/>
  <c r="K141" i="16" s="1"/>
  <c r="P81" i="16"/>
  <c r="Q84" i="16"/>
  <c r="Q87" i="16" s="1"/>
  <c r="Q129" i="16"/>
  <c r="I85" i="16"/>
  <c r="M56" i="16"/>
  <c r="M142" i="16" s="1"/>
  <c r="Q52" i="16"/>
  <c r="Q139" i="16" s="1"/>
  <c r="O92" i="16"/>
  <c r="O95" i="16" s="1"/>
  <c r="R80" i="16"/>
  <c r="R83" i="16" s="1"/>
  <c r="K80" i="16"/>
  <c r="K83" i="16" s="1"/>
  <c r="J57" i="16"/>
  <c r="L128" i="16"/>
  <c r="L131" i="16" s="1"/>
  <c r="P60" i="16"/>
  <c r="P63" i="16" s="1"/>
  <c r="P88" i="16"/>
  <c r="P91" i="16" s="1"/>
  <c r="I117" i="16"/>
  <c r="H125" i="16"/>
  <c r="J52" i="16"/>
  <c r="L116" i="16"/>
  <c r="L119" i="16" s="1"/>
  <c r="R60" i="16"/>
  <c r="S234" i="16" s="1"/>
  <c r="E234" i="16" s="1"/>
  <c r="J234" i="16" s="1"/>
  <c r="K234" i="16" s="1"/>
  <c r="L234" i="16" s="1"/>
  <c r="M234" i="16" s="1"/>
  <c r="N234" i="16" s="1"/>
  <c r="O234" i="16" s="1"/>
  <c r="P234" i="16" s="1"/>
  <c r="Q234" i="16" s="1"/>
  <c r="R234" i="16" s="1"/>
  <c r="I89" i="16"/>
  <c r="M133" i="16"/>
  <c r="R88" i="16"/>
  <c r="S262" i="16" s="1"/>
  <c r="E262" i="16" s="1"/>
  <c r="J262" i="16" s="1"/>
  <c r="K262" i="16" s="1"/>
  <c r="L262" i="16" s="1"/>
  <c r="M262" i="16" s="1"/>
  <c r="N262" i="16" s="1"/>
  <c r="O262" i="16" s="1"/>
  <c r="P262" i="16" s="1"/>
  <c r="Q262" i="16" s="1"/>
  <c r="R262" i="16" s="1"/>
  <c r="L129" i="16"/>
  <c r="K125" i="16"/>
  <c r="J48" i="16"/>
  <c r="J144" i="16" s="1"/>
  <c r="L77" i="16"/>
  <c r="K53" i="16"/>
  <c r="Q97" i="16"/>
  <c r="J84" i="16"/>
  <c r="J87" i="16" s="1"/>
  <c r="M80" i="16"/>
  <c r="M83" i="16" s="1"/>
  <c r="O93" i="16"/>
  <c r="M129" i="16"/>
  <c r="M61" i="16"/>
  <c r="P48" i="16"/>
  <c r="P144" i="16" s="1"/>
  <c r="S232" i="16"/>
  <c r="E232" i="16" s="1"/>
  <c r="J232" i="16" s="1"/>
  <c r="K232" i="16" s="1"/>
  <c r="L232" i="16" s="1"/>
  <c r="M232" i="16" s="1"/>
  <c r="N232" i="16" s="1"/>
  <c r="O232" i="16" s="1"/>
  <c r="P232" i="16" s="1"/>
  <c r="Q232" i="16" s="1"/>
  <c r="R232" i="16" s="1"/>
  <c r="M81" i="16"/>
  <c r="P116" i="16"/>
  <c r="P119" i="16" s="1"/>
  <c r="M49" i="16"/>
  <c r="O88" i="16"/>
  <c r="O91" i="16" s="1"/>
  <c r="K88" i="16"/>
  <c r="K91" i="16" s="1"/>
  <c r="Q125" i="16"/>
  <c r="L96" i="16"/>
  <c r="L99" i="16" s="1"/>
  <c r="K45" i="16"/>
  <c r="P129" i="16"/>
  <c r="R133" i="16"/>
  <c r="S307" i="16" s="1"/>
  <c r="E307" i="16" s="1"/>
  <c r="J307" i="16" s="1"/>
  <c r="K307" i="16" s="1"/>
  <c r="L307" i="16" s="1"/>
  <c r="M307" i="16" s="1"/>
  <c r="N307" i="16" s="1"/>
  <c r="O307" i="16" s="1"/>
  <c r="P307" i="16" s="1"/>
  <c r="Q307" i="16" s="1"/>
  <c r="R307" i="16" s="1"/>
  <c r="N61" i="16"/>
  <c r="I129" i="16"/>
  <c r="H41" i="16"/>
  <c r="P61" i="16"/>
  <c r="M112" i="16"/>
  <c r="M115" i="16" s="1"/>
  <c r="L88" i="16"/>
  <c r="L91" i="16" s="1"/>
  <c r="O120" i="16"/>
  <c r="O123" i="16" s="1"/>
  <c r="J76" i="16"/>
  <c r="J79" i="16" s="1"/>
  <c r="M124" i="16"/>
  <c r="M127" i="16" s="1"/>
  <c r="K133" i="16"/>
  <c r="N48" i="16"/>
  <c r="N51" i="16" s="1"/>
  <c r="K40" i="16"/>
  <c r="K138" i="16" s="1"/>
  <c r="S308" i="16"/>
  <c r="E308" i="16" s="1"/>
  <c r="J308" i="16" s="1"/>
  <c r="K308" i="16" s="1"/>
  <c r="L308" i="16" s="1"/>
  <c r="M308" i="16" s="1"/>
  <c r="N308" i="16" s="1"/>
  <c r="O308" i="16" s="1"/>
  <c r="P308" i="16" s="1"/>
  <c r="Q308" i="16" s="1"/>
  <c r="R308" i="16" s="1"/>
  <c r="L56" i="16"/>
  <c r="L142" i="16" s="1"/>
  <c r="P53" i="16"/>
  <c r="O41" i="16"/>
  <c r="R132" i="16"/>
  <c r="S306" i="16" s="1"/>
  <c r="E306" i="16" s="1"/>
  <c r="J306" i="16" s="1"/>
  <c r="K306" i="16" s="1"/>
  <c r="L306" i="16" s="1"/>
  <c r="M306" i="16" s="1"/>
  <c r="N306" i="16" s="1"/>
  <c r="O306" i="16" s="1"/>
  <c r="P306" i="16" s="1"/>
  <c r="Q306" i="16" s="1"/>
  <c r="R306" i="16" s="1"/>
  <c r="M128" i="16"/>
  <c r="M131" i="16" s="1"/>
  <c r="N45" i="16"/>
  <c r="H45" i="16"/>
  <c r="M132" i="16"/>
  <c r="M135" i="16" s="1"/>
  <c r="O44" i="16"/>
  <c r="O141" i="16" s="1"/>
  <c r="L93" i="16"/>
  <c r="L113" i="16"/>
  <c r="H124" i="16"/>
  <c r="H127" i="16" s="1"/>
  <c r="R96" i="16"/>
  <c r="S270" i="16" s="1"/>
  <c r="E270" i="16" s="1"/>
  <c r="J270" i="16" s="1"/>
  <c r="K270" i="16" s="1"/>
  <c r="L270" i="16" s="1"/>
  <c r="M270" i="16" s="1"/>
  <c r="N270" i="16" s="1"/>
  <c r="O270" i="16" s="1"/>
  <c r="P270" i="16" s="1"/>
  <c r="Q270" i="16" s="1"/>
  <c r="R270" i="16" s="1"/>
  <c r="L40" i="16"/>
  <c r="L138" i="16" s="1"/>
  <c r="N120" i="16"/>
  <c r="N123" i="16" s="1"/>
  <c r="M44" i="16"/>
  <c r="M47" i="16" s="1"/>
  <c r="M117" i="16"/>
  <c r="M77" i="16"/>
  <c r="M52" i="16"/>
  <c r="M139" i="16" s="1"/>
  <c r="L45" i="16"/>
  <c r="R61" i="16"/>
  <c r="S235" i="16" s="1"/>
  <c r="E235" i="16" s="1"/>
  <c r="J235" i="16" s="1"/>
  <c r="K235" i="16" s="1"/>
  <c r="L235" i="16" s="1"/>
  <c r="M235" i="16" s="1"/>
  <c r="N235" i="16" s="1"/>
  <c r="O235" i="16" s="1"/>
  <c r="P235" i="16" s="1"/>
  <c r="Q235" i="16" s="1"/>
  <c r="R235" i="16" s="1"/>
  <c r="J125" i="16"/>
  <c r="K93" i="16"/>
  <c r="O116" i="16"/>
  <c r="O119" i="16" s="1"/>
  <c r="L125" i="16"/>
  <c r="J49" i="16"/>
  <c r="P80" i="16"/>
  <c r="P83" i="16" s="1"/>
  <c r="L57" i="16"/>
  <c r="H89" i="16"/>
  <c r="H53" i="16"/>
  <c r="I92" i="16"/>
  <c r="I95" i="16" s="1"/>
  <c r="K97" i="16"/>
  <c r="K121" i="16"/>
  <c r="I120" i="16"/>
  <c r="I123" i="16" s="1"/>
  <c r="L41" i="16"/>
  <c r="Q45" i="16"/>
  <c r="O76" i="16"/>
  <c r="O79" i="16" s="1"/>
  <c r="P92" i="16"/>
  <c r="P95" i="16" s="1"/>
  <c r="M40" i="16"/>
  <c r="M43" i="16" s="1"/>
  <c r="O48" i="16"/>
  <c r="O144" i="16" s="1"/>
  <c r="P121" i="16"/>
  <c r="H117" i="16"/>
  <c r="N57" i="16"/>
  <c r="H44" i="16"/>
  <c r="H47" i="16" s="1"/>
  <c r="M121" i="16"/>
  <c r="P44" i="16"/>
  <c r="P141" i="16" s="1"/>
  <c r="I88" i="16"/>
  <c r="I91" i="16" s="1"/>
  <c r="N128" i="16"/>
  <c r="N131" i="16" s="1"/>
  <c r="R53" i="16"/>
  <c r="S227" i="16" s="1"/>
  <c r="E227" i="16" s="1"/>
  <c r="J227" i="16" s="1"/>
  <c r="K227" i="16" s="1"/>
  <c r="L227" i="16" s="1"/>
  <c r="M227" i="16" s="1"/>
  <c r="N227" i="16" s="1"/>
  <c r="O227" i="16" s="1"/>
  <c r="P227" i="16" s="1"/>
  <c r="Q227" i="16" s="1"/>
  <c r="R227" i="16" s="1"/>
  <c r="I56" i="16"/>
  <c r="I59" i="16" s="1"/>
  <c r="O133" i="16"/>
  <c r="O56" i="16"/>
  <c r="O142" i="16" s="1"/>
  <c r="N124" i="16"/>
  <c r="N127" i="16" s="1"/>
  <c r="P133" i="16"/>
  <c r="J117" i="16"/>
  <c r="N129" i="16"/>
  <c r="K92" i="16"/>
  <c r="K95" i="16" s="1"/>
  <c r="M45" i="16"/>
  <c r="Q61" i="16"/>
  <c r="K96" i="16"/>
  <c r="K99" i="16" s="1"/>
  <c r="M76" i="16"/>
  <c r="M79" i="16" s="1"/>
  <c r="H52" i="16"/>
  <c r="H139" i="16" s="1"/>
  <c r="H80" i="16"/>
  <c r="H83" i="16" s="1"/>
  <c r="P76" i="16"/>
  <c r="P79" i="16" s="1"/>
  <c r="P125" i="16"/>
  <c r="N49" i="16"/>
  <c r="K56" i="16"/>
  <c r="K142" i="16" s="1"/>
  <c r="S220" i="16"/>
  <c r="E220" i="16" s="1"/>
  <c r="J220" i="16" s="1"/>
  <c r="K220" i="16" s="1"/>
  <c r="L220" i="16" s="1"/>
  <c r="M220" i="16" s="1"/>
  <c r="N220" i="16" s="1"/>
  <c r="O220" i="16" s="1"/>
  <c r="P220" i="16" s="1"/>
  <c r="Q220" i="16" s="1"/>
  <c r="R220" i="16" s="1"/>
  <c r="J60" i="16"/>
  <c r="J63" i="16" s="1"/>
  <c r="I76" i="16"/>
  <c r="I79" i="16" s="1"/>
  <c r="P49" i="16"/>
  <c r="N81" i="16"/>
  <c r="I40" i="16"/>
  <c r="I138" i="16" s="1"/>
  <c r="Q132" i="16"/>
  <c r="Q135" i="16" s="1"/>
  <c r="Q121" i="16"/>
  <c r="Q77" i="16"/>
  <c r="Q40" i="16"/>
  <c r="Q43" i="16" s="1"/>
  <c r="M93" i="16"/>
  <c r="S216" i="16"/>
  <c r="E216" i="16" s="1"/>
  <c r="J216" i="16" s="1"/>
  <c r="K216" i="16" s="1"/>
  <c r="L216" i="16" s="1"/>
  <c r="M216" i="16" s="1"/>
  <c r="N216" i="16" s="1"/>
  <c r="O216" i="16" s="1"/>
  <c r="P216" i="16" s="1"/>
  <c r="Q216" i="16" s="1"/>
  <c r="R216" i="16" s="1"/>
  <c r="R92" i="16"/>
  <c r="S266" i="16" s="1"/>
  <c r="E266" i="16" s="1"/>
  <c r="J266" i="16" s="1"/>
  <c r="K266" i="16" s="1"/>
  <c r="L266" i="16" s="1"/>
  <c r="M266" i="16" s="1"/>
  <c r="N266" i="16" s="1"/>
  <c r="O266" i="16" s="1"/>
  <c r="P266" i="16" s="1"/>
  <c r="Q266" i="16" s="1"/>
  <c r="R266" i="16" s="1"/>
  <c r="Q80" i="16"/>
  <c r="Q83" i="16" s="1"/>
  <c r="N88" i="16"/>
  <c r="N91" i="16" s="1"/>
  <c r="J44" i="16"/>
  <c r="J141" i="16" s="1"/>
  <c r="N85" i="16"/>
  <c r="O40" i="16"/>
  <c r="O43" i="16" s="1"/>
  <c r="Q92" i="16"/>
  <c r="Q95" i="16" s="1"/>
  <c r="L84" i="16"/>
  <c r="L87" i="16" s="1"/>
  <c r="S256" i="16"/>
  <c r="E256" i="16" s="1"/>
  <c r="J256" i="16" s="1"/>
  <c r="K256" i="16" s="1"/>
  <c r="L256" i="16" s="1"/>
  <c r="M256" i="16" s="1"/>
  <c r="N256" i="16" s="1"/>
  <c r="O256" i="16" s="1"/>
  <c r="P256" i="16" s="1"/>
  <c r="Q256" i="16" s="1"/>
  <c r="R256" i="16" s="1"/>
  <c r="M85" i="16"/>
  <c r="R45" i="16"/>
  <c r="S219" i="16" s="1"/>
  <c r="E219" i="16" s="1"/>
  <c r="J219" i="16" s="1"/>
  <c r="K219" i="16" s="1"/>
  <c r="L219" i="16" s="1"/>
  <c r="M219" i="16" s="1"/>
  <c r="N219" i="16" s="1"/>
  <c r="O219" i="16" s="1"/>
  <c r="P219" i="16" s="1"/>
  <c r="Q219" i="16" s="1"/>
  <c r="R219" i="16" s="1"/>
  <c r="R57" i="16"/>
  <c r="S231" i="16" s="1"/>
  <c r="E231" i="16" s="1"/>
  <c r="J231" i="16" s="1"/>
  <c r="K231" i="16" s="1"/>
  <c r="L231" i="16" s="1"/>
  <c r="M231" i="16" s="1"/>
  <c r="N231" i="16" s="1"/>
  <c r="O231" i="16" s="1"/>
  <c r="P231" i="16" s="1"/>
  <c r="Q231" i="16" s="1"/>
  <c r="R231" i="16" s="1"/>
  <c r="P85" i="16"/>
  <c r="Q96" i="16"/>
  <c r="Q99" i="16" s="1"/>
  <c r="O96" i="16"/>
  <c r="O99" i="16" s="1"/>
  <c r="H56" i="16"/>
  <c r="H142" i="16" s="1"/>
  <c r="I133" i="16"/>
  <c r="Q76" i="16"/>
  <c r="Q79" i="16" s="1"/>
  <c r="K48" i="16"/>
  <c r="K51" i="16" s="1"/>
  <c r="O53" i="16"/>
  <c r="H76" i="16"/>
  <c r="H79" i="16" s="1"/>
  <c r="L92" i="16"/>
  <c r="L95" i="16" s="1"/>
  <c r="J45" i="16"/>
  <c r="N89" i="16"/>
  <c r="N80" i="16"/>
  <c r="N83" i="16" s="1"/>
  <c r="I57" i="16"/>
  <c r="H132" i="16"/>
  <c r="H135" i="16" s="1"/>
  <c r="P120" i="16"/>
  <c r="P123" i="16" s="1"/>
  <c r="I80" i="16"/>
  <c r="I83" i="16" s="1"/>
  <c r="R81" i="16"/>
  <c r="S255" i="16" s="1"/>
  <c r="E255" i="16" s="1"/>
  <c r="J255" i="16" s="1"/>
  <c r="K255" i="16" s="1"/>
  <c r="L255" i="16" s="1"/>
  <c r="M255" i="16" s="1"/>
  <c r="N255" i="16" s="1"/>
  <c r="O255" i="16" s="1"/>
  <c r="P255" i="16" s="1"/>
  <c r="Q255" i="16" s="1"/>
  <c r="R255" i="16" s="1"/>
  <c r="J96" i="16"/>
  <c r="J99" i="16" s="1"/>
  <c r="N133" i="16"/>
  <c r="R49" i="16"/>
  <c r="S223" i="16" s="1"/>
  <c r="E223" i="16" s="1"/>
  <c r="J223" i="16" s="1"/>
  <c r="K223" i="16" s="1"/>
  <c r="L223" i="16" s="1"/>
  <c r="M223" i="16" s="1"/>
  <c r="N223" i="16" s="1"/>
  <c r="O223" i="16" s="1"/>
  <c r="P223" i="16" s="1"/>
  <c r="Q223" i="16" s="1"/>
  <c r="R223" i="16" s="1"/>
  <c r="Q116" i="16"/>
  <c r="Q119" i="16" s="1"/>
  <c r="M57" i="16"/>
  <c r="O77" i="16"/>
  <c r="L52" i="16"/>
  <c r="L55" i="16" s="1"/>
  <c r="K129" i="16"/>
  <c r="N113" i="16"/>
  <c r="H93" i="16"/>
  <c r="I53" i="16"/>
  <c r="K61" i="16"/>
  <c r="R93" i="16"/>
  <c r="S267" i="16" s="1"/>
  <c r="E267" i="16" s="1"/>
  <c r="J267" i="16" s="1"/>
  <c r="K267" i="16" s="1"/>
  <c r="L267" i="16" s="1"/>
  <c r="M267" i="16" s="1"/>
  <c r="N267" i="16" s="1"/>
  <c r="O267" i="16" s="1"/>
  <c r="P267" i="16" s="1"/>
  <c r="Q267" i="16" s="1"/>
  <c r="R267" i="16" s="1"/>
  <c r="R76" i="16"/>
  <c r="R79" i="16" s="1"/>
  <c r="H92" i="16"/>
  <c r="H95" i="16" s="1"/>
  <c r="N132" i="16"/>
  <c r="N135" i="16" s="1"/>
  <c r="H128" i="16"/>
  <c r="H131" i="16" s="1"/>
  <c r="Q56" i="16"/>
  <c r="Q142" i="16" s="1"/>
  <c r="M125" i="16"/>
  <c r="H77" i="16"/>
  <c r="I121" i="16"/>
  <c r="L133" i="16"/>
  <c r="Q133" i="16"/>
  <c r="P117" i="16"/>
  <c r="Q81" i="16"/>
  <c r="S296" i="16"/>
  <c r="E296" i="16" s="1"/>
  <c r="J296" i="16" s="1"/>
  <c r="K296" i="16" s="1"/>
  <c r="L296" i="16" s="1"/>
  <c r="M296" i="16" s="1"/>
  <c r="N296" i="16" s="1"/>
  <c r="O296" i="16" s="1"/>
  <c r="P296" i="16" s="1"/>
  <c r="Q296" i="16" s="1"/>
  <c r="R296" i="16" s="1"/>
  <c r="M84" i="16"/>
  <c r="M87" i="16" s="1"/>
  <c r="J121" i="16"/>
  <c r="M88" i="16"/>
  <c r="M91" i="16" s="1"/>
  <c r="L44" i="16"/>
  <c r="L47" i="16" s="1"/>
  <c r="R48" i="16"/>
  <c r="R51" i="16" s="1"/>
  <c r="O60" i="16"/>
  <c r="O145" i="16" s="1"/>
  <c r="Q113" i="16"/>
  <c r="I77" i="16"/>
  <c r="P57" i="16"/>
  <c r="K49" i="16"/>
  <c r="H113" i="16"/>
  <c r="Q44" i="16"/>
  <c r="Q47" i="16" s="1"/>
  <c r="J41" i="16"/>
  <c r="L117" i="16"/>
  <c r="O45" i="16"/>
  <c r="H129" i="16"/>
  <c r="I45" i="16"/>
  <c r="K84" i="16"/>
  <c r="K87" i="16" s="1"/>
  <c r="N117" i="16"/>
  <c r="K52" i="16"/>
  <c r="K55" i="16" s="1"/>
  <c r="J97" i="16"/>
  <c r="K60" i="16"/>
  <c r="K145" i="16" s="1"/>
  <c r="N92" i="16"/>
  <c r="N95" i="16" s="1"/>
  <c r="S268" i="16"/>
  <c r="E268" i="16" s="1"/>
  <c r="J268" i="16" s="1"/>
  <c r="K268" i="16" s="1"/>
  <c r="L268" i="16" s="1"/>
  <c r="M268" i="16" s="1"/>
  <c r="N268" i="16" s="1"/>
  <c r="O268" i="16" s="1"/>
  <c r="P268" i="16" s="1"/>
  <c r="Q268" i="16" s="1"/>
  <c r="R268" i="16" s="1"/>
  <c r="N53" i="16"/>
  <c r="K116" i="16"/>
  <c r="K119" i="16" s="1"/>
  <c r="I116" i="16"/>
  <c r="I119" i="16" s="1"/>
  <c r="O84" i="16"/>
  <c r="O87" i="16" s="1"/>
  <c r="P7" i="16"/>
  <c r="P8" i="16"/>
  <c r="P6" i="16"/>
  <c r="P13" i="16"/>
  <c r="P14" i="16"/>
  <c r="P12" i="16"/>
  <c r="AC2" i="6"/>
  <c r="AC3" i="6"/>
  <c r="AC4" i="6"/>
  <c r="H43" i="16"/>
  <c r="P10" i="16"/>
  <c r="P11" i="16"/>
  <c r="P9" i="16"/>
  <c r="H63" i="16"/>
  <c r="R141" i="16"/>
  <c r="T264" i="16"/>
  <c r="U264" i="16" s="1"/>
  <c r="V264" i="16" s="1"/>
  <c r="W264" i="16" s="1"/>
  <c r="X264" i="16" s="1"/>
  <c r="Y264" i="16" s="1"/>
  <c r="Z264" i="16" s="1"/>
  <c r="AA264" i="16" s="1"/>
  <c r="AB264" i="16" s="1"/>
  <c r="AC264" i="16" s="1"/>
  <c r="AD264" i="16" s="1"/>
  <c r="AE264" i="16" s="1"/>
  <c r="AF264" i="16" s="1"/>
  <c r="AG264" i="16" s="1"/>
  <c r="AH264" i="16" s="1"/>
  <c r="AI264" i="16" s="1"/>
  <c r="AJ264" i="16" s="1"/>
  <c r="AK264" i="16" s="1"/>
  <c r="AL264" i="16" s="1"/>
  <c r="AM264" i="16" s="1"/>
  <c r="R127" i="16"/>
  <c r="S214" i="16"/>
  <c r="E214" i="16" s="1"/>
  <c r="J214" i="16" s="1"/>
  <c r="K214" i="16" s="1"/>
  <c r="L214" i="16" s="1"/>
  <c r="M214" i="16" s="1"/>
  <c r="N214" i="16" s="1"/>
  <c r="O214" i="16" s="1"/>
  <c r="P214" i="16" s="1"/>
  <c r="Q214" i="16" s="1"/>
  <c r="R214" i="16" s="1"/>
  <c r="W2" i="5"/>
  <c r="X2" i="5" s="1"/>
  <c r="P322" i="16"/>
  <c r="P323" i="16"/>
  <c r="Z323" i="16"/>
  <c r="Z322" i="16"/>
  <c r="Z318" i="16"/>
  <c r="Z319" i="16"/>
  <c r="P318" i="16"/>
  <c r="P319" i="16"/>
  <c r="AA324" i="16"/>
  <c r="AA320" i="16"/>
  <c r="Q324" i="16"/>
  <c r="Y9" i="16"/>
  <c r="Q320" i="16"/>
  <c r="Y12" i="16"/>
  <c r="Z14" i="16"/>
  <c r="Z11" i="16"/>
  <c r="Z10" i="16"/>
  <c r="Z13" i="16"/>
  <c r="G4" i="5"/>
  <c r="G9" i="5"/>
  <c r="AB15" i="6"/>
  <c r="AB26" i="6" s="1"/>
  <c r="AC201" i="16"/>
  <c r="AA157" i="16"/>
  <c r="Y169" i="16"/>
  <c r="Y180" i="16"/>
  <c r="Y168" i="16"/>
  <c r="Y170" i="16"/>
  <c r="Y178" i="16"/>
  <c r="Y179" i="16"/>
  <c r="Q168" i="16"/>
  <c r="P168" i="16"/>
  <c r="Q170" i="16"/>
  <c r="P170" i="16"/>
  <c r="Q180" i="16"/>
  <c r="P180" i="16"/>
  <c r="Q178" i="16"/>
  <c r="P178" i="16"/>
  <c r="Q179" i="16"/>
  <c r="P179" i="16"/>
  <c r="Q169" i="16"/>
  <c r="P169" i="16"/>
  <c r="Y3" i="6"/>
  <c r="Y4" i="6"/>
  <c r="Y13" i="6"/>
  <c r="V13" i="6" s="1"/>
  <c r="Y24" i="6"/>
  <c r="H11" i="15"/>
  <c r="L11" i="15"/>
  <c r="P11" i="15"/>
  <c r="T11" i="15"/>
  <c r="X11" i="15"/>
  <c r="G11" i="15"/>
  <c r="I11" i="15"/>
  <c r="M11" i="15"/>
  <c r="Q11" i="15"/>
  <c r="U11" i="15"/>
  <c r="Y11" i="15"/>
  <c r="K11" i="15"/>
  <c r="S11" i="15"/>
  <c r="AA11" i="15"/>
  <c r="N11" i="15"/>
  <c r="V11" i="15"/>
  <c r="O11" i="15"/>
  <c r="W11" i="15"/>
  <c r="J11" i="15"/>
  <c r="R11" i="15"/>
  <c r="Z11" i="15"/>
  <c r="AB14" i="6"/>
  <c r="AB25" i="6" s="1"/>
  <c r="AC14" i="6"/>
  <c r="AC25" i="6" s="1"/>
  <c r="AC15" i="6"/>
  <c r="AC26" i="6" s="1"/>
  <c r="AB13" i="6"/>
  <c r="AB24" i="6" s="1"/>
  <c r="AC13" i="6"/>
  <c r="AC24" i="6" s="1"/>
  <c r="S254" i="16" l="1"/>
  <c r="E254" i="16" s="1"/>
  <c r="J254" i="16" s="1"/>
  <c r="K254" i="16" s="1"/>
  <c r="L254" i="16" s="1"/>
  <c r="M254" i="16" s="1"/>
  <c r="N254" i="16" s="1"/>
  <c r="O254" i="16" s="1"/>
  <c r="P254" i="16" s="1"/>
  <c r="Q254" i="16" s="1"/>
  <c r="R254" i="16" s="1"/>
  <c r="R47" i="16"/>
  <c r="T263" i="16"/>
  <c r="U263" i="16" s="1"/>
  <c r="V263" i="16" s="1"/>
  <c r="W263" i="16" s="1"/>
  <c r="X263" i="16" s="1"/>
  <c r="Y263" i="16" s="1"/>
  <c r="Z263" i="16" s="1"/>
  <c r="AA263" i="16" s="1"/>
  <c r="AB263" i="16" s="1"/>
  <c r="AC263" i="16" s="1"/>
  <c r="AD263" i="16" s="1"/>
  <c r="AE263" i="16" s="1"/>
  <c r="AF263" i="16" s="1"/>
  <c r="AG263" i="16" s="1"/>
  <c r="AH263" i="16" s="1"/>
  <c r="AI263" i="16" s="1"/>
  <c r="AJ263" i="16" s="1"/>
  <c r="AK263" i="16" s="1"/>
  <c r="AL263" i="16" s="1"/>
  <c r="AM263" i="16" s="1"/>
  <c r="T299" i="16"/>
  <c r="U299" i="16" s="1"/>
  <c r="V299" i="16" s="1"/>
  <c r="W299" i="16" s="1"/>
  <c r="X299" i="16" s="1"/>
  <c r="Y299" i="16" s="1"/>
  <c r="Z299" i="16" s="1"/>
  <c r="AA299" i="16" s="1"/>
  <c r="AB299" i="16" s="1"/>
  <c r="AC299" i="16" s="1"/>
  <c r="AD299" i="16" s="1"/>
  <c r="AE299" i="16" s="1"/>
  <c r="AF299" i="16" s="1"/>
  <c r="AG299" i="16" s="1"/>
  <c r="AH299" i="16" s="1"/>
  <c r="AI299" i="16" s="1"/>
  <c r="AJ299" i="16" s="1"/>
  <c r="AK299" i="16" s="1"/>
  <c r="AL299" i="16" s="1"/>
  <c r="AM299" i="16" s="1"/>
  <c r="T218" i="16"/>
  <c r="U218" i="16" s="1"/>
  <c r="V218" i="16" s="1"/>
  <c r="W218" i="16" s="1"/>
  <c r="X218" i="16" s="1"/>
  <c r="Y218" i="16" s="1"/>
  <c r="Z218" i="16" s="1"/>
  <c r="AA218" i="16" s="1"/>
  <c r="AB218" i="16" s="1"/>
  <c r="AC218" i="16" s="1"/>
  <c r="AD218" i="16" s="1"/>
  <c r="AE218" i="16" s="1"/>
  <c r="AF218" i="16" s="1"/>
  <c r="AG218" i="16" s="1"/>
  <c r="AH218" i="16" s="1"/>
  <c r="AI218" i="16" s="1"/>
  <c r="AJ218" i="16" s="1"/>
  <c r="AK218" i="16" s="1"/>
  <c r="AL218" i="16" s="1"/>
  <c r="AM218" i="16" s="1"/>
  <c r="Q51" i="16"/>
  <c r="T296" i="16"/>
  <c r="U296" i="16" s="1"/>
  <c r="V296" i="16" s="1"/>
  <c r="W296" i="16" s="1"/>
  <c r="X296" i="16" s="1"/>
  <c r="Y296" i="16" s="1"/>
  <c r="Z296" i="16" s="1"/>
  <c r="AA296" i="16" s="1"/>
  <c r="AB296" i="16" s="1"/>
  <c r="AC296" i="16" s="1"/>
  <c r="AD296" i="16" s="1"/>
  <c r="AE296" i="16" s="1"/>
  <c r="AF296" i="16" s="1"/>
  <c r="AG296" i="16" s="1"/>
  <c r="AH296" i="16" s="1"/>
  <c r="AI296" i="16" s="1"/>
  <c r="AJ296" i="16" s="1"/>
  <c r="AK296" i="16" s="1"/>
  <c r="AL296" i="16" s="1"/>
  <c r="AM296" i="16" s="1"/>
  <c r="M138" i="16"/>
  <c r="N43" i="16"/>
  <c r="P59" i="16"/>
  <c r="T298" i="16"/>
  <c r="U298" i="16" s="1"/>
  <c r="V298" i="16" s="1"/>
  <c r="W298" i="16" s="1"/>
  <c r="X298" i="16" s="1"/>
  <c r="Y298" i="16" s="1"/>
  <c r="Z298" i="16" s="1"/>
  <c r="AA298" i="16" s="1"/>
  <c r="AB298" i="16" s="1"/>
  <c r="AC298" i="16" s="1"/>
  <c r="AD298" i="16" s="1"/>
  <c r="AE298" i="16" s="1"/>
  <c r="AF298" i="16" s="1"/>
  <c r="AG298" i="16" s="1"/>
  <c r="AH298" i="16" s="1"/>
  <c r="AI298" i="16" s="1"/>
  <c r="AJ298" i="16" s="1"/>
  <c r="AK298" i="16" s="1"/>
  <c r="AL298" i="16" s="1"/>
  <c r="AM298" i="16" s="1"/>
  <c r="I55" i="16"/>
  <c r="J51" i="16"/>
  <c r="N59" i="16"/>
  <c r="H55" i="16"/>
  <c r="T300" i="16"/>
  <c r="U300" i="16" s="1"/>
  <c r="V300" i="16" s="1"/>
  <c r="W300" i="16" s="1"/>
  <c r="X300" i="16" s="1"/>
  <c r="Y300" i="16" s="1"/>
  <c r="Z300" i="16" s="1"/>
  <c r="AA300" i="16" s="1"/>
  <c r="AB300" i="16" s="1"/>
  <c r="AC300" i="16" s="1"/>
  <c r="AD300" i="16" s="1"/>
  <c r="AE300" i="16" s="1"/>
  <c r="AF300" i="16" s="1"/>
  <c r="AG300" i="16" s="1"/>
  <c r="AH300" i="16" s="1"/>
  <c r="AI300" i="16" s="1"/>
  <c r="AJ300" i="16" s="1"/>
  <c r="AK300" i="16" s="1"/>
  <c r="AL300" i="16" s="1"/>
  <c r="AM300" i="16" s="1"/>
  <c r="P47" i="16"/>
  <c r="M51" i="16"/>
  <c r="L43" i="16"/>
  <c r="N141" i="16"/>
  <c r="R138" i="16"/>
  <c r="N144" i="16"/>
  <c r="Q59" i="16"/>
  <c r="H59" i="16"/>
  <c r="L145" i="16"/>
  <c r="K43" i="16"/>
  <c r="P139" i="16"/>
  <c r="R59" i="16"/>
  <c r="T260" i="16"/>
  <c r="U260" i="16" s="1"/>
  <c r="V260" i="16" s="1"/>
  <c r="W260" i="16" s="1"/>
  <c r="X260" i="16" s="1"/>
  <c r="Y260" i="16" s="1"/>
  <c r="Z260" i="16" s="1"/>
  <c r="AA260" i="16" s="1"/>
  <c r="AB260" i="16" s="1"/>
  <c r="AC260" i="16" s="1"/>
  <c r="AD260" i="16" s="1"/>
  <c r="AE260" i="16" s="1"/>
  <c r="AF260" i="16" s="1"/>
  <c r="AG260" i="16" s="1"/>
  <c r="AH260" i="16" s="1"/>
  <c r="AI260" i="16" s="1"/>
  <c r="AJ260" i="16" s="1"/>
  <c r="AK260" i="16" s="1"/>
  <c r="AL260" i="16" s="1"/>
  <c r="AM260" i="16" s="1"/>
  <c r="T288" i="16"/>
  <c r="U288" i="16" s="1"/>
  <c r="V288" i="16" s="1"/>
  <c r="W288" i="16" s="1"/>
  <c r="X288" i="16" s="1"/>
  <c r="Y288" i="16" s="1"/>
  <c r="Z288" i="16" s="1"/>
  <c r="AA288" i="16" s="1"/>
  <c r="AB288" i="16" s="1"/>
  <c r="AC288" i="16" s="1"/>
  <c r="AD288" i="16" s="1"/>
  <c r="AE288" i="16" s="1"/>
  <c r="AF288" i="16" s="1"/>
  <c r="AG288" i="16" s="1"/>
  <c r="AH288" i="16" s="1"/>
  <c r="AI288" i="16" s="1"/>
  <c r="AJ288" i="16" s="1"/>
  <c r="AK288" i="16" s="1"/>
  <c r="AL288" i="16" s="1"/>
  <c r="AM288" i="16" s="1"/>
  <c r="J43" i="16"/>
  <c r="K47" i="16"/>
  <c r="T216" i="16"/>
  <c r="U216" i="16" s="1"/>
  <c r="V216" i="16" s="1"/>
  <c r="W216" i="16" s="1"/>
  <c r="X216" i="16" s="1"/>
  <c r="Y216" i="16" s="1"/>
  <c r="Z216" i="16" s="1"/>
  <c r="AA216" i="16" s="1"/>
  <c r="AB216" i="16" s="1"/>
  <c r="AC216" i="16" s="1"/>
  <c r="AD216" i="16" s="1"/>
  <c r="AE216" i="16" s="1"/>
  <c r="AF216" i="16" s="1"/>
  <c r="AG216" i="16" s="1"/>
  <c r="AH216" i="16" s="1"/>
  <c r="AI216" i="16" s="1"/>
  <c r="AJ216" i="16" s="1"/>
  <c r="AK216" i="16" s="1"/>
  <c r="AL216" i="16" s="1"/>
  <c r="AM216" i="16" s="1"/>
  <c r="P51" i="16"/>
  <c r="M141" i="16"/>
  <c r="T291" i="16"/>
  <c r="U291" i="16" s="1"/>
  <c r="V291" i="16" s="1"/>
  <c r="W291" i="16" s="1"/>
  <c r="X291" i="16" s="1"/>
  <c r="Y291" i="16" s="1"/>
  <c r="Z291" i="16" s="1"/>
  <c r="AA291" i="16" s="1"/>
  <c r="AB291" i="16" s="1"/>
  <c r="AC291" i="16" s="1"/>
  <c r="AD291" i="16" s="1"/>
  <c r="AE291" i="16" s="1"/>
  <c r="AF291" i="16" s="1"/>
  <c r="AG291" i="16" s="1"/>
  <c r="AH291" i="16" s="1"/>
  <c r="AI291" i="16" s="1"/>
  <c r="AJ291" i="16" s="1"/>
  <c r="AK291" i="16" s="1"/>
  <c r="AL291" i="16" s="1"/>
  <c r="AM291" i="16" s="1"/>
  <c r="T308" i="16"/>
  <c r="U308" i="16" s="1"/>
  <c r="V308" i="16" s="1"/>
  <c r="W308" i="16" s="1"/>
  <c r="X308" i="16" s="1"/>
  <c r="Y308" i="16" s="1"/>
  <c r="Z308" i="16" s="1"/>
  <c r="AA308" i="16" s="1"/>
  <c r="AB308" i="16" s="1"/>
  <c r="AC308" i="16" s="1"/>
  <c r="AD308" i="16" s="1"/>
  <c r="AE308" i="16" s="1"/>
  <c r="AF308" i="16" s="1"/>
  <c r="AG308" i="16" s="1"/>
  <c r="AH308" i="16" s="1"/>
  <c r="AI308" i="16" s="1"/>
  <c r="AJ308" i="16" s="1"/>
  <c r="AK308" i="16" s="1"/>
  <c r="AL308" i="16" s="1"/>
  <c r="AM308" i="16" s="1"/>
  <c r="L144" i="16"/>
  <c r="M59" i="16"/>
  <c r="I63" i="16"/>
  <c r="T271" i="16"/>
  <c r="U271" i="16" s="1"/>
  <c r="V271" i="16" s="1"/>
  <c r="W271" i="16" s="1"/>
  <c r="X271" i="16" s="1"/>
  <c r="Y271" i="16" s="1"/>
  <c r="Z271" i="16" s="1"/>
  <c r="AA271" i="16" s="1"/>
  <c r="AB271" i="16" s="1"/>
  <c r="AC271" i="16" s="1"/>
  <c r="AD271" i="16" s="1"/>
  <c r="AE271" i="16" s="1"/>
  <c r="AF271" i="16" s="1"/>
  <c r="AG271" i="16" s="1"/>
  <c r="AH271" i="16" s="1"/>
  <c r="AI271" i="16" s="1"/>
  <c r="AJ271" i="16" s="1"/>
  <c r="AK271" i="16" s="1"/>
  <c r="AL271" i="16" s="1"/>
  <c r="AM271" i="16" s="1"/>
  <c r="T303" i="16"/>
  <c r="U303" i="16" s="1"/>
  <c r="V303" i="16" s="1"/>
  <c r="W303" i="16" s="1"/>
  <c r="X303" i="16" s="1"/>
  <c r="Y303" i="16" s="1"/>
  <c r="Z303" i="16" s="1"/>
  <c r="AA303" i="16" s="1"/>
  <c r="AB303" i="16" s="1"/>
  <c r="AC303" i="16" s="1"/>
  <c r="AD303" i="16" s="1"/>
  <c r="AE303" i="16" s="1"/>
  <c r="AF303" i="16" s="1"/>
  <c r="AG303" i="16" s="1"/>
  <c r="AH303" i="16" s="1"/>
  <c r="AI303" i="16" s="1"/>
  <c r="AJ303" i="16" s="1"/>
  <c r="AK303" i="16" s="1"/>
  <c r="AL303" i="16" s="1"/>
  <c r="AM303" i="16" s="1"/>
  <c r="J59" i="16"/>
  <c r="O59" i="16"/>
  <c r="T262" i="16"/>
  <c r="U262" i="16" s="1"/>
  <c r="V262" i="16" s="1"/>
  <c r="W262" i="16" s="1"/>
  <c r="X262" i="16" s="1"/>
  <c r="Y262" i="16" s="1"/>
  <c r="Z262" i="16" s="1"/>
  <c r="AA262" i="16" s="1"/>
  <c r="AB262" i="16" s="1"/>
  <c r="AC262" i="16" s="1"/>
  <c r="AD262" i="16" s="1"/>
  <c r="AE262" i="16" s="1"/>
  <c r="AF262" i="16" s="1"/>
  <c r="AG262" i="16" s="1"/>
  <c r="AH262" i="16" s="1"/>
  <c r="AI262" i="16" s="1"/>
  <c r="AJ262" i="16" s="1"/>
  <c r="AK262" i="16" s="1"/>
  <c r="AL262" i="16" s="1"/>
  <c r="AM262" i="16" s="1"/>
  <c r="O55" i="16"/>
  <c r="T252" i="16"/>
  <c r="U252" i="16" s="1"/>
  <c r="V252" i="16" s="1"/>
  <c r="W252" i="16" s="1"/>
  <c r="X252" i="16" s="1"/>
  <c r="Y252" i="16" s="1"/>
  <c r="Z252" i="16" s="1"/>
  <c r="AA252" i="16" s="1"/>
  <c r="AB252" i="16" s="1"/>
  <c r="AC252" i="16" s="1"/>
  <c r="AD252" i="16" s="1"/>
  <c r="AE252" i="16" s="1"/>
  <c r="AF252" i="16" s="1"/>
  <c r="AG252" i="16" s="1"/>
  <c r="AH252" i="16" s="1"/>
  <c r="AI252" i="16" s="1"/>
  <c r="AJ252" i="16" s="1"/>
  <c r="AK252" i="16" s="1"/>
  <c r="AL252" i="16" s="1"/>
  <c r="AM252" i="16" s="1"/>
  <c r="R135" i="16"/>
  <c r="R91" i="16"/>
  <c r="L139" i="16"/>
  <c r="H141" i="16"/>
  <c r="R144" i="16"/>
  <c r="T230" i="16"/>
  <c r="U230" i="16" s="1"/>
  <c r="V230" i="16" s="1"/>
  <c r="W230" i="16" s="1"/>
  <c r="X230" i="16" s="1"/>
  <c r="Y230" i="16" s="1"/>
  <c r="Z230" i="16" s="1"/>
  <c r="AA230" i="16" s="1"/>
  <c r="AB230" i="16" s="1"/>
  <c r="AC230" i="16" s="1"/>
  <c r="AD230" i="16" s="1"/>
  <c r="AE230" i="16" s="1"/>
  <c r="AF230" i="16" s="1"/>
  <c r="AG230" i="16" s="1"/>
  <c r="AH230" i="16" s="1"/>
  <c r="AI230" i="16" s="1"/>
  <c r="AJ230" i="16" s="1"/>
  <c r="AK230" i="16" s="1"/>
  <c r="AL230" i="16" s="1"/>
  <c r="AM230" i="16" s="1"/>
  <c r="R142" i="16"/>
  <c r="T268" i="16"/>
  <c r="U268" i="16" s="1"/>
  <c r="V268" i="16" s="1"/>
  <c r="W268" i="16" s="1"/>
  <c r="X268" i="16" s="1"/>
  <c r="Y268" i="16" s="1"/>
  <c r="Z268" i="16" s="1"/>
  <c r="AA268" i="16" s="1"/>
  <c r="AB268" i="16" s="1"/>
  <c r="AC268" i="16" s="1"/>
  <c r="AD268" i="16" s="1"/>
  <c r="AE268" i="16" s="1"/>
  <c r="AF268" i="16" s="1"/>
  <c r="AG268" i="16" s="1"/>
  <c r="AH268" i="16" s="1"/>
  <c r="AI268" i="16" s="1"/>
  <c r="AJ268" i="16" s="1"/>
  <c r="AK268" i="16" s="1"/>
  <c r="AL268" i="16" s="1"/>
  <c r="AM268" i="16" s="1"/>
  <c r="T287" i="16"/>
  <c r="U287" i="16" s="1"/>
  <c r="V287" i="16" s="1"/>
  <c r="W287" i="16" s="1"/>
  <c r="X287" i="16" s="1"/>
  <c r="Y287" i="16" s="1"/>
  <c r="Z287" i="16" s="1"/>
  <c r="AA287" i="16" s="1"/>
  <c r="AB287" i="16" s="1"/>
  <c r="AC287" i="16" s="1"/>
  <c r="AD287" i="16" s="1"/>
  <c r="AE287" i="16" s="1"/>
  <c r="AF287" i="16" s="1"/>
  <c r="AG287" i="16" s="1"/>
  <c r="AH287" i="16" s="1"/>
  <c r="AI287" i="16" s="1"/>
  <c r="AJ287" i="16" s="1"/>
  <c r="AK287" i="16" s="1"/>
  <c r="AL287" i="16" s="1"/>
  <c r="AM287" i="16" s="1"/>
  <c r="T227" i="16"/>
  <c r="U227" i="16" s="1"/>
  <c r="V227" i="16" s="1"/>
  <c r="W227" i="16" s="1"/>
  <c r="X227" i="16" s="1"/>
  <c r="Y227" i="16" s="1"/>
  <c r="Z227" i="16" s="1"/>
  <c r="AA227" i="16" s="1"/>
  <c r="AB227" i="16" s="1"/>
  <c r="AC227" i="16" s="1"/>
  <c r="AD227" i="16" s="1"/>
  <c r="AE227" i="16" s="1"/>
  <c r="AF227" i="16" s="1"/>
  <c r="AG227" i="16" s="1"/>
  <c r="AH227" i="16" s="1"/>
  <c r="AI227" i="16" s="1"/>
  <c r="AJ227" i="16" s="1"/>
  <c r="AK227" i="16" s="1"/>
  <c r="AL227" i="16" s="1"/>
  <c r="AM227" i="16" s="1"/>
  <c r="R55" i="16"/>
  <c r="I144" i="16"/>
  <c r="T219" i="16"/>
  <c r="U219" i="16" s="1"/>
  <c r="V219" i="16" s="1"/>
  <c r="W219" i="16" s="1"/>
  <c r="X219" i="16" s="1"/>
  <c r="Y219" i="16" s="1"/>
  <c r="Z219" i="16" s="1"/>
  <c r="AA219" i="16" s="1"/>
  <c r="AB219" i="16" s="1"/>
  <c r="AC219" i="16" s="1"/>
  <c r="AD219" i="16" s="1"/>
  <c r="AE219" i="16" s="1"/>
  <c r="AF219" i="16" s="1"/>
  <c r="AG219" i="16" s="1"/>
  <c r="AH219" i="16" s="1"/>
  <c r="AI219" i="16" s="1"/>
  <c r="AJ219" i="16" s="1"/>
  <c r="AK219" i="16" s="1"/>
  <c r="AL219" i="16" s="1"/>
  <c r="AM219" i="16" s="1"/>
  <c r="T220" i="16"/>
  <c r="U220" i="16" s="1"/>
  <c r="V220" i="16" s="1"/>
  <c r="W220" i="16" s="1"/>
  <c r="X220" i="16" s="1"/>
  <c r="Y220" i="16" s="1"/>
  <c r="Z220" i="16" s="1"/>
  <c r="AA220" i="16" s="1"/>
  <c r="AB220" i="16" s="1"/>
  <c r="AC220" i="16" s="1"/>
  <c r="AD220" i="16" s="1"/>
  <c r="AE220" i="16" s="1"/>
  <c r="AF220" i="16" s="1"/>
  <c r="AG220" i="16" s="1"/>
  <c r="AH220" i="16" s="1"/>
  <c r="AI220" i="16" s="1"/>
  <c r="AJ220" i="16" s="1"/>
  <c r="AK220" i="16" s="1"/>
  <c r="AL220" i="16" s="1"/>
  <c r="AM220" i="16" s="1"/>
  <c r="T236" i="16"/>
  <c r="U236" i="16" s="1"/>
  <c r="V236" i="16" s="1"/>
  <c r="W236" i="16" s="1"/>
  <c r="X236" i="16" s="1"/>
  <c r="Y236" i="16" s="1"/>
  <c r="Z236" i="16" s="1"/>
  <c r="AA236" i="16" s="1"/>
  <c r="AB236" i="16" s="1"/>
  <c r="AC236" i="16" s="1"/>
  <c r="AD236" i="16" s="1"/>
  <c r="AE236" i="16" s="1"/>
  <c r="AF236" i="16" s="1"/>
  <c r="AG236" i="16" s="1"/>
  <c r="AH236" i="16" s="1"/>
  <c r="AI236" i="16" s="1"/>
  <c r="AJ236" i="16" s="1"/>
  <c r="AK236" i="16" s="1"/>
  <c r="AL236" i="16" s="1"/>
  <c r="AM236" i="16" s="1"/>
  <c r="T256" i="16"/>
  <c r="U256" i="16" s="1"/>
  <c r="V256" i="16" s="1"/>
  <c r="W256" i="16" s="1"/>
  <c r="X256" i="16" s="1"/>
  <c r="Y256" i="16" s="1"/>
  <c r="Z256" i="16" s="1"/>
  <c r="AA256" i="16" s="1"/>
  <c r="AB256" i="16" s="1"/>
  <c r="AC256" i="16" s="1"/>
  <c r="AD256" i="16" s="1"/>
  <c r="AE256" i="16" s="1"/>
  <c r="AF256" i="16" s="1"/>
  <c r="AG256" i="16" s="1"/>
  <c r="AH256" i="16" s="1"/>
  <c r="AI256" i="16" s="1"/>
  <c r="AJ256" i="16" s="1"/>
  <c r="AK256" i="16" s="1"/>
  <c r="AL256" i="16" s="1"/>
  <c r="AM256" i="16" s="1"/>
  <c r="R87" i="16"/>
  <c r="M55" i="16"/>
  <c r="T232" i="16"/>
  <c r="U232" i="16" s="1"/>
  <c r="V232" i="16" s="1"/>
  <c r="W232" i="16" s="1"/>
  <c r="X232" i="16" s="1"/>
  <c r="Y232" i="16" s="1"/>
  <c r="Z232" i="16" s="1"/>
  <c r="AA232" i="16" s="1"/>
  <c r="AB232" i="16" s="1"/>
  <c r="AC232" i="16" s="1"/>
  <c r="AD232" i="16" s="1"/>
  <c r="AE232" i="16" s="1"/>
  <c r="AF232" i="16" s="1"/>
  <c r="AG232" i="16" s="1"/>
  <c r="AH232" i="16" s="1"/>
  <c r="AI232" i="16" s="1"/>
  <c r="AJ232" i="16" s="1"/>
  <c r="AK232" i="16" s="1"/>
  <c r="AL232" i="16" s="1"/>
  <c r="AM232" i="16" s="1"/>
  <c r="J224" i="16"/>
  <c r="K224" i="16" s="1"/>
  <c r="L224" i="16" s="1"/>
  <c r="M224" i="16" s="1"/>
  <c r="N224" i="16" s="1"/>
  <c r="O224" i="16" s="1"/>
  <c r="P224" i="16" s="1"/>
  <c r="Q224" i="16" s="1"/>
  <c r="R224" i="16" s="1"/>
  <c r="Q55" i="16"/>
  <c r="T226" i="16"/>
  <c r="U226" i="16" s="1"/>
  <c r="V226" i="16" s="1"/>
  <c r="W226" i="16" s="1"/>
  <c r="X226" i="16" s="1"/>
  <c r="Y226" i="16" s="1"/>
  <c r="Z226" i="16" s="1"/>
  <c r="AA226" i="16" s="1"/>
  <c r="AB226" i="16" s="1"/>
  <c r="AC226" i="16" s="1"/>
  <c r="AD226" i="16" s="1"/>
  <c r="AE226" i="16" s="1"/>
  <c r="AF226" i="16" s="1"/>
  <c r="AG226" i="16" s="1"/>
  <c r="AH226" i="16" s="1"/>
  <c r="AI226" i="16" s="1"/>
  <c r="AJ226" i="16" s="1"/>
  <c r="AK226" i="16" s="1"/>
  <c r="AL226" i="16" s="1"/>
  <c r="AM226" i="16" s="1"/>
  <c r="P43" i="16"/>
  <c r="T223" i="16"/>
  <c r="U223" i="16" s="1"/>
  <c r="V223" i="16" s="1"/>
  <c r="W223" i="16" s="1"/>
  <c r="X223" i="16" s="1"/>
  <c r="Y223" i="16" s="1"/>
  <c r="Z223" i="16" s="1"/>
  <c r="AA223" i="16" s="1"/>
  <c r="AB223" i="16" s="1"/>
  <c r="AC223" i="16" s="1"/>
  <c r="AD223" i="16" s="1"/>
  <c r="AE223" i="16" s="1"/>
  <c r="AF223" i="16" s="1"/>
  <c r="AG223" i="16" s="1"/>
  <c r="AH223" i="16" s="1"/>
  <c r="AI223" i="16" s="1"/>
  <c r="AJ223" i="16" s="1"/>
  <c r="AK223" i="16" s="1"/>
  <c r="AL223" i="16" s="1"/>
  <c r="AM223" i="16" s="1"/>
  <c r="T251" i="16"/>
  <c r="U251" i="16" s="1"/>
  <c r="V251" i="16" s="1"/>
  <c r="W251" i="16" s="1"/>
  <c r="X251" i="16" s="1"/>
  <c r="Y251" i="16" s="1"/>
  <c r="Z251" i="16" s="1"/>
  <c r="AA251" i="16" s="1"/>
  <c r="AB251" i="16" s="1"/>
  <c r="AC251" i="16" s="1"/>
  <c r="AD251" i="16" s="1"/>
  <c r="AE251" i="16" s="1"/>
  <c r="AF251" i="16" s="1"/>
  <c r="AG251" i="16" s="1"/>
  <c r="AH251" i="16" s="1"/>
  <c r="AI251" i="16" s="1"/>
  <c r="AJ251" i="16" s="1"/>
  <c r="AK251" i="16" s="1"/>
  <c r="AL251" i="16" s="1"/>
  <c r="AM251" i="16" s="1"/>
  <c r="O138" i="16"/>
  <c r="I43" i="16"/>
  <c r="T266" i="16"/>
  <c r="U266" i="16" s="1"/>
  <c r="V266" i="16" s="1"/>
  <c r="W266" i="16" s="1"/>
  <c r="X266" i="16" s="1"/>
  <c r="Y266" i="16" s="1"/>
  <c r="Z266" i="16" s="1"/>
  <c r="AA266" i="16" s="1"/>
  <c r="AB266" i="16" s="1"/>
  <c r="AC266" i="16" s="1"/>
  <c r="AD266" i="16" s="1"/>
  <c r="AE266" i="16" s="1"/>
  <c r="AF266" i="16" s="1"/>
  <c r="AG266" i="16" s="1"/>
  <c r="AH266" i="16" s="1"/>
  <c r="AI266" i="16" s="1"/>
  <c r="AJ266" i="16" s="1"/>
  <c r="AK266" i="16" s="1"/>
  <c r="AL266" i="16" s="1"/>
  <c r="AM266" i="16" s="1"/>
  <c r="R139" i="16"/>
  <c r="T234" i="16"/>
  <c r="U234" i="16" s="1"/>
  <c r="V234" i="16" s="1"/>
  <c r="W234" i="16" s="1"/>
  <c r="X234" i="16" s="1"/>
  <c r="Y234" i="16" s="1"/>
  <c r="Z234" i="16" s="1"/>
  <c r="AA234" i="16" s="1"/>
  <c r="AB234" i="16" s="1"/>
  <c r="AC234" i="16" s="1"/>
  <c r="AD234" i="16" s="1"/>
  <c r="AE234" i="16" s="1"/>
  <c r="AF234" i="16" s="1"/>
  <c r="AG234" i="16" s="1"/>
  <c r="AH234" i="16" s="1"/>
  <c r="AI234" i="16" s="1"/>
  <c r="AJ234" i="16" s="1"/>
  <c r="AK234" i="16" s="1"/>
  <c r="AL234" i="16" s="1"/>
  <c r="AM234" i="16" s="1"/>
  <c r="M63" i="16"/>
  <c r="O51" i="16"/>
  <c r="O47" i="16"/>
  <c r="T292" i="16"/>
  <c r="U292" i="16" s="1"/>
  <c r="V292" i="16" s="1"/>
  <c r="W292" i="16" s="1"/>
  <c r="X292" i="16" s="1"/>
  <c r="Y292" i="16" s="1"/>
  <c r="Z292" i="16" s="1"/>
  <c r="AA292" i="16" s="1"/>
  <c r="AB292" i="16" s="1"/>
  <c r="AC292" i="16" s="1"/>
  <c r="AD292" i="16" s="1"/>
  <c r="AE292" i="16" s="1"/>
  <c r="AF292" i="16" s="1"/>
  <c r="AG292" i="16" s="1"/>
  <c r="AH292" i="16" s="1"/>
  <c r="AI292" i="16" s="1"/>
  <c r="AJ292" i="16" s="1"/>
  <c r="AK292" i="16" s="1"/>
  <c r="AL292" i="16" s="1"/>
  <c r="AM292" i="16" s="1"/>
  <c r="T306" i="16"/>
  <c r="U306" i="16" s="1"/>
  <c r="V306" i="16" s="1"/>
  <c r="W306" i="16" s="1"/>
  <c r="X306" i="16" s="1"/>
  <c r="Y306" i="16" s="1"/>
  <c r="Z306" i="16" s="1"/>
  <c r="AA306" i="16" s="1"/>
  <c r="AB306" i="16" s="1"/>
  <c r="AC306" i="16" s="1"/>
  <c r="AD306" i="16" s="1"/>
  <c r="AE306" i="16" s="1"/>
  <c r="AF306" i="16" s="1"/>
  <c r="AG306" i="16" s="1"/>
  <c r="AH306" i="16" s="1"/>
  <c r="AI306" i="16" s="1"/>
  <c r="AJ306" i="16" s="1"/>
  <c r="AK306" i="16" s="1"/>
  <c r="AL306" i="16" s="1"/>
  <c r="AM306" i="16" s="1"/>
  <c r="Q63" i="16"/>
  <c r="T231" i="16"/>
  <c r="U231" i="16" s="1"/>
  <c r="V231" i="16" s="1"/>
  <c r="W231" i="16" s="1"/>
  <c r="X231" i="16" s="1"/>
  <c r="Y231" i="16" s="1"/>
  <c r="Z231" i="16" s="1"/>
  <c r="AA231" i="16" s="1"/>
  <c r="AB231" i="16" s="1"/>
  <c r="AC231" i="16" s="1"/>
  <c r="AD231" i="16" s="1"/>
  <c r="AE231" i="16" s="1"/>
  <c r="AF231" i="16" s="1"/>
  <c r="AG231" i="16" s="1"/>
  <c r="AH231" i="16" s="1"/>
  <c r="AI231" i="16" s="1"/>
  <c r="AJ231" i="16" s="1"/>
  <c r="AK231" i="16" s="1"/>
  <c r="AL231" i="16" s="1"/>
  <c r="AM231" i="16" s="1"/>
  <c r="R115" i="16"/>
  <c r="T228" i="16"/>
  <c r="U228" i="16" s="1"/>
  <c r="V228" i="16" s="1"/>
  <c r="W228" i="16" s="1"/>
  <c r="X228" i="16" s="1"/>
  <c r="Y228" i="16" s="1"/>
  <c r="Z228" i="16" s="1"/>
  <c r="AA228" i="16" s="1"/>
  <c r="AB228" i="16" s="1"/>
  <c r="AC228" i="16" s="1"/>
  <c r="AD228" i="16" s="1"/>
  <c r="AE228" i="16" s="1"/>
  <c r="AF228" i="16" s="1"/>
  <c r="AG228" i="16" s="1"/>
  <c r="AH228" i="16" s="1"/>
  <c r="AI228" i="16" s="1"/>
  <c r="AJ228" i="16" s="1"/>
  <c r="AK228" i="16" s="1"/>
  <c r="AL228" i="16" s="1"/>
  <c r="AM228" i="16" s="1"/>
  <c r="T272" i="16"/>
  <c r="U272" i="16" s="1"/>
  <c r="V272" i="16" s="1"/>
  <c r="W272" i="16" s="1"/>
  <c r="X272" i="16" s="1"/>
  <c r="Y272" i="16" s="1"/>
  <c r="Z272" i="16" s="1"/>
  <c r="AA272" i="16" s="1"/>
  <c r="AB272" i="16" s="1"/>
  <c r="AC272" i="16" s="1"/>
  <c r="AD272" i="16" s="1"/>
  <c r="AE272" i="16" s="1"/>
  <c r="AF272" i="16" s="1"/>
  <c r="AG272" i="16" s="1"/>
  <c r="AH272" i="16" s="1"/>
  <c r="AI272" i="16" s="1"/>
  <c r="AJ272" i="16" s="1"/>
  <c r="AK272" i="16" s="1"/>
  <c r="AL272" i="16" s="1"/>
  <c r="AM272" i="16" s="1"/>
  <c r="Q141" i="16"/>
  <c r="T304" i="16"/>
  <c r="U304" i="16" s="1"/>
  <c r="V304" i="16" s="1"/>
  <c r="W304" i="16" s="1"/>
  <c r="X304" i="16" s="1"/>
  <c r="Y304" i="16" s="1"/>
  <c r="Z304" i="16" s="1"/>
  <c r="AA304" i="16" s="1"/>
  <c r="AB304" i="16" s="1"/>
  <c r="AC304" i="16" s="1"/>
  <c r="AD304" i="16" s="1"/>
  <c r="AE304" i="16" s="1"/>
  <c r="AF304" i="16" s="1"/>
  <c r="AG304" i="16" s="1"/>
  <c r="AH304" i="16" s="1"/>
  <c r="AI304" i="16" s="1"/>
  <c r="AJ304" i="16" s="1"/>
  <c r="AK304" i="16" s="1"/>
  <c r="AL304" i="16" s="1"/>
  <c r="AM304" i="16" s="1"/>
  <c r="L59" i="16"/>
  <c r="N55" i="16"/>
  <c r="J47" i="16"/>
  <c r="R119" i="16"/>
  <c r="O63" i="16"/>
  <c r="T307" i="16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Q138" i="16"/>
  <c r="I47" i="16"/>
  <c r="T255" i="16"/>
  <c r="U255" i="16" s="1"/>
  <c r="V255" i="16" s="1"/>
  <c r="W255" i="16" s="1"/>
  <c r="X255" i="16" s="1"/>
  <c r="Y255" i="16" s="1"/>
  <c r="Z255" i="16" s="1"/>
  <c r="AA255" i="16" s="1"/>
  <c r="AB255" i="16" s="1"/>
  <c r="AC255" i="16" s="1"/>
  <c r="AD255" i="16" s="1"/>
  <c r="AE255" i="16" s="1"/>
  <c r="AF255" i="16" s="1"/>
  <c r="AG255" i="16" s="1"/>
  <c r="AH255" i="16" s="1"/>
  <c r="AI255" i="16" s="1"/>
  <c r="AJ255" i="16" s="1"/>
  <c r="AK255" i="16" s="1"/>
  <c r="AL255" i="16" s="1"/>
  <c r="AM255" i="16" s="1"/>
  <c r="S294" i="16"/>
  <c r="E294" i="16" s="1"/>
  <c r="J294" i="16" s="1"/>
  <c r="K294" i="16" s="1"/>
  <c r="L294" i="16" s="1"/>
  <c r="M294" i="16" s="1"/>
  <c r="N294" i="16" s="1"/>
  <c r="O294" i="16" s="1"/>
  <c r="P294" i="16" s="1"/>
  <c r="Q294" i="16" s="1"/>
  <c r="R294" i="16" s="1"/>
  <c r="K63" i="16"/>
  <c r="J145" i="16"/>
  <c r="T286" i="16"/>
  <c r="U286" i="16" s="1"/>
  <c r="V286" i="16" s="1"/>
  <c r="W286" i="16" s="1"/>
  <c r="X286" i="16" s="1"/>
  <c r="Y286" i="16" s="1"/>
  <c r="Z286" i="16" s="1"/>
  <c r="AA286" i="16" s="1"/>
  <c r="AB286" i="16" s="1"/>
  <c r="AC286" i="16" s="1"/>
  <c r="AD286" i="16" s="1"/>
  <c r="AE286" i="16" s="1"/>
  <c r="AF286" i="16" s="1"/>
  <c r="AG286" i="16" s="1"/>
  <c r="AH286" i="16" s="1"/>
  <c r="AI286" i="16" s="1"/>
  <c r="AJ286" i="16" s="1"/>
  <c r="AK286" i="16" s="1"/>
  <c r="AL286" i="16" s="1"/>
  <c r="AM286" i="16" s="1"/>
  <c r="T270" i="16"/>
  <c r="U270" i="16" s="1"/>
  <c r="V270" i="16" s="1"/>
  <c r="W270" i="16" s="1"/>
  <c r="X270" i="16" s="1"/>
  <c r="Y270" i="16" s="1"/>
  <c r="Z270" i="16" s="1"/>
  <c r="AA270" i="16" s="1"/>
  <c r="AB270" i="16" s="1"/>
  <c r="AC270" i="16" s="1"/>
  <c r="AD270" i="16" s="1"/>
  <c r="AE270" i="16" s="1"/>
  <c r="AF270" i="16" s="1"/>
  <c r="AG270" i="16" s="1"/>
  <c r="AH270" i="16" s="1"/>
  <c r="AI270" i="16" s="1"/>
  <c r="AJ270" i="16" s="1"/>
  <c r="AK270" i="16" s="1"/>
  <c r="AL270" i="16" s="1"/>
  <c r="AM270" i="16" s="1"/>
  <c r="T267" i="16"/>
  <c r="U267" i="16" s="1"/>
  <c r="V267" i="16" s="1"/>
  <c r="W267" i="16" s="1"/>
  <c r="X267" i="16" s="1"/>
  <c r="Y267" i="16" s="1"/>
  <c r="Z267" i="16" s="1"/>
  <c r="AA267" i="16" s="1"/>
  <c r="AB267" i="16" s="1"/>
  <c r="AC267" i="16" s="1"/>
  <c r="AD267" i="16" s="1"/>
  <c r="AE267" i="16" s="1"/>
  <c r="AF267" i="16" s="1"/>
  <c r="AG267" i="16" s="1"/>
  <c r="AH267" i="16" s="1"/>
  <c r="AI267" i="16" s="1"/>
  <c r="AJ267" i="16" s="1"/>
  <c r="AK267" i="16" s="1"/>
  <c r="AL267" i="16" s="1"/>
  <c r="AM267" i="16" s="1"/>
  <c r="T235" i="16"/>
  <c r="U235" i="16" s="1"/>
  <c r="V235" i="16" s="1"/>
  <c r="W235" i="16" s="1"/>
  <c r="X235" i="16" s="1"/>
  <c r="Y235" i="16" s="1"/>
  <c r="Z235" i="16" s="1"/>
  <c r="AA235" i="16" s="1"/>
  <c r="AB235" i="16" s="1"/>
  <c r="AC235" i="16" s="1"/>
  <c r="AD235" i="16" s="1"/>
  <c r="AE235" i="16" s="1"/>
  <c r="AF235" i="16" s="1"/>
  <c r="AG235" i="16" s="1"/>
  <c r="AH235" i="16" s="1"/>
  <c r="AI235" i="16" s="1"/>
  <c r="AJ235" i="16" s="1"/>
  <c r="AK235" i="16" s="1"/>
  <c r="AL235" i="16" s="1"/>
  <c r="AM235" i="16" s="1"/>
  <c r="S250" i="16"/>
  <c r="E250" i="16" s="1"/>
  <c r="J250" i="16" s="1"/>
  <c r="K250" i="16" s="1"/>
  <c r="L250" i="16" s="1"/>
  <c r="M250" i="16" s="1"/>
  <c r="N250" i="16" s="1"/>
  <c r="O250" i="16" s="1"/>
  <c r="P250" i="16" s="1"/>
  <c r="Q250" i="16" s="1"/>
  <c r="R250" i="16" s="1"/>
  <c r="P145" i="16"/>
  <c r="T259" i="16"/>
  <c r="U259" i="16" s="1"/>
  <c r="V259" i="16" s="1"/>
  <c r="W259" i="16" s="1"/>
  <c r="X259" i="16" s="1"/>
  <c r="Y259" i="16" s="1"/>
  <c r="Z259" i="16" s="1"/>
  <c r="AA259" i="16" s="1"/>
  <c r="AB259" i="16" s="1"/>
  <c r="AC259" i="16" s="1"/>
  <c r="AD259" i="16" s="1"/>
  <c r="AE259" i="16" s="1"/>
  <c r="AF259" i="16" s="1"/>
  <c r="AG259" i="16" s="1"/>
  <c r="AH259" i="16" s="1"/>
  <c r="AI259" i="16" s="1"/>
  <c r="AJ259" i="16" s="1"/>
  <c r="AK259" i="16" s="1"/>
  <c r="AL259" i="16" s="1"/>
  <c r="AM259" i="16" s="1"/>
  <c r="I142" i="16"/>
  <c r="T258" i="16"/>
  <c r="U258" i="16" s="1"/>
  <c r="V258" i="16" s="1"/>
  <c r="W258" i="16" s="1"/>
  <c r="X258" i="16" s="1"/>
  <c r="Y258" i="16" s="1"/>
  <c r="Z258" i="16" s="1"/>
  <c r="AA258" i="16" s="1"/>
  <c r="AB258" i="16" s="1"/>
  <c r="AC258" i="16" s="1"/>
  <c r="AD258" i="16" s="1"/>
  <c r="AE258" i="16" s="1"/>
  <c r="AF258" i="16" s="1"/>
  <c r="AG258" i="16" s="1"/>
  <c r="AH258" i="16" s="1"/>
  <c r="AI258" i="16" s="1"/>
  <c r="AJ258" i="16" s="1"/>
  <c r="AK258" i="16" s="1"/>
  <c r="AL258" i="16" s="1"/>
  <c r="AM258" i="16" s="1"/>
  <c r="T302" i="16"/>
  <c r="U302" i="16" s="1"/>
  <c r="V302" i="16" s="1"/>
  <c r="W302" i="16" s="1"/>
  <c r="X302" i="16" s="1"/>
  <c r="Y302" i="16" s="1"/>
  <c r="Z302" i="16" s="1"/>
  <c r="AA302" i="16" s="1"/>
  <c r="AB302" i="16" s="1"/>
  <c r="AC302" i="16" s="1"/>
  <c r="AD302" i="16" s="1"/>
  <c r="AE302" i="16" s="1"/>
  <c r="AF302" i="16" s="1"/>
  <c r="AG302" i="16" s="1"/>
  <c r="AH302" i="16" s="1"/>
  <c r="AI302" i="16" s="1"/>
  <c r="AJ302" i="16" s="1"/>
  <c r="AK302" i="16" s="1"/>
  <c r="AL302" i="16" s="1"/>
  <c r="AM302" i="16" s="1"/>
  <c r="K139" i="16"/>
  <c r="R131" i="16"/>
  <c r="R145" i="16"/>
  <c r="R99" i="16"/>
  <c r="J55" i="16"/>
  <c r="J139" i="16"/>
  <c r="L141" i="16"/>
  <c r="H144" i="16"/>
  <c r="K144" i="16"/>
  <c r="K59" i="16"/>
  <c r="R63" i="16"/>
  <c r="T295" i="16"/>
  <c r="U295" i="16" s="1"/>
  <c r="V295" i="16" s="1"/>
  <c r="W295" i="16" s="1"/>
  <c r="X295" i="16" s="1"/>
  <c r="Y295" i="16" s="1"/>
  <c r="Z295" i="16" s="1"/>
  <c r="AA295" i="16" s="1"/>
  <c r="AB295" i="16" s="1"/>
  <c r="AC295" i="16" s="1"/>
  <c r="AD295" i="16" s="1"/>
  <c r="AE295" i="16" s="1"/>
  <c r="AF295" i="16" s="1"/>
  <c r="AG295" i="16" s="1"/>
  <c r="AH295" i="16" s="1"/>
  <c r="AI295" i="16" s="1"/>
  <c r="AJ295" i="16" s="1"/>
  <c r="AK295" i="16" s="1"/>
  <c r="AL295" i="16" s="1"/>
  <c r="AM295" i="16" s="1"/>
  <c r="T215" i="16"/>
  <c r="U215" i="16" s="1"/>
  <c r="V215" i="16" s="1"/>
  <c r="W215" i="16" s="1"/>
  <c r="X215" i="16" s="1"/>
  <c r="Y215" i="16" s="1"/>
  <c r="Z215" i="16" s="1"/>
  <c r="AA215" i="16" s="1"/>
  <c r="AB215" i="16" s="1"/>
  <c r="AC215" i="16" s="1"/>
  <c r="AD215" i="16" s="1"/>
  <c r="AE215" i="16" s="1"/>
  <c r="AF215" i="16" s="1"/>
  <c r="AG215" i="16" s="1"/>
  <c r="AH215" i="16" s="1"/>
  <c r="AI215" i="16" s="1"/>
  <c r="AJ215" i="16" s="1"/>
  <c r="AK215" i="16" s="1"/>
  <c r="AL215" i="16" s="1"/>
  <c r="AM215" i="16" s="1"/>
  <c r="R95" i="16"/>
  <c r="S222" i="16"/>
  <c r="E222" i="16" s="1"/>
  <c r="J222" i="16" s="1"/>
  <c r="K222" i="16" s="1"/>
  <c r="L222" i="16" s="1"/>
  <c r="M222" i="16" s="1"/>
  <c r="N222" i="16" s="1"/>
  <c r="O222" i="16" s="1"/>
  <c r="P222" i="16" s="1"/>
  <c r="Q222" i="16" s="1"/>
  <c r="R222" i="16" s="1"/>
  <c r="N63" i="16"/>
  <c r="T290" i="16"/>
  <c r="U290" i="16" s="1"/>
  <c r="V290" i="16" s="1"/>
  <c r="W290" i="16" s="1"/>
  <c r="X290" i="16" s="1"/>
  <c r="Y290" i="16" s="1"/>
  <c r="Z290" i="16" s="1"/>
  <c r="AA290" i="16" s="1"/>
  <c r="AB290" i="16" s="1"/>
  <c r="AC290" i="16" s="1"/>
  <c r="AD290" i="16" s="1"/>
  <c r="AE290" i="16" s="1"/>
  <c r="AF290" i="16" s="1"/>
  <c r="AG290" i="16" s="1"/>
  <c r="AH290" i="16" s="1"/>
  <c r="AI290" i="16" s="1"/>
  <c r="AJ290" i="16" s="1"/>
  <c r="AK290" i="16" s="1"/>
  <c r="AL290" i="16" s="1"/>
  <c r="AM290" i="16" s="1"/>
  <c r="Q6" i="16"/>
  <c r="Q8" i="16"/>
  <c r="Q7" i="16"/>
  <c r="Q12" i="16"/>
  <c r="Q14" i="16"/>
  <c r="Q13" i="16"/>
  <c r="AD4" i="6"/>
  <c r="AD3" i="6"/>
  <c r="AD2" i="6"/>
  <c r="V4" i="6"/>
  <c r="V3" i="6"/>
  <c r="Q11" i="16"/>
  <c r="Q9" i="16"/>
  <c r="Q10" i="16"/>
  <c r="T254" i="16"/>
  <c r="U254" i="16" s="1"/>
  <c r="V254" i="16" s="1"/>
  <c r="W254" i="16" s="1"/>
  <c r="X254" i="16" s="1"/>
  <c r="Y254" i="16" s="1"/>
  <c r="Z254" i="16" s="1"/>
  <c r="AA254" i="16" s="1"/>
  <c r="AB254" i="16" s="1"/>
  <c r="AC254" i="16" s="1"/>
  <c r="AD254" i="16" s="1"/>
  <c r="AE254" i="16" s="1"/>
  <c r="AF254" i="16" s="1"/>
  <c r="AG254" i="16" s="1"/>
  <c r="AH254" i="16" s="1"/>
  <c r="AI254" i="16" s="1"/>
  <c r="AJ254" i="16" s="1"/>
  <c r="AK254" i="16" s="1"/>
  <c r="AL254" i="16" s="1"/>
  <c r="AM254" i="16" s="1"/>
  <c r="T214" i="16"/>
  <c r="U214" i="16" s="1"/>
  <c r="V214" i="16" s="1"/>
  <c r="W214" i="16" s="1"/>
  <c r="X214" i="16" s="1"/>
  <c r="Y214" i="16" s="1"/>
  <c r="Z214" i="16" s="1"/>
  <c r="AA214" i="16" s="1"/>
  <c r="AB214" i="16" s="1"/>
  <c r="AC214" i="16" s="1"/>
  <c r="AD214" i="16" s="1"/>
  <c r="AE214" i="16" s="1"/>
  <c r="AF214" i="16" s="1"/>
  <c r="AG214" i="16" s="1"/>
  <c r="AH214" i="16" s="1"/>
  <c r="AI214" i="16" s="1"/>
  <c r="AJ214" i="16" s="1"/>
  <c r="AK214" i="16" s="1"/>
  <c r="AL214" i="16" s="1"/>
  <c r="AM214" i="16" s="1"/>
  <c r="W13" i="6"/>
  <c r="X13" i="6" s="1"/>
  <c r="AB157" i="16"/>
  <c r="AD201" i="16"/>
  <c r="AA323" i="16"/>
  <c r="AA318" i="16"/>
  <c r="AA322" i="16"/>
  <c r="Q323" i="16"/>
  <c r="Q322" i="16"/>
  <c r="Q318" i="16"/>
  <c r="Q319" i="16"/>
  <c r="AA319" i="16"/>
  <c r="R324" i="16"/>
  <c r="R320" i="16"/>
  <c r="Z9" i="16"/>
  <c r="Z12" i="16"/>
  <c r="Z170" i="16"/>
  <c r="Z179" i="16"/>
  <c r="Z169" i="16"/>
  <c r="Z168" i="16"/>
  <c r="Z178" i="16"/>
  <c r="Z180" i="16"/>
  <c r="Y14" i="6"/>
  <c r="V14" i="6" s="1"/>
  <c r="W14" i="6" s="1"/>
  <c r="X14" i="6" s="1"/>
  <c r="Y25" i="6"/>
  <c r="Y26" i="6"/>
  <c r="Y15" i="6"/>
  <c r="V15" i="6" s="1"/>
  <c r="W15" i="6" s="1"/>
  <c r="X15" i="6" s="1"/>
  <c r="H12" i="15"/>
  <c r="L12" i="15"/>
  <c r="P12" i="15"/>
  <c r="T12" i="15"/>
  <c r="X12" i="15"/>
  <c r="I12" i="15"/>
  <c r="M12" i="15"/>
  <c r="Q12" i="15"/>
  <c r="U12" i="15"/>
  <c r="Y12" i="15"/>
  <c r="G12" i="15"/>
  <c r="O12" i="15"/>
  <c r="W12" i="15"/>
  <c r="J12" i="15"/>
  <c r="R12" i="15"/>
  <c r="Z12" i="15"/>
  <c r="K12" i="15"/>
  <c r="S12" i="15"/>
  <c r="AA12" i="15"/>
  <c r="N12" i="15"/>
  <c r="V12" i="15"/>
  <c r="J22" i="6"/>
  <c r="J23" i="6"/>
  <c r="J21" i="6"/>
  <c r="R21" i="6" s="1"/>
  <c r="T294" i="16" l="1"/>
  <c r="U294" i="16" s="1"/>
  <c r="V294" i="16" s="1"/>
  <c r="W294" i="16" s="1"/>
  <c r="X294" i="16" s="1"/>
  <c r="Y294" i="16" s="1"/>
  <c r="Z294" i="16" s="1"/>
  <c r="AA294" i="16" s="1"/>
  <c r="AB294" i="16" s="1"/>
  <c r="AC294" i="16" s="1"/>
  <c r="AD294" i="16" s="1"/>
  <c r="AE294" i="16" s="1"/>
  <c r="AF294" i="16" s="1"/>
  <c r="AG294" i="16" s="1"/>
  <c r="AH294" i="16" s="1"/>
  <c r="AI294" i="16" s="1"/>
  <c r="AJ294" i="16" s="1"/>
  <c r="AK294" i="16" s="1"/>
  <c r="AL294" i="16" s="1"/>
  <c r="AM294" i="16" s="1"/>
  <c r="T222" i="16"/>
  <c r="U222" i="16" s="1"/>
  <c r="V222" i="16" s="1"/>
  <c r="W222" i="16" s="1"/>
  <c r="X222" i="16" s="1"/>
  <c r="Y222" i="16" s="1"/>
  <c r="Z222" i="16" s="1"/>
  <c r="AA222" i="16" s="1"/>
  <c r="AB222" i="16" s="1"/>
  <c r="AC222" i="16" s="1"/>
  <c r="AD222" i="16" s="1"/>
  <c r="AE222" i="16" s="1"/>
  <c r="AF222" i="16" s="1"/>
  <c r="AG222" i="16" s="1"/>
  <c r="AH222" i="16" s="1"/>
  <c r="AI222" i="16" s="1"/>
  <c r="AJ222" i="16" s="1"/>
  <c r="AK222" i="16" s="1"/>
  <c r="AL222" i="16" s="1"/>
  <c r="AM222" i="16" s="1"/>
  <c r="T250" i="16"/>
  <c r="U250" i="16" s="1"/>
  <c r="V250" i="16" s="1"/>
  <c r="W250" i="16" s="1"/>
  <c r="X250" i="16" s="1"/>
  <c r="Y250" i="16" s="1"/>
  <c r="Z250" i="16" s="1"/>
  <c r="AA250" i="16" s="1"/>
  <c r="AB250" i="16" s="1"/>
  <c r="AC250" i="16" s="1"/>
  <c r="AD250" i="16" s="1"/>
  <c r="AE250" i="16" s="1"/>
  <c r="AF250" i="16" s="1"/>
  <c r="AG250" i="16" s="1"/>
  <c r="AH250" i="16" s="1"/>
  <c r="AI250" i="16" s="1"/>
  <c r="AJ250" i="16" s="1"/>
  <c r="AK250" i="16" s="1"/>
  <c r="AL250" i="16" s="1"/>
  <c r="AM250" i="16" s="1"/>
  <c r="AD13" i="6"/>
  <c r="AD24" i="6" s="1"/>
  <c r="AD14" i="6"/>
  <c r="AD25" i="6" s="1"/>
  <c r="AD15" i="6"/>
  <c r="AD26" i="6" s="1"/>
  <c r="W3" i="6"/>
  <c r="W4" i="6"/>
  <c r="AE201" i="16"/>
  <c r="AC157" i="16"/>
  <c r="R322" i="16"/>
  <c r="AB320" i="16"/>
  <c r="AA10" i="16"/>
  <c r="AA11" i="16"/>
  <c r="AB324" i="16"/>
  <c r="AA14" i="16"/>
  <c r="AA13" i="16"/>
  <c r="R319" i="16"/>
  <c r="AB323" i="16"/>
  <c r="R323" i="16"/>
  <c r="AB322" i="16"/>
  <c r="AB319" i="16"/>
  <c r="R318" i="16"/>
  <c r="AB318" i="16"/>
  <c r="AA12" i="16"/>
  <c r="AA9" i="16"/>
  <c r="AB180" i="16"/>
  <c r="AA180" i="16"/>
  <c r="AB169" i="16"/>
  <c r="AA169" i="16"/>
  <c r="AB178" i="16"/>
  <c r="AA178" i="16"/>
  <c r="AB170" i="16"/>
  <c r="AA170" i="16"/>
  <c r="AB168" i="16"/>
  <c r="AA168" i="16"/>
  <c r="AB179" i="16"/>
  <c r="AA179" i="16"/>
  <c r="G14" i="6"/>
  <c r="G22" i="6" s="1"/>
  <c r="H14" i="6"/>
  <c r="G15" i="6"/>
  <c r="G23" i="6" s="1"/>
  <c r="H15" i="6"/>
  <c r="Z26" i="6"/>
  <c r="T26" i="6"/>
  <c r="H26" i="6"/>
  <c r="G26" i="6"/>
  <c r="G29" i="6" s="1"/>
  <c r="Z25" i="6"/>
  <c r="T25" i="6"/>
  <c r="H25" i="6"/>
  <c r="G25" i="6"/>
  <c r="G28" i="6" s="1"/>
  <c r="Z24" i="6"/>
  <c r="T24" i="6"/>
  <c r="H24" i="6"/>
  <c r="G24" i="6"/>
  <c r="Z15" i="6"/>
  <c r="T15" i="6"/>
  <c r="Z14" i="6"/>
  <c r="T14" i="6"/>
  <c r="Z13" i="6"/>
  <c r="T13" i="6"/>
  <c r="H13" i="6"/>
  <c r="Z4" i="6"/>
  <c r="T4" i="6"/>
  <c r="H4" i="6"/>
  <c r="Z3" i="6"/>
  <c r="T3" i="6"/>
  <c r="H3" i="6"/>
  <c r="S60" i="3"/>
  <c r="S51" i="3"/>
  <c r="S50" i="3"/>
  <c r="S13" i="3"/>
  <c r="S5" i="3"/>
  <c r="S4" i="3"/>
  <c r="S3" i="3"/>
  <c r="X4" i="6" l="1"/>
  <c r="X3" i="6"/>
  <c r="AD157" i="16"/>
  <c r="AF201" i="16"/>
  <c r="AC320" i="16"/>
  <c r="AC324" i="16"/>
  <c r="AC318" i="16"/>
  <c r="AC323" i="16"/>
  <c r="AC319" i="16"/>
  <c r="AC322" i="16"/>
  <c r="AD324" i="16"/>
  <c r="AD322" i="16"/>
  <c r="AD318" i="16"/>
  <c r="AD320" i="16"/>
  <c r="AB10" i="16"/>
  <c r="AB12" i="16"/>
  <c r="AB11" i="16"/>
  <c r="AB9" i="16"/>
  <c r="AD319" i="16"/>
  <c r="AB13" i="16"/>
  <c r="AB14" i="16"/>
  <c r="F3" i="6"/>
  <c r="F4" i="6"/>
  <c r="G27" i="6"/>
  <c r="G13" i="6"/>
  <c r="J59" i="3"/>
  <c r="J60" i="3"/>
  <c r="J61" i="3"/>
  <c r="J62" i="3"/>
  <c r="J63" i="3"/>
  <c r="J64" i="3"/>
  <c r="J65" i="3"/>
  <c r="J66" i="3"/>
  <c r="G4" i="6" l="1"/>
  <c r="G3" i="6"/>
  <c r="AG201" i="16"/>
  <c r="AE157" i="16"/>
  <c r="AD323" i="16"/>
  <c r="AE318" i="16"/>
  <c r="AE322" i="16"/>
  <c r="AE320" i="16"/>
  <c r="AE324" i="16"/>
  <c r="AC9" i="16"/>
  <c r="AC13" i="16"/>
  <c r="AC10" i="16"/>
  <c r="AC11" i="16"/>
  <c r="AC14" i="16"/>
  <c r="AC12" i="16"/>
  <c r="G21" i="6"/>
  <c r="F8" i="3"/>
  <c r="H8" i="3"/>
  <c r="F9" i="3"/>
  <c r="H9" i="3"/>
  <c r="G9" i="3" l="1"/>
  <c r="AH201" i="16"/>
  <c r="AF157" i="16"/>
  <c r="AE319" i="16"/>
  <c r="AE323" i="16"/>
  <c r="AF320" i="16"/>
  <c r="AF324" i="16"/>
  <c r="AF322" i="16"/>
  <c r="AF318" i="16"/>
  <c r="AD11" i="16"/>
  <c r="AD10" i="16"/>
  <c r="AD12" i="16"/>
  <c r="AD13" i="16"/>
  <c r="AD14" i="16"/>
  <c r="AD9" i="16"/>
  <c r="J3" i="10"/>
  <c r="J7" i="10"/>
  <c r="J11" i="10"/>
  <c r="J15" i="10"/>
  <c r="J18" i="10"/>
  <c r="J22" i="10"/>
  <c r="J2" i="10"/>
  <c r="J4" i="10"/>
  <c r="J8" i="10"/>
  <c r="J12" i="10"/>
  <c r="J16" i="10"/>
  <c r="J19" i="10"/>
  <c r="J23" i="10"/>
  <c r="J5" i="10"/>
  <c r="J9" i="10"/>
  <c r="J13" i="10"/>
  <c r="J51" i="10"/>
  <c r="J20" i="10"/>
  <c r="J24" i="10"/>
  <c r="J6" i="10"/>
  <c r="J10" i="10"/>
  <c r="J14" i="10"/>
  <c r="J17" i="10"/>
  <c r="J21" i="10"/>
  <c r="J25" i="10"/>
  <c r="J6" i="9"/>
  <c r="J10" i="9"/>
  <c r="J14" i="9"/>
  <c r="J18" i="9"/>
  <c r="J22" i="9"/>
  <c r="J26" i="9"/>
  <c r="J30" i="9"/>
  <c r="J34" i="9"/>
  <c r="J38" i="9"/>
  <c r="J42" i="9"/>
  <c r="J3" i="9"/>
  <c r="J7" i="9"/>
  <c r="J11" i="9"/>
  <c r="J15" i="9"/>
  <c r="J19" i="9"/>
  <c r="J23" i="9"/>
  <c r="J27" i="9"/>
  <c r="J31" i="9"/>
  <c r="J35" i="9"/>
  <c r="J39" i="9"/>
  <c r="J43" i="9"/>
  <c r="J4" i="9"/>
  <c r="J8" i="9"/>
  <c r="J12" i="9"/>
  <c r="J16" i="9"/>
  <c r="J20" i="9"/>
  <c r="J24" i="9"/>
  <c r="J28" i="9"/>
  <c r="J32" i="9"/>
  <c r="J36" i="9"/>
  <c r="J40" i="9"/>
  <c r="J44" i="9"/>
  <c r="J5" i="9"/>
  <c r="J9" i="9"/>
  <c r="J13" i="9"/>
  <c r="J17" i="9"/>
  <c r="J21" i="9"/>
  <c r="J25" i="9"/>
  <c r="J29" i="9"/>
  <c r="J33" i="9"/>
  <c r="J37" i="9"/>
  <c r="J41" i="9"/>
  <c r="J2" i="9"/>
  <c r="J6" i="4"/>
  <c r="J10" i="4"/>
  <c r="J14" i="4"/>
  <c r="J18" i="4"/>
  <c r="J7" i="4"/>
  <c r="J11" i="4"/>
  <c r="J15" i="4"/>
  <c r="J19" i="4"/>
  <c r="J4" i="4"/>
  <c r="J8" i="4"/>
  <c r="J12" i="4"/>
  <c r="J16" i="4"/>
  <c r="J20" i="4"/>
  <c r="J5" i="4"/>
  <c r="J9" i="4"/>
  <c r="J13" i="4"/>
  <c r="J17" i="4"/>
  <c r="J3" i="4"/>
  <c r="G8" i="3"/>
  <c r="Z3" i="12"/>
  <c r="AA3" i="12"/>
  <c r="AB3" i="12"/>
  <c r="AC3" i="12"/>
  <c r="AD3" i="12"/>
  <c r="AE3" i="12"/>
  <c r="AF3" i="12"/>
  <c r="AF10" i="12" s="1"/>
  <c r="AF17" i="12" s="1"/>
  <c r="AG3" i="12"/>
  <c r="AG10" i="12" s="1"/>
  <c r="AG17" i="12" s="1"/>
  <c r="AH3" i="12"/>
  <c r="AH10" i="12" s="1"/>
  <c r="AH17" i="12" s="1"/>
  <c r="AI3" i="12"/>
  <c r="AI10" i="12" s="1"/>
  <c r="AI17" i="12" s="1"/>
  <c r="AJ3" i="12"/>
  <c r="AJ10" i="12" s="1"/>
  <c r="AJ17" i="12" s="1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Z4" i="12"/>
  <c r="AA4" i="12"/>
  <c r="AB4" i="12"/>
  <c r="AC4" i="12"/>
  <c r="AD4" i="12"/>
  <c r="AE4" i="12"/>
  <c r="AF4" i="12"/>
  <c r="AF11" i="12" s="1"/>
  <c r="AF18" i="12" s="1"/>
  <c r="AG4" i="12"/>
  <c r="AG11" i="12" s="1"/>
  <c r="AG18" i="12" s="1"/>
  <c r="AH4" i="12"/>
  <c r="AH11" i="12" s="1"/>
  <c r="AH18" i="12" s="1"/>
  <c r="AI4" i="12"/>
  <c r="AI11" i="12" s="1"/>
  <c r="AI18" i="12" s="1"/>
  <c r="AJ4" i="12"/>
  <c r="AJ11" i="12" s="1"/>
  <c r="AJ18" i="12" s="1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BC4" i="12"/>
  <c r="BD4" i="12"/>
  <c r="BE4" i="12"/>
  <c r="Z5" i="12"/>
  <c r="AA5" i="12"/>
  <c r="AB5" i="12"/>
  <c r="AC5" i="12"/>
  <c r="AD5" i="12"/>
  <c r="AE5" i="12"/>
  <c r="AF5" i="12"/>
  <c r="AF12" i="12" s="1"/>
  <c r="AF19" i="12" s="1"/>
  <c r="AG5" i="12"/>
  <c r="AG12" i="12" s="1"/>
  <c r="AG19" i="12" s="1"/>
  <c r="AH5" i="12"/>
  <c r="AH12" i="12" s="1"/>
  <c r="AH19" i="12" s="1"/>
  <c r="AI5" i="12"/>
  <c r="AI12" i="12" s="1"/>
  <c r="AI19" i="12" s="1"/>
  <c r="AJ5" i="12"/>
  <c r="AJ12" i="12" s="1"/>
  <c r="AJ19" i="12" s="1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Z6" i="12"/>
  <c r="AA6" i="12"/>
  <c r="AB6" i="12"/>
  <c r="AC6" i="12"/>
  <c r="AD6" i="12"/>
  <c r="AE6" i="12"/>
  <c r="AF6" i="12"/>
  <c r="AF13" i="12" s="1"/>
  <c r="AF20" i="12" s="1"/>
  <c r="AG6" i="12"/>
  <c r="AG13" i="12" s="1"/>
  <c r="AG20" i="12" s="1"/>
  <c r="AH6" i="12"/>
  <c r="AH13" i="12" s="1"/>
  <c r="AH20" i="12" s="1"/>
  <c r="AI6" i="12"/>
  <c r="AI13" i="12" s="1"/>
  <c r="AI20" i="12" s="1"/>
  <c r="AJ6" i="12"/>
  <c r="AJ13" i="12" s="1"/>
  <c r="AJ20" i="12" s="1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Z7" i="12"/>
  <c r="AA7" i="12"/>
  <c r="AB7" i="12"/>
  <c r="AC7" i="12"/>
  <c r="AD7" i="12"/>
  <c r="AE7" i="12"/>
  <c r="AF7" i="12"/>
  <c r="AF14" i="12" s="1"/>
  <c r="AF21" i="12" s="1"/>
  <c r="AG7" i="12"/>
  <c r="AG14" i="12" s="1"/>
  <c r="AG21" i="12" s="1"/>
  <c r="AH7" i="12"/>
  <c r="AH14" i="12" s="1"/>
  <c r="AH21" i="12" s="1"/>
  <c r="AI7" i="12"/>
  <c r="AI14" i="12" s="1"/>
  <c r="AI21" i="12" s="1"/>
  <c r="AJ7" i="12"/>
  <c r="AJ14" i="12" s="1"/>
  <c r="AJ21" i="12" s="1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Z8" i="12"/>
  <c r="AA8" i="12"/>
  <c r="AB8" i="12"/>
  <c r="AC8" i="12"/>
  <c r="AD8" i="12"/>
  <c r="AE8" i="12"/>
  <c r="AF8" i="12"/>
  <c r="AF15" i="12" s="1"/>
  <c r="AF22" i="12" s="1"/>
  <c r="AG8" i="12"/>
  <c r="AG15" i="12" s="1"/>
  <c r="AG22" i="12" s="1"/>
  <c r="AH8" i="12"/>
  <c r="AH15" i="12" s="1"/>
  <c r="AH22" i="12" s="1"/>
  <c r="AI8" i="12"/>
  <c r="AI15" i="12" s="1"/>
  <c r="AI22" i="12" s="1"/>
  <c r="AJ8" i="12"/>
  <c r="AJ15" i="12" s="1"/>
  <c r="AJ22" i="12" s="1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AA2" i="12"/>
  <c r="AB2" i="12"/>
  <c r="AC2" i="12"/>
  <c r="AD2" i="12"/>
  <c r="AE2" i="12"/>
  <c r="AF2" i="12"/>
  <c r="AF9" i="12" s="1"/>
  <c r="AF16" i="12" s="1"/>
  <c r="AG2" i="12"/>
  <c r="AG9" i="12" s="1"/>
  <c r="AG16" i="12" s="1"/>
  <c r="AH2" i="12"/>
  <c r="AH9" i="12" s="1"/>
  <c r="AH16" i="12" s="1"/>
  <c r="AI2" i="12"/>
  <c r="AI9" i="12" s="1"/>
  <c r="AI16" i="12" s="1"/>
  <c r="AJ2" i="12"/>
  <c r="AJ9" i="12" s="1"/>
  <c r="AJ16" i="12" s="1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BA2" i="12"/>
  <c r="BB2" i="12"/>
  <c r="BC2" i="12"/>
  <c r="BD2" i="12"/>
  <c r="BE2" i="12"/>
  <c r="Z2" i="12"/>
  <c r="T3" i="12"/>
  <c r="V3" i="12"/>
  <c r="W3" i="12"/>
  <c r="X3" i="12"/>
  <c r="Y3" i="12"/>
  <c r="T4" i="12"/>
  <c r="V4" i="12"/>
  <c r="W4" i="12"/>
  <c r="X4" i="12"/>
  <c r="Y4" i="12"/>
  <c r="T5" i="12"/>
  <c r="V5" i="12"/>
  <c r="W5" i="12"/>
  <c r="X5" i="12"/>
  <c r="Y5" i="12"/>
  <c r="T6" i="12"/>
  <c r="V6" i="12"/>
  <c r="W6" i="12"/>
  <c r="X6" i="12"/>
  <c r="Y6" i="12"/>
  <c r="T7" i="12"/>
  <c r="U7" i="12"/>
  <c r="V7" i="12"/>
  <c r="W7" i="12"/>
  <c r="X7" i="12"/>
  <c r="Y7" i="12"/>
  <c r="T8" i="12"/>
  <c r="U8" i="12"/>
  <c r="V8" i="12"/>
  <c r="W8" i="12"/>
  <c r="X8" i="12"/>
  <c r="Y8" i="12"/>
  <c r="U2" i="12"/>
  <c r="V2" i="12"/>
  <c r="W2" i="12"/>
  <c r="X2" i="12"/>
  <c r="Y2" i="12"/>
  <c r="T2" i="12"/>
  <c r="P3" i="12"/>
  <c r="P4" i="12"/>
  <c r="P5" i="12"/>
  <c r="P6" i="12"/>
  <c r="P7" i="12"/>
  <c r="P8" i="12"/>
  <c r="P2" i="12"/>
  <c r="K3" i="12"/>
  <c r="L3" i="12"/>
  <c r="M3" i="12"/>
  <c r="K4" i="12"/>
  <c r="L4" i="12"/>
  <c r="M4" i="12"/>
  <c r="K5" i="12"/>
  <c r="L5" i="12"/>
  <c r="M5" i="12"/>
  <c r="K6" i="12"/>
  <c r="L6" i="12"/>
  <c r="M6" i="12"/>
  <c r="K7" i="12"/>
  <c r="L7" i="12"/>
  <c r="M7" i="12"/>
  <c r="K8" i="12"/>
  <c r="L8" i="12"/>
  <c r="M8" i="12"/>
  <c r="M2" i="12"/>
  <c r="L2" i="12"/>
  <c r="K2" i="12"/>
  <c r="E3" i="12"/>
  <c r="E4" i="12"/>
  <c r="E5" i="12"/>
  <c r="E6" i="12"/>
  <c r="E7" i="12"/>
  <c r="E8" i="12"/>
  <c r="E2" i="12"/>
  <c r="D3" i="12"/>
  <c r="D4" i="12"/>
  <c r="D5" i="12"/>
  <c r="D6" i="12"/>
  <c r="D7" i="12"/>
  <c r="D8" i="12"/>
  <c r="D2" i="12"/>
  <c r="AA50" i="3"/>
  <c r="AB50" i="3" s="1"/>
  <c r="AC50" i="3" s="1"/>
  <c r="AD50" i="3" s="1"/>
  <c r="AE50" i="3" s="1"/>
  <c r="AA51" i="3"/>
  <c r="AB51" i="3" s="1"/>
  <c r="AC51" i="3" s="1"/>
  <c r="AD51" i="3" s="1"/>
  <c r="AE51" i="3" s="1"/>
  <c r="AA52" i="3"/>
  <c r="AB52" i="3" s="1"/>
  <c r="AC52" i="3" s="1"/>
  <c r="AD52" i="3" s="1"/>
  <c r="AE52" i="3" s="1"/>
  <c r="AA53" i="3"/>
  <c r="AB53" i="3" s="1"/>
  <c r="AC53" i="3" s="1"/>
  <c r="AD53" i="3" s="1"/>
  <c r="AE53" i="3" s="1"/>
  <c r="AA54" i="3"/>
  <c r="AB54" i="3" s="1"/>
  <c r="AC54" i="3" s="1"/>
  <c r="AD54" i="3" s="1"/>
  <c r="AE54" i="3" s="1"/>
  <c r="AA55" i="3"/>
  <c r="AB55" i="3" s="1"/>
  <c r="AC55" i="3" s="1"/>
  <c r="AD55" i="3" s="1"/>
  <c r="AE55" i="3" s="1"/>
  <c r="AA56" i="3"/>
  <c r="AB56" i="3" s="1"/>
  <c r="AC56" i="3" s="1"/>
  <c r="AD56" i="3" s="1"/>
  <c r="AA57" i="3"/>
  <c r="AB57" i="3" s="1"/>
  <c r="AC57" i="3" s="1"/>
  <c r="AD57" i="3" s="1"/>
  <c r="AA58" i="3"/>
  <c r="AB58" i="3" s="1"/>
  <c r="AC58" i="3" s="1"/>
  <c r="AD58" i="3" s="1"/>
  <c r="AA49" i="3"/>
  <c r="AB49" i="3" s="1"/>
  <c r="AC49" i="3" s="1"/>
  <c r="AD49" i="3" s="1"/>
  <c r="AE49" i="3" s="1"/>
  <c r="U50" i="3"/>
  <c r="V50" i="3" s="1"/>
  <c r="W50" i="3" s="1"/>
  <c r="X50" i="3" s="1"/>
  <c r="Y50" i="3" s="1"/>
  <c r="U51" i="3"/>
  <c r="V51" i="3" s="1"/>
  <c r="W51" i="3" s="1"/>
  <c r="X51" i="3" s="1"/>
  <c r="Y51" i="3" s="1"/>
  <c r="U52" i="3"/>
  <c r="V52" i="3" s="1"/>
  <c r="W52" i="3" s="1"/>
  <c r="X52" i="3" s="1"/>
  <c r="Y52" i="3" s="1"/>
  <c r="U53" i="3"/>
  <c r="V53" i="3" s="1"/>
  <c r="W53" i="3" s="1"/>
  <c r="X53" i="3" s="1"/>
  <c r="Y53" i="3" s="1"/>
  <c r="U54" i="3"/>
  <c r="V54" i="3" s="1"/>
  <c r="W54" i="3" s="1"/>
  <c r="X54" i="3" s="1"/>
  <c r="Y54" i="3" s="1"/>
  <c r="U55" i="3"/>
  <c r="V55" i="3" s="1"/>
  <c r="W55" i="3" s="1"/>
  <c r="X55" i="3" s="1"/>
  <c r="Y55" i="3" s="1"/>
  <c r="U56" i="3"/>
  <c r="V56" i="3" s="1"/>
  <c r="W56" i="3" s="1"/>
  <c r="X56" i="3" s="1"/>
  <c r="Y56" i="3" s="1"/>
  <c r="U57" i="3"/>
  <c r="V57" i="3" s="1"/>
  <c r="W57" i="3" s="1"/>
  <c r="X57" i="3" s="1"/>
  <c r="Y57" i="3" s="1"/>
  <c r="U58" i="3"/>
  <c r="V58" i="3" s="1"/>
  <c r="W58" i="3" s="1"/>
  <c r="X58" i="3" s="1"/>
  <c r="Y58" i="3" s="1"/>
  <c r="U49" i="3"/>
  <c r="V49" i="3" s="1"/>
  <c r="W49" i="3" s="1"/>
  <c r="X49" i="3" s="1"/>
  <c r="Y49" i="3" s="1"/>
  <c r="AA41" i="3"/>
  <c r="AB41" i="3" s="1"/>
  <c r="AC41" i="3" s="1"/>
  <c r="AD41" i="3" s="1"/>
  <c r="AE41" i="3" s="1"/>
  <c r="AA42" i="3"/>
  <c r="AB42" i="3" s="1"/>
  <c r="AC42" i="3" s="1"/>
  <c r="AD42" i="3" s="1"/>
  <c r="AE42" i="3" s="1"/>
  <c r="AA43" i="3"/>
  <c r="AB43" i="3" s="1"/>
  <c r="AC43" i="3" s="1"/>
  <c r="AD43" i="3" s="1"/>
  <c r="AE43" i="3" s="1"/>
  <c r="AA44" i="3"/>
  <c r="AB44" i="3" s="1"/>
  <c r="AC44" i="3" s="1"/>
  <c r="AD44" i="3" s="1"/>
  <c r="AE44" i="3" s="1"/>
  <c r="AA45" i="3"/>
  <c r="AB45" i="3" s="1"/>
  <c r="AC45" i="3" s="1"/>
  <c r="AD45" i="3" s="1"/>
  <c r="AE45" i="3" s="1"/>
  <c r="AA46" i="3"/>
  <c r="AB46" i="3" s="1"/>
  <c r="AC46" i="3" s="1"/>
  <c r="AD46" i="3" s="1"/>
  <c r="AE46" i="3" s="1"/>
  <c r="AA47" i="3"/>
  <c r="AB47" i="3" s="1"/>
  <c r="AC47" i="3" s="1"/>
  <c r="AD47" i="3" s="1"/>
  <c r="AE47" i="3" s="1"/>
  <c r="AA48" i="3"/>
  <c r="AB48" i="3" s="1"/>
  <c r="AC48" i="3" s="1"/>
  <c r="AD48" i="3" s="1"/>
  <c r="AE48" i="3" s="1"/>
  <c r="AA40" i="3"/>
  <c r="AB40" i="3" s="1"/>
  <c r="AC40" i="3" s="1"/>
  <c r="AD40" i="3" s="1"/>
  <c r="AE40" i="3" s="1"/>
  <c r="U48" i="3"/>
  <c r="V48" i="3" s="1"/>
  <c r="W48" i="3" s="1"/>
  <c r="X48" i="3" s="1"/>
  <c r="Y48" i="3" s="1"/>
  <c r="U41" i="3"/>
  <c r="V41" i="3" s="1"/>
  <c r="W41" i="3" s="1"/>
  <c r="X41" i="3" s="1"/>
  <c r="Y41" i="3" s="1"/>
  <c r="U42" i="3"/>
  <c r="V42" i="3" s="1"/>
  <c r="W42" i="3" s="1"/>
  <c r="X42" i="3" s="1"/>
  <c r="Y42" i="3" s="1"/>
  <c r="U43" i="3"/>
  <c r="V43" i="3" s="1"/>
  <c r="W43" i="3" s="1"/>
  <c r="X43" i="3" s="1"/>
  <c r="Y43" i="3" s="1"/>
  <c r="U44" i="3"/>
  <c r="V44" i="3" s="1"/>
  <c r="W44" i="3" s="1"/>
  <c r="X44" i="3" s="1"/>
  <c r="Y44" i="3" s="1"/>
  <c r="U45" i="3"/>
  <c r="V45" i="3" s="1"/>
  <c r="W45" i="3" s="1"/>
  <c r="X45" i="3" s="1"/>
  <c r="Y45" i="3" s="1"/>
  <c r="U46" i="3"/>
  <c r="V46" i="3" s="1"/>
  <c r="W46" i="3" s="1"/>
  <c r="X46" i="3" s="1"/>
  <c r="Y46" i="3" s="1"/>
  <c r="U47" i="3"/>
  <c r="V47" i="3" s="1"/>
  <c r="W47" i="3" s="1"/>
  <c r="X47" i="3" s="1"/>
  <c r="Y47" i="3" s="1"/>
  <c r="U40" i="3"/>
  <c r="V40" i="3" s="1"/>
  <c r="W40" i="3" s="1"/>
  <c r="X40" i="3" s="1"/>
  <c r="Y40" i="3" s="1"/>
  <c r="N48" i="3"/>
  <c r="N41" i="3"/>
  <c r="N42" i="3"/>
  <c r="N43" i="3"/>
  <c r="N44" i="3"/>
  <c r="N45" i="3"/>
  <c r="N46" i="3"/>
  <c r="N47" i="3"/>
  <c r="N40" i="3"/>
  <c r="H56" i="3"/>
  <c r="H57" i="3"/>
  <c r="H58" i="3"/>
  <c r="F58" i="3"/>
  <c r="G58" i="3" s="1"/>
  <c r="F57" i="3"/>
  <c r="G57" i="3" s="1"/>
  <c r="F56" i="3"/>
  <c r="G56" i="3" s="1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40" i="3"/>
  <c r="G40" i="3" s="1"/>
  <c r="H40" i="3"/>
  <c r="AA28" i="3"/>
  <c r="AB28" i="3" s="1"/>
  <c r="AC28" i="3" s="1"/>
  <c r="AD28" i="3" s="1"/>
  <c r="AE28" i="3" s="1"/>
  <c r="AA29" i="3"/>
  <c r="AB29" i="3" s="1"/>
  <c r="AC29" i="3" s="1"/>
  <c r="AD29" i="3" s="1"/>
  <c r="AE29" i="3" s="1"/>
  <c r="AA30" i="3"/>
  <c r="AB30" i="3" s="1"/>
  <c r="AC30" i="3" s="1"/>
  <c r="AD30" i="3" s="1"/>
  <c r="AE30" i="3" s="1"/>
  <c r="AA31" i="3"/>
  <c r="AB31" i="3" s="1"/>
  <c r="AC31" i="3" s="1"/>
  <c r="AD31" i="3" s="1"/>
  <c r="AE31" i="3" s="1"/>
  <c r="AA32" i="3"/>
  <c r="AB32" i="3" s="1"/>
  <c r="AC32" i="3" s="1"/>
  <c r="AD32" i="3" s="1"/>
  <c r="AE32" i="3" s="1"/>
  <c r="AA33" i="3"/>
  <c r="AB33" i="3" s="1"/>
  <c r="AC33" i="3" s="1"/>
  <c r="AD33" i="3" s="1"/>
  <c r="AE33" i="3" s="1"/>
  <c r="AA34" i="3"/>
  <c r="AB34" i="3" s="1"/>
  <c r="AC34" i="3" s="1"/>
  <c r="AD34" i="3" s="1"/>
  <c r="AE34" i="3" s="1"/>
  <c r="AA35" i="3"/>
  <c r="AB35" i="3" s="1"/>
  <c r="AC35" i="3" s="1"/>
  <c r="AD35" i="3" s="1"/>
  <c r="AE35" i="3" s="1"/>
  <c r="AA36" i="3"/>
  <c r="AB36" i="3" s="1"/>
  <c r="AC36" i="3" s="1"/>
  <c r="AD36" i="3" s="1"/>
  <c r="AE36" i="3" s="1"/>
  <c r="AA37" i="3"/>
  <c r="AB37" i="3" s="1"/>
  <c r="AC37" i="3" s="1"/>
  <c r="AD37" i="3" s="1"/>
  <c r="AE37" i="3" s="1"/>
  <c r="AA38" i="3"/>
  <c r="AB38" i="3" s="1"/>
  <c r="AC38" i="3" s="1"/>
  <c r="AD38" i="3" s="1"/>
  <c r="AE38" i="3" s="1"/>
  <c r="AA39" i="3"/>
  <c r="AB39" i="3" s="1"/>
  <c r="AC39" i="3" s="1"/>
  <c r="AD39" i="3" s="1"/>
  <c r="AE39" i="3" s="1"/>
  <c r="AA27" i="3"/>
  <c r="AB27" i="3" s="1"/>
  <c r="AC27" i="3" s="1"/>
  <c r="AD27" i="3" s="1"/>
  <c r="AE27" i="3" s="1"/>
  <c r="U28" i="3"/>
  <c r="V28" i="3" s="1"/>
  <c r="W28" i="3" s="1"/>
  <c r="X28" i="3" s="1"/>
  <c r="Y28" i="3" s="1"/>
  <c r="U29" i="3"/>
  <c r="V29" i="3" s="1"/>
  <c r="W29" i="3" s="1"/>
  <c r="X29" i="3" s="1"/>
  <c r="Y29" i="3" s="1"/>
  <c r="U30" i="3"/>
  <c r="V30" i="3" s="1"/>
  <c r="W30" i="3" s="1"/>
  <c r="X30" i="3" s="1"/>
  <c r="Y30" i="3" s="1"/>
  <c r="U31" i="3"/>
  <c r="V31" i="3" s="1"/>
  <c r="W31" i="3" s="1"/>
  <c r="X31" i="3" s="1"/>
  <c r="Y31" i="3" s="1"/>
  <c r="U32" i="3"/>
  <c r="V32" i="3" s="1"/>
  <c r="W32" i="3" s="1"/>
  <c r="X32" i="3" s="1"/>
  <c r="Y32" i="3" s="1"/>
  <c r="U33" i="3"/>
  <c r="V33" i="3" s="1"/>
  <c r="W33" i="3" s="1"/>
  <c r="X33" i="3" s="1"/>
  <c r="Y33" i="3" s="1"/>
  <c r="U34" i="3"/>
  <c r="V34" i="3" s="1"/>
  <c r="W34" i="3" s="1"/>
  <c r="X34" i="3" s="1"/>
  <c r="Y34" i="3" s="1"/>
  <c r="U35" i="3"/>
  <c r="V35" i="3" s="1"/>
  <c r="W35" i="3" s="1"/>
  <c r="X35" i="3" s="1"/>
  <c r="Y35" i="3" s="1"/>
  <c r="U36" i="3"/>
  <c r="V36" i="3" s="1"/>
  <c r="W36" i="3" s="1"/>
  <c r="X36" i="3" s="1"/>
  <c r="Y36" i="3" s="1"/>
  <c r="U37" i="3"/>
  <c r="V37" i="3" s="1"/>
  <c r="W37" i="3" s="1"/>
  <c r="X37" i="3" s="1"/>
  <c r="Y37" i="3" s="1"/>
  <c r="U38" i="3"/>
  <c r="V38" i="3" s="1"/>
  <c r="W38" i="3" s="1"/>
  <c r="X38" i="3" s="1"/>
  <c r="Y38" i="3" s="1"/>
  <c r="U39" i="3"/>
  <c r="V39" i="3" s="1"/>
  <c r="W39" i="3" s="1"/>
  <c r="X39" i="3" s="1"/>
  <c r="Y39" i="3" s="1"/>
  <c r="U27" i="3"/>
  <c r="V27" i="3" s="1"/>
  <c r="W27" i="3" s="1"/>
  <c r="X27" i="3" s="1"/>
  <c r="Y27" i="3" s="1"/>
  <c r="N39" i="3"/>
  <c r="N28" i="3"/>
  <c r="N29" i="3"/>
  <c r="N30" i="3"/>
  <c r="N31" i="3"/>
  <c r="N32" i="3"/>
  <c r="N33" i="3"/>
  <c r="N34" i="3"/>
  <c r="N35" i="3"/>
  <c r="N36" i="3"/>
  <c r="N37" i="3"/>
  <c r="N38" i="3"/>
  <c r="N27" i="3"/>
  <c r="H14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10" i="3"/>
  <c r="H3" i="3"/>
  <c r="H4" i="3"/>
  <c r="H5" i="3"/>
  <c r="H6" i="3"/>
  <c r="H7" i="3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27" i="3"/>
  <c r="G27" i="3" s="1"/>
  <c r="P11" i="12" l="1"/>
  <c r="P18" i="12" s="1"/>
  <c r="AX9" i="12"/>
  <c r="AX16" i="12" s="1"/>
  <c r="AP9" i="12"/>
  <c r="AP16" i="12" s="1"/>
  <c r="BE15" i="12"/>
  <c r="BE22" i="12" s="1"/>
  <c r="AW15" i="12"/>
  <c r="AW22" i="12" s="1"/>
  <c r="AO15" i="12"/>
  <c r="AO22" i="12" s="1"/>
  <c r="BE14" i="12"/>
  <c r="BE21" i="12" s="1"/>
  <c r="AW14" i="12"/>
  <c r="AW21" i="12" s="1"/>
  <c r="AO14" i="12"/>
  <c r="AO21" i="12" s="1"/>
  <c r="BE13" i="12"/>
  <c r="BE20" i="12" s="1"/>
  <c r="AW13" i="12"/>
  <c r="AW20" i="12" s="1"/>
  <c r="AO13" i="12"/>
  <c r="AO20" i="12" s="1"/>
  <c r="BE12" i="12"/>
  <c r="BE19" i="12" s="1"/>
  <c r="AW12" i="12"/>
  <c r="AW19" i="12" s="1"/>
  <c r="AO12" i="12"/>
  <c r="AO19" i="12" s="1"/>
  <c r="BE11" i="12"/>
  <c r="BE18" i="12" s="1"/>
  <c r="AW11" i="12"/>
  <c r="AW18" i="12" s="1"/>
  <c r="AO11" i="12"/>
  <c r="AO18" i="12" s="1"/>
  <c r="BE10" i="12"/>
  <c r="BE17" i="12" s="1"/>
  <c r="AW10" i="12"/>
  <c r="AW17" i="12" s="1"/>
  <c r="AO10" i="12"/>
  <c r="AO17" i="12" s="1"/>
  <c r="BE9" i="12"/>
  <c r="BE16" i="12" s="1"/>
  <c r="AO9" i="12"/>
  <c r="AO16" i="12" s="1"/>
  <c r="BD15" i="12"/>
  <c r="BD22" i="12" s="1"/>
  <c r="AV15" i="12"/>
  <c r="AV22" i="12" s="1"/>
  <c r="AN15" i="12"/>
  <c r="AN22" i="12" s="1"/>
  <c r="AV14" i="12"/>
  <c r="AV21" i="12" s="1"/>
  <c r="AN14" i="12"/>
  <c r="AN21" i="12" s="1"/>
  <c r="BD13" i="12"/>
  <c r="BD20" i="12" s="1"/>
  <c r="AV13" i="12"/>
  <c r="AV20" i="12" s="1"/>
  <c r="AN13" i="12"/>
  <c r="AN20" i="12" s="1"/>
  <c r="BD12" i="12"/>
  <c r="BD19" i="12" s="1"/>
  <c r="AV12" i="12"/>
  <c r="AV19" i="12" s="1"/>
  <c r="AN12" i="12"/>
  <c r="AN19" i="12" s="1"/>
  <c r="BD11" i="12"/>
  <c r="BD18" i="12" s="1"/>
  <c r="AV11" i="12"/>
  <c r="AV18" i="12" s="1"/>
  <c r="AN11" i="12"/>
  <c r="AN18" i="12" s="1"/>
  <c r="BD10" i="12"/>
  <c r="BD17" i="12" s="1"/>
  <c r="AV10" i="12"/>
  <c r="AV17" i="12" s="1"/>
  <c r="AN10" i="12"/>
  <c r="AN17" i="12" s="1"/>
  <c r="AE15" i="12"/>
  <c r="AE22" i="12" s="1"/>
  <c r="P10" i="12"/>
  <c r="P17" i="12" s="1"/>
  <c r="AW9" i="12"/>
  <c r="AW16" i="12" s="1"/>
  <c r="BD14" i="12"/>
  <c r="BD21" i="12" s="1"/>
  <c r="BD9" i="12"/>
  <c r="BD16" i="12" s="1"/>
  <c r="AV9" i="12"/>
  <c r="AV16" i="12" s="1"/>
  <c r="AN9" i="12"/>
  <c r="AN16" i="12" s="1"/>
  <c r="BC15" i="12"/>
  <c r="BC22" i="12" s="1"/>
  <c r="AU15" i="12"/>
  <c r="AU22" i="12" s="1"/>
  <c r="AM15" i="12"/>
  <c r="AM22" i="12" s="1"/>
  <c r="BC14" i="12"/>
  <c r="BC21" i="12" s="1"/>
  <c r="AU14" i="12"/>
  <c r="AU21" i="12" s="1"/>
  <c r="AM14" i="12"/>
  <c r="AM21" i="12" s="1"/>
  <c r="AE14" i="12"/>
  <c r="AE21" i="12" s="1"/>
  <c r="BC13" i="12"/>
  <c r="BC20" i="12" s="1"/>
  <c r="AU13" i="12"/>
  <c r="AU20" i="12" s="1"/>
  <c r="AM13" i="12"/>
  <c r="AM20" i="12" s="1"/>
  <c r="AE13" i="12"/>
  <c r="AE20" i="12" s="1"/>
  <c r="BC12" i="12"/>
  <c r="BC19" i="12" s="1"/>
  <c r="AU12" i="12"/>
  <c r="AU19" i="12" s="1"/>
  <c r="AM12" i="12"/>
  <c r="AM19" i="12" s="1"/>
  <c r="BC11" i="12"/>
  <c r="BC18" i="12" s="1"/>
  <c r="AU11" i="12"/>
  <c r="AU18" i="12" s="1"/>
  <c r="AM11" i="12"/>
  <c r="AM18" i="12" s="1"/>
  <c r="BC10" i="12"/>
  <c r="BC17" i="12" s="1"/>
  <c r="AU10" i="12"/>
  <c r="AU17" i="12" s="1"/>
  <c r="AM10" i="12"/>
  <c r="AM17" i="12" s="1"/>
  <c r="P9" i="12"/>
  <c r="P16" i="12" s="1"/>
  <c r="BC9" i="12"/>
  <c r="BC16" i="12" s="1"/>
  <c r="AU9" i="12"/>
  <c r="AU16" i="12" s="1"/>
  <c r="AM9" i="12"/>
  <c r="AM16" i="12" s="1"/>
  <c r="BB15" i="12"/>
  <c r="BB22" i="12" s="1"/>
  <c r="AT15" i="12"/>
  <c r="AT22" i="12" s="1"/>
  <c r="AL15" i="12"/>
  <c r="AL22" i="12" s="1"/>
  <c r="AD15" i="12"/>
  <c r="AD22" i="12" s="1"/>
  <c r="BB14" i="12"/>
  <c r="BB21" i="12" s="1"/>
  <c r="AT14" i="12"/>
  <c r="AT21" i="12" s="1"/>
  <c r="AL14" i="12"/>
  <c r="AL21" i="12" s="1"/>
  <c r="AD14" i="12"/>
  <c r="AD21" i="12" s="1"/>
  <c r="BB13" i="12"/>
  <c r="BB20" i="12" s="1"/>
  <c r="AT13" i="12"/>
  <c r="AT20" i="12" s="1"/>
  <c r="AL13" i="12"/>
  <c r="AL20" i="12" s="1"/>
  <c r="AD13" i="12"/>
  <c r="AD20" i="12" s="1"/>
  <c r="BB12" i="12"/>
  <c r="BB19" i="12" s="1"/>
  <c r="AT12" i="12"/>
  <c r="AT19" i="12" s="1"/>
  <c r="AL12" i="12"/>
  <c r="AL19" i="12" s="1"/>
  <c r="BB11" i="12"/>
  <c r="BB18" i="12" s="1"/>
  <c r="AT11" i="12"/>
  <c r="AT18" i="12" s="1"/>
  <c r="AL11" i="12"/>
  <c r="AL18" i="12" s="1"/>
  <c r="BB10" i="12"/>
  <c r="BB17" i="12" s="1"/>
  <c r="AT10" i="12"/>
  <c r="AT17" i="12" s="1"/>
  <c r="AL10" i="12"/>
  <c r="AL17" i="12" s="1"/>
  <c r="AT9" i="12"/>
  <c r="AT16" i="12" s="1"/>
  <c r="AZ14" i="12"/>
  <c r="AZ21" i="12" s="1"/>
  <c r="AB14" i="12"/>
  <c r="AB21" i="12" s="1"/>
  <c r="AR13" i="12"/>
  <c r="AR20" i="12" s="1"/>
  <c r="AB13" i="12"/>
  <c r="AB20" i="12" s="1"/>
  <c r="AR11" i="12"/>
  <c r="AR18" i="12" s="1"/>
  <c r="AR10" i="12"/>
  <c r="AR17" i="12" s="1"/>
  <c r="P13" i="12"/>
  <c r="P20" i="12" s="1"/>
  <c r="AZ9" i="12"/>
  <c r="AZ16" i="12" s="1"/>
  <c r="AR9" i="12"/>
  <c r="AR16" i="12" s="1"/>
  <c r="AY15" i="12"/>
  <c r="AY22" i="12" s="1"/>
  <c r="AQ15" i="12"/>
  <c r="AQ22" i="12" s="1"/>
  <c r="AY14" i="12"/>
  <c r="AY21" i="12" s="1"/>
  <c r="AQ14" i="12"/>
  <c r="AQ21" i="12" s="1"/>
  <c r="AY13" i="12"/>
  <c r="AY20" i="12" s="1"/>
  <c r="AQ13" i="12"/>
  <c r="AQ20" i="12" s="1"/>
  <c r="AY12" i="12"/>
  <c r="AY19" i="12" s="1"/>
  <c r="AQ12" i="12"/>
  <c r="AQ19" i="12" s="1"/>
  <c r="AY11" i="12"/>
  <c r="AY18" i="12" s="1"/>
  <c r="AQ11" i="12"/>
  <c r="AQ18" i="12" s="1"/>
  <c r="AY10" i="12"/>
  <c r="AY17" i="12" s="1"/>
  <c r="AQ10" i="12"/>
  <c r="AQ17" i="12" s="1"/>
  <c r="P15" i="12"/>
  <c r="P22" i="12" s="1"/>
  <c r="BB9" i="12"/>
  <c r="BB16" i="12" s="1"/>
  <c r="AL9" i="12"/>
  <c r="AL16" i="12" s="1"/>
  <c r="BA15" i="12"/>
  <c r="BA22" i="12" s="1"/>
  <c r="AS15" i="12"/>
  <c r="AS22" i="12" s="1"/>
  <c r="AK15" i="12"/>
  <c r="AK22" i="12" s="1"/>
  <c r="AC15" i="12"/>
  <c r="AC22" i="12" s="1"/>
  <c r="BA14" i="12"/>
  <c r="BA21" i="12" s="1"/>
  <c r="AS14" i="12"/>
  <c r="AS21" i="12" s="1"/>
  <c r="AK14" i="12"/>
  <c r="AK21" i="12" s="1"/>
  <c r="AC14" i="12"/>
  <c r="AC21" i="12" s="1"/>
  <c r="BA13" i="12"/>
  <c r="BA20" i="12" s="1"/>
  <c r="AS13" i="12"/>
  <c r="AS20" i="12" s="1"/>
  <c r="AK13" i="12"/>
  <c r="AK20" i="12" s="1"/>
  <c r="AC13" i="12"/>
  <c r="AC20" i="12" s="1"/>
  <c r="BA12" i="12"/>
  <c r="BA19" i="12" s="1"/>
  <c r="AS12" i="12"/>
  <c r="AS19" i="12" s="1"/>
  <c r="AK12" i="12"/>
  <c r="AK19" i="12" s="1"/>
  <c r="BA11" i="12"/>
  <c r="BA18" i="12" s="1"/>
  <c r="AS11" i="12"/>
  <c r="AS18" i="12" s="1"/>
  <c r="AK11" i="12"/>
  <c r="AK18" i="12" s="1"/>
  <c r="BA10" i="12"/>
  <c r="BA17" i="12" s="1"/>
  <c r="AS10" i="12"/>
  <c r="AS17" i="12" s="1"/>
  <c r="AK10" i="12"/>
  <c r="AK17" i="12" s="1"/>
  <c r="P14" i="12"/>
  <c r="P21" i="12" s="1"/>
  <c r="BA9" i="12"/>
  <c r="BA16" i="12" s="1"/>
  <c r="AS9" i="12"/>
  <c r="AS16" i="12" s="1"/>
  <c r="AK9" i="12"/>
  <c r="AK16" i="12" s="1"/>
  <c r="AZ15" i="12"/>
  <c r="AZ22" i="12" s="1"/>
  <c r="AR15" i="12"/>
  <c r="AR22" i="12" s="1"/>
  <c r="AB15" i="12"/>
  <c r="AB22" i="12" s="1"/>
  <c r="AR14" i="12"/>
  <c r="AR21" i="12" s="1"/>
  <c r="AZ13" i="12"/>
  <c r="AZ20" i="12" s="1"/>
  <c r="AZ12" i="12"/>
  <c r="AZ19" i="12" s="1"/>
  <c r="AR12" i="12"/>
  <c r="AR19" i="12" s="1"/>
  <c r="AZ11" i="12"/>
  <c r="AZ18" i="12" s="1"/>
  <c r="AZ10" i="12"/>
  <c r="AZ17" i="12" s="1"/>
  <c r="P12" i="12"/>
  <c r="P19" i="12" s="1"/>
  <c r="AY9" i="12"/>
  <c r="AY16" i="12" s="1"/>
  <c r="AQ9" i="12"/>
  <c r="AQ16" i="12" s="1"/>
  <c r="AX15" i="12"/>
  <c r="AX22" i="12" s="1"/>
  <c r="AP15" i="12"/>
  <c r="AP22" i="12" s="1"/>
  <c r="AX14" i="12"/>
  <c r="AX21" i="12" s="1"/>
  <c r="AP14" i="12"/>
  <c r="AP21" i="12" s="1"/>
  <c r="AX13" i="12"/>
  <c r="AX20" i="12" s="1"/>
  <c r="AP13" i="12"/>
  <c r="AP20" i="12" s="1"/>
  <c r="AX12" i="12"/>
  <c r="AX19" i="12" s="1"/>
  <c r="AP12" i="12"/>
  <c r="AP19" i="12" s="1"/>
  <c r="AX11" i="12"/>
  <c r="AX18" i="12" s="1"/>
  <c r="AP11" i="12"/>
  <c r="AP18" i="12" s="1"/>
  <c r="AX10" i="12"/>
  <c r="AX17" i="12" s="1"/>
  <c r="AP10" i="12"/>
  <c r="AP17" i="12" s="1"/>
  <c r="AA15" i="12"/>
  <c r="AA22" i="12" s="1"/>
  <c r="AA14" i="12"/>
  <c r="AA21" i="12" s="1"/>
  <c r="Z15" i="12"/>
  <c r="Z22" i="12" s="1"/>
  <c r="Z14" i="12"/>
  <c r="Z21" i="12" s="1"/>
  <c r="AA13" i="12"/>
  <c r="AA20" i="12" s="1"/>
  <c r="Z13" i="12"/>
  <c r="Z20" i="12" s="1"/>
  <c r="AB12" i="12"/>
  <c r="AB19" i="12" s="1"/>
  <c r="AA12" i="12"/>
  <c r="AA19" i="12" s="1"/>
  <c r="AE12" i="12"/>
  <c r="AE19" i="12" s="1"/>
  <c r="AD12" i="12"/>
  <c r="AD19" i="12" s="1"/>
  <c r="AC12" i="12"/>
  <c r="AC19" i="12" s="1"/>
  <c r="Z12" i="12"/>
  <c r="Z19" i="12" s="1"/>
  <c r="AA11" i="12"/>
  <c r="AA18" i="12" s="1"/>
  <c r="AB11" i="12"/>
  <c r="AB18" i="12" s="1"/>
  <c r="AE11" i="12"/>
  <c r="AE18" i="12" s="1"/>
  <c r="AD11" i="12"/>
  <c r="AD18" i="12" s="1"/>
  <c r="AC11" i="12"/>
  <c r="AC18" i="12" s="1"/>
  <c r="Z11" i="12"/>
  <c r="Z18" i="12" s="1"/>
  <c r="AB10" i="12"/>
  <c r="AB17" i="12" s="1"/>
  <c r="AA10" i="12"/>
  <c r="AA17" i="12" s="1"/>
  <c r="AE10" i="12"/>
  <c r="AE17" i="12" s="1"/>
  <c r="AD10" i="12"/>
  <c r="AD17" i="12" s="1"/>
  <c r="AC10" i="12"/>
  <c r="AC17" i="12" s="1"/>
  <c r="Z10" i="12"/>
  <c r="Z17" i="12" s="1"/>
  <c r="AC9" i="12"/>
  <c r="AC16" i="12" s="1"/>
  <c r="AB9" i="12"/>
  <c r="AB16" i="12" s="1"/>
  <c r="AE9" i="12"/>
  <c r="AE16" i="12" s="1"/>
  <c r="AD9" i="12"/>
  <c r="AD16" i="12" s="1"/>
  <c r="AA9" i="12"/>
  <c r="AA16" i="12" s="1"/>
  <c r="Z9" i="12"/>
  <c r="Z16" i="12" s="1"/>
  <c r="Y15" i="12"/>
  <c r="Y22" i="12" s="1"/>
  <c r="Y14" i="12"/>
  <c r="Y21" i="12" s="1"/>
  <c r="Y13" i="12"/>
  <c r="Y20" i="12" s="1"/>
  <c r="Y12" i="12"/>
  <c r="Y19" i="12" s="1"/>
  <c r="Y11" i="12"/>
  <c r="Y18" i="12" s="1"/>
  <c r="Y10" i="12"/>
  <c r="Y17" i="12" s="1"/>
  <c r="T15" i="12"/>
  <c r="T22" i="12" s="1"/>
  <c r="T14" i="12"/>
  <c r="T21" i="12" s="1"/>
  <c r="T13" i="12"/>
  <c r="T20" i="12" s="1"/>
  <c r="T12" i="12"/>
  <c r="T19" i="12" s="1"/>
  <c r="T11" i="12"/>
  <c r="T18" i="12" s="1"/>
  <c r="T10" i="12"/>
  <c r="T17" i="12" s="1"/>
  <c r="T9" i="12"/>
  <c r="T16" i="12" s="1"/>
  <c r="AI201" i="16"/>
  <c r="AG157" i="16"/>
  <c r="AF319" i="16"/>
  <c r="AF323" i="16"/>
  <c r="AG318" i="16"/>
  <c r="AG322" i="16"/>
  <c r="AG324" i="16"/>
  <c r="AG320" i="16"/>
  <c r="AE12" i="16"/>
  <c r="AE13" i="16"/>
  <c r="AE9" i="16"/>
  <c r="AE10" i="16"/>
  <c r="AE11" i="16"/>
  <c r="AE14" i="16"/>
  <c r="AA24" i="3"/>
  <c r="AB24" i="3" s="1"/>
  <c r="AC24" i="3" s="1"/>
  <c r="AD24" i="3" s="1"/>
  <c r="AE24" i="3" s="1"/>
  <c r="AA23" i="3"/>
  <c r="AB23" i="3" s="1"/>
  <c r="AC23" i="3" s="1"/>
  <c r="AD23" i="3" s="1"/>
  <c r="AE23" i="3" s="1"/>
  <c r="AA22" i="3"/>
  <c r="AB22" i="3" s="1"/>
  <c r="AC22" i="3" s="1"/>
  <c r="AD22" i="3" s="1"/>
  <c r="AE22" i="3" s="1"/>
  <c r="U23" i="3"/>
  <c r="V23" i="3" s="1"/>
  <c r="W23" i="3" s="1"/>
  <c r="X23" i="3" s="1"/>
  <c r="Y23" i="3" s="1"/>
  <c r="U24" i="3"/>
  <c r="V24" i="3" s="1"/>
  <c r="W24" i="3" s="1"/>
  <c r="X24" i="3" s="1"/>
  <c r="Y24" i="3" s="1"/>
  <c r="U22" i="3"/>
  <c r="V22" i="3" s="1"/>
  <c r="W22" i="3" s="1"/>
  <c r="X22" i="3" s="1"/>
  <c r="Y22" i="3" s="1"/>
  <c r="U15" i="3"/>
  <c r="V15" i="3" s="1"/>
  <c r="W15" i="3" s="1"/>
  <c r="X15" i="3" s="1"/>
  <c r="Y15" i="3" s="1"/>
  <c r="AA15" i="3"/>
  <c r="AB15" i="3" s="1"/>
  <c r="AC15" i="3" s="1"/>
  <c r="AD15" i="3" s="1"/>
  <c r="AE15" i="3" s="1"/>
  <c r="U16" i="3"/>
  <c r="V16" i="3" s="1"/>
  <c r="W16" i="3" s="1"/>
  <c r="X16" i="3" s="1"/>
  <c r="Y16" i="3" s="1"/>
  <c r="AA16" i="3"/>
  <c r="AB16" i="3" s="1"/>
  <c r="AC16" i="3" s="1"/>
  <c r="AD16" i="3" s="1"/>
  <c r="AE16" i="3" s="1"/>
  <c r="U17" i="3"/>
  <c r="V17" i="3" s="1"/>
  <c r="W17" i="3" s="1"/>
  <c r="X17" i="3" s="1"/>
  <c r="Y17" i="3" s="1"/>
  <c r="AA17" i="3"/>
  <c r="AB17" i="3" s="1"/>
  <c r="AC17" i="3" s="1"/>
  <c r="AD17" i="3" s="1"/>
  <c r="AE17" i="3" s="1"/>
  <c r="U18" i="3"/>
  <c r="V18" i="3" s="1"/>
  <c r="W18" i="3" s="1"/>
  <c r="X18" i="3" s="1"/>
  <c r="Y18" i="3" s="1"/>
  <c r="AA18" i="3"/>
  <c r="AB18" i="3" s="1"/>
  <c r="AC18" i="3" s="1"/>
  <c r="AD18" i="3" s="1"/>
  <c r="AE18" i="3" s="1"/>
  <c r="U19" i="3"/>
  <c r="V19" i="3" s="1"/>
  <c r="W19" i="3" s="1"/>
  <c r="X19" i="3" s="1"/>
  <c r="Y19" i="3" s="1"/>
  <c r="AA19" i="3"/>
  <c r="AB19" i="3" s="1"/>
  <c r="AC19" i="3" s="1"/>
  <c r="AD19" i="3" s="1"/>
  <c r="AE19" i="3" s="1"/>
  <c r="U20" i="3"/>
  <c r="V20" i="3" s="1"/>
  <c r="W20" i="3" s="1"/>
  <c r="X20" i="3" s="1"/>
  <c r="Y20" i="3" s="1"/>
  <c r="AA20" i="3"/>
  <c r="AB20" i="3" s="1"/>
  <c r="AC20" i="3" s="1"/>
  <c r="AD20" i="3" s="1"/>
  <c r="AE20" i="3" s="1"/>
  <c r="U21" i="3"/>
  <c r="V21" i="3" s="1"/>
  <c r="W21" i="3" s="1"/>
  <c r="X21" i="3" s="1"/>
  <c r="Y21" i="3" s="1"/>
  <c r="AA21" i="3"/>
  <c r="AB21" i="3" s="1"/>
  <c r="AC21" i="3" s="1"/>
  <c r="AD21" i="3" s="1"/>
  <c r="AE21" i="3" s="1"/>
  <c r="AA14" i="3"/>
  <c r="AB14" i="3" s="1"/>
  <c r="AC14" i="3" s="1"/>
  <c r="AD14" i="3" s="1"/>
  <c r="AE14" i="3" s="1"/>
  <c r="U14" i="3"/>
  <c r="V14" i="3" s="1"/>
  <c r="W14" i="3" s="1"/>
  <c r="X14" i="3" s="1"/>
  <c r="Y14" i="3" s="1"/>
  <c r="K14" i="3"/>
  <c r="F14" i="3"/>
  <c r="G14" i="3" s="1"/>
  <c r="AA11" i="3"/>
  <c r="AA12" i="3"/>
  <c r="AA13" i="3"/>
  <c r="AA10" i="3"/>
  <c r="U11" i="3"/>
  <c r="U12" i="3"/>
  <c r="U13" i="3"/>
  <c r="U10" i="3"/>
  <c r="F10" i="3"/>
  <c r="AB10" i="3" l="1"/>
  <c r="V10" i="3"/>
  <c r="V11" i="3"/>
  <c r="G10" i="3"/>
  <c r="AB11" i="3"/>
  <c r="AB12" i="3"/>
  <c r="AB13" i="3"/>
  <c r="V13" i="3"/>
  <c r="V12" i="3"/>
  <c r="AH157" i="16"/>
  <c r="AJ201" i="16"/>
  <c r="AG323" i="16"/>
  <c r="AG319" i="16"/>
  <c r="AH320" i="16"/>
  <c r="AH324" i="16"/>
  <c r="AH322" i="16"/>
  <c r="AH318" i="16"/>
  <c r="AF11" i="16"/>
  <c r="AF10" i="16"/>
  <c r="AF14" i="16"/>
  <c r="AF13" i="16"/>
  <c r="AF12" i="16"/>
  <c r="AF9" i="16"/>
  <c r="AA3" i="3"/>
  <c r="U3" i="3"/>
  <c r="F3" i="3"/>
  <c r="AA4" i="3"/>
  <c r="U4" i="3"/>
  <c r="F4" i="3"/>
  <c r="AA5" i="3"/>
  <c r="AA6" i="3"/>
  <c r="AA7" i="3"/>
  <c r="AA2" i="3"/>
  <c r="U5" i="3"/>
  <c r="U6" i="3"/>
  <c r="U7" i="3"/>
  <c r="C17" i="12"/>
  <c r="C18" i="12" s="1"/>
  <c r="C19" i="12" s="1"/>
  <c r="C20" i="12" s="1"/>
  <c r="C21" i="12" s="1"/>
  <c r="C22" i="12" s="1"/>
  <c r="X15" i="12"/>
  <c r="X22" i="12" s="1"/>
  <c r="W15" i="12"/>
  <c r="W22" i="12" s="1"/>
  <c r="V15" i="12"/>
  <c r="V22" i="12" s="1"/>
  <c r="U15" i="12"/>
  <c r="U22" i="12" s="1"/>
  <c r="Q15" i="12"/>
  <c r="Q22" i="12" s="1"/>
  <c r="O15" i="12"/>
  <c r="O22" i="12" s="1"/>
  <c r="M15" i="12"/>
  <c r="M22" i="12" s="1"/>
  <c r="K15" i="12"/>
  <c r="K22" i="12" s="1"/>
  <c r="E15" i="12"/>
  <c r="E22" i="12" s="1"/>
  <c r="D15" i="12"/>
  <c r="D22" i="12" s="1"/>
  <c r="X14" i="12"/>
  <c r="X21" i="12" s="1"/>
  <c r="W14" i="12"/>
  <c r="W21" i="12" s="1"/>
  <c r="V14" i="12"/>
  <c r="V21" i="12" s="1"/>
  <c r="U14" i="12"/>
  <c r="U21" i="12" s="1"/>
  <c r="Q14" i="12"/>
  <c r="Q21" i="12" s="1"/>
  <c r="O14" i="12"/>
  <c r="O21" i="12" s="1"/>
  <c r="M14" i="12"/>
  <c r="M21" i="12" s="1"/>
  <c r="K14" i="12"/>
  <c r="K21" i="12" s="1"/>
  <c r="E14" i="12"/>
  <c r="E21" i="12" s="1"/>
  <c r="D14" i="12"/>
  <c r="D21" i="12" s="1"/>
  <c r="X13" i="12"/>
  <c r="X20" i="12" s="1"/>
  <c r="W13" i="12"/>
  <c r="W20" i="12" s="1"/>
  <c r="V13" i="12"/>
  <c r="V20" i="12" s="1"/>
  <c r="U13" i="12"/>
  <c r="U20" i="12" s="1"/>
  <c r="Q13" i="12"/>
  <c r="Q20" i="12" s="1"/>
  <c r="O13" i="12"/>
  <c r="O20" i="12" s="1"/>
  <c r="M13" i="12"/>
  <c r="M20" i="12" s="1"/>
  <c r="K13" i="12"/>
  <c r="K20" i="12" s="1"/>
  <c r="E13" i="12"/>
  <c r="E20" i="12" s="1"/>
  <c r="D13" i="12"/>
  <c r="D20" i="12" s="1"/>
  <c r="X12" i="12"/>
  <c r="X19" i="12" s="1"/>
  <c r="W12" i="12"/>
  <c r="W19" i="12" s="1"/>
  <c r="V12" i="12"/>
  <c r="V19" i="12" s="1"/>
  <c r="U12" i="12"/>
  <c r="U19" i="12" s="1"/>
  <c r="Q12" i="12"/>
  <c r="Q19" i="12" s="1"/>
  <c r="O12" i="12"/>
  <c r="O19" i="12" s="1"/>
  <c r="M12" i="12"/>
  <c r="M19" i="12" s="1"/>
  <c r="K12" i="12"/>
  <c r="K19" i="12" s="1"/>
  <c r="E12" i="12"/>
  <c r="E19" i="12" s="1"/>
  <c r="D12" i="12"/>
  <c r="D19" i="12" s="1"/>
  <c r="X11" i="12"/>
  <c r="X18" i="12" s="1"/>
  <c r="W11" i="12"/>
  <c r="W18" i="12" s="1"/>
  <c r="V11" i="12"/>
  <c r="V18" i="12" s="1"/>
  <c r="U11" i="12"/>
  <c r="U18" i="12" s="1"/>
  <c r="Q11" i="12"/>
  <c r="Q18" i="12" s="1"/>
  <c r="O11" i="12"/>
  <c r="O18" i="12" s="1"/>
  <c r="M11" i="12"/>
  <c r="M18" i="12" s="1"/>
  <c r="K11" i="12"/>
  <c r="K18" i="12" s="1"/>
  <c r="E11" i="12"/>
  <c r="E18" i="12" s="1"/>
  <c r="D11" i="12"/>
  <c r="D18" i="12" s="1"/>
  <c r="X10" i="12"/>
  <c r="X17" i="12" s="1"/>
  <c r="W10" i="12"/>
  <c r="W17" i="12" s="1"/>
  <c r="V10" i="12"/>
  <c r="V17" i="12" s="1"/>
  <c r="U10" i="12"/>
  <c r="U17" i="12" s="1"/>
  <c r="Q10" i="12"/>
  <c r="Q17" i="12" s="1"/>
  <c r="O10" i="12"/>
  <c r="O17" i="12" s="1"/>
  <c r="M10" i="12"/>
  <c r="M17" i="12" s="1"/>
  <c r="K10" i="12"/>
  <c r="K17" i="12" s="1"/>
  <c r="E10" i="12"/>
  <c r="E17" i="12" s="1"/>
  <c r="D10" i="12"/>
  <c r="D17" i="12" s="1"/>
  <c r="C10" i="12"/>
  <c r="C11" i="12" s="1"/>
  <c r="C12" i="12" s="1"/>
  <c r="C13" i="12" s="1"/>
  <c r="C14" i="12" s="1"/>
  <c r="C15" i="12" s="1"/>
  <c r="Y9" i="12"/>
  <c r="Y16" i="12" s="1"/>
  <c r="X9" i="12"/>
  <c r="X16" i="12" s="1"/>
  <c r="W9" i="12"/>
  <c r="W16" i="12" s="1"/>
  <c r="V9" i="12"/>
  <c r="V16" i="12" s="1"/>
  <c r="U9" i="12"/>
  <c r="U16" i="12" s="1"/>
  <c r="Q9" i="12"/>
  <c r="Q16" i="12" s="1"/>
  <c r="O9" i="12"/>
  <c r="O16" i="12" s="1"/>
  <c r="M9" i="12"/>
  <c r="M16" i="12" s="1"/>
  <c r="K9" i="12"/>
  <c r="E9" i="12"/>
  <c r="E16" i="12" s="1"/>
  <c r="D9" i="12"/>
  <c r="D16" i="12" s="1"/>
  <c r="H8" i="12"/>
  <c r="H15" i="12" s="1"/>
  <c r="H22" i="12" s="1"/>
  <c r="F8" i="12"/>
  <c r="H7" i="12"/>
  <c r="H14" i="12" s="1"/>
  <c r="H21" i="12" s="1"/>
  <c r="F7" i="12"/>
  <c r="H6" i="12"/>
  <c r="H13" i="12" s="1"/>
  <c r="H20" i="12" s="1"/>
  <c r="F6" i="12"/>
  <c r="H5" i="12"/>
  <c r="H12" i="12" s="1"/>
  <c r="H19" i="12" s="1"/>
  <c r="F5" i="12"/>
  <c r="H4" i="12"/>
  <c r="H11" i="12" s="1"/>
  <c r="H18" i="12" s="1"/>
  <c r="F4" i="12"/>
  <c r="H3" i="12"/>
  <c r="H10" i="12" s="1"/>
  <c r="H17" i="12" s="1"/>
  <c r="F3" i="12"/>
  <c r="F10" i="12" s="1"/>
  <c r="F17" i="12" s="1"/>
  <c r="H2" i="12"/>
  <c r="H9" i="12" s="1"/>
  <c r="H16" i="12" s="1"/>
  <c r="F2" i="12"/>
  <c r="F9" i="12" s="1"/>
  <c r="F16" i="12" s="1"/>
  <c r="AG26" i="3"/>
  <c r="AH26" i="3" s="1"/>
  <c r="AI26" i="3" s="1"/>
  <c r="AJ26" i="3" s="1"/>
  <c r="AK26" i="3" s="1"/>
  <c r="AL26" i="3" s="1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AC12" i="3" l="1"/>
  <c r="G11" i="3"/>
  <c r="AC13" i="3"/>
  <c r="W11" i="3"/>
  <c r="W10" i="3"/>
  <c r="W13" i="3"/>
  <c r="W12" i="3"/>
  <c r="AC11" i="3"/>
  <c r="AC10" i="3"/>
  <c r="AI157" i="16"/>
  <c r="AK201" i="16"/>
  <c r="AH323" i="16"/>
  <c r="AH319" i="16"/>
  <c r="AI318" i="16"/>
  <c r="AI322" i="16"/>
  <c r="AI324" i="16"/>
  <c r="AI320" i="16"/>
  <c r="AG10" i="16"/>
  <c r="AG9" i="16"/>
  <c r="AG14" i="16"/>
  <c r="AG13" i="16"/>
  <c r="AI323" i="16"/>
  <c r="AG12" i="16"/>
  <c r="AG11" i="16"/>
  <c r="V4" i="3"/>
  <c r="AB4" i="3"/>
  <c r="AB6" i="3"/>
  <c r="V5" i="3"/>
  <c r="AB5" i="3"/>
  <c r="G3" i="3"/>
  <c r="V7" i="3"/>
  <c r="AB7" i="3"/>
  <c r="AB3" i="3"/>
  <c r="V6" i="3"/>
  <c r="U2" i="3"/>
  <c r="AB2" i="3"/>
  <c r="G4" i="3"/>
  <c r="V3" i="3"/>
  <c r="F15" i="12"/>
  <c r="F22" i="12" s="1"/>
  <c r="F14" i="12"/>
  <c r="F21" i="12" s="1"/>
  <c r="F13" i="12"/>
  <c r="F20" i="12" s="1"/>
  <c r="F12" i="12"/>
  <c r="F19" i="12" s="1"/>
  <c r="F11" i="12"/>
  <c r="F18" i="12" s="1"/>
  <c r="G8" i="12"/>
  <c r="G2" i="12"/>
  <c r="G9" i="12" s="1"/>
  <c r="G16" i="12" s="1"/>
  <c r="G3" i="12"/>
  <c r="G10" i="12" s="1"/>
  <c r="G17" i="12" s="1"/>
  <c r="G4" i="12"/>
  <c r="G5" i="12"/>
  <c r="G6" i="12"/>
  <c r="G7" i="12"/>
  <c r="X12" i="3" l="1"/>
  <c r="G12" i="3"/>
  <c r="AD13" i="3"/>
  <c r="X10" i="3"/>
  <c r="X11" i="3"/>
  <c r="AD12" i="3"/>
  <c r="AD10" i="3"/>
  <c r="AD11" i="3"/>
  <c r="X13" i="3"/>
  <c r="AL201" i="16"/>
  <c r="AJ157" i="16"/>
  <c r="AI319" i="16"/>
  <c r="AJ320" i="16"/>
  <c r="AJ324" i="16"/>
  <c r="AJ322" i="16"/>
  <c r="AJ318" i="16"/>
  <c r="AH9" i="16"/>
  <c r="AH11" i="16"/>
  <c r="AH14" i="16"/>
  <c r="AH10" i="16"/>
  <c r="AH13" i="16"/>
  <c r="AJ323" i="16"/>
  <c r="AH12" i="16"/>
  <c r="W5" i="3"/>
  <c r="AC4" i="3"/>
  <c r="W3" i="3"/>
  <c r="AC2" i="3"/>
  <c r="W6" i="3"/>
  <c r="AC7" i="3"/>
  <c r="V2" i="3"/>
  <c r="AC3" i="3"/>
  <c r="W7" i="3"/>
  <c r="AC5" i="3"/>
  <c r="AC6" i="3"/>
  <c r="W4" i="3"/>
  <c r="G15" i="12"/>
  <c r="G22" i="12" s="1"/>
  <c r="G14" i="12"/>
  <c r="G21" i="12" s="1"/>
  <c r="G13" i="12"/>
  <c r="G20" i="12" s="1"/>
  <c r="G12" i="12"/>
  <c r="G19" i="12" s="1"/>
  <c r="G11" i="12"/>
  <c r="G18" i="12" s="1"/>
  <c r="AA26" i="3"/>
  <c r="AB26" i="3" s="1"/>
  <c r="AC26" i="3" s="1"/>
  <c r="AD26" i="3" s="1"/>
  <c r="AE26" i="3" s="1"/>
  <c r="U26" i="3"/>
  <c r="V26" i="3" s="1"/>
  <c r="W26" i="3" s="1"/>
  <c r="X26" i="3" s="1"/>
  <c r="Y26" i="3" s="1"/>
  <c r="AE10" i="3" l="1"/>
  <c r="Y11" i="3"/>
  <c r="G13" i="3"/>
  <c r="AE13" i="3"/>
  <c r="Y13" i="3"/>
  <c r="AE11" i="3"/>
  <c r="AE12" i="3"/>
  <c r="Y10" i="3"/>
  <c r="Y12" i="3"/>
  <c r="AK157" i="16"/>
  <c r="AM201" i="16"/>
  <c r="AL157" i="16" s="1"/>
  <c r="AJ319" i="16"/>
  <c r="AK322" i="16"/>
  <c r="AK324" i="16"/>
  <c r="AK318" i="16"/>
  <c r="AK320" i="16"/>
  <c r="AI13" i="16"/>
  <c r="AI12" i="16"/>
  <c r="AI11" i="16"/>
  <c r="AI10" i="16"/>
  <c r="AI9" i="16"/>
  <c r="AI14" i="16"/>
  <c r="AD6" i="3"/>
  <c r="X7" i="3"/>
  <c r="X6" i="3"/>
  <c r="X3" i="3"/>
  <c r="X5" i="3"/>
  <c r="X4" i="3"/>
  <c r="AD5" i="3"/>
  <c r="AD3" i="3"/>
  <c r="AD7" i="3"/>
  <c r="AD2" i="3"/>
  <c r="AD4" i="3"/>
  <c r="W2" i="3"/>
  <c r="G4" i="4"/>
  <c r="E4" i="4"/>
  <c r="Z4" i="4"/>
  <c r="AA4" i="4" s="1"/>
  <c r="AB4" i="4" s="1"/>
  <c r="AC4" i="4" s="1"/>
  <c r="AD4" i="4" s="1"/>
  <c r="AE4" i="4" s="1"/>
  <c r="G5" i="4"/>
  <c r="E5" i="4"/>
  <c r="U5" i="4"/>
  <c r="V5" i="4" s="1"/>
  <c r="W5" i="4" s="1"/>
  <c r="X5" i="4" s="1"/>
  <c r="Y5" i="4" s="1"/>
  <c r="H6" i="4"/>
  <c r="E6" i="4"/>
  <c r="Z6" i="4"/>
  <c r="AA6" i="4" s="1"/>
  <c r="AB6" i="4" s="1"/>
  <c r="AC6" i="4" s="1"/>
  <c r="AD6" i="4" s="1"/>
  <c r="AE6" i="4" s="1"/>
  <c r="G7" i="4"/>
  <c r="E7" i="4"/>
  <c r="U7" i="4"/>
  <c r="V7" i="4" s="1"/>
  <c r="W7" i="4" s="1"/>
  <c r="X7" i="4" s="1"/>
  <c r="Y7" i="4" s="1"/>
  <c r="H8" i="4"/>
  <c r="E8" i="4"/>
  <c r="Z8" i="4"/>
  <c r="AA8" i="4" s="1"/>
  <c r="AB8" i="4" s="1"/>
  <c r="AC8" i="4" s="1"/>
  <c r="AD8" i="4" s="1"/>
  <c r="AE8" i="4" s="1"/>
  <c r="G9" i="4"/>
  <c r="E9" i="4"/>
  <c r="U9" i="4"/>
  <c r="V9" i="4" s="1"/>
  <c r="W9" i="4" s="1"/>
  <c r="X9" i="4" s="1"/>
  <c r="Y9" i="4" s="1"/>
  <c r="H10" i="4"/>
  <c r="E10" i="4"/>
  <c r="Z10" i="4"/>
  <c r="AA10" i="4" s="1"/>
  <c r="AB10" i="4" s="1"/>
  <c r="AC10" i="4" s="1"/>
  <c r="AD10" i="4" s="1"/>
  <c r="AE10" i="4" s="1"/>
  <c r="G11" i="4"/>
  <c r="E11" i="4"/>
  <c r="U11" i="4"/>
  <c r="V11" i="4" s="1"/>
  <c r="W11" i="4" s="1"/>
  <c r="X11" i="4" s="1"/>
  <c r="Y11" i="4" s="1"/>
  <c r="H12" i="4"/>
  <c r="E12" i="4"/>
  <c r="Z12" i="4"/>
  <c r="AA12" i="4" s="1"/>
  <c r="AB12" i="4" s="1"/>
  <c r="AC12" i="4" s="1"/>
  <c r="AD12" i="4" s="1"/>
  <c r="AE12" i="4" s="1"/>
  <c r="G13" i="4"/>
  <c r="E13" i="4"/>
  <c r="U13" i="4"/>
  <c r="V13" i="4" s="1"/>
  <c r="W13" i="4" s="1"/>
  <c r="X13" i="4" s="1"/>
  <c r="Y13" i="4" s="1"/>
  <c r="H14" i="4"/>
  <c r="E14" i="4"/>
  <c r="Z14" i="4"/>
  <c r="AA14" i="4" s="1"/>
  <c r="AB14" i="4" s="1"/>
  <c r="AC14" i="4" s="1"/>
  <c r="AD14" i="4" s="1"/>
  <c r="AE14" i="4" s="1"/>
  <c r="G15" i="4"/>
  <c r="E15" i="4"/>
  <c r="U15" i="4"/>
  <c r="V15" i="4" s="1"/>
  <c r="W15" i="4" s="1"/>
  <c r="X15" i="4" s="1"/>
  <c r="Y15" i="4" s="1"/>
  <c r="H16" i="4"/>
  <c r="E16" i="4"/>
  <c r="Z16" i="4"/>
  <c r="AA16" i="4" s="1"/>
  <c r="AB16" i="4" s="1"/>
  <c r="AC16" i="4" s="1"/>
  <c r="AD16" i="4" s="1"/>
  <c r="AE16" i="4" s="1"/>
  <c r="E17" i="4"/>
  <c r="U17" i="4"/>
  <c r="V17" i="4" s="1"/>
  <c r="W17" i="4" s="1"/>
  <c r="X17" i="4" s="1"/>
  <c r="Y17" i="4" s="1"/>
  <c r="H18" i="4"/>
  <c r="E18" i="4"/>
  <c r="Z18" i="4"/>
  <c r="AA18" i="4" s="1"/>
  <c r="AB18" i="4" s="1"/>
  <c r="AC18" i="4" s="1"/>
  <c r="AD18" i="4" s="1"/>
  <c r="AE18" i="4" s="1"/>
  <c r="G19" i="4"/>
  <c r="E19" i="4"/>
  <c r="U19" i="4"/>
  <c r="V19" i="4" s="1"/>
  <c r="W19" i="4" s="1"/>
  <c r="X19" i="4" s="1"/>
  <c r="Y19" i="4" s="1"/>
  <c r="H20" i="4"/>
  <c r="E20" i="4"/>
  <c r="Z20" i="4"/>
  <c r="AA20" i="4" s="1"/>
  <c r="AB20" i="4" s="1"/>
  <c r="AC20" i="4" s="1"/>
  <c r="AD20" i="4" s="1"/>
  <c r="AE20" i="4" s="1"/>
  <c r="Z3" i="4"/>
  <c r="AA3" i="4" s="1"/>
  <c r="AB3" i="4" s="1"/>
  <c r="AC3" i="4" s="1"/>
  <c r="AD3" i="4" s="1"/>
  <c r="AE3" i="4" s="1"/>
  <c r="E3" i="4"/>
  <c r="H2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AK323" i="16" l="1"/>
  <c r="AK319" i="16"/>
  <c r="AL324" i="16"/>
  <c r="AL318" i="16"/>
  <c r="AL320" i="16"/>
  <c r="AL322" i="16"/>
  <c r="AJ10" i="16"/>
  <c r="AJ11" i="16"/>
  <c r="AJ12" i="16"/>
  <c r="AJ14" i="16"/>
  <c r="AJ13" i="16"/>
  <c r="AJ9" i="16"/>
  <c r="H3" i="9"/>
  <c r="X2" i="3"/>
  <c r="AE2" i="3"/>
  <c r="AE3" i="3"/>
  <c r="Y4" i="3"/>
  <c r="Y3" i="3"/>
  <c r="Y7" i="3"/>
  <c r="AE4" i="3"/>
  <c r="AE7" i="3"/>
  <c r="AE5" i="3"/>
  <c r="Y5" i="3"/>
  <c r="Y6" i="3"/>
  <c r="AE6" i="3"/>
  <c r="H3" i="4"/>
  <c r="F12" i="4"/>
  <c r="F3" i="4"/>
  <c r="Z9" i="4"/>
  <c r="AA9" i="4" s="1"/>
  <c r="AB9" i="4" s="1"/>
  <c r="AC9" i="4" s="1"/>
  <c r="AD9" i="4" s="1"/>
  <c r="AE9" i="4" s="1"/>
  <c r="F4" i="4"/>
  <c r="Z19" i="4"/>
  <c r="AA19" i="4" s="1"/>
  <c r="AB19" i="4" s="1"/>
  <c r="AC19" i="4" s="1"/>
  <c r="AD19" i="4" s="1"/>
  <c r="AE19" i="4" s="1"/>
  <c r="F8" i="4"/>
  <c r="Z17" i="4"/>
  <c r="AA17" i="4" s="1"/>
  <c r="AB17" i="4" s="1"/>
  <c r="AC17" i="4" s="1"/>
  <c r="AD17" i="4" s="1"/>
  <c r="AE17" i="4" s="1"/>
  <c r="Z5" i="4"/>
  <c r="AA5" i="4" s="1"/>
  <c r="AB5" i="4" s="1"/>
  <c r="AC5" i="4" s="1"/>
  <c r="AD5" i="4" s="1"/>
  <c r="AE5" i="4" s="1"/>
  <c r="G18" i="4"/>
  <c r="Z13" i="4"/>
  <c r="AA13" i="4" s="1"/>
  <c r="AB13" i="4" s="1"/>
  <c r="AC13" i="4" s="1"/>
  <c r="AD13" i="4" s="1"/>
  <c r="AE13" i="4" s="1"/>
  <c r="F6" i="4"/>
  <c r="H4" i="4"/>
  <c r="G6" i="4"/>
  <c r="G3" i="4"/>
  <c r="G16" i="4"/>
  <c r="Z15" i="4"/>
  <c r="AA15" i="4" s="1"/>
  <c r="AB15" i="4" s="1"/>
  <c r="AC15" i="4" s="1"/>
  <c r="AD15" i="4" s="1"/>
  <c r="AE15" i="4" s="1"/>
  <c r="G12" i="4"/>
  <c r="Z11" i="4"/>
  <c r="AA11" i="4" s="1"/>
  <c r="AB11" i="4" s="1"/>
  <c r="AC11" i="4" s="1"/>
  <c r="AD11" i="4" s="1"/>
  <c r="AE11" i="4" s="1"/>
  <c r="G8" i="4"/>
  <c r="Z7" i="4"/>
  <c r="AA7" i="4" s="1"/>
  <c r="AB7" i="4" s="1"/>
  <c r="AC7" i="4" s="1"/>
  <c r="AD7" i="4" s="1"/>
  <c r="AE7" i="4" s="1"/>
  <c r="U4" i="4"/>
  <c r="V4" i="4" s="1"/>
  <c r="W4" i="4" s="1"/>
  <c r="X4" i="4" s="1"/>
  <c r="Y4" i="4" s="1"/>
  <c r="G20" i="4"/>
  <c r="F17" i="4"/>
  <c r="G14" i="4"/>
  <c r="G10" i="4"/>
  <c r="F19" i="4"/>
  <c r="G17" i="4"/>
  <c r="F14" i="4"/>
  <c r="F10" i="4"/>
  <c r="F15" i="4"/>
  <c r="F11" i="4"/>
  <c r="F7" i="4"/>
  <c r="F5" i="4"/>
  <c r="F13" i="4"/>
  <c r="F9" i="4"/>
  <c r="U20" i="4"/>
  <c r="V20" i="4" s="1"/>
  <c r="W20" i="4" s="1"/>
  <c r="X20" i="4" s="1"/>
  <c r="Y20" i="4" s="1"/>
  <c r="F20" i="4"/>
  <c r="H19" i="4"/>
  <c r="U18" i="4"/>
  <c r="V18" i="4" s="1"/>
  <c r="W18" i="4" s="1"/>
  <c r="X18" i="4" s="1"/>
  <c r="Y18" i="4" s="1"/>
  <c r="F18" i="4"/>
  <c r="H17" i="4"/>
  <c r="U16" i="4"/>
  <c r="V16" i="4" s="1"/>
  <c r="W16" i="4" s="1"/>
  <c r="X16" i="4" s="1"/>
  <c r="Y16" i="4" s="1"/>
  <c r="F16" i="4"/>
  <c r="H15" i="4"/>
  <c r="U14" i="4"/>
  <c r="V14" i="4" s="1"/>
  <c r="W14" i="4" s="1"/>
  <c r="X14" i="4" s="1"/>
  <c r="Y14" i="4" s="1"/>
  <c r="H13" i="4"/>
  <c r="U12" i="4"/>
  <c r="V12" i="4" s="1"/>
  <c r="W12" i="4" s="1"/>
  <c r="X12" i="4" s="1"/>
  <c r="Y12" i="4" s="1"/>
  <c r="H11" i="4"/>
  <c r="U10" i="4"/>
  <c r="V10" i="4" s="1"/>
  <c r="W10" i="4" s="1"/>
  <c r="X10" i="4" s="1"/>
  <c r="Y10" i="4" s="1"/>
  <c r="H9" i="4"/>
  <c r="U8" i="4"/>
  <c r="V8" i="4" s="1"/>
  <c r="W8" i="4" s="1"/>
  <c r="X8" i="4" s="1"/>
  <c r="Y8" i="4" s="1"/>
  <c r="H7" i="4"/>
  <c r="U6" i="4"/>
  <c r="V6" i="4" s="1"/>
  <c r="W6" i="4" s="1"/>
  <c r="X6" i="4" s="1"/>
  <c r="Y6" i="4" s="1"/>
  <c r="H5" i="4"/>
  <c r="U3" i="4"/>
  <c r="V3" i="4" s="1"/>
  <c r="W3" i="4" s="1"/>
  <c r="X3" i="4" s="1"/>
  <c r="Y3" i="4" s="1"/>
  <c r="AL323" i="16" l="1"/>
  <c r="AL319" i="16"/>
  <c r="AM322" i="16"/>
  <c r="AM320" i="16"/>
  <c r="AM318" i="16"/>
  <c r="AM324" i="16"/>
  <c r="AK13" i="16"/>
  <c r="AK14" i="16"/>
  <c r="AK9" i="16"/>
  <c r="AK11" i="16"/>
  <c r="AK12" i="16"/>
  <c r="AK10" i="16"/>
  <c r="Y2" i="3"/>
  <c r="E2" i="9"/>
  <c r="E5" i="9"/>
  <c r="E13" i="9"/>
  <c r="E17" i="9"/>
  <c r="E21" i="9"/>
  <c r="E25" i="9"/>
  <c r="E29" i="9"/>
  <c r="E33" i="9"/>
  <c r="E37" i="9"/>
  <c r="E41" i="9"/>
  <c r="E6" i="9"/>
  <c r="F6" i="9" s="1"/>
  <c r="E10" i="9"/>
  <c r="F10" i="9" s="1"/>
  <c r="E14" i="9"/>
  <c r="F14" i="9" s="1"/>
  <c r="E18" i="9"/>
  <c r="F18" i="9" s="1"/>
  <c r="E22" i="9"/>
  <c r="F22" i="9" s="1"/>
  <c r="E26" i="9"/>
  <c r="E30" i="9"/>
  <c r="F30" i="9" s="1"/>
  <c r="E34" i="9"/>
  <c r="F34" i="9" s="1"/>
  <c r="E38" i="9"/>
  <c r="F38" i="9" s="1"/>
  <c r="E42" i="9"/>
  <c r="F42" i="9" s="1"/>
  <c r="E3" i="9"/>
  <c r="F3" i="9" s="1"/>
  <c r="E7" i="9"/>
  <c r="F7" i="9" s="1"/>
  <c r="E11" i="9"/>
  <c r="F11" i="9" s="1"/>
  <c r="E19" i="9"/>
  <c r="F19" i="9" s="1"/>
  <c r="E23" i="9"/>
  <c r="F23" i="9" s="1"/>
  <c r="E27" i="9"/>
  <c r="E31" i="9"/>
  <c r="F31" i="9" s="1"/>
  <c r="E35" i="9"/>
  <c r="F35" i="9" s="1"/>
  <c r="E39" i="9"/>
  <c r="F39" i="9" s="1"/>
  <c r="E43" i="9"/>
  <c r="F43" i="9" s="1"/>
  <c r="E8" i="9"/>
  <c r="F8" i="9" s="1"/>
  <c r="E12" i="9"/>
  <c r="F12" i="9" s="1"/>
  <c r="E16" i="9"/>
  <c r="F16" i="9" s="1"/>
  <c r="E20" i="9"/>
  <c r="F20" i="9" s="1"/>
  <c r="E24" i="9"/>
  <c r="F24" i="9" s="1"/>
  <c r="E28" i="9"/>
  <c r="E32" i="9"/>
  <c r="F32" i="9" s="1"/>
  <c r="E36" i="9"/>
  <c r="F36" i="9" s="1"/>
  <c r="E40" i="9"/>
  <c r="F40" i="9" s="1"/>
  <c r="E44" i="9"/>
  <c r="F44" i="9" s="1"/>
  <c r="E2" i="10"/>
  <c r="E6" i="10"/>
  <c r="E10" i="10"/>
  <c r="E14" i="10"/>
  <c r="E17" i="10"/>
  <c r="E21" i="10"/>
  <c r="E25" i="10"/>
  <c r="H19" i="10"/>
  <c r="H23" i="10"/>
  <c r="H4" i="10"/>
  <c r="H8" i="10"/>
  <c r="H12" i="10"/>
  <c r="H16" i="10"/>
  <c r="E3" i="10"/>
  <c r="E7" i="10"/>
  <c r="E11" i="10"/>
  <c r="E15" i="10"/>
  <c r="E18" i="10"/>
  <c r="E22" i="10"/>
  <c r="H20" i="10"/>
  <c r="H24" i="10"/>
  <c r="H5" i="10"/>
  <c r="H9" i="10"/>
  <c r="H13" i="10"/>
  <c r="H51" i="10"/>
  <c r="E4" i="10"/>
  <c r="E8" i="10"/>
  <c r="E12" i="10"/>
  <c r="E16" i="10"/>
  <c r="E19" i="10"/>
  <c r="E23" i="10"/>
  <c r="H17" i="10"/>
  <c r="H21" i="10"/>
  <c r="H25" i="10"/>
  <c r="H6" i="10"/>
  <c r="H10" i="10"/>
  <c r="H14" i="10"/>
  <c r="H2" i="10"/>
  <c r="E5" i="10"/>
  <c r="E9" i="10"/>
  <c r="E13" i="10"/>
  <c r="E51" i="10"/>
  <c r="E20" i="10"/>
  <c r="E24" i="10"/>
  <c r="H18" i="10"/>
  <c r="H22" i="10"/>
  <c r="H7" i="10"/>
  <c r="H11" i="10"/>
  <c r="H15" i="10"/>
  <c r="AM323" i="16" l="1"/>
  <c r="AM319" i="16"/>
  <c r="AL10" i="16"/>
  <c r="AL11" i="16"/>
  <c r="AL9" i="16"/>
  <c r="AL14" i="16"/>
  <c r="AL13" i="16"/>
  <c r="AL12" i="16"/>
  <c r="E4" i="9"/>
  <c r="F4" i="9" s="1"/>
  <c r="E15" i="9"/>
  <c r="H3" i="10"/>
  <c r="E9" i="9"/>
  <c r="G7" i="10"/>
  <c r="F7" i="10"/>
  <c r="F10" i="10"/>
  <c r="G10" i="10"/>
  <c r="F17" i="10"/>
  <c r="G17" i="10"/>
  <c r="F13" i="10"/>
  <c r="G13" i="10"/>
  <c r="F20" i="10"/>
  <c r="G20" i="10"/>
  <c r="F16" i="10"/>
  <c r="G16" i="10"/>
  <c r="G23" i="10"/>
  <c r="F23" i="10"/>
  <c r="Z2" i="10"/>
  <c r="AA2" i="10" s="1"/>
  <c r="AB2" i="10" s="1"/>
  <c r="AC2" i="10" s="1"/>
  <c r="AD2" i="10" s="1"/>
  <c r="AE2" i="10" s="1"/>
  <c r="U2" i="10"/>
  <c r="V2" i="10" s="1"/>
  <c r="W2" i="10" s="1"/>
  <c r="X2" i="10" s="1"/>
  <c r="Y2" i="10" s="1"/>
  <c r="U18" i="10"/>
  <c r="V18" i="10" s="1"/>
  <c r="W18" i="10" s="1"/>
  <c r="X18" i="10" s="1"/>
  <c r="Y18" i="10" s="1"/>
  <c r="Z18" i="10"/>
  <c r="AA18" i="10" s="1"/>
  <c r="AB18" i="10" s="1"/>
  <c r="AC18" i="10" s="1"/>
  <c r="AD18" i="10" s="1"/>
  <c r="AE18" i="10" s="1"/>
  <c r="Z20" i="10"/>
  <c r="AA20" i="10" s="1"/>
  <c r="AB20" i="10" s="1"/>
  <c r="AC20" i="10" s="1"/>
  <c r="AD20" i="10" s="1"/>
  <c r="AE20" i="10" s="1"/>
  <c r="U20" i="10"/>
  <c r="V20" i="10" s="1"/>
  <c r="W20" i="10" s="1"/>
  <c r="X20" i="10" s="1"/>
  <c r="Y20" i="10" s="1"/>
  <c r="Z9" i="10"/>
  <c r="AA9" i="10" s="1"/>
  <c r="AB9" i="10" s="1"/>
  <c r="AC9" i="10" s="1"/>
  <c r="AD9" i="10" s="1"/>
  <c r="AE9" i="10" s="1"/>
  <c r="U9" i="10"/>
  <c r="V9" i="10" s="1"/>
  <c r="W9" i="10" s="1"/>
  <c r="X9" i="10" s="1"/>
  <c r="Y9" i="10" s="1"/>
  <c r="Z21" i="10"/>
  <c r="AA21" i="10" s="1"/>
  <c r="AB21" i="10" s="1"/>
  <c r="AC21" i="10" s="1"/>
  <c r="AD21" i="10" s="1"/>
  <c r="AE21" i="10" s="1"/>
  <c r="U21" i="10"/>
  <c r="V21" i="10" s="1"/>
  <c r="W21" i="10" s="1"/>
  <c r="X21" i="10" s="1"/>
  <c r="Y21" i="10" s="1"/>
  <c r="Z51" i="10"/>
  <c r="AA51" i="10" s="1"/>
  <c r="AB51" i="10" s="1"/>
  <c r="AC51" i="10" s="1"/>
  <c r="AD51" i="10" s="1"/>
  <c r="AE51" i="10" s="1"/>
  <c r="U51" i="10"/>
  <c r="V51" i="10" s="1"/>
  <c r="W51" i="10" s="1"/>
  <c r="X51" i="10" s="1"/>
  <c r="Y51" i="10" s="1"/>
  <c r="Z25" i="10"/>
  <c r="AA25" i="10" s="1"/>
  <c r="AB25" i="10" s="1"/>
  <c r="AC25" i="10" s="1"/>
  <c r="AD25" i="10" s="1"/>
  <c r="AE25" i="10" s="1"/>
  <c r="U25" i="10"/>
  <c r="V25" i="10" s="1"/>
  <c r="W25" i="10" s="1"/>
  <c r="X25" i="10" s="1"/>
  <c r="Y25" i="10" s="1"/>
  <c r="G37" i="9"/>
  <c r="G21" i="9"/>
  <c r="F21" i="9"/>
  <c r="G5" i="9"/>
  <c r="Z27" i="9"/>
  <c r="AA27" i="9" s="1"/>
  <c r="AB27" i="9" s="1"/>
  <c r="AC27" i="9" s="1"/>
  <c r="AD27" i="9" s="1"/>
  <c r="AE27" i="9" s="1"/>
  <c r="U27" i="9"/>
  <c r="V27" i="9" s="1"/>
  <c r="W27" i="9" s="1"/>
  <c r="X27" i="9" s="1"/>
  <c r="Y27" i="9" s="1"/>
  <c r="U13" i="9"/>
  <c r="V13" i="9" s="1"/>
  <c r="W13" i="9" s="1"/>
  <c r="X13" i="9" s="1"/>
  <c r="Y13" i="9" s="1"/>
  <c r="Z13" i="9"/>
  <c r="AA13" i="9" s="1"/>
  <c r="AB13" i="9" s="1"/>
  <c r="AC13" i="9" s="1"/>
  <c r="AD13" i="9" s="1"/>
  <c r="AE13" i="9" s="1"/>
  <c r="Z41" i="9"/>
  <c r="AA41" i="9" s="1"/>
  <c r="AB41" i="9" s="1"/>
  <c r="AC41" i="9" s="1"/>
  <c r="AD41" i="9" s="1"/>
  <c r="AE41" i="9" s="1"/>
  <c r="U41" i="9"/>
  <c r="V41" i="9" s="1"/>
  <c r="W41" i="9" s="1"/>
  <c r="X41" i="9" s="1"/>
  <c r="Y41" i="9" s="1"/>
  <c r="G44" i="9"/>
  <c r="F28" i="9"/>
  <c r="G28" i="9"/>
  <c r="G12" i="9"/>
  <c r="U21" i="9"/>
  <c r="V21" i="9" s="1"/>
  <c r="W21" i="9" s="1"/>
  <c r="X21" i="9" s="1"/>
  <c r="Y21" i="9" s="1"/>
  <c r="Z21" i="9"/>
  <c r="AA21" i="9" s="1"/>
  <c r="AB21" i="9" s="1"/>
  <c r="AC21" i="9" s="1"/>
  <c r="AD21" i="9" s="1"/>
  <c r="AE21" i="9" s="1"/>
  <c r="U4" i="9"/>
  <c r="V4" i="9" s="1"/>
  <c r="W4" i="9" s="1"/>
  <c r="X4" i="9" s="1"/>
  <c r="Y4" i="9" s="1"/>
  <c r="Z4" i="9"/>
  <c r="AA4" i="9" s="1"/>
  <c r="AB4" i="9" s="1"/>
  <c r="AC4" i="9" s="1"/>
  <c r="AD4" i="9" s="1"/>
  <c r="AE4" i="9" s="1"/>
  <c r="U32" i="9"/>
  <c r="V32" i="9" s="1"/>
  <c r="W32" i="9" s="1"/>
  <c r="X32" i="9" s="1"/>
  <c r="Y32" i="9" s="1"/>
  <c r="Z32" i="9"/>
  <c r="AA32" i="9" s="1"/>
  <c r="AB32" i="9" s="1"/>
  <c r="AC32" i="9" s="1"/>
  <c r="AD32" i="9" s="1"/>
  <c r="AE32" i="9" s="1"/>
  <c r="G35" i="9"/>
  <c r="G19" i="9"/>
  <c r="G3" i="9"/>
  <c r="Z25" i="9"/>
  <c r="AA25" i="9" s="1"/>
  <c r="AB25" i="9" s="1"/>
  <c r="AC25" i="9" s="1"/>
  <c r="AD25" i="9" s="1"/>
  <c r="AE25" i="9" s="1"/>
  <c r="U25" i="9"/>
  <c r="V25" i="9" s="1"/>
  <c r="W25" i="9" s="1"/>
  <c r="X25" i="9" s="1"/>
  <c r="Y25" i="9" s="1"/>
  <c r="U7" i="9"/>
  <c r="V7" i="9" s="1"/>
  <c r="W7" i="9" s="1"/>
  <c r="X7" i="9" s="1"/>
  <c r="Y7" i="9" s="1"/>
  <c r="Z7" i="9"/>
  <c r="AA7" i="9" s="1"/>
  <c r="AB7" i="9" s="1"/>
  <c r="AC7" i="9" s="1"/>
  <c r="AD7" i="9" s="1"/>
  <c r="AE7" i="9" s="1"/>
  <c r="U31" i="9"/>
  <c r="V31" i="9" s="1"/>
  <c r="W31" i="9" s="1"/>
  <c r="X31" i="9" s="1"/>
  <c r="Y31" i="9" s="1"/>
  <c r="Z31" i="9"/>
  <c r="AA31" i="9" s="1"/>
  <c r="AB31" i="9" s="1"/>
  <c r="AC31" i="9" s="1"/>
  <c r="AD31" i="9" s="1"/>
  <c r="AE31" i="9" s="1"/>
  <c r="G30" i="9"/>
  <c r="G14" i="9"/>
  <c r="F37" i="9"/>
  <c r="F5" i="9"/>
  <c r="U14" i="9"/>
  <c r="V14" i="9" s="1"/>
  <c r="W14" i="9" s="1"/>
  <c r="X14" i="9" s="1"/>
  <c r="Y14" i="9" s="1"/>
  <c r="Z14" i="9"/>
  <c r="AA14" i="9" s="1"/>
  <c r="AB14" i="9" s="1"/>
  <c r="AC14" i="9" s="1"/>
  <c r="AD14" i="9" s="1"/>
  <c r="AE14" i="9" s="1"/>
  <c r="U38" i="9"/>
  <c r="V38" i="9" s="1"/>
  <c r="W38" i="9" s="1"/>
  <c r="X38" i="9" s="1"/>
  <c r="Y38" i="9" s="1"/>
  <c r="Z38" i="9"/>
  <c r="AA38" i="9" s="1"/>
  <c r="AB38" i="9" s="1"/>
  <c r="AC38" i="9" s="1"/>
  <c r="AD38" i="9" s="1"/>
  <c r="AE38" i="9" s="1"/>
  <c r="F3" i="10"/>
  <c r="G3" i="10"/>
  <c r="G6" i="10"/>
  <c r="F6" i="10"/>
  <c r="F9" i="10"/>
  <c r="G9" i="10"/>
  <c r="F12" i="10"/>
  <c r="G12" i="10"/>
  <c r="F19" i="10"/>
  <c r="G19" i="10"/>
  <c r="Z6" i="10"/>
  <c r="AA6" i="10" s="1"/>
  <c r="AB6" i="10" s="1"/>
  <c r="AC6" i="10" s="1"/>
  <c r="AD6" i="10" s="1"/>
  <c r="AE6" i="10" s="1"/>
  <c r="U6" i="10"/>
  <c r="V6" i="10" s="1"/>
  <c r="W6" i="10" s="1"/>
  <c r="X6" i="10" s="1"/>
  <c r="Y6" i="10" s="1"/>
  <c r="U5" i="10"/>
  <c r="V5" i="10" s="1"/>
  <c r="W5" i="10" s="1"/>
  <c r="X5" i="10" s="1"/>
  <c r="Y5" i="10" s="1"/>
  <c r="Z5" i="10"/>
  <c r="AA5" i="10" s="1"/>
  <c r="AB5" i="10" s="1"/>
  <c r="AC5" i="10" s="1"/>
  <c r="AD5" i="10" s="1"/>
  <c r="AE5" i="10" s="1"/>
  <c r="U7" i="10"/>
  <c r="V7" i="10" s="1"/>
  <c r="W7" i="10" s="1"/>
  <c r="X7" i="10" s="1"/>
  <c r="Y7" i="10" s="1"/>
  <c r="Z7" i="10"/>
  <c r="AA7" i="10" s="1"/>
  <c r="AB7" i="10" s="1"/>
  <c r="AC7" i="10" s="1"/>
  <c r="AD7" i="10" s="1"/>
  <c r="AE7" i="10" s="1"/>
  <c r="Z12" i="10"/>
  <c r="AA12" i="10" s="1"/>
  <c r="AB12" i="10" s="1"/>
  <c r="AC12" i="10" s="1"/>
  <c r="AD12" i="10" s="1"/>
  <c r="AE12" i="10" s="1"/>
  <c r="U12" i="10"/>
  <c r="V12" i="10" s="1"/>
  <c r="W12" i="10" s="1"/>
  <c r="X12" i="10" s="1"/>
  <c r="Y12" i="10" s="1"/>
  <c r="U3" i="10"/>
  <c r="V3" i="10" s="1"/>
  <c r="W3" i="10" s="1"/>
  <c r="X3" i="10" s="1"/>
  <c r="Y3" i="10" s="1"/>
  <c r="Z3" i="10"/>
  <c r="AA3" i="10" s="1"/>
  <c r="AB3" i="10" s="1"/>
  <c r="AC3" i="10" s="1"/>
  <c r="AD3" i="10" s="1"/>
  <c r="AE3" i="10" s="1"/>
  <c r="Z17" i="10"/>
  <c r="AA17" i="10" s="1"/>
  <c r="AB17" i="10" s="1"/>
  <c r="AC17" i="10" s="1"/>
  <c r="AD17" i="10" s="1"/>
  <c r="AE17" i="10" s="1"/>
  <c r="U17" i="10"/>
  <c r="V17" i="10" s="1"/>
  <c r="W17" i="10" s="1"/>
  <c r="X17" i="10" s="1"/>
  <c r="Y17" i="10" s="1"/>
  <c r="G33" i="9"/>
  <c r="G17" i="9"/>
  <c r="F17" i="9"/>
  <c r="U23" i="9"/>
  <c r="V23" i="9" s="1"/>
  <c r="W23" i="9" s="1"/>
  <c r="X23" i="9" s="1"/>
  <c r="Y23" i="9" s="1"/>
  <c r="Z23" i="9"/>
  <c r="AA23" i="9" s="1"/>
  <c r="AB23" i="9" s="1"/>
  <c r="AC23" i="9" s="1"/>
  <c r="AD23" i="9" s="1"/>
  <c r="AE23" i="9" s="1"/>
  <c r="Z9" i="9"/>
  <c r="AA9" i="9" s="1"/>
  <c r="AB9" i="9" s="1"/>
  <c r="AC9" i="9" s="1"/>
  <c r="AD9" i="9" s="1"/>
  <c r="AE9" i="9" s="1"/>
  <c r="U9" i="9"/>
  <c r="V9" i="9" s="1"/>
  <c r="W9" i="9" s="1"/>
  <c r="X9" i="9" s="1"/>
  <c r="Y9" i="9" s="1"/>
  <c r="U37" i="9"/>
  <c r="V37" i="9" s="1"/>
  <c r="W37" i="9" s="1"/>
  <c r="X37" i="9" s="1"/>
  <c r="Y37" i="9" s="1"/>
  <c r="Z37" i="9"/>
  <c r="AA37" i="9" s="1"/>
  <c r="AB37" i="9" s="1"/>
  <c r="AC37" i="9" s="1"/>
  <c r="AD37" i="9" s="1"/>
  <c r="AE37" i="9" s="1"/>
  <c r="G40" i="9"/>
  <c r="G24" i="9"/>
  <c r="G8" i="9"/>
  <c r="U15" i="9"/>
  <c r="V15" i="9" s="1"/>
  <c r="W15" i="9" s="1"/>
  <c r="X15" i="9" s="1"/>
  <c r="Y15" i="9" s="1"/>
  <c r="Z15" i="9"/>
  <c r="AA15" i="9" s="1"/>
  <c r="AB15" i="9" s="1"/>
  <c r="AC15" i="9" s="1"/>
  <c r="AD15" i="9" s="1"/>
  <c r="AE15" i="9" s="1"/>
  <c r="U44" i="9"/>
  <c r="V44" i="9" s="1"/>
  <c r="W44" i="9" s="1"/>
  <c r="X44" i="9" s="1"/>
  <c r="Y44" i="9" s="1"/>
  <c r="Z44" i="9"/>
  <c r="AA44" i="9" s="1"/>
  <c r="AB44" i="9" s="1"/>
  <c r="AC44" i="9" s="1"/>
  <c r="AD44" i="9" s="1"/>
  <c r="AE44" i="9" s="1"/>
  <c r="G31" i="9"/>
  <c r="G15" i="9"/>
  <c r="U22" i="9"/>
  <c r="V22" i="9" s="1"/>
  <c r="W22" i="9" s="1"/>
  <c r="X22" i="9" s="1"/>
  <c r="Y22" i="9" s="1"/>
  <c r="Z22" i="9"/>
  <c r="AA22" i="9" s="1"/>
  <c r="AB22" i="9" s="1"/>
  <c r="AC22" i="9" s="1"/>
  <c r="AD22" i="9" s="1"/>
  <c r="AE22" i="9" s="1"/>
  <c r="U3" i="9"/>
  <c r="V3" i="9" s="1"/>
  <c r="W3" i="9" s="1"/>
  <c r="X3" i="9" s="1"/>
  <c r="Y3" i="9" s="1"/>
  <c r="Z3" i="9"/>
  <c r="AA3" i="9" s="1"/>
  <c r="AB3" i="9" s="1"/>
  <c r="AC3" i="9" s="1"/>
  <c r="AD3" i="9" s="1"/>
  <c r="AE3" i="9" s="1"/>
  <c r="U43" i="9"/>
  <c r="V43" i="9" s="1"/>
  <c r="W43" i="9" s="1"/>
  <c r="X43" i="9" s="1"/>
  <c r="Y43" i="9" s="1"/>
  <c r="Z43" i="9"/>
  <c r="AA43" i="9" s="1"/>
  <c r="AB43" i="9" s="1"/>
  <c r="AC43" i="9" s="1"/>
  <c r="AD43" i="9" s="1"/>
  <c r="AE43" i="9" s="1"/>
  <c r="G42" i="9"/>
  <c r="F26" i="9"/>
  <c r="G26" i="9"/>
  <c r="G10" i="9"/>
  <c r="F33" i="9"/>
  <c r="Z24" i="9"/>
  <c r="AA24" i="9" s="1"/>
  <c r="AB24" i="9" s="1"/>
  <c r="AC24" i="9" s="1"/>
  <c r="AD24" i="9" s="1"/>
  <c r="AE24" i="9" s="1"/>
  <c r="U24" i="9"/>
  <c r="V24" i="9" s="1"/>
  <c r="W24" i="9" s="1"/>
  <c r="X24" i="9" s="1"/>
  <c r="Y24" i="9" s="1"/>
  <c r="Z10" i="9"/>
  <c r="AA10" i="9" s="1"/>
  <c r="AB10" i="9" s="1"/>
  <c r="AC10" i="9" s="1"/>
  <c r="AD10" i="9" s="1"/>
  <c r="AE10" i="9" s="1"/>
  <c r="U10" i="9"/>
  <c r="V10" i="9" s="1"/>
  <c r="W10" i="9" s="1"/>
  <c r="X10" i="9" s="1"/>
  <c r="Y10" i="9" s="1"/>
  <c r="U34" i="9"/>
  <c r="V34" i="9" s="1"/>
  <c r="W34" i="9" s="1"/>
  <c r="X34" i="9" s="1"/>
  <c r="Y34" i="9" s="1"/>
  <c r="Z34" i="9"/>
  <c r="AA34" i="9" s="1"/>
  <c r="AB34" i="9" s="1"/>
  <c r="AC34" i="9" s="1"/>
  <c r="AD34" i="9" s="1"/>
  <c r="AE34" i="9" s="1"/>
  <c r="G15" i="10"/>
  <c r="F15" i="10"/>
  <c r="G22" i="10"/>
  <c r="F22" i="10"/>
  <c r="F2" i="10"/>
  <c r="G2" i="10"/>
  <c r="F25" i="10"/>
  <c r="G25" i="10"/>
  <c r="G5" i="10"/>
  <c r="F5" i="10"/>
  <c r="F8" i="10"/>
  <c r="G8" i="10"/>
  <c r="U22" i="10"/>
  <c r="V22" i="10" s="1"/>
  <c r="W22" i="10" s="1"/>
  <c r="X22" i="10" s="1"/>
  <c r="Y22" i="10" s="1"/>
  <c r="Z22" i="10"/>
  <c r="AA22" i="10" s="1"/>
  <c r="AB22" i="10" s="1"/>
  <c r="AC22" i="10" s="1"/>
  <c r="AD22" i="10" s="1"/>
  <c r="AE22" i="10" s="1"/>
  <c r="Z8" i="10"/>
  <c r="AA8" i="10" s="1"/>
  <c r="AB8" i="10" s="1"/>
  <c r="AC8" i="10" s="1"/>
  <c r="AD8" i="10" s="1"/>
  <c r="AE8" i="10" s="1"/>
  <c r="U8" i="10"/>
  <c r="V8" i="10" s="1"/>
  <c r="W8" i="10" s="1"/>
  <c r="X8" i="10" s="1"/>
  <c r="Y8" i="10" s="1"/>
  <c r="U11" i="10"/>
  <c r="V11" i="10" s="1"/>
  <c r="W11" i="10" s="1"/>
  <c r="X11" i="10" s="1"/>
  <c r="Y11" i="10" s="1"/>
  <c r="Z11" i="10"/>
  <c r="AA11" i="10" s="1"/>
  <c r="AB11" i="10" s="1"/>
  <c r="AC11" i="10" s="1"/>
  <c r="AD11" i="10" s="1"/>
  <c r="AE11" i="10" s="1"/>
  <c r="Z16" i="10"/>
  <c r="AA16" i="10" s="1"/>
  <c r="AB16" i="10" s="1"/>
  <c r="AC16" i="10" s="1"/>
  <c r="AD16" i="10" s="1"/>
  <c r="AE16" i="10" s="1"/>
  <c r="U16" i="10"/>
  <c r="V16" i="10" s="1"/>
  <c r="W16" i="10" s="1"/>
  <c r="X16" i="10" s="1"/>
  <c r="Y16" i="10" s="1"/>
  <c r="Z13" i="10"/>
  <c r="AA13" i="10" s="1"/>
  <c r="AB13" i="10" s="1"/>
  <c r="AC13" i="10" s="1"/>
  <c r="AD13" i="10" s="1"/>
  <c r="AE13" i="10" s="1"/>
  <c r="U13" i="10"/>
  <c r="V13" i="10" s="1"/>
  <c r="W13" i="10" s="1"/>
  <c r="X13" i="10" s="1"/>
  <c r="Y13" i="10" s="1"/>
  <c r="Z23" i="10"/>
  <c r="AA23" i="10" s="1"/>
  <c r="AB23" i="10" s="1"/>
  <c r="AC23" i="10" s="1"/>
  <c r="AD23" i="10" s="1"/>
  <c r="AE23" i="10" s="1"/>
  <c r="U23" i="10"/>
  <c r="V23" i="10" s="1"/>
  <c r="W23" i="10" s="1"/>
  <c r="X23" i="10" s="1"/>
  <c r="Y23" i="10" s="1"/>
  <c r="F2" i="9"/>
  <c r="G2" i="9"/>
  <c r="G29" i="9"/>
  <c r="G13" i="9"/>
  <c r="U19" i="9"/>
  <c r="V19" i="9" s="1"/>
  <c r="W19" i="9" s="1"/>
  <c r="X19" i="9" s="1"/>
  <c r="Y19" i="9" s="1"/>
  <c r="Z19" i="9"/>
  <c r="AA19" i="9" s="1"/>
  <c r="AB19" i="9" s="1"/>
  <c r="AC19" i="9" s="1"/>
  <c r="AD19" i="9" s="1"/>
  <c r="AE19" i="9" s="1"/>
  <c r="U5" i="9"/>
  <c r="V5" i="9" s="1"/>
  <c r="W5" i="9" s="1"/>
  <c r="X5" i="9" s="1"/>
  <c r="Y5" i="9" s="1"/>
  <c r="Z5" i="9"/>
  <c r="AA5" i="9" s="1"/>
  <c r="AB5" i="9" s="1"/>
  <c r="AC5" i="9" s="1"/>
  <c r="AD5" i="9" s="1"/>
  <c r="AE5" i="9" s="1"/>
  <c r="Z33" i="9"/>
  <c r="AA33" i="9" s="1"/>
  <c r="AB33" i="9" s="1"/>
  <c r="AC33" i="9" s="1"/>
  <c r="AD33" i="9" s="1"/>
  <c r="AE33" i="9" s="1"/>
  <c r="U33" i="9"/>
  <c r="V33" i="9" s="1"/>
  <c r="W33" i="9" s="1"/>
  <c r="X33" i="9" s="1"/>
  <c r="Y33" i="9" s="1"/>
  <c r="G36" i="9"/>
  <c r="G20" i="9"/>
  <c r="G4" i="9"/>
  <c r="U2" i="9"/>
  <c r="V2" i="9" s="1"/>
  <c r="W2" i="9" s="1"/>
  <c r="X2" i="9" s="1"/>
  <c r="Y2" i="9" s="1"/>
  <c r="Z2" i="9"/>
  <c r="AA2" i="9" s="1"/>
  <c r="AB2" i="9" s="1"/>
  <c r="AC2" i="9" s="1"/>
  <c r="AD2" i="9" s="1"/>
  <c r="AE2" i="9" s="1"/>
  <c r="U12" i="9"/>
  <c r="V12" i="9" s="1"/>
  <c r="W12" i="9" s="1"/>
  <c r="X12" i="9" s="1"/>
  <c r="Y12" i="9" s="1"/>
  <c r="Z12" i="9"/>
  <c r="AA12" i="9" s="1"/>
  <c r="AB12" i="9" s="1"/>
  <c r="AC12" i="9" s="1"/>
  <c r="AD12" i="9" s="1"/>
  <c r="AE12" i="9" s="1"/>
  <c r="U40" i="9"/>
  <c r="V40" i="9" s="1"/>
  <c r="W40" i="9" s="1"/>
  <c r="X40" i="9" s="1"/>
  <c r="Y40" i="9" s="1"/>
  <c r="Z40" i="9"/>
  <c r="AA40" i="9" s="1"/>
  <c r="AB40" i="9" s="1"/>
  <c r="AC40" i="9" s="1"/>
  <c r="AD40" i="9" s="1"/>
  <c r="AE40" i="9" s="1"/>
  <c r="G43" i="9"/>
  <c r="F27" i="9"/>
  <c r="G27" i="9"/>
  <c r="G11" i="9"/>
  <c r="U17" i="9"/>
  <c r="V17" i="9" s="1"/>
  <c r="W17" i="9" s="1"/>
  <c r="X17" i="9" s="1"/>
  <c r="Y17" i="9" s="1"/>
  <c r="Z17" i="9"/>
  <c r="AA17" i="9" s="1"/>
  <c r="AB17" i="9" s="1"/>
  <c r="AC17" i="9" s="1"/>
  <c r="AD17" i="9" s="1"/>
  <c r="AE17" i="9" s="1"/>
  <c r="U39" i="9"/>
  <c r="V39" i="9" s="1"/>
  <c r="W39" i="9" s="1"/>
  <c r="X39" i="9" s="1"/>
  <c r="Y39" i="9" s="1"/>
  <c r="Z39" i="9"/>
  <c r="AA39" i="9" s="1"/>
  <c r="AB39" i="9" s="1"/>
  <c r="AC39" i="9" s="1"/>
  <c r="AD39" i="9" s="1"/>
  <c r="AE39" i="9" s="1"/>
  <c r="G38" i="9"/>
  <c r="G22" i="9"/>
  <c r="G6" i="9"/>
  <c r="F29" i="9"/>
  <c r="F13" i="9"/>
  <c r="U20" i="9"/>
  <c r="V20" i="9" s="1"/>
  <c r="W20" i="9" s="1"/>
  <c r="X20" i="9" s="1"/>
  <c r="Y20" i="9" s="1"/>
  <c r="Z20" i="9"/>
  <c r="AA20" i="9" s="1"/>
  <c r="AB20" i="9" s="1"/>
  <c r="AC20" i="9" s="1"/>
  <c r="AD20" i="9" s="1"/>
  <c r="AE20" i="9" s="1"/>
  <c r="U6" i="9"/>
  <c r="V6" i="9" s="1"/>
  <c r="W6" i="9" s="1"/>
  <c r="X6" i="9" s="1"/>
  <c r="Y6" i="9" s="1"/>
  <c r="Z6" i="9"/>
  <c r="AA6" i="9" s="1"/>
  <c r="AB6" i="9" s="1"/>
  <c r="AC6" i="9" s="1"/>
  <c r="AD6" i="9" s="1"/>
  <c r="AE6" i="9" s="1"/>
  <c r="U30" i="9"/>
  <c r="V30" i="9" s="1"/>
  <c r="W30" i="9" s="1"/>
  <c r="X30" i="9" s="1"/>
  <c r="Y30" i="9" s="1"/>
  <c r="Z30" i="9"/>
  <c r="AA30" i="9" s="1"/>
  <c r="AB30" i="9" s="1"/>
  <c r="AC30" i="9" s="1"/>
  <c r="AD30" i="9" s="1"/>
  <c r="AE30" i="9" s="1"/>
  <c r="G11" i="10"/>
  <c r="F11" i="10"/>
  <c r="G18" i="10"/>
  <c r="F18" i="10"/>
  <c r="G14" i="10"/>
  <c r="F14" i="10"/>
  <c r="F21" i="10"/>
  <c r="G21" i="10"/>
  <c r="F51" i="10"/>
  <c r="G51" i="10"/>
  <c r="F24" i="10"/>
  <c r="G24" i="10"/>
  <c r="G4" i="10"/>
  <c r="F4" i="10"/>
  <c r="U15" i="10"/>
  <c r="V15" i="10" s="1"/>
  <c r="W15" i="10" s="1"/>
  <c r="X15" i="10" s="1"/>
  <c r="Y15" i="10" s="1"/>
  <c r="Z15" i="10"/>
  <c r="AA15" i="10" s="1"/>
  <c r="AB15" i="10" s="1"/>
  <c r="AC15" i="10" s="1"/>
  <c r="AD15" i="10" s="1"/>
  <c r="AE15" i="10" s="1"/>
  <c r="Z10" i="10"/>
  <c r="AA10" i="10" s="1"/>
  <c r="AB10" i="10" s="1"/>
  <c r="AC10" i="10" s="1"/>
  <c r="AD10" i="10" s="1"/>
  <c r="AE10" i="10" s="1"/>
  <c r="U10" i="10"/>
  <c r="V10" i="10" s="1"/>
  <c r="W10" i="10" s="1"/>
  <c r="X10" i="10" s="1"/>
  <c r="Y10" i="10" s="1"/>
  <c r="Z4" i="10"/>
  <c r="AA4" i="10" s="1"/>
  <c r="AB4" i="10" s="1"/>
  <c r="AC4" i="10" s="1"/>
  <c r="AD4" i="10" s="1"/>
  <c r="AE4" i="10" s="1"/>
  <c r="U4" i="10"/>
  <c r="V4" i="10" s="1"/>
  <c r="W4" i="10" s="1"/>
  <c r="X4" i="10" s="1"/>
  <c r="Y4" i="10" s="1"/>
  <c r="Z19" i="10"/>
  <c r="AA19" i="10" s="1"/>
  <c r="AB19" i="10" s="1"/>
  <c r="AC19" i="10" s="1"/>
  <c r="AD19" i="10" s="1"/>
  <c r="AE19" i="10" s="1"/>
  <c r="U19" i="10"/>
  <c r="V19" i="10" s="1"/>
  <c r="W19" i="10" s="1"/>
  <c r="X19" i="10" s="1"/>
  <c r="Y19" i="10" s="1"/>
  <c r="Z14" i="10"/>
  <c r="AA14" i="10" s="1"/>
  <c r="AB14" i="10" s="1"/>
  <c r="AC14" i="10" s="1"/>
  <c r="AD14" i="10" s="1"/>
  <c r="AE14" i="10" s="1"/>
  <c r="U14" i="10"/>
  <c r="V14" i="10" s="1"/>
  <c r="W14" i="10" s="1"/>
  <c r="X14" i="10" s="1"/>
  <c r="Y14" i="10" s="1"/>
  <c r="Z24" i="10"/>
  <c r="AA24" i="10" s="1"/>
  <c r="AB24" i="10" s="1"/>
  <c r="AC24" i="10" s="1"/>
  <c r="AD24" i="10" s="1"/>
  <c r="AE24" i="10" s="1"/>
  <c r="U24" i="10"/>
  <c r="V24" i="10" s="1"/>
  <c r="W24" i="10" s="1"/>
  <c r="X24" i="10" s="1"/>
  <c r="Y24" i="10" s="1"/>
  <c r="G41" i="9"/>
  <c r="G25" i="9"/>
  <c r="F25" i="9"/>
  <c r="G9" i="9"/>
  <c r="U16" i="9"/>
  <c r="V16" i="9" s="1"/>
  <c r="W16" i="9" s="1"/>
  <c r="X16" i="9" s="1"/>
  <c r="Y16" i="9" s="1"/>
  <c r="Z16" i="9"/>
  <c r="AA16" i="9" s="1"/>
  <c r="AB16" i="9" s="1"/>
  <c r="AC16" i="9" s="1"/>
  <c r="AD16" i="9" s="1"/>
  <c r="AE16" i="9" s="1"/>
  <c r="U29" i="9"/>
  <c r="V29" i="9" s="1"/>
  <c r="W29" i="9" s="1"/>
  <c r="X29" i="9" s="1"/>
  <c r="Y29" i="9" s="1"/>
  <c r="Z29" i="9"/>
  <c r="AA29" i="9" s="1"/>
  <c r="AB29" i="9" s="1"/>
  <c r="AC29" i="9" s="1"/>
  <c r="AD29" i="9" s="1"/>
  <c r="AE29" i="9" s="1"/>
  <c r="G32" i="9"/>
  <c r="G16" i="9"/>
  <c r="Z26" i="9"/>
  <c r="AA26" i="9" s="1"/>
  <c r="AB26" i="9" s="1"/>
  <c r="AC26" i="9" s="1"/>
  <c r="AD26" i="9" s="1"/>
  <c r="AE26" i="9" s="1"/>
  <c r="U26" i="9"/>
  <c r="V26" i="9" s="1"/>
  <c r="W26" i="9" s="1"/>
  <c r="X26" i="9" s="1"/>
  <c r="Y26" i="9" s="1"/>
  <c r="Z8" i="9"/>
  <c r="AA8" i="9" s="1"/>
  <c r="AB8" i="9" s="1"/>
  <c r="AC8" i="9" s="1"/>
  <c r="AD8" i="9" s="1"/>
  <c r="AE8" i="9" s="1"/>
  <c r="U8" i="9"/>
  <c r="V8" i="9" s="1"/>
  <c r="W8" i="9" s="1"/>
  <c r="X8" i="9" s="1"/>
  <c r="Y8" i="9" s="1"/>
  <c r="U36" i="9"/>
  <c r="V36" i="9" s="1"/>
  <c r="W36" i="9" s="1"/>
  <c r="X36" i="9" s="1"/>
  <c r="Y36" i="9" s="1"/>
  <c r="Z36" i="9"/>
  <c r="AA36" i="9" s="1"/>
  <c r="AB36" i="9" s="1"/>
  <c r="AC36" i="9" s="1"/>
  <c r="AD36" i="9" s="1"/>
  <c r="AE36" i="9" s="1"/>
  <c r="G39" i="9"/>
  <c r="G23" i="9"/>
  <c r="G7" i="9"/>
  <c r="Z28" i="9"/>
  <c r="AA28" i="9" s="1"/>
  <c r="AB28" i="9" s="1"/>
  <c r="AC28" i="9" s="1"/>
  <c r="AD28" i="9" s="1"/>
  <c r="AE28" i="9" s="1"/>
  <c r="U28" i="9"/>
  <c r="V28" i="9" s="1"/>
  <c r="W28" i="9" s="1"/>
  <c r="X28" i="9" s="1"/>
  <c r="Y28" i="9" s="1"/>
  <c r="U11" i="9"/>
  <c r="V11" i="9" s="1"/>
  <c r="W11" i="9" s="1"/>
  <c r="X11" i="9" s="1"/>
  <c r="Y11" i="9" s="1"/>
  <c r="Z11" i="9"/>
  <c r="AA11" i="9" s="1"/>
  <c r="AB11" i="9" s="1"/>
  <c r="AC11" i="9" s="1"/>
  <c r="AD11" i="9" s="1"/>
  <c r="AE11" i="9" s="1"/>
  <c r="U35" i="9"/>
  <c r="V35" i="9" s="1"/>
  <c r="W35" i="9" s="1"/>
  <c r="X35" i="9" s="1"/>
  <c r="Y35" i="9" s="1"/>
  <c r="Z35" i="9"/>
  <c r="AA35" i="9" s="1"/>
  <c r="AB35" i="9" s="1"/>
  <c r="AC35" i="9" s="1"/>
  <c r="AD35" i="9" s="1"/>
  <c r="AE35" i="9" s="1"/>
  <c r="G34" i="9"/>
  <c r="G18" i="9"/>
  <c r="F41" i="9"/>
  <c r="U18" i="9"/>
  <c r="V18" i="9" s="1"/>
  <c r="W18" i="9" s="1"/>
  <c r="X18" i="9" s="1"/>
  <c r="Y18" i="9" s="1"/>
  <c r="Z18" i="9"/>
  <c r="AA18" i="9" s="1"/>
  <c r="AB18" i="9" s="1"/>
  <c r="AC18" i="9" s="1"/>
  <c r="AD18" i="9" s="1"/>
  <c r="AE18" i="9" s="1"/>
  <c r="U42" i="9"/>
  <c r="V42" i="9" s="1"/>
  <c r="W42" i="9" s="1"/>
  <c r="X42" i="9" s="1"/>
  <c r="Y42" i="9" s="1"/>
  <c r="Z42" i="9"/>
  <c r="AA42" i="9" s="1"/>
  <c r="AB42" i="9" s="1"/>
  <c r="AC42" i="9" s="1"/>
  <c r="AD42" i="9" s="1"/>
  <c r="AE42" i="9" s="1"/>
  <c r="F15" i="9" l="1"/>
  <c r="F9" i="9"/>
  <c r="L21" i="6"/>
  <c r="L27" i="6" s="1"/>
  <c r="N21" i="6"/>
  <c r="N27" i="6" s="1"/>
  <c r="O21" i="6"/>
  <c r="O27" i="6" s="1"/>
  <c r="Q21" i="6"/>
  <c r="U21" i="6"/>
  <c r="U27" i="6" s="1"/>
  <c r="V21" i="6"/>
  <c r="W21" i="6"/>
  <c r="W27" i="6" s="1"/>
  <c r="X21" i="6"/>
  <c r="X27" i="6" s="1"/>
  <c r="Y21" i="6"/>
  <c r="Y27" i="6" s="1"/>
  <c r="AA21" i="6"/>
  <c r="AA27" i="6" s="1"/>
  <c r="AB21" i="6"/>
  <c r="AB27" i="6" s="1"/>
  <c r="AC21" i="6"/>
  <c r="AC27" i="6" s="1"/>
  <c r="AD21" i="6"/>
  <c r="AD27" i="6" s="1"/>
  <c r="AE21" i="6"/>
  <c r="AE27" i="6" s="1"/>
  <c r="L22" i="6"/>
  <c r="L28" i="6" s="1"/>
  <c r="N22" i="6"/>
  <c r="N28" i="6" s="1"/>
  <c r="O22" i="6"/>
  <c r="O28" i="6" s="1"/>
  <c r="Q22" i="6"/>
  <c r="U22" i="6"/>
  <c r="U28" i="6" s="1"/>
  <c r="V22" i="6"/>
  <c r="V28" i="6" s="1"/>
  <c r="W22" i="6"/>
  <c r="W28" i="6" s="1"/>
  <c r="X22" i="6"/>
  <c r="X28" i="6" s="1"/>
  <c r="Y22" i="6"/>
  <c r="Y28" i="6" s="1"/>
  <c r="AA22" i="6"/>
  <c r="AA28" i="6" s="1"/>
  <c r="AB22" i="6"/>
  <c r="AB28" i="6" s="1"/>
  <c r="AC22" i="6"/>
  <c r="AC28" i="6" s="1"/>
  <c r="AD22" i="6"/>
  <c r="AD28" i="6" s="1"/>
  <c r="AE22" i="6"/>
  <c r="AE28" i="6" s="1"/>
  <c r="L23" i="6"/>
  <c r="L29" i="6" s="1"/>
  <c r="O23" i="6"/>
  <c r="O29" i="6" s="1"/>
  <c r="Q23" i="6"/>
  <c r="Q29" i="6" s="1"/>
  <c r="T23" i="6"/>
  <c r="T29" i="6" s="1"/>
  <c r="Z23" i="6"/>
  <c r="Z29" i="6" s="1"/>
  <c r="AA23" i="6"/>
  <c r="AA29" i="6" s="1"/>
  <c r="AB23" i="6"/>
  <c r="AB29" i="6" s="1"/>
  <c r="AC23" i="6"/>
  <c r="AC29" i="6" s="1"/>
  <c r="AD23" i="6"/>
  <c r="AD29" i="6" s="1"/>
  <c r="AE23" i="6"/>
  <c r="AE29" i="6" s="1"/>
  <c r="K21" i="6"/>
  <c r="K27" i="6" s="1"/>
  <c r="K22" i="6"/>
  <c r="K28" i="6" s="1"/>
  <c r="K23" i="6"/>
  <c r="K29" i="6" s="1"/>
  <c r="D21" i="6"/>
  <c r="E21" i="6"/>
  <c r="D22" i="6"/>
  <c r="D28" i="6" s="1"/>
  <c r="E22" i="6"/>
  <c r="D23" i="6"/>
  <c r="D29" i="6" s="1"/>
  <c r="E23" i="6"/>
  <c r="H29" i="6"/>
  <c r="H28" i="6"/>
  <c r="H27" i="6"/>
  <c r="H23" i="6"/>
  <c r="H22" i="6"/>
  <c r="H21" i="6"/>
  <c r="U12" i="6"/>
  <c r="U23" i="6" s="1"/>
  <c r="U29" i="6" s="1"/>
  <c r="N12" i="6"/>
  <c r="N23" i="6" s="1"/>
  <c r="N29" i="6" s="1"/>
  <c r="H12" i="6"/>
  <c r="G12" i="6"/>
  <c r="Z11" i="6"/>
  <c r="Z22" i="6" s="1"/>
  <c r="Z28" i="6" s="1"/>
  <c r="T11" i="6"/>
  <c r="T22" i="6" s="1"/>
  <c r="T28" i="6" s="1"/>
  <c r="H11" i="6"/>
  <c r="Z10" i="6"/>
  <c r="Z21" i="6" s="1"/>
  <c r="Z27" i="6" s="1"/>
  <c r="T10" i="6"/>
  <c r="T21" i="6" s="1"/>
  <c r="H10" i="6"/>
  <c r="G10" i="6"/>
  <c r="T2" i="6"/>
  <c r="H2" i="6"/>
  <c r="F2" i="6"/>
  <c r="C11" i="3"/>
  <c r="O11" i="3"/>
  <c r="Q11" i="3"/>
  <c r="O12" i="3"/>
  <c r="Q12" i="3"/>
  <c r="O13" i="3"/>
  <c r="N13" i="3"/>
  <c r="F7" i="3"/>
  <c r="N12" i="3"/>
  <c r="F6" i="3"/>
  <c r="N11" i="3"/>
  <c r="F5" i="3"/>
  <c r="N2" i="3"/>
  <c r="H2" i="3"/>
  <c r="F2" i="3"/>
  <c r="Y13" i="2"/>
  <c r="S13" i="2"/>
  <c r="U12" i="2"/>
  <c r="V12" i="2" s="1"/>
  <c r="W12" i="2" s="1"/>
  <c r="X12" i="2" s="1"/>
  <c r="N12" i="2"/>
  <c r="Y11" i="2"/>
  <c r="Y10" i="2"/>
  <c r="N8" i="2"/>
  <c r="N8" i="12" s="1"/>
  <c r="N7" i="2"/>
  <c r="N7" i="12" s="1"/>
  <c r="N6" i="2"/>
  <c r="N6" i="12" s="1"/>
  <c r="N5" i="2"/>
  <c r="N5" i="12" s="1"/>
  <c r="N4" i="2"/>
  <c r="N4" i="12" s="1"/>
  <c r="N3" i="2"/>
  <c r="N3" i="12" s="1"/>
  <c r="N2" i="2"/>
  <c r="N2" i="12" s="1"/>
  <c r="F3" i="1"/>
  <c r="F4" i="1"/>
  <c r="F5" i="1"/>
  <c r="F6" i="1"/>
  <c r="F7" i="1"/>
  <c r="F8" i="1"/>
  <c r="F9" i="1"/>
  <c r="F10" i="1"/>
  <c r="F11" i="1"/>
  <c r="F12" i="1"/>
  <c r="F13" i="1"/>
  <c r="F2" i="1"/>
  <c r="U13" i="1"/>
  <c r="O13" i="1"/>
  <c r="D13" i="1"/>
  <c r="E13" i="1" s="1"/>
  <c r="P12" i="1"/>
  <c r="Q12" i="1" s="1"/>
  <c r="R12" i="1" s="1"/>
  <c r="S12" i="1" s="1"/>
  <c r="T12" i="1" s="1"/>
  <c r="L12" i="1"/>
  <c r="D12" i="1"/>
  <c r="E12" i="1" s="1"/>
  <c r="U11" i="1"/>
  <c r="O11" i="1"/>
  <c r="D11" i="1"/>
  <c r="E11" i="1" s="1"/>
  <c r="U10" i="1"/>
  <c r="O10" i="1"/>
  <c r="D10" i="1"/>
  <c r="E10" i="1" s="1"/>
  <c r="U9" i="1"/>
  <c r="O9" i="1"/>
  <c r="D9" i="1"/>
  <c r="E9" i="1" s="1"/>
  <c r="L8" i="1"/>
  <c r="D8" i="1"/>
  <c r="E8" i="1" s="1"/>
  <c r="L7" i="1"/>
  <c r="D7" i="1"/>
  <c r="E7" i="1" s="1"/>
  <c r="L6" i="1"/>
  <c r="D6" i="1"/>
  <c r="E6" i="1" s="1"/>
  <c r="L5" i="1"/>
  <c r="D5" i="1"/>
  <c r="E5" i="1" s="1"/>
  <c r="L4" i="1"/>
  <c r="D4" i="1"/>
  <c r="E4" i="1" s="1"/>
  <c r="L3" i="1"/>
  <c r="D3" i="1"/>
  <c r="E3" i="1" s="1"/>
  <c r="L2" i="1"/>
  <c r="D2" i="1"/>
  <c r="E2" i="1" s="1"/>
  <c r="N15" i="12" l="1"/>
  <c r="N22" i="12" s="1"/>
  <c r="N9" i="12"/>
  <c r="N16" i="12" s="1"/>
  <c r="N11" i="12"/>
  <c r="N18" i="12" s="1"/>
  <c r="N14" i="12"/>
  <c r="N21" i="12" s="1"/>
  <c r="N10" i="12"/>
  <c r="N17" i="12" s="1"/>
  <c r="N12" i="12"/>
  <c r="N19" i="12" s="1"/>
  <c r="F11" i="3"/>
  <c r="N13" i="12"/>
  <c r="N20" i="12" s="1"/>
  <c r="V27" i="6"/>
  <c r="T27" i="6"/>
  <c r="D27" i="6"/>
  <c r="E27" i="6"/>
  <c r="F27" i="6" s="1"/>
  <c r="F21" i="6"/>
  <c r="E29" i="6"/>
  <c r="F29" i="6" s="1"/>
  <c r="F23" i="6"/>
  <c r="E28" i="6"/>
  <c r="F28" i="6" s="1"/>
  <c r="F22" i="6"/>
  <c r="G2" i="6"/>
  <c r="G7" i="3"/>
  <c r="G2" i="3"/>
  <c r="G5" i="3"/>
  <c r="G6" i="3"/>
  <c r="C12" i="3"/>
  <c r="H11" i="3"/>
  <c r="G11" i="6"/>
  <c r="V12" i="6"/>
  <c r="F12" i="3" l="1"/>
  <c r="C13" i="3"/>
  <c r="H12" i="3"/>
  <c r="W12" i="6"/>
  <c r="V23" i="6"/>
  <c r="V29" i="6" s="1"/>
  <c r="F13" i="3" l="1"/>
  <c r="C15" i="3"/>
  <c r="H13" i="3"/>
  <c r="X12" i="6"/>
  <c r="W23" i="6"/>
  <c r="W29" i="6" s="1"/>
  <c r="H15" i="3" l="1"/>
  <c r="F15" i="3"/>
  <c r="G15" i="3" s="1"/>
  <c r="C16" i="3"/>
  <c r="Y12" i="6"/>
  <c r="X23" i="6"/>
  <c r="X29" i="6" s="1"/>
  <c r="Y23" i="6" l="1"/>
  <c r="Y29" i="6" s="1"/>
  <c r="H16" i="3"/>
  <c r="F16" i="3"/>
  <c r="G16" i="3" s="1"/>
  <c r="C17" i="3"/>
  <c r="H17" i="3" l="1"/>
  <c r="C18" i="3"/>
  <c r="F17" i="3"/>
  <c r="G17" i="3" s="1"/>
  <c r="H18" i="3" l="1"/>
  <c r="F18" i="3"/>
  <c r="G18" i="3" s="1"/>
  <c r="C19" i="3"/>
  <c r="H19" i="3" l="1"/>
  <c r="F19" i="3"/>
  <c r="G19" i="3" s="1"/>
  <c r="C20" i="3"/>
  <c r="H20" i="3" l="1"/>
  <c r="F20" i="3"/>
  <c r="G20" i="3" s="1"/>
  <c r="C21" i="3"/>
  <c r="H21" i="3" l="1"/>
  <c r="F21" i="3"/>
  <c r="G21" i="3" s="1"/>
  <c r="C22" i="3"/>
  <c r="H22" i="3" l="1"/>
  <c r="F22" i="3"/>
  <c r="G22" i="3" s="1"/>
  <c r="C23" i="3"/>
  <c r="H23" i="3" l="1"/>
  <c r="F23" i="3"/>
  <c r="G23" i="3" s="1"/>
  <c r="C24" i="3"/>
  <c r="C25" i="3" s="1"/>
  <c r="H25" i="3" l="1"/>
  <c r="F25" i="3"/>
  <c r="G25" i="3" s="1"/>
  <c r="F24" i="3"/>
  <c r="G24" i="3" s="1"/>
  <c r="H24" i="3"/>
  <c r="V25" i="6" l="1"/>
  <c r="W25" i="6" s="1"/>
  <c r="X25" i="6" s="1"/>
  <c r="V26" i="6"/>
  <c r="W26" i="6" s="1"/>
  <c r="X26" i="6" s="1"/>
  <c r="V24" i="6"/>
  <c r="W24" i="6" l="1"/>
  <c r="X24" i="6" s="1"/>
  <c r="R159" i="16" l="1"/>
  <c r="R190" i="16" s="1"/>
  <c r="E207" i="16"/>
  <c r="H160" i="16"/>
  <c r="H191" i="16" s="1"/>
  <c r="E212" i="16"/>
  <c r="H189" i="16"/>
  <c r="R158" i="16"/>
  <c r="R189" i="16" s="1"/>
  <c r="R160" i="16"/>
  <c r="R191" i="16" s="1"/>
  <c r="H159" i="16"/>
  <c r="H190" i="16" s="1"/>
  <c r="E203" i="16"/>
  <c r="AC203" i="16" s="1"/>
  <c r="AM203" i="16" s="1"/>
  <c r="E206" i="16"/>
  <c r="AC206" i="16" s="1"/>
  <c r="AM206" i="16" s="1"/>
  <c r="E211" i="16"/>
  <c r="E204" i="16"/>
  <c r="AC204" i="16" s="1"/>
  <c r="AM204" i="16" s="1"/>
  <c r="E210" i="16"/>
  <c r="AC210" i="16" s="1"/>
  <c r="AM210" i="16" s="1"/>
  <c r="E208" i="16"/>
  <c r="T210" i="16" l="1"/>
  <c r="U210" i="16" s="1"/>
  <c r="V210" i="16" s="1"/>
  <c r="W210" i="16" s="1"/>
  <c r="X210" i="16" s="1"/>
  <c r="Y210" i="16" s="1"/>
  <c r="Z210" i="16" s="1"/>
  <c r="AA210" i="16" s="1"/>
  <c r="AB210" i="16" s="1"/>
  <c r="AD210" i="16"/>
  <c r="AE210" i="16" s="1"/>
  <c r="AF210" i="16" s="1"/>
  <c r="AG210" i="16" s="1"/>
  <c r="AH210" i="16" s="1"/>
  <c r="AI210" i="16" s="1"/>
  <c r="AJ210" i="16" s="1"/>
  <c r="AK210" i="16" s="1"/>
  <c r="AL210" i="16" s="1"/>
  <c r="T206" i="16"/>
  <c r="U206" i="16" s="1"/>
  <c r="V206" i="16" s="1"/>
  <c r="W206" i="16" s="1"/>
  <c r="X206" i="16" s="1"/>
  <c r="Y206" i="16" s="1"/>
  <c r="Z206" i="16" s="1"/>
  <c r="AA206" i="16" s="1"/>
  <c r="AB206" i="16" s="1"/>
  <c r="AD206" i="16"/>
  <c r="AE206" i="16" s="1"/>
  <c r="AF206" i="16" s="1"/>
  <c r="AG206" i="16" s="1"/>
  <c r="AH206" i="16" s="1"/>
  <c r="AI206" i="16" s="1"/>
  <c r="AJ206" i="16" s="1"/>
  <c r="AK206" i="16" s="1"/>
  <c r="AL206" i="16" s="1"/>
  <c r="T204" i="16"/>
  <c r="U204" i="16" s="1"/>
  <c r="V204" i="16" s="1"/>
  <c r="W204" i="16" s="1"/>
  <c r="X204" i="16" s="1"/>
  <c r="Y204" i="16" s="1"/>
  <c r="Z204" i="16" s="1"/>
  <c r="AA204" i="16" s="1"/>
  <c r="AB204" i="16" s="1"/>
  <c r="AD204" i="16"/>
  <c r="AE204" i="16" s="1"/>
  <c r="AF204" i="16" s="1"/>
  <c r="AG204" i="16" s="1"/>
  <c r="AH204" i="16" s="1"/>
  <c r="AI204" i="16" s="1"/>
  <c r="AJ204" i="16" s="1"/>
  <c r="AK204" i="16" s="1"/>
  <c r="AL204" i="16" s="1"/>
  <c r="T203" i="16"/>
  <c r="U203" i="16" s="1"/>
  <c r="V203" i="16" s="1"/>
  <c r="W203" i="16" s="1"/>
  <c r="X203" i="16" s="1"/>
  <c r="Y203" i="16" s="1"/>
  <c r="Z203" i="16" s="1"/>
  <c r="AA203" i="16" s="1"/>
  <c r="AB203" i="16" s="1"/>
  <c r="AD203" i="16"/>
  <c r="AE203" i="16" s="1"/>
  <c r="AF203" i="16" s="1"/>
  <c r="AG203" i="16" s="1"/>
  <c r="AH203" i="16" s="1"/>
  <c r="AI203" i="16" s="1"/>
  <c r="AJ203" i="16" s="1"/>
  <c r="AK203" i="16" s="1"/>
  <c r="AL203" i="16" s="1"/>
  <c r="AC212" i="16"/>
  <c r="AM212" i="16" s="1"/>
  <c r="AC211" i="16"/>
  <c r="AM211" i="16" s="1"/>
  <c r="AC208" i="16"/>
  <c r="AM208" i="16" s="1"/>
  <c r="AC207" i="16"/>
  <c r="AM207" i="16" s="1"/>
  <c r="J315" i="16"/>
  <c r="J314" i="16"/>
  <c r="I159" i="16"/>
  <c r="I190" i="16" s="1"/>
  <c r="T211" i="16" l="1"/>
  <c r="U211" i="16" s="1"/>
  <c r="V211" i="16" s="1"/>
  <c r="W211" i="16" s="1"/>
  <c r="X211" i="16" s="1"/>
  <c r="Y211" i="16" s="1"/>
  <c r="Z211" i="16" s="1"/>
  <c r="AA211" i="16" s="1"/>
  <c r="AB211" i="16" s="1"/>
  <c r="AD211" i="16"/>
  <c r="AE211" i="16" s="1"/>
  <c r="AF211" i="16" s="1"/>
  <c r="AG211" i="16" s="1"/>
  <c r="AH211" i="16" s="1"/>
  <c r="AI211" i="16" s="1"/>
  <c r="AJ211" i="16" s="1"/>
  <c r="AK211" i="16" s="1"/>
  <c r="AL211" i="16" s="1"/>
  <c r="T212" i="16"/>
  <c r="U212" i="16" s="1"/>
  <c r="V212" i="16" s="1"/>
  <c r="W212" i="16" s="1"/>
  <c r="X212" i="16" s="1"/>
  <c r="Y212" i="16" s="1"/>
  <c r="Z212" i="16" s="1"/>
  <c r="AA212" i="16" s="1"/>
  <c r="AB212" i="16" s="1"/>
  <c r="AD212" i="16"/>
  <c r="AE212" i="16" s="1"/>
  <c r="AF212" i="16" s="1"/>
  <c r="AG212" i="16" s="1"/>
  <c r="AH212" i="16" s="1"/>
  <c r="AI212" i="16" s="1"/>
  <c r="AJ212" i="16" s="1"/>
  <c r="AK212" i="16" s="1"/>
  <c r="AL212" i="16" s="1"/>
  <c r="T207" i="16"/>
  <c r="U207" i="16" s="1"/>
  <c r="V207" i="16" s="1"/>
  <c r="W207" i="16" s="1"/>
  <c r="X207" i="16" s="1"/>
  <c r="Y207" i="16" s="1"/>
  <c r="Z207" i="16" s="1"/>
  <c r="AA207" i="16" s="1"/>
  <c r="AB207" i="16" s="1"/>
  <c r="AD207" i="16"/>
  <c r="AE207" i="16" s="1"/>
  <c r="AF207" i="16" s="1"/>
  <c r="AG207" i="16" s="1"/>
  <c r="AH207" i="16" s="1"/>
  <c r="AI207" i="16" s="1"/>
  <c r="AJ207" i="16" s="1"/>
  <c r="AK207" i="16" s="1"/>
  <c r="AL207" i="16" s="1"/>
  <c r="T208" i="16"/>
  <c r="U208" i="16" s="1"/>
  <c r="V208" i="16" s="1"/>
  <c r="W208" i="16" s="1"/>
  <c r="X208" i="16" s="1"/>
  <c r="Y208" i="16" s="1"/>
  <c r="Z208" i="16" s="1"/>
  <c r="AA208" i="16" s="1"/>
  <c r="AB208" i="16" s="1"/>
  <c r="AD208" i="16"/>
  <c r="AE208" i="16" s="1"/>
  <c r="AF208" i="16" s="1"/>
  <c r="AG208" i="16" s="1"/>
  <c r="AH208" i="16" s="1"/>
  <c r="AI208" i="16" s="1"/>
  <c r="AJ208" i="16" s="1"/>
  <c r="AK208" i="16" s="1"/>
  <c r="AL208" i="16" s="1"/>
  <c r="T314" i="16"/>
  <c r="K316" i="16"/>
  <c r="K314" i="16"/>
  <c r="K315" i="16"/>
  <c r="J316" i="16"/>
  <c r="S6" i="16"/>
  <c r="S160" i="16"/>
  <c r="S191" i="16" s="1"/>
  <c r="I160" i="16"/>
  <c r="I191" i="16" s="1"/>
  <c r="I158" i="16"/>
  <c r="I189" i="16" s="1"/>
  <c r="S158" i="16"/>
  <c r="S189" i="16" s="1"/>
  <c r="J158" i="16"/>
  <c r="J189" i="16" s="1"/>
  <c r="T159" i="16"/>
  <c r="T190" i="16" s="1"/>
  <c r="J160" i="16"/>
  <c r="J191" i="16" s="1"/>
  <c r="L316" i="16"/>
  <c r="S159" i="16"/>
  <c r="S190" i="16" s="1"/>
  <c r="J159" i="16"/>
  <c r="J190" i="16" s="1"/>
  <c r="T316" i="16" l="1"/>
  <c r="T7" i="16"/>
  <c r="T8" i="16"/>
  <c r="U316" i="16"/>
  <c r="S7" i="16"/>
  <c r="T315" i="16"/>
  <c r="S8" i="16"/>
  <c r="U314" i="16"/>
  <c r="L315" i="16"/>
  <c r="U315" i="16"/>
  <c r="L314" i="16"/>
  <c r="T160" i="16"/>
  <c r="T191" i="16" s="1"/>
  <c r="T6" i="16"/>
  <c r="U8" i="16"/>
  <c r="U7" i="16"/>
  <c r="V316" i="16"/>
  <c r="T158" i="16"/>
  <c r="T189" i="16" s="1"/>
  <c r="K159" i="16"/>
  <c r="K190" i="16" s="1"/>
  <c r="K158" i="16"/>
  <c r="K189" i="16" s="1"/>
  <c r="U159" i="16"/>
  <c r="U190" i="16" s="1"/>
  <c r="M316" i="16"/>
  <c r="K160" i="16"/>
  <c r="K191" i="16" s="1"/>
  <c r="U160" i="16"/>
  <c r="U191" i="16" s="1"/>
  <c r="M314" i="16" l="1"/>
  <c r="V315" i="16"/>
  <c r="V314" i="16"/>
  <c r="M315" i="16"/>
  <c r="W316" i="16"/>
  <c r="U6" i="16"/>
  <c r="U158" i="16"/>
  <c r="U189" i="16" s="1"/>
  <c r="V7" i="16"/>
  <c r="V8" i="16"/>
  <c r="L158" i="16"/>
  <c r="L189" i="16" s="1"/>
  <c r="V160" i="16"/>
  <c r="V191" i="16" s="1"/>
  <c r="L160" i="16"/>
  <c r="L191" i="16" s="1"/>
  <c r="N316" i="16"/>
  <c r="V159" i="16"/>
  <c r="V190" i="16" s="1"/>
  <c r="L159" i="16"/>
  <c r="L190" i="16" s="1"/>
  <c r="X316" i="16" l="1"/>
  <c r="W315" i="16"/>
  <c r="W314" i="16"/>
  <c r="N314" i="16"/>
  <c r="N315" i="16"/>
  <c r="V6" i="16"/>
  <c r="V158" i="16"/>
  <c r="V189" i="16" s="1"/>
  <c r="W8" i="16"/>
  <c r="W7" i="16"/>
  <c r="M159" i="16"/>
  <c r="M190" i="16" s="1"/>
  <c r="W160" i="16"/>
  <c r="W191" i="16" s="1"/>
  <c r="O316" i="16"/>
  <c r="M160" i="16"/>
  <c r="M191" i="16" s="1"/>
  <c r="M158" i="16"/>
  <c r="M189" i="16" s="1"/>
  <c r="W159" i="16"/>
  <c r="W190" i="16" s="1"/>
  <c r="Y316" i="16" l="1"/>
  <c r="X315" i="16"/>
  <c r="X314" i="16"/>
  <c r="O314" i="16"/>
  <c r="O315" i="16"/>
  <c r="W6" i="16"/>
  <c r="W158" i="16"/>
  <c r="W189" i="16" s="1"/>
  <c r="X7" i="16"/>
  <c r="X8" i="16"/>
  <c r="X159" i="16"/>
  <c r="X190" i="16" s="1"/>
  <c r="N160" i="16"/>
  <c r="N191" i="16" s="1"/>
  <c r="P316" i="16"/>
  <c r="N158" i="16"/>
  <c r="N189" i="16" s="1"/>
  <c r="X160" i="16"/>
  <c r="X191" i="16" s="1"/>
  <c r="Z316" i="16"/>
  <c r="N159" i="16"/>
  <c r="N190" i="16" s="1"/>
  <c r="P315" i="16" l="1"/>
  <c r="Y315" i="16"/>
  <c r="Y314" i="16"/>
  <c r="P314" i="16"/>
  <c r="X6" i="16"/>
  <c r="X158" i="16"/>
  <c r="X189" i="16" s="1"/>
  <c r="Y8" i="16"/>
  <c r="Y7" i="16"/>
  <c r="O158" i="16"/>
  <c r="O189" i="16" s="1"/>
  <c r="O159" i="16"/>
  <c r="O190" i="16" s="1"/>
  <c r="AA316" i="16"/>
  <c r="Y160" i="16"/>
  <c r="Y191" i="16" s="1"/>
  <c r="Q316" i="16"/>
  <c r="O160" i="16"/>
  <c r="O191" i="16" s="1"/>
  <c r="Y159" i="16"/>
  <c r="Y190" i="16" s="1"/>
  <c r="Q315" i="16" l="1"/>
  <c r="Z314" i="16"/>
  <c r="Q314" i="16"/>
  <c r="Z315" i="16"/>
  <c r="Y6" i="16"/>
  <c r="Y158" i="16"/>
  <c r="Y189" i="16" s="1"/>
  <c r="Z7" i="16"/>
  <c r="Z8" i="16"/>
  <c r="Z159" i="16"/>
  <c r="Z190" i="16" s="1"/>
  <c r="Z160" i="16"/>
  <c r="Z191" i="16" s="1"/>
  <c r="AB316" i="16"/>
  <c r="P160" i="16"/>
  <c r="P191" i="16" s="1"/>
  <c r="R316" i="16"/>
  <c r="P159" i="16"/>
  <c r="P190" i="16" s="1"/>
  <c r="R314" i="16"/>
  <c r="P158" i="16"/>
  <c r="P189" i="16" s="1"/>
  <c r="AA314" i="16" l="1"/>
  <c r="R315" i="16"/>
  <c r="AA315" i="16"/>
  <c r="Z6" i="16"/>
  <c r="Q160" i="16"/>
  <c r="Q191" i="16" s="1"/>
  <c r="Z158" i="16"/>
  <c r="Z189" i="16" s="1"/>
  <c r="AA8" i="16"/>
  <c r="AA7" i="16"/>
  <c r="Q159" i="16"/>
  <c r="Q190" i="16" s="1"/>
  <c r="Q158" i="16"/>
  <c r="Q189" i="16" s="1"/>
  <c r="AC316" i="16"/>
  <c r="AA160" i="16"/>
  <c r="AA191" i="16" s="1"/>
  <c r="AA159" i="16"/>
  <c r="AA190" i="16" s="1"/>
  <c r="AB314" i="16" l="1"/>
  <c r="AB315" i="16"/>
  <c r="AA6" i="16"/>
  <c r="AB160" i="16"/>
  <c r="AB191" i="16" s="1"/>
  <c r="AD316" i="16"/>
  <c r="AA158" i="16"/>
  <c r="AA189" i="16" s="1"/>
  <c r="AB159" i="16"/>
  <c r="AB190" i="16" s="1"/>
  <c r="AC315" i="16" l="1"/>
  <c r="AC314" i="16"/>
  <c r="AE316" i="16"/>
  <c r="AB6" i="16"/>
  <c r="AB8" i="16"/>
  <c r="AB7" i="16"/>
  <c r="AB158" i="16"/>
  <c r="AB189" i="16" s="1"/>
  <c r="AB3" i="16" l="1"/>
  <c r="AC6" i="16"/>
  <c r="AD315" i="16"/>
  <c r="AF316" i="16"/>
  <c r="AD6" i="16"/>
  <c r="AC7" i="16"/>
  <c r="AC8" i="16"/>
  <c r="AE315" i="16" l="1"/>
  <c r="AG316" i="16"/>
  <c r="AD8" i="16"/>
  <c r="AD7" i="16"/>
  <c r="AE6" i="16"/>
  <c r="AF315" i="16" l="1"/>
  <c r="AH316" i="16"/>
  <c r="AF6" i="16"/>
  <c r="AE7" i="16"/>
  <c r="AE8" i="16"/>
  <c r="AG315" i="16" l="1"/>
  <c r="AI316" i="16"/>
  <c r="AF8" i="16"/>
  <c r="AF7" i="16"/>
  <c r="AH315" i="16"/>
  <c r="AG6" i="16"/>
  <c r="AJ316" i="16" l="1"/>
  <c r="AH6" i="16"/>
  <c r="AG7" i="16"/>
  <c r="AG8" i="16"/>
  <c r="AI315" i="16" l="1"/>
  <c r="AK316" i="16"/>
  <c r="AH8" i="16"/>
  <c r="AH7" i="16"/>
  <c r="AI6" i="16"/>
  <c r="AJ315" i="16" l="1"/>
  <c r="AL316" i="16"/>
  <c r="AJ6" i="16"/>
  <c r="AI7" i="16"/>
  <c r="AI8" i="16"/>
  <c r="AK315" i="16" l="1"/>
  <c r="AM316" i="16"/>
  <c r="AJ8" i="16"/>
  <c r="AJ7" i="16"/>
  <c r="AK6" i="16"/>
  <c r="AL315" i="16" l="1"/>
  <c r="AL6" i="16"/>
  <c r="AL7" i="16"/>
  <c r="AK7" i="16"/>
  <c r="AK8" i="16"/>
  <c r="AL8" i="16"/>
  <c r="AM315" i="16" l="1"/>
  <c r="AD314" i="16" l="1"/>
  <c r="AE314" i="16"/>
  <c r="AF314" i="16" l="1"/>
  <c r="AG314" i="16" l="1"/>
  <c r="AH314" i="16" l="1"/>
  <c r="AI314" i="16" l="1"/>
  <c r="AJ314" i="16" l="1"/>
  <c r="AK314" i="16" l="1"/>
  <c r="AL314" i="16" l="1"/>
  <c r="AM314" i="16"/>
  <c r="R146" i="16" l="1"/>
  <c r="I146" i="16" l="1"/>
  <c r="H146" i="16"/>
  <c r="J146" i="16" l="1"/>
  <c r="K146" i="16" l="1"/>
  <c r="L146" i="16" l="1"/>
  <c r="M146" i="16" l="1"/>
  <c r="N146" i="16" l="1"/>
  <c r="O146" i="16" l="1"/>
  <c r="P146" i="16" l="1"/>
  <c r="Q146" i="16" l="1"/>
  <c r="S10" i="2" l="1"/>
  <c r="S11" i="2"/>
  <c r="S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tc={A4F576FC-625A-244F-96F3-11ECBCFA99E4}</author>
    <author>tc={7B7601FA-FF41-8249-B3B7-E18AB9B583F3}</author>
    <author>tc={54F49BBE-D145-5247-85F3-40DBDB352D86}</author>
    <author>tc={6E9750B0-8605-7645-98EE-746C94A56C76}</author>
    <author>tc={D7752CD1-7E43-004D-8EB9-BD13F4725C18}</author>
    <author>tc={D2EC3898-E886-D34F-A8E4-06CF15EDC9F6}</author>
    <author>tc={2E56C54B-AD1B-5C48-9EB8-3DCEE37D1887}</author>
    <author>tc={A2CCCE12-96C2-944F-9714-C969917B75B4}</author>
  </authors>
  <commentList>
    <comment ref="K5" authorId="0" shapeId="0" xr:uid="{A4F576FC-625A-244F-96F3-11ECBCFA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downscale Capacity factor to match the turbine class rating</t>
      </text>
    </comment>
    <comment ref="L5" authorId="1" shapeId="0" xr:uid="{7B7601FA-FF41-8249-B3B7-E18AB9B583F3}">
      <text>
        <t>[Threaded comment]
Your version of Excel allows you to read this threaded comment; however, any edits to it will get removed if the file is opened in a newer version of Excel. Learn more: https://go.microsoft.com/fwlink/?linkid=870924
Comment:
    Reflects change in capital cost compared to original in 2020, end of year cost unchanged, intermediate costs will increase or decrease accordingly</t>
      </text>
    </comment>
    <comment ref="K6" authorId="2" shapeId="0" xr:uid="{54F49BBE-D145-5247-85F3-40DBDB352D8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downscale Capacity factor to match the turbine class rating</t>
      </text>
    </comment>
    <comment ref="L6" authorId="3" shapeId="0" xr:uid="{6E9750B0-8605-7645-98EE-746C94A56C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Reflects change in capital cost compared to original</t>
      </text>
    </comment>
    <comment ref="Y6" authorId="4" shapeId="0" xr:uid="{D7752CD1-7E43-004D-8EB9-BD13F4725C1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scenarios taken from ONSSET</t>
      </text>
    </comment>
    <comment ref="X7" authorId="5" shapeId="0" xr:uid="{D2EC3898-E886-D34F-A8E4-06CF15EDC9F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updates directly into input sheet</t>
      </text>
    </comment>
    <comment ref="Y7" authorId="6" shapeId="0" xr:uid="{2E56C54B-AD1B-5C48-9EB8-3DCEE37D188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updates directly into input sheet</t>
      </text>
    </comment>
    <comment ref="L9" authorId="7" shapeId="0" xr:uid="{A2CCCE12-96C2-944F-9714-C969917B75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Reflects change in capital cost compared to original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tc={17AFE05B-D821-F54E-A381-D4F54FEE1683}</author>
    <author>tc={B22AB9C6-1410-3C45-82E9-D03ECF3D22DB}</author>
    <author>tc={C94679B5-97E7-0E41-B19D-27B8D3118F44}</author>
    <author>tc={8295613A-02F7-AA4A-8663-4B0F4BA4A433}</author>
    <author>tc={BA34DACA-96B7-8B4A-968E-31B46B71251C}</author>
    <author>tc={FED2A62A-FB27-4C40-805D-57DCDD7B5987}</author>
    <author>tc={1E35B5DD-30D8-2D49-9A24-E2361D877AE0}</author>
    <author>tc={A4273177-22D7-EF44-9010-100CC2E5179C}</author>
    <author>tc={50BE4CCB-7A5B-9441-A296-29CBFB1B1114}</author>
    <author>tc={BC32485A-2D06-F94F-9041-61F2913D888E}</author>
    <author>tc={A8B87EB3-6FD5-AB4B-BA2E-49D058E1E322}</author>
    <author>tc={27659DAE-D09F-B24D-BFBD-9447FAF80D8A}</author>
    <author>tc={F42A2B43-A2FB-9941-ACD8-91904648058C}</author>
    <author>tc={DFC93B7E-7B89-4541-8B93-F54D00192B13}</author>
    <author>tc={382100EF-1FC9-3E48-BC5E-1049B01A8338}</author>
    <author>tc={38285611-2416-DC41-8683-22E4679D7046}</author>
    <author>tc={15CB79D5-EAB9-C441-B633-E26115FCF77C}</author>
    <author>tc={2514F541-7BC2-5D45-B721-288D4FCE758F}</author>
    <author>tc={F3701F0C-3C44-1C42-AA2D-9A6C6DE05FC9}</author>
    <author>tc={76A59BD5-ED5B-F049-A231-5DD5B35D9297}</author>
    <author>tc={C843B820-66B6-2147-A33D-3BDC42F0BE4B}</author>
    <author>tc={607261C9-FA9B-F640-894C-273C60BDFF16}</author>
    <author>tc={8757C065-19A9-1941-86E7-F8104D3F4BE1}</author>
    <author>tc={7A4E90F0-75E3-5B42-AEB8-F4EE478C7F61}</author>
    <author>tc={DEAAB2E3-EDA8-154F-9B44-4B2C9ED0E58A}</author>
    <author>tc={A1120EA7-B142-FF44-AC7C-B3B69FAA0638}</author>
  </authors>
  <commentList>
    <comment ref="S1" authorId="0" shapeId="0" xr:uid="{17AFE05B-D821-F54E-A381-D4F54FEE1683}">
      <text>
        <t>[Threaded comment]
Your version of Excel allows you to read this threaded comment; however, any edits to it will get removed if the file is opened in a newer version of Excel. Learn more: https://go.microsoft.com/fwlink/?linkid=870924
Comment:
    Cahier sectoriel ANAPI – RDC: Investir dans l’électricité, 2016 p22 even more pessimistic than WB but that may be a reflection of availabiliy before the WB shown refurbishments (See 2019 Makuku)</t>
      </text>
    </comment>
    <comment ref="R3" authorId="1" shapeId="0" xr:uid="{B22AB9C6-1410-3C45-82E9-D03ECF3D22DB}">
      <text>
        <t>[Threaded comment]
Your version of Excel allows you to read this threaded comment; however, any edits to it will get removed if the file is opened in a newer version of Excel. Learn more: https://go.microsoft.com/fwlink/?linkid=870924
Comment:
    55MW of this may not be available (WB report)</t>
      </text>
    </comment>
    <comment ref="R4" authorId="2" shapeId="0" xr:uid="{C94679B5-97E7-0E41-B19D-27B8D311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WB says this is 50% of DRC generating capacity, but that only 1056MW of this capacity may be currently available</t>
      </text>
    </comment>
    <comment ref="I6" authorId="3" shapeId="0" xr:uid="{8295613A-02F7-AA4A-8663-4B0F4BA4A43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committed to existing based on Christians Review</t>
      </text>
    </comment>
    <comment ref="I8" authorId="4" shapeId="0" xr:uid="{BA34DACA-96B7-8B4A-968E-31B46B7125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power plant has been under construction since 2011, but with a period of no work until construction started again in 2021</t>
      </text>
    </comment>
    <comment ref="D9" authorId="5" shapeId="0" xr:uid="{FED2A62A-FB27-4C40-805D-57DCDD7B5987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power plant database</t>
      </text>
    </comment>
    <comment ref="I9" authorId="6" shapeId="0" xr:uid="{1E35B5DD-30D8-2D49-9A24-E2361D877A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after Christians review</t>
      </text>
    </comment>
    <comment ref="S10" authorId="7" shapeId="0" xr:uid="{A4273177-22D7-EF44-9010-100CC2E517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0.1 total, 0.075 available according to Christian vs the 0.026 originally there based on 13x2</t>
      </text>
    </comment>
    <comment ref="S11" authorId="8" shapeId="0" xr:uid="{50BE4CCB-7A5B-9441-A296-29CBFB1B1114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Christian, this plant is still in service</t>
      </text>
    </comment>
    <comment ref="R12" authorId="9" shapeId="0" xr:uid="{BC32485A-2D06-F94F-9041-61F2913D88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WB108
</t>
      </text>
    </comment>
    <comment ref="S12" authorId="10" shapeId="0" xr:uid="{A8B87EB3-6FD5-AB4B-BA2E-49D058E1E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Christian, actual capacity 108, available 75</t>
      </text>
    </comment>
    <comment ref="R13" authorId="11" shapeId="0" xr:uid="{27659DAE-D09F-B24D-BFBD-9447FAF80D8A}">
      <text>
        <t>[Threaded comment]
Your version of Excel allows you to read this threaded comment; however, any edits to it will get removed if the file is opened in a newer version of Excel. Learn more: https://go.microsoft.com/fwlink/?linkid=870924
Comment:
    WB260</t>
      </text>
    </comment>
    <comment ref="S13" authorId="12" shapeId="0" xr:uid="{F42A2B43-A2FB-9941-ACD8-91904648058C}">
      <text>
        <t>[Threaded comment]
Your version of Excel allows you to read this threaded comment; however, any edits to it will get removed if the file is opened in a newer version of Excel. Learn more: https://go.microsoft.com/fwlink/?linkid=870924
Comment:
    Christian says 195</t>
      </text>
    </comment>
    <comment ref="D20" authorId="13" shapeId="0" xr:uid="{DFC93B7E-7B89-4541-8B93-F54D00192B13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Stopped according to Christian</t>
      </text>
    </comment>
    <comment ref="D21" authorId="14" shapeId="0" xr:uid="{382100EF-1FC9-3E48-BC5E-1049B01A83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Goma on Christians list, Assume this is Gombo? </t>
      </text>
    </comment>
    <comment ref="D24" authorId="15" shapeId="0" xr:uid="{38285611-2416-DC41-8683-22E4679D704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some capacity according to Christians list</t>
      </text>
    </comment>
    <comment ref="P24" authorId="16" shapeId="0" xr:uid="{15CB79D5-EAB9-C441-B633-E26115FCF77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information on expected GWh output found on the web</t>
      </text>
    </comment>
    <comment ref="D25" authorId="17" shapeId="0" xr:uid="{2514F541-7BC2-5D45-B721-288D4FCE75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some capacity according to Christians list</t>
      </text>
    </comment>
    <comment ref="P25" authorId="18" shapeId="0" xr:uid="{F3701F0C-3C44-1C42-AA2D-9A6C6DE05FC9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Generic new plant</t>
      </text>
    </comment>
    <comment ref="O26" authorId="19" shapeId="0" xr:uid="{76A59BD5-ED5B-F049-A231-5DD5B35D9297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  <comment ref="Q26" authorId="20" shapeId="0" xr:uid="{C843B820-66B6-2147-A33D-3BDC42F0BE4B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Plant factor</t>
      </text>
    </comment>
    <comment ref="R50" authorId="21" shapeId="0" xr:uid="{607261C9-FA9B-F640-894C-273C60BDFF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IRENA says 8.6, 19.65 is the WB </t>
      </text>
    </comment>
    <comment ref="M53" authorId="22" shapeId="0" xr:uid="{8757C065-19A9-1941-86E7-F8104D3F4BE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have been 2020</t>
      </text>
    </comment>
    <comment ref="M56" authorId="23" shapeId="0" xr:uid="{7A4E90F0-75E3-5B42-AEB8-F4EE478C7F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whole series of stations summed together, first year ranges from 1940 to 1992</t>
      </text>
    </comment>
    <comment ref="M57" authorId="24" shapeId="0" xr:uid="{DEAAB2E3-EDA8-154F-9B44-4B2C9ED0E5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whole series of stations summed together, first year ranges from 1943 to 1992</t>
      </text>
    </comment>
    <comment ref="M58" authorId="25" shapeId="0" xr:uid="{A1120EA7-B142-FF44-AC7C-B3B69FAA06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whole series of stations summed together, first year ranges from 1932 to 1992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tc={32FEF11F-C5BF-C740-BE65-FC94A9666911}</author>
  </authors>
  <commentList>
    <comment ref="J1" authorId="0" shapeId="0" xr:uid="{32FEF11F-C5BF-C740-BE65-FC94A966691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set to 10 then randomly set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tc={8D9BECF3-B86D-054C-BAD0-2950F5B5880A}</author>
  </authors>
  <commentList>
    <comment ref="R2" authorId="0" shapeId="0" xr:uid="{8D9BECF3-B86D-054C-BAD0-2950F5B5880A}">
      <text>
        <t>[Threaded comment]
Your version of Excel allows you to read this threaded comment; however, any edits to it will get removed if the file is opened in a newer version of Excel. Learn more: https://go.microsoft.com/fwlink/?linkid=870924
Comment:
    Divided by 2 because of share owed Burundi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tc={8B8A8005-F8A2-5645-B5FD-E02769748BD1}</author>
  </authors>
  <commentList>
    <comment ref="T1" authorId="0" shapeId="0" xr:uid="{8B8A8005-F8A2-5645-B5FD-E02769748BD1}">
      <text>
        <t>[Threaded comment]
Your version of Excel allows you to read this threaded comment; however, any edits to it will get removed if the file is opened in a newer version of Excel. Learn more: https://go.microsoft.com/fwlink/?linkid=870924
Comment:
    IRENA original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tc={699DC399-18A3-5B44-BDC7-9B4685D2C70F}</author>
    <author>tc={BA9C8917-56E2-9248-8D44-68B45568E00F}</author>
  </authors>
  <commentList>
    <comment ref="T1" authorId="0" shapeId="0" xr:uid="{699DC399-18A3-5B44-BDC7-9B4685D2C70F}">
      <text>
        <t>[Threaded comment]
Your version of Excel allows you to read this threaded comment; however, any edits to it will get removed if the file is opened in a newer version of Excel. Learn more: https://go.microsoft.com/fwlink/?linkid=870924
Comment:
    Capital costs in IRENA SPLAT model</t>
      </text>
    </comment>
    <comment ref="Z1" authorId="1" shapeId="0" xr:uid="{BA9C8917-56E2-9248-8D44-68B45568E0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the costs in IRENA SPLAT model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<sst xmlns="http://schemas.openxmlformats.org/spreadsheetml/2006/main" count="2150" uniqueCount="433">
  <si>
    <t>Region</t>
  </si>
  <si>
    <t>Description</t>
  </si>
  <si>
    <t>name</t>
  </si>
  <si>
    <t>name in model</t>
  </si>
  <si>
    <t>Input fuel</t>
  </si>
  <si>
    <t>Output fuel</t>
  </si>
  <si>
    <t>Status</t>
  </si>
  <si>
    <t>First year of operation</t>
  </si>
  <si>
    <t>OperationalLife</t>
  </si>
  <si>
    <t>CapacityToActivityUnit</t>
  </si>
  <si>
    <t>Efficiency</t>
  </si>
  <si>
    <t>Minimum utilisation</t>
  </si>
  <si>
    <t>Availibility factor</t>
  </si>
  <si>
    <t>Capital ($/kW) 2017</t>
  </si>
  <si>
    <t>Capital 2020</t>
  </si>
  <si>
    <t>Capital 2025</t>
  </si>
  <si>
    <t>Capital 2030</t>
  </si>
  <si>
    <t>Capital 2035</t>
  </si>
  <si>
    <t>Capital 2040</t>
  </si>
  <si>
    <t>Fixed ($/kW)</t>
  </si>
  <si>
    <t>Fixed 2020</t>
  </si>
  <si>
    <t>Fixed 2025</t>
  </si>
  <si>
    <t>Fixed 2030</t>
  </si>
  <si>
    <t>Fixed 2035</t>
  </si>
  <si>
    <t>Fixed 2040</t>
  </si>
  <si>
    <t>Variable 2015</t>
  </si>
  <si>
    <t>Variable 2016</t>
  </si>
  <si>
    <t>Variable 2017</t>
  </si>
  <si>
    <t>Variable 2018</t>
  </si>
  <si>
    <t>Variable 2019</t>
  </si>
  <si>
    <t>Variable 2020</t>
  </si>
  <si>
    <t>Variable 2021</t>
  </si>
  <si>
    <t>Variable 2022</t>
  </si>
  <si>
    <t>Variable 2023</t>
  </si>
  <si>
    <t>Variable 2024</t>
  </si>
  <si>
    <t>Variable 2025</t>
  </si>
  <si>
    <t>Variable 2026</t>
  </si>
  <si>
    <t>Variable 2027</t>
  </si>
  <si>
    <t>Variable 2028</t>
  </si>
  <si>
    <t>Variable 2029</t>
  </si>
  <si>
    <t>Variable 2030</t>
  </si>
  <si>
    <t>Variable 2031</t>
  </si>
  <si>
    <t>Variable 2032</t>
  </si>
  <si>
    <t>Variable 2033</t>
  </si>
  <si>
    <t>Variable 2034</t>
  </si>
  <si>
    <t>Variable 2035</t>
  </si>
  <si>
    <t>Variable 2036</t>
  </si>
  <si>
    <t>Variable 2037</t>
  </si>
  <si>
    <t>Variable 2038</t>
  </si>
  <si>
    <t>Variable 2039</t>
  </si>
  <si>
    <t>Variable 2040</t>
  </si>
  <si>
    <t>Source</t>
  </si>
  <si>
    <t>D1</t>
  </si>
  <si>
    <t>Generic Diesel Centralized</t>
  </si>
  <si>
    <t>DSRC00</t>
  </si>
  <si>
    <t>New Generic</t>
  </si>
  <si>
    <t>IRENA</t>
  </si>
  <si>
    <t>Generic HFO</t>
  </si>
  <si>
    <t>HFRC00</t>
  </si>
  <si>
    <t>Generic Gas Open Cycle</t>
  </si>
  <si>
    <t>NGSC00</t>
  </si>
  <si>
    <t>Generic Gas Combined Cycle</t>
  </si>
  <si>
    <t>NGCC00</t>
  </si>
  <si>
    <t>Generic Gas Engine</t>
  </si>
  <si>
    <t>NGRC00</t>
  </si>
  <si>
    <t>Generic Bagasse</t>
  </si>
  <si>
    <t>BMST00</t>
  </si>
  <si>
    <t>Generic Wood</t>
  </si>
  <si>
    <t>BWST00</t>
  </si>
  <si>
    <t>Generic PV System (utility)</t>
  </si>
  <si>
    <t>SOPC00</t>
  </si>
  <si>
    <t>Generic Solar thermal no storage</t>
  </si>
  <si>
    <t>SOTN00</t>
  </si>
  <si>
    <t>Generic Solar thermal with Storage</t>
  </si>
  <si>
    <t>SOTS00</t>
  </si>
  <si>
    <t>Generic Solar thermal with Gas co-firing</t>
  </si>
  <si>
    <t>NGSO00</t>
  </si>
  <si>
    <t>Generic Wind</t>
  </si>
  <si>
    <t>WDLC00</t>
  </si>
  <si>
    <t>D2</t>
  </si>
  <si>
    <t>Existing</t>
  </si>
  <si>
    <t>Remaining OperationalLife</t>
  </si>
  <si>
    <t>NA</t>
  </si>
  <si>
    <t>Wind</t>
  </si>
  <si>
    <t>D3</t>
  </si>
  <si>
    <t>D4</t>
  </si>
  <si>
    <t>D5</t>
  </si>
  <si>
    <t>D3X</t>
  </si>
  <si>
    <t>Capital ($/kW) 2017 (2015US$)</t>
  </si>
  <si>
    <t>Capacity</t>
  </si>
  <si>
    <t>HYIC02</t>
  </si>
  <si>
    <t>HYIC01</t>
  </si>
  <si>
    <t>Hydro Zongo2</t>
  </si>
  <si>
    <t>Hydro Inga1</t>
  </si>
  <si>
    <t>Hydro Inga2</t>
  </si>
  <si>
    <t>Committed</t>
  </si>
  <si>
    <t>Hydro Sanga</t>
  </si>
  <si>
    <t>HYZC01</t>
  </si>
  <si>
    <t>HYZC02</t>
  </si>
  <si>
    <t>Latitude</t>
  </si>
  <si>
    <t>Longitude</t>
  </si>
  <si>
    <t>N/A</t>
  </si>
  <si>
    <t>Hydro Koni</t>
  </si>
  <si>
    <t>Hydro Mwadingusha</t>
  </si>
  <si>
    <t>Hydro Nzilo</t>
  </si>
  <si>
    <t>Hydro Nseke</t>
  </si>
  <si>
    <t>HYKC01</t>
  </si>
  <si>
    <t>HYMC01</t>
  </si>
  <si>
    <t>HYKC02</t>
  </si>
  <si>
    <t>Diesel Bandundu</t>
  </si>
  <si>
    <t>Diesel Basankusu</t>
  </si>
  <si>
    <t>Diesel Boende</t>
  </si>
  <si>
    <t>Diesel Bumba</t>
  </si>
  <si>
    <t>Diesel Buta</t>
  </si>
  <si>
    <t>Diesel Butembo</t>
  </si>
  <si>
    <t>Diesel Gemena</t>
  </si>
  <si>
    <t>Diesel Goma</t>
  </si>
  <si>
    <t>Hydro Ruzizi 1</t>
  </si>
  <si>
    <t>Hydro Ruzizi 2</t>
  </si>
  <si>
    <t>HYRC01</t>
  </si>
  <si>
    <t>HYRC02</t>
  </si>
  <si>
    <t>HYRC03</t>
  </si>
  <si>
    <t>Diesel Inongo</t>
  </si>
  <si>
    <t>Diesel Kabalo</t>
  </si>
  <si>
    <t>Diesel Kabinda</t>
  </si>
  <si>
    <t>Diesel Kamina</t>
  </si>
  <si>
    <t>Diesel Kananga</t>
  </si>
  <si>
    <t>Diesel Kasenga</t>
  </si>
  <si>
    <t>Diesel Kasongo</t>
  </si>
  <si>
    <t>Diesel Kikwit</t>
  </si>
  <si>
    <t>Diesel Mbandaka</t>
  </si>
  <si>
    <t>Diesel Mbuji Mayi</t>
  </si>
  <si>
    <t>Diesel Mweka</t>
  </si>
  <si>
    <t>Diesel Zongo</t>
  </si>
  <si>
    <t>Gas Muanda</t>
  </si>
  <si>
    <t>DSBC01</t>
  </si>
  <si>
    <t>DSBC02</t>
  </si>
  <si>
    <t>DSBC03</t>
  </si>
  <si>
    <t>DSBC04</t>
  </si>
  <si>
    <t>DSBC05</t>
  </si>
  <si>
    <t>DSBC06</t>
  </si>
  <si>
    <t>DSGC01</t>
  </si>
  <si>
    <t>DSGC02</t>
  </si>
  <si>
    <t>DSIC01</t>
  </si>
  <si>
    <t>DSKC02</t>
  </si>
  <si>
    <t>DSKC01</t>
  </si>
  <si>
    <t>DSKC03</t>
  </si>
  <si>
    <t>DSKC04</t>
  </si>
  <si>
    <t>DSKC05</t>
  </si>
  <si>
    <t>DSKC06</t>
  </si>
  <si>
    <t>DSKC07</t>
  </si>
  <si>
    <t>DSMC01</t>
  </si>
  <si>
    <t>DSMC02</t>
  </si>
  <si>
    <t>DSMC03</t>
  </si>
  <si>
    <t>DSZC01</t>
  </si>
  <si>
    <t>DSBC07</t>
  </si>
  <si>
    <t>Diesel Kindu</t>
  </si>
  <si>
    <t>Diesel Kisangani</t>
  </si>
  <si>
    <t>Diesel Kongolo</t>
  </si>
  <si>
    <t>Diesel Lembe</t>
  </si>
  <si>
    <t>Diesel Libenge</t>
  </si>
  <si>
    <t>Diesel Lisala</t>
  </si>
  <si>
    <t>Diesel Lukala</t>
  </si>
  <si>
    <t>Diesel Lusambo</t>
  </si>
  <si>
    <t>Diesel Tshela</t>
  </si>
  <si>
    <t>Hydro Mobayi</t>
  </si>
  <si>
    <t>Hydro Piana</t>
  </si>
  <si>
    <t>Hydro Tshopo</t>
  </si>
  <si>
    <t>Hydro Soleniama</t>
  </si>
  <si>
    <t>Solar Kolwezi</t>
  </si>
  <si>
    <t>Solar Likasi</t>
  </si>
  <si>
    <t>Solar Lubumbashi</t>
  </si>
  <si>
    <t>DSKC08</t>
  </si>
  <si>
    <t>DSKC09</t>
  </si>
  <si>
    <t>DSKC10</t>
  </si>
  <si>
    <t>DSLC01</t>
  </si>
  <si>
    <t>DSLC02</t>
  </si>
  <si>
    <t>DSLC03</t>
  </si>
  <si>
    <t>DSLC04</t>
  </si>
  <si>
    <t>DSLC05</t>
  </si>
  <si>
    <t>DSTC01</t>
  </si>
  <si>
    <t>HYSC01</t>
  </si>
  <si>
    <t>HYSC02</t>
  </si>
  <si>
    <t>HYTC01</t>
  </si>
  <si>
    <t>HYMC02</t>
  </si>
  <si>
    <t>HYPC01</t>
  </si>
  <si>
    <t>HYKC03</t>
  </si>
  <si>
    <t>HYLC01</t>
  </si>
  <si>
    <t>HYLC02</t>
  </si>
  <si>
    <t>Hydro  Budano</t>
  </si>
  <si>
    <t>Hydro Kyimbi</t>
  </si>
  <si>
    <t>HYBC01</t>
  </si>
  <si>
    <t>HYKC04</t>
  </si>
  <si>
    <t>None</t>
  </si>
  <si>
    <t>?</t>
  </si>
  <si>
    <t>Seasonal</t>
  </si>
  <si>
    <t>DSGC00</t>
  </si>
  <si>
    <t>HFGC00</t>
  </si>
  <si>
    <t>Max Capacity</t>
  </si>
  <si>
    <t>Capacity factor</t>
  </si>
  <si>
    <t>Hydro Bendera</t>
  </si>
  <si>
    <t>Hydro Kilubi</t>
  </si>
  <si>
    <t>Hydro Mpozo</t>
  </si>
  <si>
    <t>Imboulou hydro plant ? Brazaville</t>
  </si>
  <si>
    <t>Hydro Katende</t>
  </si>
  <si>
    <t>HYKC05</t>
  </si>
  <si>
    <t>M'Sha</t>
  </si>
  <si>
    <t>Moukoukoulou</t>
  </si>
  <si>
    <t>Pointe-Noire</t>
  </si>
  <si>
    <t>Rutshuru</t>
  </si>
  <si>
    <t>Oil</t>
  </si>
  <si>
    <t>Hydro</t>
  </si>
  <si>
    <t>NGOC00</t>
  </si>
  <si>
    <t>NGEC00</t>
  </si>
  <si>
    <t>BMBC00</t>
  </si>
  <si>
    <t>BWWC00</t>
  </si>
  <si>
    <t>Capacity Threshold</t>
  </si>
  <si>
    <t>New Specific</t>
  </si>
  <si>
    <t>Rated Capacity (GW)</t>
  </si>
  <si>
    <t>PV</t>
  </si>
  <si>
    <t>The O&amp;M costs may be too high in 2020, but if lowered, the LCOE and filtering should be redone.</t>
  </si>
  <si>
    <t>The capital costs may also be too high in 2020, dependin on the rate of reduction</t>
  </si>
  <si>
    <t>FINAL NOTE on PV costs although these may be too high there may also be a penalty due to investment insecurity</t>
  </si>
  <si>
    <t>WIND</t>
  </si>
  <si>
    <t>NOT USED</t>
  </si>
  <si>
    <t>Scenario</t>
  </si>
  <si>
    <t>Wind Cost</t>
  </si>
  <si>
    <t>Reference</t>
  </si>
  <si>
    <t>Wind Class 1</t>
  </si>
  <si>
    <t>Scencario</t>
  </si>
  <si>
    <t>SCENARIO DATA</t>
  </si>
  <si>
    <t>Hydro Availibity</t>
  </si>
  <si>
    <t>Hydro Capacity</t>
  </si>
  <si>
    <t>Wind Availibility</t>
  </si>
  <si>
    <t>Wind Capacity</t>
  </si>
  <si>
    <t>available capacity</t>
  </si>
  <si>
    <t>Inga</t>
  </si>
  <si>
    <t>Wind and solar in reserve margin</t>
  </si>
  <si>
    <t>REGION</t>
  </si>
  <si>
    <t>Fuel costs</t>
  </si>
  <si>
    <t>Bagasse</t>
  </si>
  <si>
    <t>Wood</t>
  </si>
  <si>
    <t>HFO</t>
  </si>
  <si>
    <t>Diesel</t>
  </si>
  <si>
    <t>Natural gas</t>
  </si>
  <si>
    <t>Coal</t>
  </si>
  <si>
    <t>NOTES: If NA, doesn't change</t>
  </si>
  <si>
    <t>Transmission</t>
  </si>
  <si>
    <t>Extraction of Bagasse</t>
  </si>
  <si>
    <t>BM00X00</t>
  </si>
  <si>
    <t>Extraction of Wood</t>
  </si>
  <si>
    <t>BW00X00</t>
  </si>
  <si>
    <t>Supply of Hydro</t>
  </si>
  <si>
    <t>HY00X00</t>
  </si>
  <si>
    <t>Supply of Solar</t>
  </si>
  <si>
    <t>SO00X00</t>
  </si>
  <si>
    <t>Supply of Wind</t>
  </si>
  <si>
    <t>WD00X00</t>
  </si>
  <si>
    <t>Import of HFO</t>
  </si>
  <si>
    <t>HF00I00</t>
  </si>
  <si>
    <t>Import of Diesel</t>
  </si>
  <si>
    <t>DS00I00</t>
  </si>
  <si>
    <t>Extraction of Natural Gas</t>
  </si>
  <si>
    <t>NG00X00</t>
  </si>
  <si>
    <t>Extraction of Coal</t>
  </si>
  <si>
    <t>CO00X00</t>
  </si>
  <si>
    <t>PWRTRN</t>
  </si>
  <si>
    <t>IMPELC</t>
  </si>
  <si>
    <t>Demand</t>
  </si>
  <si>
    <t>M</t>
  </si>
  <si>
    <t>Scenarios 2 and 3 are relative to the base</t>
  </si>
  <si>
    <t>Scenario 2</t>
  </si>
  <si>
    <t>Indicate where to draw from</t>
  </si>
  <si>
    <t>Power plants</t>
  </si>
  <si>
    <t>Loaded in model</t>
  </si>
  <si>
    <t>1 when things don't need to change</t>
  </si>
  <si>
    <t>Indicate which demand scenario to use</t>
  </si>
  <si>
    <t>End of year remains the same, could do this as a ratio</t>
  </si>
  <si>
    <t>Solar PV Cost</t>
  </si>
  <si>
    <t>Solar Capacity (All)</t>
  </si>
  <si>
    <t xml:space="preserve">Initial capital cost of 2000 used in calculations is from the 20210702 Cost Parameters spreadsheet from IRENA </t>
  </si>
  <si>
    <t>factor multiplier</t>
  </si>
  <si>
    <t>Losses 2040</t>
  </si>
  <si>
    <t>Losses 2017</t>
  </si>
  <si>
    <t>LMH</t>
  </si>
  <si>
    <t>/Users/alison/Documents/2021/2021 OSeMOSYS model/ONSSET demand/</t>
  </si>
  <si>
    <t>filenames</t>
  </si>
  <si>
    <t>L</t>
  </si>
  <si>
    <t>H</t>
  </si>
  <si>
    <t>filename</t>
  </si>
  <si>
    <t>.csv]</t>
  </si>
  <si>
    <t>DEMAND reworked for OSeMOSYS input</t>
  </si>
  <si>
    <t>1) start year 2020 value the same for all scenarios, and matching existing grid demand</t>
  </si>
  <si>
    <t>2) end year 2030 values matching the 2030 OnSSET scenario values exactly</t>
  </si>
  <si>
    <t>3) using linear extrapolation between years (can change later)</t>
  </si>
  <si>
    <t>4) Start year demands (2020) for the three regions (from Gregory)</t>
  </si>
  <si>
    <t>Low</t>
  </si>
  <si>
    <t>Medium</t>
  </si>
  <si>
    <t>High</t>
  </si>
  <si>
    <t>TEMBA</t>
  </si>
  <si>
    <t>Calibrating to a total of low in 2020</t>
  </si>
  <si>
    <t>Average annual increase</t>
  </si>
  <si>
    <t>Sector</t>
  </si>
  <si>
    <t>Area</t>
  </si>
  <si>
    <t>Totals</t>
  </si>
  <si>
    <t>Total</t>
  </si>
  <si>
    <t>Set to L as default</t>
  </si>
  <si>
    <t>OnSSET demand</t>
  </si>
  <si>
    <t>Household</t>
  </si>
  <si>
    <t>Industry</t>
  </si>
  <si>
    <t>Other</t>
  </si>
  <si>
    <t>Growth rate adjustment after 2030</t>
  </si>
  <si>
    <t>Capacity actually available in existing plants</t>
  </si>
  <si>
    <t>in or out?</t>
  </si>
  <si>
    <t>0_0_0_0_0_0</t>
  </si>
  <si>
    <t>0_2_0_0_0_0</t>
  </si>
  <si>
    <t>0_1_0_0_0_0</t>
  </si>
  <si>
    <t>0_0_1_1_1_0</t>
  </si>
  <si>
    <t>0_0_2_2_2_0</t>
  </si>
  <si>
    <t>0_1_2_2_2_0</t>
  </si>
  <si>
    <t>0_2_2_2_2_0</t>
  </si>
  <si>
    <t>0_1_1_1_1_0</t>
  </si>
  <si>
    <t>path</t>
  </si>
  <si>
    <t>!$</t>
  </si>
  <si>
    <t>B$2</t>
  </si>
  <si>
    <t>B$3:B$6</t>
  </si>
  <si>
    <t>B$7</t>
  </si>
  <si>
    <t>C$2</t>
  </si>
  <si>
    <t>C$7</t>
  </si>
  <si>
    <t>D$2</t>
  </si>
  <si>
    <t>D$7</t>
  </si>
  <si>
    <t>E$2</t>
  </si>
  <si>
    <t>E$7</t>
  </si>
  <si>
    <t>F$2</t>
  </si>
  <si>
    <t>F$7</t>
  </si>
  <si>
    <t>G$2</t>
  </si>
  <si>
    <t>G$7</t>
  </si>
  <si>
    <t>H$2</t>
  </si>
  <si>
    <t>H$7</t>
  </si>
  <si>
    <t>I$2</t>
  </si>
  <si>
    <t>I$7</t>
  </si>
  <si>
    <t>J$2</t>
  </si>
  <si>
    <t>J$7</t>
  </si>
  <si>
    <t>C$3:C$6</t>
  </si>
  <si>
    <t>D$3:D$6</t>
  </si>
  <si>
    <t>E$3:E$6</t>
  </si>
  <si>
    <t>F$3:F$6</t>
  </si>
  <si>
    <t>G$3:G$6</t>
  </si>
  <si>
    <t>H$3:H$6</t>
  </si>
  <si>
    <t>I$3:I$6</t>
  </si>
  <si>
    <t>J$3:J$6</t>
  </si>
  <si>
    <t>K$2</t>
  </si>
  <si>
    <t>k$7</t>
  </si>
  <si>
    <t>l$2</t>
  </si>
  <si>
    <t>L$7</t>
  </si>
  <si>
    <t>l$3:L$6</t>
  </si>
  <si>
    <t>K$3:K$6</t>
  </si>
  <si>
    <t>/Users/alison/Documents/2022/2021 OSeMOSYS model/ONSSET demand/[</t>
  </si>
  <si>
    <t>est_cd-</t>
  </si>
  <si>
    <t>/Users/alison/Documents/2022/2021 OSeMOSYS model/ONSSET demand/[ouest_cd-0_0_1_1_1_0.csv]ouest_cd-0_0_1_1_1_0'!$B$2</t>
  </si>
  <si>
    <t>/Users/alison/Documents/2022/2021 OSeMOSYS model/ONSSET demand/high/[ouest_high.csv]ouest_high'!$B$2:B3</t>
  </si>
  <si>
    <t>INDIRECT("'"&amp;H24&amp;E26&amp;G30&amp;P24&amp;E26&amp;G30&amp;"'"&amp;S24&amp;H20)</t>
  </si>
  <si>
    <t>0_2_1_1_1_0</t>
  </si>
  <si>
    <t>L50</t>
  </si>
  <si>
    <t>L75</t>
  </si>
  <si>
    <t>L100</t>
  </si>
  <si>
    <t>M50</t>
  </si>
  <si>
    <t>H50</t>
  </si>
  <si>
    <t>M75</t>
  </si>
  <si>
    <t>M100</t>
  </si>
  <si>
    <t>H75</t>
  </si>
  <si>
    <t>H100</t>
  </si>
  <si>
    <t>Multiplication factor to adjust to "actual" demand which is around 8.8TWh for the three regions</t>
  </si>
  <si>
    <t>Variable O&amp;M (&amp; Import) Costs: Million $ / PJ (//$/GJ)</t>
  </si>
  <si>
    <t>Fixed O&amp;M Costs: Power plant: Million $ / GW (//$/kW)</t>
  </si>
  <si>
    <t>Energy and demands in PJ/a</t>
  </si>
  <si>
    <t>Other plant costs: Million $/PJ/a</t>
  </si>
  <si>
    <t>CapacityToActivityUnit{r in REGION, t in TECHNOLOGY};  Units: PJ/GW-YR</t>
  </si>
  <si>
    <t xml:space="preserve">Captital power plants </t>
  </si>
  <si>
    <t>Power plants in GW:  Million $ / GW (//$/kW)</t>
  </si>
  <si>
    <t>Residual capacity  power plants GW</t>
  </si>
  <si>
    <t>/Users/alison/Documents/2022/2021 OSeMOSYS model/ONSSET demand2/[</t>
  </si>
  <si>
    <t>West</t>
  </si>
  <si>
    <t>South</t>
  </si>
  <si>
    <t>East</t>
  </si>
  <si>
    <t>West Household</t>
  </si>
  <si>
    <t>West Industry</t>
  </si>
  <si>
    <t>West Other</t>
  </si>
  <si>
    <t>South Industry</t>
  </si>
  <si>
    <t>South Other</t>
  </si>
  <si>
    <t>East Household</t>
  </si>
  <si>
    <t>East Industry</t>
  </si>
  <si>
    <t>East Other</t>
  </si>
  <si>
    <t>South Household</t>
  </si>
  <si>
    <t>Overall</t>
  </si>
  <si>
    <t>TWh</t>
  </si>
  <si>
    <t>Central</t>
  </si>
  <si>
    <t>Hydro Zongo1</t>
  </si>
  <si>
    <t>Diesel Bomba/Muanda</t>
  </si>
  <si>
    <t>25.462471</t>
  </si>
  <si>
    <t>-10.499617</t>
  </si>
  <si>
    <t>Hydro Busanga</t>
  </si>
  <si>
    <t>WDLDUM1</t>
  </si>
  <si>
    <t>WDLDUM2</t>
  </si>
  <si>
    <t>WDLDUM3</t>
  </si>
  <si>
    <t>Hydro Other small</t>
  </si>
  <si>
    <t>committed</t>
  </si>
  <si>
    <t>Hydro Ruzizi III</t>
  </si>
  <si>
    <t>HYOC01</t>
  </si>
  <si>
    <t>Run scneario with lower costs, the captial costs from IRENA now appear too large according to IEA</t>
  </si>
  <si>
    <t>WDLDUM4</t>
  </si>
  <si>
    <t>WDLDUM5</t>
  </si>
  <si>
    <t>WDLDUM6</t>
  </si>
  <si>
    <t>WDLDUM7</t>
  </si>
  <si>
    <t>2019 USD (1 2015 USD = 1.07 2019 USD).</t>
  </si>
  <si>
    <t>Generic tech cost update</t>
  </si>
  <si>
    <t>Wind and solar costs</t>
  </si>
  <si>
    <t>Fuel and wind and solar</t>
  </si>
  <si>
    <t>Other_small_1</t>
  </si>
  <si>
    <t>HSFO01</t>
  </si>
  <si>
    <t>Other_small_2</t>
  </si>
  <si>
    <t>HSFO02</t>
  </si>
  <si>
    <t>Other_small_3</t>
  </si>
  <si>
    <t>HSFO03</t>
  </si>
  <si>
    <t>Other plants added beyond original LCOE cutoff</t>
  </si>
  <si>
    <t>8 with even higher fuel costs</t>
  </si>
  <si>
    <t>South and West</t>
  </si>
  <si>
    <t>rerun 6 and 8 with inga, need to give inga capacity because set to zero at the moment, make sure not set to zero elsewhere.</t>
  </si>
  <si>
    <t>Capacity factors appear to be too large, data directly from IRENA database, these have been corrected based on a later version of clustered wind data from IRENA</t>
  </si>
  <si>
    <t>LCOE-MWh</t>
  </si>
  <si>
    <t>LCOE 2020</t>
  </si>
  <si>
    <t>LCOE 2030</t>
  </si>
  <si>
    <t>LCOE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</si>
</sst>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rgb="FF7030A0"/>
      <name val="Calibri"/>
      <family val="2"/>
      <scheme val="minor"/>
    </font>
    <font>
      <sz val="15"/>
      <color rgb="FF201F1E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D9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1" applyFont="1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/>
    <xf numFmtId="0" fontId="0" fillId="0" borderId="0" xfId="0" applyFont="1"/>
    <xf numFmtId="0" fontId="0" fillId="6" borderId="0" xfId="0" applyFill="1"/>
    <xf numFmtId="0" fontId="3" fillId="6" borderId="0" xfId="1" applyFont="1" applyFill="1" applyBorder="1"/>
    <xf numFmtId="0" fontId="3" fillId="4" borderId="0" xfId="1" applyFont="1" applyFill="1" applyBorder="1"/>
    <xf numFmtId="0" fontId="0" fillId="7" borderId="0" xfId="0" applyFill="1"/>
    <xf numFmtId="0" fontId="0" fillId="8" borderId="0" xfId="0" applyFill="1"/>
    <xf numFmtId="0" fontId="8" fillId="8" borderId="0" xfId="0" applyFont="1" applyFill="1"/>
    <xf numFmtId="0" fontId="1" fillId="8" borderId="0" xfId="0" applyFont="1" applyFill="1"/>
    <xf numFmtId="0" fontId="1" fillId="6" borderId="0" xfId="0" applyFont="1" applyFill="1"/>
    <xf numFmtId="0" fontId="5" fillId="6" borderId="0" xfId="1" applyFont="1" applyFill="1" applyBorder="1"/>
    <xf numFmtId="0" fontId="0" fillId="9" borderId="0" xfId="0" applyFill="1"/>
    <xf numFmtId="0" fontId="1" fillId="9" borderId="0" xfId="0" applyFont="1" applyFill="1"/>
    <xf numFmtId="1" fontId="0" fillId="0" borderId="0" xfId="0" applyNumberFormat="1"/>
    <xf numFmtId="0" fontId="0" fillId="10" borderId="0" xfId="0" applyFill="1"/>
    <xf numFmtId="0" fontId="0" fillId="11" borderId="0" xfId="0" applyFill="1"/>
    <xf numFmtId="0" fontId="10" fillId="0" borderId="0" xfId="0" applyFont="1"/>
    <xf numFmtId="0" fontId="0" fillId="12" borderId="0" xfId="0" applyFill="1"/>
    <xf numFmtId="0" fontId="0" fillId="13" borderId="0" xfId="0" applyFill="1"/>
    <xf numFmtId="0" fontId="12" fillId="13" borderId="0" xfId="0" applyFont="1" applyFill="1"/>
    <xf numFmtId="0" fontId="13" fillId="13" borderId="0" xfId="0" applyFont="1" applyFill="1"/>
    <xf numFmtId="0" fontId="14" fillId="13" borderId="0" xfId="0" applyFont="1" applyFill="1"/>
    <xf numFmtId="0" fontId="0" fillId="14" borderId="0" xfId="0" applyFill="1"/>
    <xf numFmtId="0" fontId="0" fillId="15" borderId="0" xfId="0" applyFill="1"/>
    <xf numFmtId="0" fontId="11" fillId="4" borderId="0" xfId="0" applyFont="1" applyFill="1"/>
    <xf numFmtId="0" fontId="0" fillId="16" borderId="0" xfId="0" applyFill="1"/>
    <xf numFmtId="0" fontId="11" fillId="4" borderId="0" xfId="0" applyFont="1" applyFill="1" applyAlignment="1">
      <alignment wrapText="1"/>
    </xf>
    <xf numFmtId="0" fontId="0" fillId="0" borderId="0" xfId="0" quotePrefix="1"/>
    <xf numFmtId="0" fontId="11" fillId="0" borderId="0" xfId="0" applyFont="1"/>
    <xf numFmtId="0" fontId="15" fillId="0" borderId="0" xfId="0" applyFont="1"/>
    <xf numFmtId="0" fontId="0" fillId="12" borderId="0" xfId="0" applyFill="1" applyAlignment="1">
      <alignment horizontal="right"/>
    </xf>
    <xf numFmtId="0" fontId="0" fillId="15" borderId="0" xfId="0" applyFill="1" applyAlignment="1">
      <alignment horizontal="center"/>
    </xf>
    <xf numFmtId="0" fontId="0" fillId="12" borderId="0" xfId="0" applyFill="1" applyAlignment="1">
      <alignment horizontal="center"/>
    </xf>
    <xf numFmtId="9" fontId="15" fillId="0" borderId="0" xfId="0" applyNumberFormat="1" applyFont="1"/>
    <xf numFmtId="0" fontId="1" fillId="4" borderId="0" xfId="0" applyFont="1" applyFill="1"/>
    <xf numFmtId="0" fontId="0" fillId="17" borderId="0" xfId="0" applyFill="1"/>
    <xf numFmtId="0" fontId="8" fillId="0" borderId="0" xfId="0" applyFont="1"/>
    <xf numFmtId="0" fontId="3" fillId="11" borderId="0" xfId="1" applyFont="1" applyFill="1" applyBorder="1"/>
    <xf numFmtId="0" fontId="9" fillId="0" borderId="0" xfId="0" applyFont="1"/>
    <xf numFmtId="0" fontId="16" fillId="7" borderId="0" xfId="0" applyFont="1" applyFill="1"/>
    <xf numFmtId="0" fontId="1" fillId="7" borderId="0" xfId="0" applyFont="1" applyFill="1"/>
    <xf numFmtId="0" fontId="0" fillId="18" borderId="0" xfId="0" applyFill="1"/>
    <xf numFmtId="0" fontId="1" fillId="3" borderId="0" xfId="0" applyFont="1" applyFill="1"/>
    <xf numFmtId="0" fontId="1" fillId="10" borderId="0" xfId="0" applyFont="1" applyFill="1"/>
    <xf numFmtId="0" fontId="17" fillId="19" borderId="0" xfId="0" applyFont="1" applyFill="1" applyAlignment="1">
      <alignment horizontal="left"/>
    </xf>
    <xf numFmtId="0" fontId="16" fillId="4" borderId="0" xfId="0" applyFont="1" applyFill="1"/>
    <xf numFmtId="0" fontId="18" fillId="4" borderId="0" xfId="1" applyFont="1" applyFill="1" applyBorder="1"/>
    <xf numFmtId="0" fontId="19" fillId="0" borderId="0" xfId="0" applyFont="1"/>
    <xf numFmtId="0" fontId="16" fillId="11" borderId="0" xfId="0" applyFont="1" applyFill="1"/>
    <xf numFmtId="0" fontId="16" fillId="12" borderId="0" xfId="0" applyFont="1" applyFill="1"/>
    <xf numFmtId="0" fontId="16" fillId="12" borderId="0" xfId="0" applyFont="1" applyFill="1" applyAlignment="1">
      <alignment horizontal="right"/>
    </xf>
    <xf numFmtId="0" fontId="16" fillId="12" borderId="0" xfId="0" applyFont="1" applyFill="1" applyAlignment="1">
      <alignment horizontal="center"/>
    </xf>
    <xf numFmtId="164" fontId="0" fillId="7" borderId="0" xfId="0" applyNumberFormat="1" applyFill="1"/>
    <xf numFmtId="164" fontId="0" fillId="6" borderId="0" xfId="0" applyNumberFormat="1" applyFill="1"/>
    <xf numFmtId="164" fontId="9" fillId="6" borderId="0" xfId="0" applyNumberFormat="1" applyFont="1" applyFill="1"/>
    <xf numFmtId="164" fontId="16" fillId="4" borderId="0" xfId="0" applyNumberFormat="1" applyFont="1" applyFill="1"/>
    <xf numFmtId="164" fontId="0" fillId="4" borderId="0" xfId="0" applyNumberFormat="1" applyFill="1"/>
  </cellXfs>
  <cellStyles count="5">
    <cellStyle name="Explanatory Text 2" xfId="3" xr:uid="{C72DA43A-759B-574E-8218-0627DBA45C68}"/>
    <cellStyle name="Normal" xfId="0" builtinId="0"/>
    <cellStyle name="Normal 2" xfId="2" xr:uid="{CBA76730-BDEF-1C4A-9E1F-65E90A8DFAF7}"/>
    <cellStyle name="Output 2" xfId="1" xr:uid="{3E96BEDE-74F0-D249-A824-40A6432093A4}"/>
    <cellStyle name="Warning Text 2" xfId="4" xr:uid="{4381DFA6-6F2A-8847-83A1-5F97491B9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'Scenario demand summary'!$F$137:$G$137</c:f>
              <c:strCache>
                <c:ptCount val="2"/>
                <c:pt idx="0">
                  <c:v>L50</c:v>
                </c:pt>
                <c:pt idx="1">
                  <c:v>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summary'!$H$137:$R$137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0-E543-B9F5-557DE330298F}"/>
            </c:ext>
          </c:extLst>
        </c:ser>
        <c:ser>
          <c:idx val="1"/>
          <c:order val="1"/>
          <c:tx>
            <c:strRef>
              <c:f>'Scenario demand summary'!$F$138:$G$138</c:f>
              <c:strCache>
                <c:ptCount val="2"/>
                <c:pt idx="0">
                  <c:v>L75</c:v>
                </c:pt>
                <c:pt idx="1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summary'!$H$138:$R$138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40-E543-B9F5-557DE330298F}"/>
            </c:ext>
          </c:extLst>
        </c:ser>
        <c:ser>
          <c:idx val="2"/>
          <c:order val="2"/>
          <c:tx>
            <c:strRef>
              <c:f>'Scenario demand summary'!$F$139:$G$139</c:f>
              <c:strCache>
                <c:ptCount val="2"/>
                <c:pt idx="0">
                  <c:v>L100</c:v>
                </c:pt>
                <c:pt idx="1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summary'!$H$139:$R$139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40-E543-B9F5-557DE330298F}"/>
            </c:ext>
          </c:extLst>
        </c:ser>
        <c:ser>
          <c:idx val="3"/>
          <c:order val="3"/>
          <c:tx>
            <c:strRef>
              <c:f>'Scenario demand summary'!$F$140:$G$140</c:f>
              <c:strCache>
                <c:ptCount val="2"/>
                <c:pt idx="0">
                  <c:v>M50</c:v>
                </c:pt>
                <c:pt idx="1">
                  <c:v>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summary'!$H$140:$R$140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40-E543-B9F5-557DE330298F}"/>
            </c:ext>
          </c:extLst>
        </c:ser>
        <c:ser>
          <c:idx val="4"/>
          <c:order val="4"/>
          <c:tx>
            <c:strRef>
              <c:f>'Scenario demand summary'!$F$141:$G$141</c:f>
              <c:strCache>
                <c:ptCount val="2"/>
                <c:pt idx="0">
                  <c:v>M75</c:v>
                </c:pt>
                <c:pt idx="1">
                  <c:v>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summary'!$H$141:$R$141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40-E543-B9F5-557DE330298F}"/>
            </c:ext>
          </c:extLst>
        </c:ser>
        <c:ser>
          <c:idx val="5"/>
          <c:order val="5"/>
          <c:tx>
            <c:strRef>
              <c:f>'Scenario demand summary'!$F$142:$G$142</c:f>
              <c:strCache>
                <c:ptCount val="2"/>
                <c:pt idx="0">
                  <c:v>M100</c:v>
                </c:pt>
                <c:pt idx="1">
                  <c:v>Medium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summary'!$H$142:$R$142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40-E543-B9F5-557DE330298F}"/>
            </c:ext>
          </c:extLst>
        </c:ser>
        <c:ser>
          <c:idx val="6"/>
          <c:order val="6"/>
          <c:tx>
            <c:strRef>
              <c:f>'Scenario demand summary'!$F$143:$G$143</c:f>
              <c:strCache>
                <c:ptCount val="2"/>
                <c:pt idx="0">
                  <c:v>H50</c:v>
                </c:pt>
                <c:pt idx="1">
                  <c:v>High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summary'!$H$143:$R$143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40-E543-B9F5-557DE330298F}"/>
            </c:ext>
          </c:extLst>
        </c:ser>
        <c:ser>
          <c:idx val="7"/>
          <c:order val="7"/>
          <c:tx>
            <c:strRef>
              <c:f>'Scenario demand summary'!$F$144:$G$144</c:f>
              <c:strCache>
                <c:ptCount val="2"/>
                <c:pt idx="0">
                  <c:v>H75</c:v>
                </c:pt>
                <c:pt idx="1">
                  <c:v>High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summary'!$H$144:$R$144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40-E543-B9F5-557DE330298F}"/>
            </c:ext>
          </c:extLst>
        </c:ser>
        <c:ser>
          <c:idx val="8"/>
          <c:order val="8"/>
          <c:tx>
            <c:strRef>
              <c:f>'Scenario demand summary'!$F$145:$G$145</c:f>
              <c:strCache>
                <c:ptCount val="2"/>
                <c:pt idx="0">
                  <c:v>H100</c:v>
                </c:pt>
                <c:pt idx="1">
                  <c:v>High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summary'!$H$136:$R$136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'Scenario demand summary'!$H$145:$R$145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40-E543-B9F5-557DE3302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567296"/>
        <c:axId val="1390537808"/>
      </c:lineChart>
      <c:catAx>
        <c:axId val="15335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37808"/>
        <c:crosses val="autoZero"/>
        <c:auto val="1"/>
        <c:lblAlgn val="ctr"/>
        <c:lblOffset val="100"/>
        <c:noMultiLvlLbl val="0"/>
      </c:catAx>
      <c:valAx>
        <c:axId val="13905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5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'Scenario demand summary'!$Y$39</c:f>
              <c:strCache>
                <c:ptCount val="1"/>
                <c:pt idx="0">
                  <c:v>Household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'Scenario demand summary'!$W$40:$X$48</c:f>
              <c:multiLvlStrCache>
                <c:ptCount val="9"/>
                <c:lvl>
                  <c:pt idx="0">
                    <c:v>West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South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East</c:v>
                  </c:pt>
                </c:lvl>
                <c:lvl>
                  <c:pt idx="0">
                    <c:v>L50</c:v>
                  </c:pt>
                  <c:pt idx="1">
                    <c:v>L50</c:v>
                  </c:pt>
                  <c:pt idx="2">
                    <c:v>L50</c:v>
                  </c:pt>
                  <c:pt idx="3">
                    <c:v>M50</c:v>
                  </c:pt>
                  <c:pt idx="4">
                    <c:v>M50</c:v>
                  </c:pt>
                  <c:pt idx="5">
                    <c:v>M50</c:v>
                  </c:pt>
                  <c:pt idx="6">
                    <c:v>H50</c:v>
                  </c:pt>
                  <c:pt idx="7">
                    <c:v>H50</c:v>
                  </c:pt>
                  <c:pt idx="8">
                    <c:v>H50</c:v>
                  </c:pt>
                </c:lvl>
              </c:multiLvlStrCache>
            </c:multiLvlStrRef>
          </c:cat>
          <c:val>
            <c:numRef>
              <c:f>'Scenario demand summary'!$Y$40:$Y$48</c:f>
              <c:numCache>
                <c:formatCode>General</c:formatCode>
                <c:ptCount val="9"/>
                <c:pt idx="0">
                  <c:v>3388.24</c:v>
                </c:pt>
                <c:pt idx="1">
                  <c:v>2139.48</c:v>
                </c:pt>
                <c:pt idx="2">
                  <c:v>1751.17</c:v>
                </c:pt>
                <c:pt idx="3">
                  <c:v>4161.91</c:v>
                </c:pt>
                <c:pt idx="4">
                  <c:v>2675.17</c:v>
                </c:pt>
                <c:pt idx="5">
                  <c:v>2331.69</c:v>
                </c:pt>
                <c:pt idx="6">
                  <c:v>4968.08</c:v>
                </c:pt>
                <c:pt idx="7">
                  <c:v>3196.29</c:v>
                </c:pt>
                <c:pt idx="8">
                  <c:v>2842.03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C-444F-A1DE-72DDD98418AA}"/>
            </c:ext>
          </c:extLst>
        </c:ser>
        <c:ser>
          <c:idx val="1"/>
          <c:order val="1"/>
          <c:tx>
            <c:strRef>
              <c:f>'Scenario demand summary'!$Z$39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'Scenario demand summary'!$W$40:$X$48</c:f>
              <c:multiLvlStrCache>
                <c:ptCount val="9"/>
                <c:lvl>
                  <c:pt idx="0">
                    <c:v>West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South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East</c:v>
                  </c:pt>
                </c:lvl>
                <c:lvl>
                  <c:pt idx="0">
                    <c:v>L50</c:v>
                  </c:pt>
                  <c:pt idx="1">
                    <c:v>L50</c:v>
                  </c:pt>
                  <c:pt idx="2">
                    <c:v>L50</c:v>
                  </c:pt>
                  <c:pt idx="3">
                    <c:v>M50</c:v>
                  </c:pt>
                  <c:pt idx="4">
                    <c:v>M50</c:v>
                  </c:pt>
                  <c:pt idx="5">
                    <c:v>M50</c:v>
                  </c:pt>
                  <c:pt idx="6">
                    <c:v>H50</c:v>
                  </c:pt>
                  <c:pt idx="7">
                    <c:v>H50</c:v>
                  </c:pt>
                  <c:pt idx="8">
                    <c:v>H50</c:v>
                  </c:pt>
                </c:lvl>
              </c:multiLvlStrCache>
            </c:multiLvlStrRef>
          </c:cat>
          <c:val>
            <c:numRef>
              <c:f>'Scenario demand summary'!$Z$40:$Z$48</c:f>
              <c:numCache>
                <c:formatCode>General</c:formatCode>
                <c:ptCount val="9"/>
                <c:pt idx="0">
                  <c:v>2742.7</c:v>
                </c:pt>
                <c:pt idx="1">
                  <c:v>10537.9</c:v>
                </c:pt>
                <c:pt idx="2">
                  <c:v>0</c:v>
                </c:pt>
                <c:pt idx="3">
                  <c:v>3761.9</c:v>
                </c:pt>
                <c:pt idx="4">
                  <c:v>14453.82</c:v>
                </c:pt>
                <c:pt idx="5">
                  <c:v>0</c:v>
                </c:pt>
                <c:pt idx="6">
                  <c:v>5379.69</c:v>
                </c:pt>
                <c:pt idx="7">
                  <c:v>20669.59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C-444F-A1DE-72DDD98418AA}"/>
            </c:ext>
          </c:extLst>
        </c:ser>
        <c:ser>
          <c:idx val="2"/>
          <c:order val="2"/>
          <c:tx>
            <c:strRef>
              <c:f>'Scenario demand summary'!$AA$39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'Scenario demand summary'!$W$40:$X$48</c:f>
              <c:multiLvlStrCache>
                <c:ptCount val="9"/>
                <c:lvl>
                  <c:pt idx="0">
                    <c:v>West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South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East</c:v>
                  </c:pt>
                </c:lvl>
                <c:lvl>
                  <c:pt idx="0">
                    <c:v>L50</c:v>
                  </c:pt>
                  <c:pt idx="1">
                    <c:v>L50</c:v>
                  </c:pt>
                  <c:pt idx="2">
                    <c:v>L50</c:v>
                  </c:pt>
                  <c:pt idx="3">
                    <c:v>M50</c:v>
                  </c:pt>
                  <c:pt idx="4">
                    <c:v>M50</c:v>
                  </c:pt>
                  <c:pt idx="5">
                    <c:v>M50</c:v>
                  </c:pt>
                  <c:pt idx="6">
                    <c:v>H50</c:v>
                  </c:pt>
                  <c:pt idx="7">
                    <c:v>H50</c:v>
                  </c:pt>
                  <c:pt idx="8">
                    <c:v>H50</c:v>
                  </c:pt>
                </c:lvl>
              </c:multiLvlStrCache>
            </c:multiLvlStrRef>
          </c:cat>
          <c:val>
            <c:numRef>
              <c:f>'Scenario demand summary'!$AA$40:$AA$48</c:f>
              <c:numCache>
                <c:formatCode>General</c:formatCode>
                <c:ptCount val="9"/>
                <c:pt idx="0">
                  <c:v>1028.77</c:v>
                </c:pt>
                <c:pt idx="1">
                  <c:v>650.64</c:v>
                </c:pt>
                <c:pt idx="2">
                  <c:v>536.11</c:v>
                </c:pt>
                <c:pt idx="3">
                  <c:v>2016.19</c:v>
                </c:pt>
                <c:pt idx="4">
                  <c:v>1296.94</c:v>
                </c:pt>
                <c:pt idx="5">
                  <c:v>1135.46</c:v>
                </c:pt>
                <c:pt idx="6">
                  <c:v>4055.0299999999997</c:v>
                </c:pt>
                <c:pt idx="7">
                  <c:v>2609.4</c:v>
                </c:pt>
                <c:pt idx="8">
                  <c:v>2326.5700000000002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7C-444F-A1DE-72DDD9841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7226832"/>
        <c:axId val="822927824"/>
      </c:barChart>
      <c:catAx>
        <c:axId val="11372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27824"/>
        <c:crosses val="autoZero"/>
        <c:auto val="1"/>
        <c:lblAlgn val="ctr"/>
        <c:lblOffset val="100"/>
        <c:noMultiLvlLbl val="0"/>
      </c:catAx>
      <c:valAx>
        <c:axId val="8229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2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'Scenario demand summary'!$AN$6</c:f>
              <c:strCache>
                <c:ptCount val="1"/>
                <c:pt idx="0">
                  <c:v>West Household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summary'!$H$6:$AL$6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7-1445-883B-E890DB543FC0}"/>
            </c:ext>
          </c:extLst>
        </c:ser>
        <c:ser>
          <c:idx val="1"/>
          <c:order val="1"/>
          <c:tx>
            <c:strRef>
              <c:f>'Scenario demand summary'!$AN$7</c:f>
              <c:strCache>
                <c:ptCount val="1"/>
                <c:pt idx="0">
                  <c:v>West Industry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summary'!$H$7:$AL$7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7-1445-883B-E890DB543FC0}"/>
            </c:ext>
          </c:extLst>
        </c:ser>
        <c:ser>
          <c:idx val="2"/>
          <c:order val="2"/>
          <c:tx>
            <c:strRef>
              <c:f>'Scenario demand summary'!$AN$8</c:f>
              <c:strCache>
                <c:ptCount val="1"/>
                <c:pt idx="0">
                  <c:v>West 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summary'!$H$8:$AL$8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47-1445-883B-E890DB543FC0}"/>
            </c:ext>
          </c:extLst>
        </c:ser>
        <c:ser>
          <c:idx val="3"/>
          <c:order val="3"/>
          <c:tx>
            <c:strRef>
              <c:f>'Scenario demand summary'!$AN$9</c:f>
              <c:strCache>
                <c:ptCount val="1"/>
                <c:pt idx="0">
                  <c:v>South Household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summary'!$H$9:$AL$9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47-1445-883B-E890DB543FC0}"/>
            </c:ext>
          </c:extLst>
        </c:ser>
        <c:ser>
          <c:idx val="4"/>
          <c:order val="4"/>
          <c:tx>
            <c:strRef>
              <c:f>'Scenario demand summary'!$AN$10</c:f>
              <c:strCache>
                <c:ptCount val="1"/>
                <c:pt idx="0">
                  <c:v>South Industry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summary'!$H$10:$AL$10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47-1445-883B-E890DB543FC0}"/>
            </c:ext>
          </c:extLst>
        </c:ser>
        <c:ser>
          <c:idx val="5"/>
          <c:order val="5"/>
          <c:tx>
            <c:strRef>
              <c:f>'Scenario demand summary'!$AN$11</c:f>
              <c:strCache>
                <c:ptCount val="1"/>
                <c:pt idx="0">
                  <c:v>South Other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summary'!$H$11:$AL$11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47-1445-883B-E890DB543FC0}"/>
            </c:ext>
          </c:extLst>
        </c:ser>
        <c:ser>
          <c:idx val="6"/>
          <c:order val="6"/>
          <c:tx>
            <c:strRef>
              <c:f>'Scenario demand summary'!$AN$12</c:f>
              <c:strCache>
                <c:ptCount val="1"/>
                <c:pt idx="0">
                  <c:v>East Household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summary'!$H$12:$AL$12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47-1445-883B-E890DB543FC0}"/>
            </c:ext>
          </c:extLst>
        </c:ser>
        <c:ser>
          <c:idx val="7"/>
          <c:order val="7"/>
          <c:tx>
            <c:strRef>
              <c:f>'Scenario demand summary'!$AN$13</c:f>
              <c:strCache>
                <c:ptCount val="1"/>
                <c:pt idx="0">
                  <c:v>East Industry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summary'!$H$13:$AL$13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47-1445-883B-E890DB543FC0}"/>
            </c:ext>
          </c:extLst>
        </c:ser>
        <c:ser>
          <c:idx val="8"/>
          <c:order val="8"/>
          <c:tx>
            <c:strRef>
              <c:f>'Scenario demand summary'!$AN$14</c:f>
              <c:strCache>
                <c:ptCount val="1"/>
                <c:pt idx="0">
                  <c:v>East 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'Scenario demand summary'!$H$5:$AL$5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summary'!$H$14:$AL$14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47-1445-883B-E890DB543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7517328"/>
        <c:axId val="727042704"/>
      </c:barChart>
      <c:catAx>
        <c:axId val="72751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42704"/>
        <c:crosses val="autoZero"/>
        <c:auto val="1"/>
        <c:lblAlgn val="ctr"/>
        <c:lblOffset val="100"/>
        <c:noMultiLvlLbl val="0"/>
      </c:catAx>
      <c:valAx>
        <c:axId val="72704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1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784262750016212E-2"/>
          <c:y val="0.85069335083114628"/>
          <c:w val="0.95881265414568506"/>
          <c:h val="0.1215288713910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demand summary'!$H$314</c:f>
              <c:strCache>
                <c:ptCount val="1"/>
                <c:pt idx="0">
                  <c:v>L50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summary'!$I$314:$AM$314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E-7048-B367-3EC578948DFC}"/>
            </c:ext>
          </c:extLst>
        </c:ser>
        <c:ser>
          <c:idx val="1"/>
          <c:order val="1"/>
          <c:tx>
            <c:strRef>
              <c:f>'Scenario demand summary'!$H$315</c:f>
              <c:strCache>
                <c:ptCount val="1"/>
                <c:pt idx="0">
                  <c:v>M50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summary'!$I$315:$AM$315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E-7048-B367-3EC578948DFC}"/>
            </c:ext>
          </c:extLst>
        </c:ser>
        <c:ser>
          <c:idx val="2"/>
          <c:order val="2"/>
          <c:tx>
            <c:strRef>
              <c:f>'Scenario demand summary'!$H$316</c:f>
              <c:strCache>
                <c:ptCount val="1"/>
                <c:pt idx="0">
                  <c:v>H50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summary'!$I$316:$AM$316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E-7048-B367-3EC578948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67648"/>
        <c:axId val="476752992"/>
      </c:lineChart>
      <c:catAx>
        <c:axId val="4062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52992"/>
        <c:crosses val="autoZero"/>
        <c:auto val="1"/>
        <c:lblAlgn val="ctr"/>
        <c:lblOffset val="100"/>
        <c:noMultiLvlLbl val="0"/>
      </c:catAx>
      <c:valAx>
        <c:axId val="4767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'Scenario demand summary'!$G$311</c:f>
              <c:strCache>
                <c:ptCount val="1"/>
                <c:pt idx="0">
                  <c:v>TWh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South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demand summary'!$H$318</c:f>
              <c:strCache>
                <c:ptCount val="1"/>
                <c:pt idx="0">
                  <c:v>L50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summary'!$I$318:$AM$318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B-2547-8EB8-7ED398AD5371}"/>
            </c:ext>
          </c:extLst>
        </c:ser>
        <c:ser>
          <c:idx val="1"/>
          <c:order val="1"/>
          <c:tx>
            <c:strRef>
              <c:f>'Scenario demand summary'!$H$319</c:f>
              <c:strCache>
                <c:ptCount val="1"/>
                <c:pt idx="0">
                  <c:v>M50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summary'!$I$319:$AM$319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B-2547-8EB8-7ED398AD5371}"/>
            </c:ext>
          </c:extLst>
        </c:ser>
        <c:ser>
          <c:idx val="2"/>
          <c:order val="2"/>
          <c:tx>
            <c:strRef>
              <c:f>'Scenario demand summary'!$H$320</c:f>
              <c:strCache>
                <c:ptCount val="1"/>
                <c:pt idx="0">
                  <c:v>H50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summary'!$I$320:$AM$320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BB-2547-8EB8-7ED398AD5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67648"/>
        <c:axId val="476752992"/>
      </c:lineChart>
      <c:catAx>
        <c:axId val="4062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52992"/>
        <c:crosses val="autoZero"/>
        <c:auto val="1"/>
        <c:lblAlgn val="ctr"/>
        <c:lblOffset val="100"/>
        <c:noMultiLvlLbl val="0"/>
      </c:catAx>
      <c:valAx>
        <c:axId val="4767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'Scenario demand summary'!$G$311</c:f>
              <c:strCache>
                <c:ptCount val="1"/>
                <c:pt idx="0">
                  <c:v>TWh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demand summary'!$H$322</c:f>
              <c:strCache>
                <c:ptCount val="1"/>
                <c:pt idx="0">
                  <c:v>L50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summary'!$I$322:$AM$322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7-1A4E-92B8-14C5A17A119D}"/>
            </c:ext>
          </c:extLst>
        </c:ser>
        <c:ser>
          <c:idx val="1"/>
          <c:order val="1"/>
          <c:tx>
            <c:strRef>
              <c:f>'Scenario demand summary'!$H$323</c:f>
              <c:strCache>
                <c:ptCount val="1"/>
                <c:pt idx="0">
                  <c:v>M50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summary'!$I$323:$AM$323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7-1A4E-92B8-14C5A17A119D}"/>
            </c:ext>
          </c:extLst>
        </c:ser>
        <c:ser>
          <c:idx val="2"/>
          <c:order val="2"/>
          <c:tx>
            <c:strRef>
              <c:f>'Scenario demand summary'!$H$324</c:f>
              <c:strCache>
                <c:ptCount val="1"/>
                <c:pt idx="0">
                  <c:v>H50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 demand summary'!$I$313:$AM$313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'Scenario demand summary'!$I$324:$AM$324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A7-1A4E-92B8-14C5A17A1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67648"/>
        <c:axId val="476752992"/>
      </c:lineChart>
      <c:catAx>
        <c:axId val="4062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52992"/>
        <c:crosses val="autoZero"/>
        <c:auto val="1"/>
        <c:lblAlgn val="ctr"/>
        <c:lblOffset val="100"/>
        <c:noMultiLvlLbl val="0"/>
      </c:catAx>
      <c:valAx>
        <c:axId val="4767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'Scenario demand summary'!$G$311</c:f>
              <c:strCache>
                <c:ptCount val="1"/>
                <c:pt idx="0">
                  <c:v>TWh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323271</xdr:colOff>
      <xdr:row>132</xdr:row>
      <xdr:rowOff>69272</xdr:rowOff>
    </xdr:from>
    <xdr:to>
      <xdr:col>26</xdr:col>
      <xdr:colOff>565727</xdr:colOff>
      <xdr:row>152</xdr:row>
      <xdr:rowOff>66964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BB751B1-9313-F44A-8A09-6C4411350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409964</xdr:colOff>
      <xdr:row>17</xdr:row>
      <xdr:rowOff>189385</xdr:rowOff>
    </xdr:from>
    <xdr:to>
      <xdr:col>28</xdr:col>
      <xdr:colOff>412192</xdr:colOff>
      <xdr:row>32</xdr:row>
      <xdr:rowOff>22280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6431FA-621C-1E8A-44DE-3CE7AA86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526937</xdr:colOff>
      <xdr:row>18</xdr:row>
      <xdr:rowOff>65505</xdr:rowOff>
    </xdr:from>
    <xdr:to>
      <xdr:col>36</xdr:col>
      <xdr:colOff>490175</xdr:colOff>
      <xdr:row>32</xdr:row>
      <xdr:rowOff>1337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451074-C62D-751D-664F-E00AD67CA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25623</xdr:colOff>
      <xdr:row>324</xdr:row>
      <xdr:rowOff>155964</xdr:rowOff>
    </xdr:from>
    <xdr:to>
      <xdr:col>18</xdr:col>
      <xdr:colOff>174903</xdr:colOff>
      <xdr:row>338</xdr:row>
      <xdr:rowOff>107171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259E2F2-3438-B83B-0A79-47F000EEF1F9}"/>
            </a:ext>
          </a:extLst>
        </xdr:cNvPr>
        <xdr:cNvGrpSpPr/>
      </xdr:nvGrpSpPr>
      <xdr:grpSpPr>
        <a:xfrm>
          <a:off x="4971939" y="65126490"/>
          <a:ext cx="10253578" cy="2758576"/>
          <a:chOff x="4971939" y="64725438"/>
          <a:chExt cx="10253578" cy="2758575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BBFA261B-AEC3-96F9-C7A2-738A4F776771}"/>
              </a:ext>
            </a:extLst>
          </xdr:cNvPr>
          <xdr:cNvGraphicFramePr/>
        </xdr:nvGraphicFramePr>
        <xdr:xfrm>
          <a:off x="4971939" y="64740813"/>
          <a:ext cx="347244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7BE8BC08-5286-2340-BEB3-72FAC5E1CAE6}"/>
              </a:ext>
            </a:extLst>
          </xdr:cNvPr>
          <xdr:cNvGraphicFramePr>
            <a:graphicFrameLocks/>
          </xdr:cNvGraphicFramePr>
        </xdr:nvGraphicFramePr>
        <xdr:xfrm>
          <a:off x="8377544" y="64725438"/>
          <a:ext cx="347244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E467F1F2-C4EE-534F-B4C5-31BFC7A24B9D}"/>
              </a:ext>
            </a:extLst>
          </xdr:cNvPr>
          <xdr:cNvGraphicFramePr>
            <a:graphicFrameLocks/>
          </xdr:cNvGraphicFramePr>
        </xdr:nvGraphicFramePr>
        <xdr:xfrm>
          <a:off x="11753070" y="64736579"/>
          <a:ext cx="347244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C_input_data_East_v350_4_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Power%20pool%20data/IRENA_QGIS_Power_Plants%20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Hydro/OSemosys%20Data/Original/Hydro_points_with_additional_info_V2_a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IRENA%20RE%20New/West%20Wind%20IRE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Wind%20profiles%20for%203%20Reg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IRENA%20RE%20New/South%20All%20Wind%20IREN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IRENA%20RE%20New/East%20Wind%20IREN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IRENA%20RE/Filtered%20new%20regions/West%20PV%20IRENA%20v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olar%20profiles%20for%203%20Regio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IRENA%20RE/Filtered%20new%20regions/South%20PV%20IRENA%20V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on/Documents/2022/2020%2011th%20hour%20phase%202/Data/IRENA%20RE/Filtered%20new%20regions/East%20PV%20IRENA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S_DRC"/>
      <sheetName val="YEAR"/>
      <sheetName val="Demand comparison"/>
      <sheetName val="Demand"/>
      <sheetName val="EmissionActivityRatio"/>
      <sheetName val="Emissions"/>
      <sheetName val="Demand profile"/>
      <sheetName val="TEMBA demand profile"/>
      <sheetName val="InputActivityRatio"/>
      <sheetName val="OutputActivityRatio"/>
      <sheetName val="FUEL"/>
      <sheetName val="TECHNOLOGY"/>
      <sheetName val="ResidualCapacity"/>
      <sheetName val="AnnualMaxCapacityInvestment"/>
      <sheetName val="AnnualMinCapacityInvestment"/>
      <sheetName val="AnnualMaxCapacity"/>
      <sheetName val="AnnualMinCapacity"/>
      <sheetName val="AnnualActivityUpperLimit"/>
      <sheetName val="AnnualActivityLowerLimit"/>
      <sheetName val="CapitalCost"/>
      <sheetName val="FixedCost"/>
      <sheetName val="VariableCost"/>
      <sheetName val="AvailabilityFactor"/>
      <sheetName val="CapacityFactor"/>
      <sheetName val="EmissionsPenalty"/>
      <sheetName val="EmissionsActivityRatio"/>
      <sheetName val="ReserveMargin"/>
      <sheetName val="ReserveMarginTagFuel"/>
      <sheetName val="ReserveMarginTagTechnology"/>
      <sheetName val="LCOE check"/>
    </sheetNames>
    <sheetDataSet>
      <sheetData sheetId="0" refreshError="1"/>
      <sheetData sheetId="1" refreshError="1"/>
      <sheetData sheetId="2" refreshError="1"/>
      <sheetData sheetId="3">
        <row r="19">
          <cell r="H19">
            <v>387.13625175942377</v>
          </cell>
          <cell r="I19">
            <v>695.13762658348139</v>
          </cell>
          <cell r="J19">
            <v>1003.139001407539</v>
          </cell>
          <cell r="K19">
            <v>1311.1403762315965</v>
          </cell>
          <cell r="L19">
            <v>1619.1417510556544</v>
          </cell>
          <cell r="M19">
            <v>1927.143125879712</v>
          </cell>
          <cell r="N19">
            <v>2235.1445007037696</v>
          </cell>
          <cell r="O19">
            <v>2543.1458755278272</v>
          </cell>
          <cell r="P19">
            <v>2851.1472503518853</v>
          </cell>
          <cell r="Q19">
            <v>3159.1486251759429</v>
          </cell>
          <cell r="R19">
            <v>3467.1500000000005</v>
          </cell>
        </row>
        <row r="20">
          <cell r="H20">
            <v>13928.443659087461</v>
          </cell>
          <cell r="I20">
            <v>14996.613506593849</v>
          </cell>
          <cell r="J20">
            <v>16144.849896140733</v>
          </cell>
          <cell r="K20">
            <v>17379.436202502948</v>
          </cell>
          <cell r="L20">
            <v>18707.102334154937</v>
          </cell>
          <cell r="M20">
            <v>20135.091852550308</v>
          </cell>
          <cell r="N20">
            <v>21663.807021721615</v>
          </cell>
          <cell r="O20">
            <v>23308.408314571479</v>
          </cell>
          <cell r="P20">
            <v>25078.083757140346</v>
          </cell>
          <cell r="Q20">
            <v>26982.787943237752</v>
          </cell>
          <cell r="R20">
            <v>29033.177313723936</v>
          </cell>
        </row>
      </sheetData>
      <sheetData sheetId="4">
        <row r="4">
          <cell r="C4" t="str">
            <v>Household</v>
          </cell>
        </row>
        <row r="5">
          <cell r="C5" t="str">
            <v>Industry</v>
          </cell>
        </row>
        <row r="6">
          <cell r="C6" t="str">
            <v>Other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C4" t="str">
            <v>HY00</v>
          </cell>
        </row>
        <row r="11">
          <cell r="C11" t="str">
            <v>ELC01</v>
          </cell>
        </row>
      </sheetData>
      <sheetData sheetId="12">
        <row r="5">
          <cell r="C5" t="str">
            <v>BM00X00</v>
          </cell>
        </row>
        <row r="6">
          <cell r="C6" t="str">
            <v>BW00X00</v>
          </cell>
        </row>
        <row r="10">
          <cell r="C10" t="str">
            <v>HF00I00</v>
          </cell>
        </row>
        <row r="11">
          <cell r="C11" t="str">
            <v>DS00I00</v>
          </cell>
        </row>
        <row r="12">
          <cell r="C12" t="str">
            <v>NG00X00</v>
          </cell>
        </row>
        <row r="13">
          <cell r="C13" t="str">
            <v>CO00X00</v>
          </cell>
        </row>
        <row r="14">
          <cell r="C14" t="str">
            <v>PWRTRN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ENA_QGIS_Power_Plants"/>
    </sheetNames>
    <sheetDataSet>
      <sheetData sheetId="0">
        <row r="2">
          <cell r="E2" t="str">
            <v>P_DRC_Gecamines_Coal_500</v>
          </cell>
          <cell r="F2" t="str">
            <v>Candidate</v>
          </cell>
        </row>
        <row r="6">
          <cell r="W6">
            <v>1024.5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Hydro_points_with_additional_in"/>
      <sheetName val="Sheet1"/>
      <sheetName val="Sheet5"/>
      <sheetName val="Cost"/>
      <sheetName val="Generation"/>
      <sheetName val="LCOE comparison"/>
      <sheetName val="Small"/>
      <sheetName val="Medium"/>
      <sheetName val="Large"/>
      <sheetName val="Small all"/>
      <sheetName val="Medium all"/>
      <sheetName val="Large all"/>
      <sheetName val="Fig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A9" t="str">
            <v>LT-0031</v>
          </cell>
          <cell r="B9" t="str">
            <v>Kiliba - Katobo</v>
          </cell>
          <cell r="L9">
            <v>15</v>
          </cell>
          <cell r="Q9" t="str">
            <v>East</v>
          </cell>
          <cell r="X9">
            <v>4941406.4606278837</v>
          </cell>
        </row>
        <row r="10">
          <cell r="A10" t="str">
            <v>LT-0180</v>
          </cell>
          <cell r="B10" t="str">
            <v>Dikolongo aval</v>
          </cell>
          <cell r="L10">
            <v>17.600000000000001</v>
          </cell>
          <cell r="Q10" t="str">
            <v>South</v>
          </cell>
          <cell r="X10">
            <v>5866908.3998436211</v>
          </cell>
        </row>
        <row r="11">
          <cell r="A11" t="str">
            <v>LT-0181</v>
          </cell>
          <cell r="B11" t="str">
            <v>Chutes de Kawa</v>
          </cell>
          <cell r="L11">
            <v>17.899999999999999</v>
          </cell>
          <cell r="Q11" t="str">
            <v>South</v>
          </cell>
          <cell r="X11">
            <v>5882812.6965736821</v>
          </cell>
        </row>
        <row r="12">
          <cell r="A12" t="str">
            <v>LT-0185</v>
          </cell>
          <cell r="B12" t="str">
            <v>Kwilu</v>
          </cell>
          <cell r="L12">
            <v>18</v>
          </cell>
          <cell r="Q12" t="str">
            <v>West</v>
          </cell>
          <cell r="X12">
            <v>6875853.0611788193</v>
          </cell>
        </row>
        <row r="13">
          <cell r="A13" t="str">
            <v>SF-0421</v>
          </cell>
          <cell r="B13" t="str">
            <v>SF-0421</v>
          </cell>
          <cell r="L13">
            <v>10</v>
          </cell>
          <cell r="Q13" t="str">
            <v>East</v>
          </cell>
          <cell r="X13">
            <v>5626668.2762648147</v>
          </cell>
        </row>
        <row r="14">
          <cell r="A14" t="str">
            <v>SF-0540</v>
          </cell>
          <cell r="B14" t="str">
            <v>SF-0540</v>
          </cell>
          <cell r="L14">
            <v>7.2</v>
          </cell>
          <cell r="Q14" t="str">
            <v>East</v>
          </cell>
          <cell r="X14">
            <v>5725849.5675570527</v>
          </cell>
        </row>
        <row r="15">
          <cell r="A15" t="str">
            <v>SF-0689</v>
          </cell>
          <cell r="B15" t="str">
            <v>SF-0689</v>
          </cell>
          <cell r="L15">
            <v>13.2</v>
          </cell>
          <cell r="Q15" t="str">
            <v>West</v>
          </cell>
          <cell r="X15">
            <v>6837884.6302502248</v>
          </cell>
        </row>
        <row r="16">
          <cell r="A16" t="str">
            <v>SF-0705</v>
          </cell>
          <cell r="B16" t="str">
            <v>SF-0705</v>
          </cell>
          <cell r="L16">
            <v>12.7</v>
          </cell>
          <cell r="Q16" t="str">
            <v>West</v>
          </cell>
          <cell r="X16">
            <v>6296310.0855866103</v>
          </cell>
        </row>
        <row r="17">
          <cell r="A17" t="str">
            <v>SF-0741</v>
          </cell>
          <cell r="B17" t="str">
            <v>SF-0741</v>
          </cell>
          <cell r="L17">
            <v>15.3</v>
          </cell>
          <cell r="Q17" t="str">
            <v>West</v>
          </cell>
          <cell r="X17">
            <v>6186302.8009732133</v>
          </cell>
        </row>
        <row r="18">
          <cell r="A18" t="str">
            <v>SF-0759</v>
          </cell>
          <cell r="B18" t="str">
            <v>SF-0759</v>
          </cell>
          <cell r="L18">
            <v>14.9</v>
          </cell>
          <cell r="Q18" t="str">
            <v>East</v>
          </cell>
          <cell r="X18">
            <v>4833945.9507414</v>
          </cell>
        </row>
        <row r="19">
          <cell r="A19" t="str">
            <v>SF-0763</v>
          </cell>
          <cell r="B19" t="str">
            <v>SF-0763</v>
          </cell>
          <cell r="L19">
            <v>10.5</v>
          </cell>
          <cell r="Q19" t="str">
            <v>East</v>
          </cell>
          <cell r="X19">
            <v>6115056.9409308452</v>
          </cell>
        </row>
        <row r="20">
          <cell r="A20" t="str">
            <v>SF-0779</v>
          </cell>
          <cell r="B20" t="str">
            <v>SF-0779</v>
          </cell>
          <cell r="L20">
            <v>9.4</v>
          </cell>
          <cell r="Q20" t="str">
            <v>South</v>
          </cell>
          <cell r="X20">
            <v>6766597.7222810211</v>
          </cell>
        </row>
        <row r="21">
          <cell r="A21" t="str">
            <v>SF-0856</v>
          </cell>
          <cell r="B21" t="str">
            <v>SF-0856</v>
          </cell>
          <cell r="L21">
            <v>19.2</v>
          </cell>
          <cell r="Q21" t="str">
            <v>East</v>
          </cell>
          <cell r="X21">
            <v>6370505.6798272384</v>
          </cell>
        </row>
        <row r="22">
          <cell r="A22" t="str">
            <v>SF-0878</v>
          </cell>
          <cell r="B22" t="str">
            <v>SF-0878</v>
          </cell>
          <cell r="L22">
            <v>10</v>
          </cell>
          <cell r="Q22" t="str">
            <v>West</v>
          </cell>
          <cell r="X22">
            <v>6486691.5454297625</v>
          </cell>
        </row>
        <row r="23">
          <cell r="A23" t="str">
            <v>SF-0893</v>
          </cell>
          <cell r="B23" t="str">
            <v>SF-0893</v>
          </cell>
          <cell r="L23">
            <v>11.5</v>
          </cell>
          <cell r="Q23" t="str">
            <v>South</v>
          </cell>
          <cell r="X23">
            <v>6688572.050705649</v>
          </cell>
        </row>
        <row r="24">
          <cell r="A24" t="str">
            <v>SF-0915</v>
          </cell>
          <cell r="B24" t="str">
            <v>SF-0915</v>
          </cell>
          <cell r="L24">
            <v>13.3</v>
          </cell>
          <cell r="Q24" t="str">
            <v>South</v>
          </cell>
          <cell r="X24">
            <v>6847420.0295336014</v>
          </cell>
        </row>
        <row r="25">
          <cell r="A25" t="str">
            <v>SF-0931</v>
          </cell>
          <cell r="B25" t="str">
            <v>SF-0931</v>
          </cell>
          <cell r="L25">
            <v>16.8</v>
          </cell>
          <cell r="Q25" t="str">
            <v>East</v>
          </cell>
          <cell r="X25">
            <v>4676136.5340828821</v>
          </cell>
        </row>
        <row r="26">
          <cell r="A26" t="str">
            <v>SF-0939</v>
          </cell>
          <cell r="B26" t="str">
            <v>SF-0939</v>
          </cell>
          <cell r="L26">
            <v>17.7</v>
          </cell>
          <cell r="Q26" t="str">
            <v>East</v>
          </cell>
          <cell r="X26">
            <v>5921749.1787059763</v>
          </cell>
        </row>
      </sheetData>
      <sheetData sheetId="8">
        <row r="9">
          <cell r="A9" t="str">
            <v>LT-0004</v>
          </cell>
          <cell r="B9" t="str">
            <v>Mayi-Munene</v>
          </cell>
          <cell r="L9">
            <v>37</v>
          </cell>
          <cell r="Q9" t="str">
            <v>DC_Line</v>
          </cell>
          <cell r="X9">
            <v>6319537.6726131355</v>
          </cell>
        </row>
        <row r="10">
          <cell r="A10" t="str">
            <v>LT-0005</v>
          </cell>
          <cell r="B10" t="str">
            <v>Kasai Longatshimo</v>
          </cell>
          <cell r="L10">
            <v>70</v>
          </cell>
          <cell r="Q10" t="str">
            <v>DC_Line</v>
          </cell>
          <cell r="X10">
            <v>5477620.2997135166</v>
          </cell>
        </row>
        <row r="11">
          <cell r="A11" t="str">
            <v>LT-0027</v>
          </cell>
          <cell r="B11" t="str">
            <v>Ulindi</v>
          </cell>
          <cell r="L11">
            <v>30</v>
          </cell>
          <cell r="Q11" t="str">
            <v>East</v>
          </cell>
          <cell r="X11">
            <v>6123614.0586369652</v>
          </cell>
        </row>
        <row r="12">
          <cell r="A12" t="str">
            <v>LT-0030</v>
          </cell>
          <cell r="B12" t="str">
            <v>Biliza</v>
          </cell>
          <cell r="L12">
            <v>34</v>
          </cell>
          <cell r="Q12" t="str">
            <v>East</v>
          </cell>
          <cell r="X12">
            <v>4832059.7527858792</v>
          </cell>
        </row>
        <row r="13">
          <cell r="A13" t="str">
            <v>LT-0040</v>
          </cell>
          <cell r="B13" t="str">
            <v>Mugomba / Mungomba</v>
          </cell>
          <cell r="L13">
            <v>40</v>
          </cell>
          <cell r="Q13" t="str">
            <v>East</v>
          </cell>
          <cell r="X13">
            <v>4601031.4740416072</v>
          </cell>
        </row>
        <row r="14">
          <cell r="A14" t="str">
            <v>LT-0046</v>
          </cell>
          <cell r="B14" t="str">
            <v>Chutes Kasiru</v>
          </cell>
          <cell r="L14">
            <v>40</v>
          </cell>
          <cell r="Q14" t="str">
            <v>East</v>
          </cell>
          <cell r="X14">
            <v>4083660.0842649951</v>
          </cell>
        </row>
        <row r="15">
          <cell r="A15" t="str">
            <v>LT-0067</v>
          </cell>
          <cell r="B15" t="str">
            <v>Muhuma</v>
          </cell>
          <cell r="L15">
            <v>25</v>
          </cell>
          <cell r="Q15" t="str">
            <v>East</v>
          </cell>
          <cell r="X15">
            <v>5061327.193109191</v>
          </cell>
        </row>
        <row r="16">
          <cell r="A16" t="str">
            <v>LT-0087</v>
          </cell>
          <cell r="B16" t="str">
            <v>Banda</v>
          </cell>
          <cell r="L16">
            <v>36</v>
          </cell>
          <cell r="Q16" t="str">
            <v>West</v>
          </cell>
          <cell r="X16">
            <v>6248542.7090030042</v>
          </cell>
        </row>
        <row r="17">
          <cell r="A17" t="str">
            <v>LT-0089</v>
          </cell>
          <cell r="B17" t="str">
            <v>Kilemfu</v>
          </cell>
          <cell r="L17">
            <v>30</v>
          </cell>
          <cell r="Q17" t="str">
            <v>West</v>
          </cell>
          <cell r="X17">
            <v>5733635.4127565017</v>
          </cell>
        </row>
        <row r="18">
          <cell r="A18" t="str">
            <v>LT-0106</v>
          </cell>
          <cell r="B18" t="str">
            <v>Bamba</v>
          </cell>
          <cell r="L18">
            <v>22</v>
          </cell>
          <cell r="Q18" t="str">
            <v>West</v>
          </cell>
          <cell r="X18">
            <v>5827495.5944330851</v>
          </cell>
        </row>
        <row r="19">
          <cell r="A19" t="str">
            <v>LT-0107</v>
          </cell>
          <cell r="B19" t="str">
            <v>Dibaya-Lubwe</v>
          </cell>
          <cell r="L19">
            <v>36</v>
          </cell>
          <cell r="Q19" t="str">
            <v>West</v>
          </cell>
          <cell r="X19">
            <v>6600711.7112008547</v>
          </cell>
        </row>
        <row r="20">
          <cell r="A20" t="str">
            <v>LT-0112</v>
          </cell>
          <cell r="B20" t="str">
            <v>Tshilomba</v>
          </cell>
          <cell r="L20">
            <v>28</v>
          </cell>
          <cell r="Q20" t="str">
            <v>DC_Line</v>
          </cell>
          <cell r="X20">
            <v>5064147.9193667974</v>
          </cell>
        </row>
        <row r="21">
          <cell r="A21" t="str">
            <v>LT-0113</v>
          </cell>
          <cell r="B21" t="str">
            <v>Ingende</v>
          </cell>
          <cell r="L21">
            <v>81</v>
          </cell>
          <cell r="Q21" t="str">
            <v>West</v>
          </cell>
          <cell r="X21">
            <v>6355493.1356899133</v>
          </cell>
        </row>
        <row r="22">
          <cell r="A22" t="str">
            <v>LT-0165</v>
          </cell>
          <cell r="B22" t="str">
            <v>Kabundji</v>
          </cell>
          <cell r="L22">
            <v>35</v>
          </cell>
          <cell r="Q22" t="str">
            <v>South</v>
          </cell>
          <cell r="X22">
            <v>6310448.7220989624</v>
          </cell>
        </row>
        <row r="23">
          <cell r="A23" t="str">
            <v>LT-0166</v>
          </cell>
          <cell r="B23" t="str">
            <v>Kayo</v>
          </cell>
          <cell r="L23">
            <v>34</v>
          </cell>
          <cell r="Q23" t="str">
            <v>South</v>
          </cell>
          <cell r="X23">
            <v>6235815.2371530971</v>
          </cell>
        </row>
        <row r="24">
          <cell r="A24" t="str">
            <v>LT-0171</v>
          </cell>
          <cell r="B24" t="str">
            <v>Mukuleshi</v>
          </cell>
          <cell r="L24">
            <v>35</v>
          </cell>
          <cell r="Q24" t="str">
            <v>South</v>
          </cell>
          <cell r="X24">
            <v>6344599.4313464863</v>
          </cell>
        </row>
        <row r="25">
          <cell r="A25" t="str">
            <v>LT-0182</v>
          </cell>
          <cell r="B25" t="str">
            <v>Kambuji</v>
          </cell>
          <cell r="L25">
            <v>33.799999999999997</v>
          </cell>
          <cell r="Q25" t="str">
            <v>South</v>
          </cell>
          <cell r="X25">
            <v>4720690.9634430809</v>
          </cell>
        </row>
        <row r="26">
          <cell r="A26" t="str">
            <v>SF-0670</v>
          </cell>
          <cell r="B26" t="str">
            <v>SF-0670</v>
          </cell>
          <cell r="L26">
            <v>27.3</v>
          </cell>
          <cell r="Q26" t="str">
            <v>West</v>
          </cell>
          <cell r="X26">
            <v>5038788.9817669</v>
          </cell>
        </row>
        <row r="27">
          <cell r="A27" t="str">
            <v>SF-0698</v>
          </cell>
          <cell r="B27" t="str">
            <v>SF-0698</v>
          </cell>
          <cell r="L27">
            <v>33.4</v>
          </cell>
          <cell r="Q27" t="str">
            <v>West</v>
          </cell>
          <cell r="X27">
            <v>4634529.7278183615</v>
          </cell>
        </row>
        <row r="28">
          <cell r="A28" t="str">
            <v>SF-0844</v>
          </cell>
          <cell r="B28" t="str">
            <v>SF-0844</v>
          </cell>
          <cell r="L28">
            <v>20.8</v>
          </cell>
          <cell r="Q28" t="str">
            <v>West</v>
          </cell>
          <cell r="X28">
            <v>6680962.3395167021</v>
          </cell>
        </row>
        <row r="29">
          <cell r="A29" t="str">
            <v>SF-0852</v>
          </cell>
          <cell r="B29" t="str">
            <v>SF-0852</v>
          </cell>
          <cell r="L29">
            <v>44.2</v>
          </cell>
          <cell r="Q29" t="str">
            <v>South</v>
          </cell>
          <cell r="X29">
            <v>4616123.0915493201</v>
          </cell>
        </row>
        <row r="30">
          <cell r="A30" t="str">
            <v>SF-0885</v>
          </cell>
          <cell r="B30" t="str">
            <v>SF-0885</v>
          </cell>
          <cell r="L30">
            <v>29.4</v>
          </cell>
          <cell r="Q30" t="str">
            <v>West</v>
          </cell>
          <cell r="X30">
            <v>6021421.4427352753</v>
          </cell>
        </row>
        <row r="31">
          <cell r="A31" t="str">
            <v>SF-0889</v>
          </cell>
          <cell r="B31" t="str">
            <v>SF-0889</v>
          </cell>
          <cell r="L31">
            <v>34.5</v>
          </cell>
          <cell r="Q31" t="str">
            <v>West</v>
          </cell>
          <cell r="X31">
            <v>5782527.0723892767</v>
          </cell>
        </row>
        <row r="32">
          <cell r="A32" t="str">
            <v>SF-0897</v>
          </cell>
          <cell r="B32" t="str">
            <v>SF-0897</v>
          </cell>
          <cell r="L32">
            <v>28.9</v>
          </cell>
          <cell r="Q32" t="str">
            <v>West</v>
          </cell>
          <cell r="X32">
            <v>6096049.6409895839</v>
          </cell>
        </row>
        <row r="33">
          <cell r="A33" t="str">
            <v>SF-0910</v>
          </cell>
          <cell r="B33" t="str">
            <v>SF-0910</v>
          </cell>
          <cell r="L33">
            <v>41.1</v>
          </cell>
          <cell r="Q33" t="str">
            <v>South</v>
          </cell>
          <cell r="X33">
            <v>4988315.6687974185</v>
          </cell>
        </row>
        <row r="34">
          <cell r="A34" t="str">
            <v>SF-0911</v>
          </cell>
          <cell r="B34" t="str">
            <v>SF-0911</v>
          </cell>
          <cell r="L34">
            <v>28.5</v>
          </cell>
          <cell r="Q34" t="str">
            <v>East</v>
          </cell>
          <cell r="X34">
            <v>5475678.8878829023</v>
          </cell>
        </row>
        <row r="35">
          <cell r="A35" t="str">
            <v>SF-0937</v>
          </cell>
          <cell r="B35" t="str">
            <v>SF-0937</v>
          </cell>
          <cell r="L35">
            <v>24.6</v>
          </cell>
          <cell r="Q35" t="str">
            <v>West</v>
          </cell>
          <cell r="X35">
            <v>5583372.7751950119</v>
          </cell>
        </row>
        <row r="36">
          <cell r="A36" t="str">
            <v>SF-0958</v>
          </cell>
          <cell r="B36" t="str">
            <v>SF-0958</v>
          </cell>
          <cell r="L36">
            <v>43.1</v>
          </cell>
          <cell r="Q36" t="str">
            <v>DC_Line</v>
          </cell>
          <cell r="X36">
            <v>5463584.4649419393</v>
          </cell>
        </row>
        <row r="37">
          <cell r="A37" t="str">
            <v>SF-0963</v>
          </cell>
          <cell r="B37" t="str">
            <v>SF-0963</v>
          </cell>
          <cell r="L37">
            <v>23.3</v>
          </cell>
          <cell r="Q37" t="str">
            <v>DC_Line</v>
          </cell>
          <cell r="X37">
            <v>6842262.7028581016</v>
          </cell>
        </row>
        <row r="38">
          <cell r="A38" t="str">
            <v>SF-0966</v>
          </cell>
          <cell r="B38" t="str">
            <v>SF-0966</v>
          </cell>
          <cell r="L38">
            <v>64.099999999999994</v>
          </cell>
          <cell r="Q38" t="str">
            <v>DC_Line</v>
          </cell>
          <cell r="X38">
            <v>4838236.7023332836</v>
          </cell>
        </row>
        <row r="39">
          <cell r="A39" t="str">
            <v>SF-0969</v>
          </cell>
          <cell r="B39" t="str">
            <v>SF-0969</v>
          </cell>
          <cell r="L39">
            <v>37.299999999999997</v>
          </cell>
          <cell r="Q39" t="str">
            <v>South</v>
          </cell>
          <cell r="X39">
            <v>6530251.8934811046</v>
          </cell>
        </row>
        <row r="40">
          <cell r="A40" t="str">
            <v>SF-0975</v>
          </cell>
          <cell r="B40" t="str">
            <v>SF-0975</v>
          </cell>
          <cell r="L40">
            <v>30.1</v>
          </cell>
          <cell r="Q40" t="str">
            <v>DC_Line</v>
          </cell>
          <cell r="X40">
            <v>6774247.2807957744</v>
          </cell>
        </row>
        <row r="41">
          <cell r="A41" t="str">
            <v>SF-0976</v>
          </cell>
          <cell r="B41" t="str">
            <v>SF-0976</v>
          </cell>
          <cell r="L41">
            <v>79.3</v>
          </cell>
          <cell r="Q41" t="str">
            <v>DC_Line</v>
          </cell>
          <cell r="X41">
            <v>4769488.3444724437</v>
          </cell>
        </row>
        <row r="42">
          <cell r="A42" t="str">
            <v>SF-0982</v>
          </cell>
          <cell r="B42" t="str">
            <v>SF-0982</v>
          </cell>
          <cell r="L42">
            <v>47.1</v>
          </cell>
          <cell r="Q42" t="str">
            <v>East</v>
          </cell>
          <cell r="X42">
            <v>4620381.3804732477</v>
          </cell>
        </row>
        <row r="43">
          <cell r="A43" t="str">
            <v>SF-0987</v>
          </cell>
          <cell r="B43" t="str">
            <v>SF-0987</v>
          </cell>
          <cell r="L43">
            <v>38.200000000000003</v>
          </cell>
          <cell r="Q43" t="str">
            <v>West</v>
          </cell>
          <cell r="X43">
            <v>6261608.8330327356</v>
          </cell>
        </row>
        <row r="44">
          <cell r="A44" t="str">
            <v>SF-0988</v>
          </cell>
          <cell r="B44" t="str">
            <v>SF-0988</v>
          </cell>
          <cell r="L44">
            <v>38.700000000000003</v>
          </cell>
          <cell r="Q44" t="str">
            <v>West</v>
          </cell>
          <cell r="X44">
            <v>6337995.1681540934</v>
          </cell>
        </row>
        <row r="45">
          <cell r="A45" t="str">
            <v>SF-0991</v>
          </cell>
          <cell r="B45" t="str">
            <v>SF-0991</v>
          </cell>
          <cell r="L45">
            <v>41.3</v>
          </cell>
          <cell r="Q45" t="str">
            <v>DC_Line</v>
          </cell>
          <cell r="X45">
            <v>6608976.6763987588</v>
          </cell>
        </row>
        <row r="46">
          <cell r="A46" t="str">
            <v>SF-0993</v>
          </cell>
          <cell r="B46" t="str">
            <v>SF-0993</v>
          </cell>
          <cell r="L46">
            <v>47.9</v>
          </cell>
          <cell r="Q46" t="str">
            <v>DC_Line</v>
          </cell>
          <cell r="X46">
            <v>6016269.0696496991</v>
          </cell>
        </row>
        <row r="47">
          <cell r="A47" t="str">
            <v>SF-0994</v>
          </cell>
          <cell r="B47" t="str">
            <v>SF-0994</v>
          </cell>
          <cell r="L47">
            <v>69.2</v>
          </cell>
          <cell r="Q47" t="str">
            <v>West</v>
          </cell>
          <cell r="X47">
            <v>4724611.9934076294</v>
          </cell>
        </row>
        <row r="48">
          <cell r="A48" t="str">
            <v>SF-0996</v>
          </cell>
          <cell r="B48" t="str">
            <v>SF-0996</v>
          </cell>
          <cell r="L48">
            <v>51.2</v>
          </cell>
          <cell r="Q48" t="str">
            <v>West</v>
          </cell>
          <cell r="X48">
            <v>5535170.8766662264</v>
          </cell>
        </row>
        <row r="49">
          <cell r="A49" t="str">
            <v>SF-0997</v>
          </cell>
          <cell r="B49" t="str">
            <v>SF-0997</v>
          </cell>
          <cell r="L49">
            <v>66.3</v>
          </cell>
          <cell r="Q49" t="str">
            <v>West</v>
          </cell>
          <cell r="X49">
            <v>3937306.9409572766</v>
          </cell>
        </row>
        <row r="50">
          <cell r="A50" t="str">
            <v>SF-0998</v>
          </cell>
          <cell r="B50" t="str">
            <v>SF-0998</v>
          </cell>
          <cell r="L50">
            <v>67.3</v>
          </cell>
          <cell r="Q50" t="str">
            <v>DC_Line</v>
          </cell>
          <cell r="X50">
            <v>5440284.730752876</v>
          </cell>
        </row>
        <row r="51">
          <cell r="A51" t="str">
            <v>SF-1002</v>
          </cell>
          <cell r="B51" t="str">
            <v>SF-1002</v>
          </cell>
          <cell r="L51">
            <v>99.1</v>
          </cell>
          <cell r="Q51" t="str">
            <v>DC_Line</v>
          </cell>
          <cell r="X51">
            <v>4491912.6559189307</v>
          </cell>
        </row>
      </sheetData>
      <sheetData sheetId="9">
        <row r="9">
          <cell r="A9" t="str">
            <v>LT-0033</v>
          </cell>
          <cell r="B9" t="str">
            <v>Ruzizi IV - Sisi V</v>
          </cell>
          <cell r="L9">
            <v>267</v>
          </cell>
          <cell r="Q9" t="str">
            <v>East</v>
          </cell>
          <cell r="X9">
            <v>2465092.3610746525</v>
          </cell>
        </row>
        <row r="10">
          <cell r="A10" t="str">
            <v>LT-0075</v>
          </cell>
          <cell r="B10" t="str">
            <v>Nzilo II</v>
          </cell>
          <cell r="L10">
            <v>120</v>
          </cell>
          <cell r="Q10" t="str">
            <v>South</v>
          </cell>
          <cell r="X10">
            <v>3332738.7686371277</v>
          </cell>
        </row>
        <row r="11">
          <cell r="A11" t="str">
            <v>LT-0084</v>
          </cell>
          <cell r="B11" t="str">
            <v>Mambilima Falls II</v>
          </cell>
          <cell r="L11">
            <v>126</v>
          </cell>
          <cell r="Q11" t="str">
            <v>South</v>
          </cell>
          <cell r="X11">
            <v>3844831.1249844516</v>
          </cell>
        </row>
        <row r="12">
          <cell r="A12" t="str">
            <v>LT-0085</v>
          </cell>
          <cell r="B12" t="str">
            <v>Lungudi II</v>
          </cell>
          <cell r="L12">
            <v>100</v>
          </cell>
          <cell r="Q12" t="str">
            <v>DC_Line</v>
          </cell>
          <cell r="X12">
            <v>4795948.5479200641</v>
          </cell>
        </row>
        <row r="13">
          <cell r="A13" t="str">
            <v>LT-0091</v>
          </cell>
          <cell r="B13" t="str">
            <v>Kalengwe</v>
          </cell>
          <cell r="L13">
            <v>204</v>
          </cell>
          <cell r="Q13" t="str">
            <v>South</v>
          </cell>
          <cell r="X13">
            <v>2714352.5379936299</v>
          </cell>
        </row>
        <row r="14">
          <cell r="A14" t="str">
            <v>LT-0094</v>
          </cell>
          <cell r="B14" t="str">
            <v>Mumbotuta M</v>
          </cell>
          <cell r="L14">
            <v>210</v>
          </cell>
          <cell r="Q14" t="str">
            <v>South</v>
          </cell>
          <cell r="X14">
            <v>3498131.2819244973</v>
          </cell>
        </row>
        <row r="15">
          <cell r="A15" t="str">
            <v>LT-0109</v>
          </cell>
          <cell r="B15" t="str">
            <v>Inga III</v>
          </cell>
          <cell r="L15">
            <v>4755</v>
          </cell>
          <cell r="Q15" t="str">
            <v>West</v>
          </cell>
          <cell r="X15">
            <v>1198532.6598118886</v>
          </cell>
        </row>
        <row r="16">
          <cell r="A16" t="str">
            <v>LT-0110</v>
          </cell>
          <cell r="B16" t="str">
            <v>Inga III(HC)-IV-V-VI-VII-VIII</v>
          </cell>
          <cell r="L16">
            <v>37326</v>
          </cell>
          <cell r="Q16" t="str">
            <v>West</v>
          </cell>
          <cell r="X16">
            <v>592444.98510414478</v>
          </cell>
        </row>
        <row r="17">
          <cell r="A17" t="str">
            <v>LT-0127</v>
          </cell>
          <cell r="B17" t="str">
            <v>Ruki</v>
          </cell>
          <cell r="L17">
            <v>114</v>
          </cell>
          <cell r="Q17" t="str">
            <v>West</v>
          </cell>
          <cell r="X17">
            <v>5871937.0831969269</v>
          </cell>
        </row>
        <row r="18">
          <cell r="A18" t="str">
            <v>LT-0132</v>
          </cell>
          <cell r="B18" t="str">
            <v>Pioka</v>
          </cell>
          <cell r="L18">
            <v>20000</v>
          </cell>
          <cell r="Q18" t="str">
            <v>West</v>
          </cell>
          <cell r="X18">
            <v>763320.16048209136</v>
          </cell>
        </row>
        <row r="19">
          <cell r="A19" t="str">
            <v>LT-0136</v>
          </cell>
          <cell r="B19" t="str">
            <v>Matadi</v>
          </cell>
          <cell r="L19">
            <v>12000</v>
          </cell>
          <cell r="Q19" t="str">
            <v>West</v>
          </cell>
          <cell r="X19">
            <v>974828.72433539713</v>
          </cell>
        </row>
        <row r="20">
          <cell r="A20" t="str">
            <v>LT-0138</v>
          </cell>
          <cell r="B20" t="str">
            <v>Mambilima Falls I</v>
          </cell>
          <cell r="L20">
            <v>300</v>
          </cell>
          <cell r="Q20" t="str">
            <v>South</v>
          </cell>
          <cell r="X20">
            <v>3542137.3624180811</v>
          </cell>
        </row>
        <row r="21">
          <cell r="A21" t="str">
            <v>LT-0139</v>
          </cell>
          <cell r="B21" t="str">
            <v>Mambilima Falls V</v>
          </cell>
          <cell r="L21">
            <v>372</v>
          </cell>
          <cell r="Q21" t="str">
            <v>South</v>
          </cell>
          <cell r="X21">
            <v>2866048.995438905</v>
          </cell>
        </row>
        <row r="22">
          <cell r="A22" t="str">
            <v>LT-0140</v>
          </cell>
          <cell r="B22" t="str">
            <v>Mumbotuta CX</v>
          </cell>
          <cell r="L22">
            <v>300</v>
          </cell>
          <cell r="Q22" t="str">
            <v>South</v>
          </cell>
          <cell r="X22">
            <v>3533394.7034665486</v>
          </cell>
        </row>
        <row r="23">
          <cell r="A23" t="str">
            <v>LT-0141</v>
          </cell>
          <cell r="B23" t="str">
            <v>Kimimbi-Fuka</v>
          </cell>
          <cell r="L23">
            <v>153</v>
          </cell>
          <cell r="Q23" t="str">
            <v>South</v>
          </cell>
          <cell r="X23">
            <v>3243810.2330153501</v>
          </cell>
        </row>
        <row r="24">
          <cell r="A24" t="str">
            <v>LT-0178</v>
          </cell>
          <cell r="B24" t="str">
            <v>Ruzizi III</v>
          </cell>
          <cell r="L24">
            <v>145</v>
          </cell>
          <cell r="Q24" t="str">
            <v>East</v>
          </cell>
          <cell r="X24">
            <v>3183248.1600031909</v>
          </cell>
        </row>
        <row r="25">
          <cell r="A25" t="str">
            <v>LT-0183</v>
          </cell>
          <cell r="B25" t="str">
            <v>Kinsuka</v>
          </cell>
          <cell r="L25">
            <v>900</v>
          </cell>
          <cell r="Q25" t="str">
            <v>West</v>
          </cell>
          <cell r="X25">
            <v>2413601.6933629797</v>
          </cell>
        </row>
        <row r="26">
          <cell r="A26" t="str">
            <v>LT-0184</v>
          </cell>
          <cell r="B26" t="str">
            <v>Kibombo Madimba</v>
          </cell>
          <cell r="L26">
            <v>240</v>
          </cell>
          <cell r="Q26" t="str">
            <v>West</v>
          </cell>
          <cell r="X26">
            <v>2556462.1011041091</v>
          </cell>
        </row>
        <row r="27">
          <cell r="A27" t="str">
            <v>SF-0873</v>
          </cell>
          <cell r="B27" t="str">
            <v>SF-0873</v>
          </cell>
          <cell r="L27">
            <v>112.3</v>
          </cell>
          <cell r="Q27" t="str">
            <v>West</v>
          </cell>
          <cell r="X27">
            <v>3339701.95734443</v>
          </cell>
        </row>
        <row r="28">
          <cell r="A28" t="str">
            <v>SF-0980</v>
          </cell>
          <cell r="B28" t="str">
            <v>SF-0980</v>
          </cell>
          <cell r="L28">
            <v>121.4</v>
          </cell>
          <cell r="Q28" t="str">
            <v>West</v>
          </cell>
          <cell r="X28">
            <v>3680592.9821119532</v>
          </cell>
        </row>
        <row r="29">
          <cell r="A29" t="str">
            <v>SF-1001</v>
          </cell>
          <cell r="B29" t="str">
            <v>SF-1001</v>
          </cell>
          <cell r="L29">
            <v>155</v>
          </cell>
          <cell r="Q29" t="str">
            <v>DC_Line</v>
          </cell>
          <cell r="X29">
            <v>3653871.3881787285</v>
          </cell>
        </row>
        <row r="30">
          <cell r="A30" t="str">
            <v>SF-1003</v>
          </cell>
          <cell r="B30" t="str">
            <v>SF-1003</v>
          </cell>
          <cell r="L30">
            <v>102.6</v>
          </cell>
          <cell r="Q30" t="str">
            <v>DC_Line</v>
          </cell>
          <cell r="X30">
            <v>4440900.054518302</v>
          </cell>
        </row>
        <row r="31">
          <cell r="A31" t="str">
            <v>SF-1004</v>
          </cell>
          <cell r="B31" t="str">
            <v>SF-1004</v>
          </cell>
          <cell r="L31">
            <v>173</v>
          </cell>
          <cell r="Q31" t="str">
            <v>West</v>
          </cell>
          <cell r="X31">
            <v>3133256.5815642122</v>
          </cell>
        </row>
        <row r="32">
          <cell r="A32" t="str">
            <v>SF-1005</v>
          </cell>
          <cell r="B32" t="str">
            <v>SF-1005</v>
          </cell>
          <cell r="L32">
            <v>115.2</v>
          </cell>
          <cell r="Q32" t="str">
            <v>West</v>
          </cell>
          <cell r="X32">
            <v>4715086.5470292736</v>
          </cell>
        </row>
        <row r="33">
          <cell r="A33" t="str">
            <v>SF-1011</v>
          </cell>
          <cell r="B33" t="str">
            <v>SF-1011</v>
          </cell>
          <cell r="L33">
            <v>179.3</v>
          </cell>
          <cell r="Q33" t="str">
            <v>West</v>
          </cell>
          <cell r="X33">
            <v>3687332.1462107156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 Wind IRENA"/>
    </sheetNames>
    <sheetDataSet>
      <sheetData sheetId="0">
        <row r="1">
          <cell r="C1" t="str">
            <v>Max Capacity MW</v>
          </cell>
        </row>
        <row r="2">
          <cell r="A2">
            <v>5</v>
          </cell>
          <cell r="C2">
            <v>128.1</v>
          </cell>
          <cell r="R2">
            <v>79.91</v>
          </cell>
          <cell r="T2">
            <v>16.28</v>
          </cell>
        </row>
        <row r="3">
          <cell r="A3">
            <v>1</v>
          </cell>
          <cell r="C3">
            <v>198.2</v>
          </cell>
          <cell r="R3">
            <v>86.84</v>
          </cell>
          <cell r="T3">
            <v>40.700000000000003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nd profile_5-10"/>
      <sheetName val="Wind profile"/>
      <sheetName val="Scenario set"/>
    </sheetNames>
    <sheetDataSet>
      <sheetData sheetId="0" refreshError="1"/>
      <sheetData sheetId="1">
        <row r="6">
          <cell r="AA6">
            <v>0.35499999999999998</v>
          </cell>
          <cell r="AB6">
            <v>0.33200000000000002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</v>
          </cell>
          <cell r="D2">
            <v>70.099999999999994</v>
          </cell>
          <cell r="S2">
            <v>96.740000000000009</v>
          </cell>
          <cell r="U2">
            <v>18.993333333333336</v>
          </cell>
        </row>
        <row r="3">
          <cell r="B3">
            <v>3</v>
          </cell>
          <cell r="D3">
            <v>72.400000000000006</v>
          </cell>
          <cell r="S3">
            <v>87.83</v>
          </cell>
          <cell r="U3">
            <v>97.68</v>
          </cell>
        </row>
        <row r="4">
          <cell r="B4">
            <v>4</v>
          </cell>
          <cell r="D4">
            <v>24.7</v>
          </cell>
          <cell r="S4">
            <v>96.74</v>
          </cell>
          <cell r="U4">
            <v>81.400000000000006</v>
          </cell>
        </row>
        <row r="5">
          <cell r="B5">
            <v>6</v>
          </cell>
          <cell r="D5">
            <v>78.3</v>
          </cell>
          <cell r="S5">
            <v>96.740000000000009</v>
          </cell>
          <cell r="U5">
            <v>18.993333333333336</v>
          </cell>
        </row>
        <row r="6">
          <cell r="B6">
            <v>7</v>
          </cell>
          <cell r="D6">
            <v>129.5</v>
          </cell>
          <cell r="S6">
            <v>86.84</v>
          </cell>
          <cell r="U6">
            <v>113.96</v>
          </cell>
        </row>
        <row r="7">
          <cell r="B7">
            <v>8</v>
          </cell>
          <cell r="D7">
            <v>313</v>
          </cell>
          <cell r="S7">
            <v>169.01</v>
          </cell>
          <cell r="U7">
            <v>56.98</v>
          </cell>
        </row>
        <row r="8">
          <cell r="B8">
            <v>10</v>
          </cell>
          <cell r="D8">
            <v>82.7</v>
          </cell>
          <cell r="S8">
            <v>75.95</v>
          </cell>
          <cell r="U8">
            <v>8.14</v>
          </cell>
        </row>
        <row r="10">
          <cell r="D10">
            <v>2281</v>
          </cell>
        </row>
        <row r="11">
          <cell r="D11">
            <v>23</v>
          </cell>
        </row>
        <row r="12">
          <cell r="D12">
            <v>147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Wind IRENA"/>
    </sheetNames>
    <sheetDataSet>
      <sheetData sheetId="0">
        <row r="2">
          <cell r="A2">
            <v>0</v>
          </cell>
          <cell r="C2">
            <v>24.8</v>
          </cell>
          <cell r="N2">
            <v>0.13300000000000001</v>
          </cell>
          <cell r="R2">
            <v>227.7019583</v>
          </cell>
          <cell r="T2">
            <v>227.7019583</v>
          </cell>
        </row>
        <row r="3">
          <cell r="A3">
            <v>2</v>
          </cell>
          <cell r="C3">
            <v>23.8</v>
          </cell>
          <cell r="N3">
            <v>9.9000000000000005E-2</v>
          </cell>
          <cell r="R3">
            <v>306.35360359999999</v>
          </cell>
          <cell r="T3">
            <v>306.35360359999999</v>
          </cell>
        </row>
        <row r="4">
          <cell r="A4">
            <v>1</v>
          </cell>
          <cell r="C4">
            <v>30.7</v>
          </cell>
          <cell r="N4">
            <v>8.4000000000000005E-2</v>
          </cell>
          <cell r="R4">
            <v>361.19914169999998</v>
          </cell>
          <cell r="T4">
            <v>361.19914169999998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 PV IRENA v3"/>
    </sheetNames>
    <sheetDataSet>
      <sheetData sheetId="0">
        <row r="2">
          <cell r="A2">
            <v>1886</v>
          </cell>
          <cell r="S2">
            <v>72.98</v>
          </cell>
          <cell r="U2">
            <v>8.14</v>
          </cell>
          <cell r="W2">
            <v>27</v>
          </cell>
        </row>
        <row r="3">
          <cell r="A3">
            <v>1874</v>
          </cell>
          <cell r="W3">
            <v>50</v>
          </cell>
        </row>
        <row r="4">
          <cell r="A4">
            <v>296</v>
          </cell>
          <cell r="C4">
            <v>410</v>
          </cell>
        </row>
        <row r="5">
          <cell r="A5">
            <v>1904</v>
          </cell>
          <cell r="S5">
            <v>77.930000000000007</v>
          </cell>
          <cell r="U5">
            <v>16.28</v>
          </cell>
          <cell r="W5">
            <v>119</v>
          </cell>
        </row>
        <row r="6">
          <cell r="A6">
            <v>1849</v>
          </cell>
          <cell r="W6">
            <v>27</v>
          </cell>
        </row>
        <row r="7">
          <cell r="A7">
            <v>1835</v>
          </cell>
          <cell r="C7">
            <v>159</v>
          </cell>
        </row>
        <row r="8">
          <cell r="A8">
            <v>1807</v>
          </cell>
          <cell r="S8">
            <v>83.87</v>
          </cell>
          <cell r="U8">
            <v>0</v>
          </cell>
          <cell r="W8">
            <v>40</v>
          </cell>
        </row>
        <row r="9">
          <cell r="A9">
            <v>329</v>
          </cell>
          <cell r="W9">
            <v>70</v>
          </cell>
        </row>
        <row r="10">
          <cell r="W10">
            <v>76</v>
          </cell>
        </row>
        <row r="11">
          <cell r="C11">
            <v>27</v>
          </cell>
        </row>
        <row r="12">
          <cell r="C12">
            <v>40</v>
          </cell>
        </row>
        <row r="13">
          <cell r="C13">
            <v>43</v>
          </cell>
        </row>
        <row r="14">
          <cell r="C14">
            <v>33</v>
          </cell>
        </row>
        <row r="15">
          <cell r="A15">
            <v>1820</v>
          </cell>
          <cell r="C15">
            <v>80</v>
          </cell>
          <cell r="S15">
            <v>85.85</v>
          </cell>
          <cell r="U15">
            <v>8.14</v>
          </cell>
        </row>
        <row r="16">
          <cell r="C16">
            <v>70</v>
          </cell>
        </row>
        <row r="17">
          <cell r="C17">
            <v>40</v>
          </cell>
        </row>
        <row r="18">
          <cell r="C18">
            <v>825</v>
          </cell>
        </row>
        <row r="19">
          <cell r="C19">
            <v>40</v>
          </cell>
        </row>
        <row r="20">
          <cell r="A20">
            <v>1804</v>
          </cell>
          <cell r="C20">
            <v>47</v>
          </cell>
          <cell r="S20">
            <v>92.78</v>
          </cell>
          <cell r="U20">
            <v>8.14</v>
          </cell>
        </row>
        <row r="21">
          <cell r="C21">
            <v>40</v>
          </cell>
        </row>
        <row r="22">
          <cell r="A22">
            <v>26</v>
          </cell>
          <cell r="C22">
            <v>690</v>
          </cell>
          <cell r="S22">
            <v>75.95</v>
          </cell>
          <cell r="U22">
            <v>16.28</v>
          </cell>
        </row>
        <row r="23">
          <cell r="C23">
            <v>73</v>
          </cell>
        </row>
        <row r="24">
          <cell r="C24">
            <v>27</v>
          </cell>
        </row>
        <row r="25">
          <cell r="C25">
            <v>1245</v>
          </cell>
        </row>
        <row r="26">
          <cell r="A26">
            <v>1885</v>
          </cell>
          <cell r="C26">
            <v>50</v>
          </cell>
          <cell r="S26">
            <v>73.97</v>
          </cell>
          <cell r="U26">
            <v>24.42</v>
          </cell>
        </row>
        <row r="27">
          <cell r="C27">
            <v>30</v>
          </cell>
        </row>
        <row r="28">
          <cell r="C28">
            <v>24</v>
          </cell>
        </row>
        <row r="29">
          <cell r="C29">
            <v>24</v>
          </cell>
        </row>
        <row r="30">
          <cell r="C30">
            <v>142</v>
          </cell>
        </row>
        <row r="31">
          <cell r="C31">
            <v>27</v>
          </cell>
        </row>
        <row r="32">
          <cell r="A32">
            <v>291</v>
          </cell>
          <cell r="C32">
            <v>30</v>
          </cell>
          <cell r="S32">
            <v>82.88</v>
          </cell>
          <cell r="U32">
            <v>16.28</v>
          </cell>
        </row>
        <row r="33">
          <cell r="C33">
            <v>40</v>
          </cell>
        </row>
        <row r="34">
          <cell r="C34">
            <v>24</v>
          </cell>
        </row>
        <row r="35">
          <cell r="C35">
            <v>37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 profile 4-10"/>
      <sheetName val="PV profile"/>
      <sheetName val="Scenario set"/>
    </sheetNames>
    <sheetDataSet>
      <sheetData sheetId="0">
        <row r="6">
          <cell r="B6">
            <v>0.18879337899543339</v>
          </cell>
          <cell r="C6">
            <v>0.18900616438356127</v>
          </cell>
          <cell r="D6">
            <v>0.18830582191780773</v>
          </cell>
          <cell r="E6">
            <v>0.18865468036529667</v>
          </cell>
          <cell r="F6">
            <v>0.18823915525114163</v>
          </cell>
          <cell r="G6">
            <v>0.21701541095890384</v>
          </cell>
          <cell r="H6">
            <v>0.21474212328767134</v>
          </cell>
          <cell r="I6">
            <v>0.21520102739726046</v>
          </cell>
          <cell r="J6">
            <v>0.21640148401826448</v>
          </cell>
          <cell r="K6">
            <v>0.21339600456620927</v>
          </cell>
        </row>
      </sheetData>
      <sheetData sheetId="1">
        <row r="5">
          <cell r="B5">
            <v>0.18974554794520554</v>
          </cell>
          <cell r="C5">
            <v>0.19007499999999966</v>
          </cell>
          <cell r="D5">
            <v>0.18865079908675725</v>
          </cell>
          <cell r="E5">
            <v>0.2168214611872144</v>
          </cell>
          <cell r="F5">
            <v>0.21657945205479431</v>
          </cell>
          <cell r="G5">
            <v>0.21646849315068489</v>
          </cell>
          <cell r="H5">
            <v>0.19765639269406376</v>
          </cell>
          <cell r="I5">
            <v>0.20075251141552516</v>
          </cell>
          <cell r="J5">
            <v>0.20217477168949877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th PV IRENA V3"/>
    </sheetNames>
    <sheetDataSet>
      <sheetData sheetId="0">
        <row r="2">
          <cell r="A2">
            <v>3750</v>
          </cell>
          <cell r="C2">
            <v>24</v>
          </cell>
          <cell r="S2">
            <v>73.97</v>
          </cell>
          <cell r="U2">
            <v>0</v>
          </cell>
        </row>
        <row r="3">
          <cell r="A3">
            <v>1343</v>
          </cell>
          <cell r="C3">
            <v>819</v>
          </cell>
        </row>
        <row r="4">
          <cell r="A4">
            <v>1354</v>
          </cell>
          <cell r="C4">
            <v>2089</v>
          </cell>
          <cell r="S4">
            <v>80.900000000000006</v>
          </cell>
          <cell r="U4">
            <v>16.28</v>
          </cell>
        </row>
        <row r="5">
          <cell r="A5">
            <v>3735</v>
          </cell>
          <cell r="C5">
            <v>27</v>
          </cell>
        </row>
        <row r="6">
          <cell r="A6">
            <v>3580</v>
          </cell>
          <cell r="C6">
            <v>24</v>
          </cell>
        </row>
        <row r="7">
          <cell r="A7">
            <v>1281</v>
          </cell>
          <cell r="C7">
            <v>24</v>
          </cell>
        </row>
        <row r="8">
          <cell r="A8">
            <v>1333</v>
          </cell>
          <cell r="C8">
            <v>27</v>
          </cell>
        </row>
        <row r="9">
          <cell r="A9">
            <v>1390</v>
          </cell>
          <cell r="C9">
            <v>255</v>
          </cell>
          <cell r="S9">
            <v>81.89</v>
          </cell>
          <cell r="U9">
            <v>24.42</v>
          </cell>
        </row>
        <row r="10">
          <cell r="C10">
            <v>53</v>
          </cell>
        </row>
        <row r="11">
          <cell r="C11">
            <v>142</v>
          </cell>
        </row>
        <row r="12">
          <cell r="A12">
            <v>1364</v>
          </cell>
          <cell r="C12">
            <v>1212</v>
          </cell>
          <cell r="S12">
            <v>93.77</v>
          </cell>
          <cell r="U12">
            <v>24.42</v>
          </cell>
        </row>
        <row r="13">
          <cell r="C13">
            <v>63</v>
          </cell>
        </row>
        <row r="14">
          <cell r="A14">
            <v>1367</v>
          </cell>
          <cell r="C14">
            <v>631</v>
          </cell>
          <cell r="S14">
            <v>75.95</v>
          </cell>
          <cell r="U14">
            <v>16.28</v>
          </cell>
        </row>
        <row r="15">
          <cell r="C15">
            <v>486</v>
          </cell>
        </row>
        <row r="16">
          <cell r="C16">
            <v>27</v>
          </cell>
        </row>
        <row r="17">
          <cell r="C17">
            <v>162</v>
          </cell>
        </row>
        <row r="18">
          <cell r="C18">
            <v>50</v>
          </cell>
        </row>
        <row r="19">
          <cell r="A19">
            <v>1331</v>
          </cell>
          <cell r="C19">
            <v>1977</v>
          </cell>
          <cell r="S19">
            <v>77.930000000000007</v>
          </cell>
          <cell r="U19">
            <v>24.42</v>
          </cell>
        </row>
        <row r="20">
          <cell r="C20">
            <v>512</v>
          </cell>
        </row>
        <row r="21">
          <cell r="A21">
            <v>1355</v>
          </cell>
          <cell r="C21">
            <v>1350</v>
          </cell>
          <cell r="S21">
            <v>79.91</v>
          </cell>
          <cell r="U21">
            <v>40.700000000000003</v>
          </cell>
        </row>
        <row r="22">
          <cell r="A22">
            <v>1332</v>
          </cell>
          <cell r="C22">
            <v>472</v>
          </cell>
          <cell r="S22">
            <v>76.94</v>
          </cell>
          <cell r="U22">
            <v>8.14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V IRENAv3"/>
    </sheetNames>
    <sheetDataSet>
      <sheetData sheetId="0">
        <row r="2">
          <cell r="C2">
            <v>330</v>
          </cell>
          <cell r="E2">
            <v>334</v>
          </cell>
          <cell r="U2">
            <v>76.94</v>
          </cell>
          <cell r="W2">
            <v>8.14</v>
          </cell>
        </row>
        <row r="3">
          <cell r="C3">
            <v>331</v>
          </cell>
          <cell r="E3">
            <v>961</v>
          </cell>
          <cell r="U3">
            <v>79.91</v>
          </cell>
          <cell r="W3">
            <v>16.28</v>
          </cell>
        </row>
        <row r="4">
          <cell r="C4">
            <v>1616</v>
          </cell>
          <cell r="E4">
            <v>40</v>
          </cell>
          <cell r="U4">
            <v>72.98</v>
          </cell>
          <cell r="W4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ison Hughes" id="{FEFAC1D3-A2CE-8C47-BAF6-67519BC0E6CB}" userId="S::01372879@wf.uct.ac.za::b5db5c21-02f6-48cc-8137-97ddd55934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" dT="2021-11-09T07:17:35.13" personId="{FEFAC1D3-A2CE-8C47-BAF6-67519BC0E6CB}" id="{A4F576FC-625A-244F-96F3-11ECBCFA99E4}">
    <text>Used to downscale Capacity factor to match the turbine class rating</text>
  </threadedComment>
  <threadedComment ref="L5" dT="2021-11-09T07:07:42.63" personId="{FEFAC1D3-A2CE-8C47-BAF6-67519BC0E6CB}" id="{7B7601FA-FF41-8249-B3B7-E18AB9B583F3}">
    <text>Reflects change in capital cost compared to original in 2020, end of year cost unchanged, intermediate costs will increase or decrease accordingly</text>
  </threadedComment>
  <threadedComment ref="K6" dT="2021-11-09T07:17:35.13" personId="{FEFAC1D3-A2CE-8C47-BAF6-67519BC0E6CB}" id="{54F49BBE-D145-5247-85F3-40DBDB352D86}">
    <text>Used to downscale Capacity factor to match the turbine class rating</text>
  </threadedComment>
  <threadedComment ref="L6" dT="2021-11-09T07:07:42.63" personId="{FEFAC1D3-A2CE-8C47-BAF6-67519BC0E6CB}" id="{6E9750B0-8605-7645-98EE-746C94A56C76}">
    <text>Reflects change in capital cost compared to original</text>
  </threadedComment>
  <threadedComment ref="Y6" dT="2022-01-07T08:43:42.68" personId="{FEFAC1D3-A2CE-8C47-BAF6-67519BC0E6CB}" id="{D7752CD1-7E43-004D-8EB9-BD13F4725C18}">
    <text>Demand scenarios taken from ONSSET</text>
  </threadedComment>
  <threadedComment ref="X7" dT="2022-01-07T08:41:56.54" personId="{FEFAC1D3-A2CE-8C47-BAF6-67519BC0E6CB}" id="{D2EC3898-E886-D34F-A8E4-06CF15EDC9F6}">
    <text>updates directly into input sheet</text>
  </threadedComment>
  <threadedComment ref="Y7" dT="2022-01-07T08:41:56.54" personId="{FEFAC1D3-A2CE-8C47-BAF6-67519BC0E6CB}" id="{2E56C54B-AD1B-5C48-9EB8-3DCEE37D1887}">
    <text>updates directly into input sheet</text>
  </threadedComment>
  <threadedComment ref="L9" dT="2021-11-09T07:07:42.63" personId="{FEFAC1D3-A2CE-8C47-BAF6-67519BC0E6CB}" id="{A2CCCE12-96C2-944F-9714-C969917B75B4}">
    <text>Reflects change in capital cost compared to original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1-10-05T16:04:04.11" personId="{FEFAC1D3-A2CE-8C47-BAF6-67519BC0E6CB}" id="{17AFE05B-D821-F54E-A381-D4F54FEE1683}">
    <text>Cahier sectoriel ANAPI – RDC: Investir dans l’électricité, 2016 p22 even more pessimistic than WB but that may be a reflection of availabiliy before the WB shown refurbishments (See 2019 Makuku)</text>
  </threadedComment>
  <threadedComment ref="R3" dT="2021-10-01T16:17:05.60" personId="{FEFAC1D3-A2CE-8C47-BAF6-67519BC0E6CB}" id="{B22AB9C6-1410-3C45-82E9-D03ECF3D22DB}">
    <text>55MW of this may not be available (WB report)</text>
  </threadedComment>
  <threadedComment ref="R4" dT="2021-09-29T01:32:05.99" personId="{FEFAC1D3-A2CE-8C47-BAF6-67519BC0E6CB}" id="{C94679B5-97E7-0E41-B19D-27B8D3118F44}">
    <text>WB says this is 50% of DRC generating capacity, but that only 1056MW of this capacity may be currently available</text>
  </threadedComment>
  <threadedComment ref="I6" dT="2022-06-09T02:57:26.87" personId="{FEFAC1D3-A2CE-8C47-BAF6-67519BC0E6CB}" id="{8295613A-02F7-AA4A-8663-4B0F4BA4A433}">
    <text>Changed from committed to existing based on Christians Review</text>
  </threadedComment>
  <threadedComment ref="I8" dT="2021-10-02T00:35:08.29" personId="{FEFAC1D3-A2CE-8C47-BAF6-67519BC0E6CB}" id="{BA34DACA-96B7-8B4A-968E-31B46B71251C}">
    <text>This power plant has been under construction since 2011, but with a period of no work until construction started again in 2021</text>
  </threadedComment>
  <threadedComment ref="D9" dT="2021-10-02T00:21:30.31" personId="{FEFAC1D3-A2CE-8C47-BAF6-67519BC0E6CB}" id="{FED2A62A-FB27-4C40-805D-57DCDD7B5987}">
    <text>global power plant database</text>
  </threadedComment>
  <threadedComment ref="I9" dT="2022-06-09T02:56:43.35" personId="{FEFAC1D3-A2CE-8C47-BAF6-67519BC0E6CB}" id="{1E35B5DD-30D8-2D49-9A24-E2361D877AE0}">
    <text>Added after Christians review</text>
  </threadedComment>
  <threadedComment ref="S10" dT="2022-06-03T20:03:09.44" personId="{FEFAC1D3-A2CE-8C47-BAF6-67519BC0E6CB}" id="{A4273177-22D7-EF44-9010-100CC2E5179C}">
    <text>This 0.1 total, 0.075 available according to Christian vs the 0.026 originally there based on 13x2</text>
  </threadedComment>
  <threadedComment ref="S11" dT="2022-06-03T20:04:57.00" personId="{FEFAC1D3-A2CE-8C47-BAF6-67519BC0E6CB}" id="{50BE4CCB-7A5B-9441-A296-29CBFB1B1114}">
    <text>According to Christian, this plant is still in service</text>
  </threadedComment>
  <threadedComment ref="R12" dT="2021-09-30T03:18:48.65" personId="{FEFAC1D3-A2CE-8C47-BAF6-67519BC0E6CB}" id="{BC32485A-2D06-F94F-9041-61F2913D888E}">
    <text xml:space="preserve">WB108
</text>
  </threadedComment>
  <threadedComment ref="S12" dT="2022-06-03T20:06:55.43" personId="{FEFAC1D3-A2CE-8C47-BAF6-67519BC0E6CB}" id="{A8B87EB3-6FD5-AB4B-BA2E-49D058E1E322}">
    <text>According to Christian, actual capacity 108, available 75</text>
  </threadedComment>
  <threadedComment ref="R13" dT="2021-09-30T03:19:03.16" personId="{FEFAC1D3-A2CE-8C47-BAF6-67519BC0E6CB}" id="{27659DAE-D09F-B24D-BFBD-9447FAF80D8A}">
    <text>WB260</text>
  </threadedComment>
  <threadedComment ref="S13" dT="2022-06-03T20:08:52.56" personId="{FEFAC1D3-A2CE-8C47-BAF6-67519BC0E6CB}" id="{F42A2B43-A2FB-9941-ACD8-91904648058C}">
    <text>Christian says 195</text>
  </threadedComment>
  <threadedComment ref="D20" dT="2022-06-05T20:15:32.57" personId="{FEFAC1D3-A2CE-8C47-BAF6-67519BC0E6CB}" id="{DFC93B7E-7B89-4541-8B93-F54D00192B13}">
    <text>Stopped according to Christian</text>
  </threadedComment>
  <threadedComment ref="D21" dT="2022-06-05T20:52:56.47" personId="{FEFAC1D3-A2CE-8C47-BAF6-67519BC0E6CB}" id="{382100EF-1FC9-3E48-BC5E-1049B01A8338}">
    <text xml:space="preserve">No Goma on Christians list, Assume this is Gombo? </text>
  </threadedComment>
  <threadedComment ref="D24" dT="2022-06-10T02:40:00.69" personId="{FEFAC1D3-A2CE-8C47-BAF6-67519BC0E6CB}" id="{38285611-2416-DC41-8683-22E4679D7046}">
    <text>Added some capacity according to Christians list</text>
  </threadedComment>
  <threadedComment ref="P24" dT="2021-11-09T15:09:48.63" personId="{FEFAC1D3-A2CE-8C47-BAF6-67519BC0E6CB}" id="{15CB79D5-EAB9-C441-B633-E26115FCF77C}">
    <text>Based on information on expected GWh output found on the web</text>
  </threadedComment>
  <threadedComment ref="D25" dT="2022-06-10T02:40:00.69" personId="{FEFAC1D3-A2CE-8C47-BAF6-67519BC0E6CB}" id="{2514F541-7BC2-5D45-B721-288D4FCE758F}">
    <text>Added some capacity according to Christians list</text>
  </threadedComment>
  <threadedComment ref="P25" dT="2021-11-09T15:09:48.63" personId="{FEFAC1D3-A2CE-8C47-BAF6-67519BC0E6CB}" id="{F3701F0C-3C44-1C42-AA2D-9A6C6DE05FC9}">
    <text>Generic new plant</text>
  </threadedComment>
  <threadedComment ref="O26" dT="2021-09-28T21:33:44.22" personId="{FEFAC1D3-A2CE-8C47-BAF6-67519BC0E6CB}" id="{76A59BD5-ED5B-F049-A231-5DD5B35D9297}">
    <text>Availibility</text>
  </threadedComment>
  <threadedComment ref="Q26" dT="2021-09-28T21:34:09.84" personId="{FEFAC1D3-A2CE-8C47-BAF6-67519BC0E6CB}" id="{C843B820-66B6-2147-A33D-3BDC42F0BE4B}">
    <text>Plant factor</text>
  </threadedComment>
  <threadedComment ref="R50" dT="2021-10-01T16:32:44.80" personId="{FEFAC1D3-A2CE-8C47-BAF6-67519BC0E6CB}" id="{607261C9-FA9B-F640-894C-273C60BDFF16}">
    <text xml:space="preserve">IRENA says 8.6, 19.65 is the WB </text>
  </threadedComment>
  <threadedComment ref="M53" dT="2021-09-30T21:16:51.82" personId="{FEFAC1D3-A2CE-8C47-BAF6-67519BC0E6CB}" id="{8757C065-19A9-1941-86E7-F8104D3F4BE1}">
    <text>should have been 2020</text>
  </threadedComment>
  <threadedComment ref="M56" dT="2021-09-30T21:12:44.31" personId="{FEFAC1D3-A2CE-8C47-BAF6-67519BC0E6CB}" id="{7A4E90F0-75E3-5B42-AEB8-F4EE478C7F61}">
    <text>This is a whole series of stations summed together, first year ranges from 1940 to 1992</text>
  </threadedComment>
  <threadedComment ref="M57" dT="2021-09-30T21:12:44.31" personId="{FEFAC1D3-A2CE-8C47-BAF6-67519BC0E6CB}" id="{DEAAB2E3-EDA8-154F-9B44-4B2C9ED0E58A}">
    <text>This is a whole series of stations summed together, first year ranges from 1943 to 1992</text>
  </threadedComment>
  <threadedComment ref="M58" dT="2021-09-30T21:12:44.31" personId="{FEFAC1D3-A2CE-8C47-BAF6-67519BC0E6CB}" id="{A1120EA7-B142-FF44-AC7C-B3B69FAA0638}">
    <text>This is a whole series of stations summed together, first year ranges from 1932 to 1992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" dT="2021-10-12T11:22:41.03" personId="{FEFAC1D3-A2CE-8C47-BAF6-67519BC0E6CB}" id="{32FEF11F-C5BF-C740-BE65-FC94A9666911}">
    <text>If set to 10 then randomly set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2" dT="2022-02-02T12:41:21.79" personId="{FEFAC1D3-A2CE-8C47-BAF6-67519BC0E6CB}" id="{8D9BECF3-B86D-054C-BAD0-2950F5B5880A}">
    <text>Divided by 2 because of share owed Burundi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T1" dT="2021-11-03T12:52:15.94" personId="{FEFAC1D3-A2CE-8C47-BAF6-67519BC0E6CB}" id="{8B8A8005-F8A2-5645-B5FD-E02769748BD1}">
    <text>IRENA original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T1" dT="2021-11-02T10:32:46.17" personId="{FEFAC1D3-A2CE-8C47-BAF6-67519BC0E6CB}" id="{699DC399-18A3-5B44-BDC7-9B4685D2C70F}">
    <text>Capital costs in IRENA SPLAT model</text>
  </threadedComment>
  <threadedComment ref="Z1" dT="2021-11-02T10:29:45.53" personId="{FEFAC1D3-A2CE-8C47-BAF6-67519BC0E6CB}" id="{BA9C8917-56E2-9248-8D44-68B45568E00F}">
    <text>These are the costs in IRENA SPLAT model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85C7-D7FA-EB4D-966A-54CDE7B671AC}">
  <dimension ref="A1:AN325"/>
  <sheetViews>
    <sheetView topLeftCell="B8" zoomScale="114" zoomScaleNormal="110" workbookViewId="0">
      <selection activeCell="H26" sqref="H26"/>
    </sheetView>
  </sheetViews>
  <sheetFormatPr baseColWidth="10" defaultRowHeight="16" x14ac:dyDescent="0.2"/>
  <cols>
    <col min="7" max="7" width="13.6640625" customWidth="1"/>
  </cols>
  <sheetData>
    <row r="1" spans="1:40" x14ac:dyDescent="0.2">
      <c r="B1">
        <v>1</v>
      </c>
      <c r="G1">
        <v>8800</v>
      </c>
      <c r="H1" s="25">
        <f>H3</f>
        <v>0.51459671114224692</v>
      </c>
      <c r="I1">
        <f t="shared" ref="I1:Q1" si="0">H1+($R$1-$H$1)/($R$5-$H$5)</f>
        <v>0.56313704002802223</v>
      </c>
      <c r="J1">
        <f t="shared" si="0"/>
        <v>0.61167736891379754</v>
      </c>
      <c r="K1">
        <f t="shared" si="0"/>
        <v>0.66021769779957284</v>
      </c>
      <c r="L1">
        <f t="shared" si="0"/>
        <v>0.70875802668534815</v>
      </c>
      <c r="M1">
        <f t="shared" si="0"/>
        <v>0.75729835557112346</v>
      </c>
      <c r="N1">
        <f t="shared" si="0"/>
        <v>0.80583868445689877</v>
      </c>
      <c r="O1">
        <f t="shared" si="0"/>
        <v>0.85437901334267408</v>
      </c>
      <c r="P1">
        <f t="shared" si="0"/>
        <v>0.90291934222844938</v>
      </c>
      <c r="Q1">
        <f t="shared" si="0"/>
        <v>0.95145967111422469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</row>
    <row r="2" spans="1:40" x14ac:dyDescent="0.2">
      <c r="H2" s="25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40" x14ac:dyDescent="0.2">
      <c r="G3" t="s">
        <v>366</v>
      </c>
      <c r="H3" s="25">
        <v>0.51459671114224692</v>
      </c>
      <c r="J3" s="10" t="e">
        <f ca="1">SUM(J6:J11)</f>
        <v>#REF!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e">
        <f ca="1">SUM(AB6:AB11)</f>
        <v>#REF!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40" x14ac:dyDescent="0.2">
      <c r="A4" t="s">
        <v>307</v>
      </c>
      <c r="G4" s="25" t="s">
        <v>372</v>
      </c>
    </row>
    <row r="5" spans="1:40" x14ac:dyDescent="0.2">
      <c r="H5">
        <f>H27</f>
        <v>2020</v>
      </c>
      <c r="I5">
        <f t="shared" ref="I5:R5" si="1">I27</f>
        <v>2021</v>
      </c>
      <c r="J5">
        <f t="shared" si="1"/>
        <v>2022</v>
      </c>
      <c r="K5">
        <f t="shared" si="1"/>
        <v>2023</v>
      </c>
      <c r="L5">
        <f t="shared" si="1"/>
        <v>2024</v>
      </c>
      <c r="M5">
        <f t="shared" si="1"/>
        <v>2025</v>
      </c>
      <c r="N5">
        <f t="shared" si="1"/>
        <v>2026</v>
      </c>
      <c r="O5">
        <f t="shared" si="1"/>
        <v>2027</v>
      </c>
      <c r="P5">
        <f t="shared" si="1"/>
        <v>2028</v>
      </c>
      <c r="Q5">
        <f t="shared" si="1"/>
        <v>2029</v>
      </c>
      <c r="R5">
        <f t="shared" si="1"/>
        <v>2030</v>
      </c>
      <c r="S5">
        <f>R5+1</f>
        <v>2031</v>
      </c>
      <c r="T5">
        <f t="shared" ref="T5:AB5" si="2">S5+1</f>
        <v>2032</v>
      </c>
      <c r="U5">
        <f t="shared" si="2"/>
        <v>2033</v>
      </c>
      <c r="V5">
        <f t="shared" si="2"/>
        <v>2034</v>
      </c>
      <c r="W5">
        <f t="shared" si="2"/>
        <v>2035</v>
      </c>
      <c r="X5">
        <f t="shared" si="2"/>
        <v>2036</v>
      </c>
      <c r="Y5">
        <f t="shared" si="2"/>
        <v>2037</v>
      </c>
      <c r="Z5">
        <f t="shared" si="2"/>
        <v>2038</v>
      </c>
      <c r="AA5">
        <f t="shared" si="2"/>
        <v>2039</v>
      </c>
      <c r="AB5">
        <f t="shared" si="2"/>
        <v>2040</v>
      </c>
      <c r="AC5">
        <f t="shared" ref="AC5" si="3">AB5+1</f>
        <v>2041</v>
      </c>
      <c r="AD5">
        <f t="shared" ref="AD5" si="4">AC5+1</f>
        <v>2042</v>
      </c>
      <c r="AE5">
        <f t="shared" ref="AE5" si="5">AD5+1</f>
        <v>2043</v>
      </c>
      <c r="AF5">
        <f t="shared" ref="AF5" si="6">AE5+1</f>
        <v>2044</v>
      </c>
      <c r="AG5">
        <f t="shared" ref="AG5" si="7">AF5+1</f>
        <v>2045</v>
      </c>
      <c r="AH5">
        <f t="shared" ref="AH5" si="8">AG5+1</f>
        <v>2046</v>
      </c>
      <c r="AI5">
        <f t="shared" ref="AI5" si="9">AH5+1</f>
        <v>2047</v>
      </c>
      <c r="AJ5">
        <f t="shared" ref="AJ5" si="10">AI5+1</f>
        <v>2048</v>
      </c>
      <c r="AK5">
        <f t="shared" ref="AK5:AL5" si="11">AJ5+1</f>
        <v>2049</v>
      </c>
      <c r="AL5">
        <f t="shared" si="11"/>
        <v>2050</v>
      </c>
    </row>
    <row r="6" spans="1:40" x14ac:dyDescent="0.2">
      <c r="C6" t="e">
        <f ca="1">H6+H7+H8</f>
        <v>#REF!</v>
      </c>
      <c r="E6" t="str">
        <f>Scenarios!$Y$7</f>
        <v>M50</v>
      </c>
      <c r="F6" t="s">
        <v>52</v>
      </c>
      <c r="G6" t="s">
        <v>308</v>
      </c>
      <c r="H6" t="e">
        <f ca="1">SUMIFS(I$202:I$312,$B$202:$B$312,$F6,'Scenario demand summary'!$A$202:$A$312,Scenarios!$D$1,$D$202:$D$312,$G6)*H$1</f>
        <v>#REF!</v>
      </c>
      <c r="I6" t="e">
        <f ca="1">H6+($R6-$H6)/($R$5-$H$5)</f>
        <v>#REF!</v>
      </c>
      <c r="J6" t="e">
        <f t="shared" ref="J6:Q6" ca="1" si="12">I6+($R6-$H6)/($R$5-$H$5)</f>
        <v>#REF!</v>
      </c>
      <c r="K6" t="e">
        <f t="shared" ca="1" si="12"/>
        <v>#REF!</v>
      </c>
      <c r="L6" t="e">
        <f t="shared" ca="1" si="12"/>
        <v>#REF!</v>
      </c>
      <c r="M6" t="e">
        <f t="shared" ca="1" si="12"/>
        <v>#REF!</v>
      </c>
      <c r="N6" t="e">
        <f t="shared" ca="1" si="12"/>
        <v>#REF!</v>
      </c>
      <c r="O6" t="e">
        <f t="shared" ca="1" si="12"/>
        <v>#REF!</v>
      </c>
      <c r="P6" t="e">
        <f t="shared" ca="1" si="12"/>
        <v>#REF!</v>
      </c>
      <c r="Q6" t="e">
        <f t="shared" ca="1" si="12"/>
        <v>#REF!</v>
      </c>
      <c r="R6" t="e">
        <f ca="1">SUMIFS(S$202:S$312,$B$202:$B$312,$F6,'Scenario demand summary'!$A$202:$A$312,Scenarios!$Y$7,$D$202:$D$312,$G6)*R$1</f>
        <v>#REF!</v>
      </c>
      <c r="S6" t="e">
        <f ca="1">SUMIFS(T$202:T$312,$B$202:$B$312,$F6,'Scenario demand summary'!$A$202:$A$312,Scenarios!$Y$7,$D$202:$D$312,$G6)*S$1</f>
        <v>#REF!</v>
      </c>
      <c r="T6" t="e">
        <f ca="1">SUMIFS(U$202:U$312,$B$202:$B$312,$F6,'Scenario demand summary'!$A$202:$A$312,Scenarios!$Y$7,$D$202:$D$312,$G6)*T$1</f>
        <v>#REF!</v>
      </c>
      <c r="U6" t="e">
        <f ca="1">SUMIFS(V$202:V$312,$B$202:$B$312,$F6,'Scenario demand summary'!$A$202:$A$312,Scenarios!$Y$7,$D$202:$D$312,$G6)*U$1</f>
        <v>#REF!</v>
      </c>
      <c r="V6" t="e">
        <f ca="1">SUMIFS(W$202:W$312,$B$202:$B$312,$F6,'Scenario demand summary'!$A$202:$A$312,Scenarios!$Y$7,$D$202:$D$312,$G6)*V$1</f>
        <v>#REF!</v>
      </c>
      <c r="W6" t="e">
        <f ca="1">SUMIFS(X$202:X$312,$B$202:$B$312,$F6,'Scenario demand summary'!$A$202:$A$312,Scenarios!$Y$7,$D$202:$D$312,$G6)*W$1</f>
        <v>#REF!</v>
      </c>
      <c r="X6" t="e">
        <f ca="1">SUMIFS(Y$202:Y$312,$B$202:$B$312,$F6,'Scenario demand summary'!$A$202:$A$312,Scenarios!$Y$7,$D$202:$D$312,$G6)*X$1</f>
        <v>#REF!</v>
      </c>
      <c r="Y6" t="e">
        <f ca="1">SUMIFS(Z$202:Z$312,$B$202:$B$312,$F6,'Scenario demand summary'!$A$202:$A$312,Scenarios!$Y$7,$D$202:$D$312,$G6)*Y$1</f>
        <v>#REF!</v>
      </c>
      <c r="Z6" t="e">
        <f ca="1">SUMIFS(AA$202:AA$312,$B$202:$B$312,$F6,'Scenario demand summary'!$A$202:$A$312,Scenarios!$Y$7,$D$202:$D$312,$G6)*Z$1</f>
        <v>#REF!</v>
      </c>
      <c r="AA6" t="e">
        <f ca="1">SUMIFS(AB$202:AB$312,$B$202:$B$312,$F6,'Scenario demand summary'!$A$202:$A$312,Scenarios!$Y$7,$D$202:$D$312,$G6)*AA$1</f>
        <v>#REF!</v>
      </c>
      <c r="AB6" t="e">
        <f ca="1">SUMIFS(AC$202:AC$312,$B$202:$B$312,$F6,'Scenario demand summary'!$A$202:$A$312,Scenarios!$Y$7,$D$202:$D$312,$G6)*AB$1</f>
        <v>#REF!</v>
      </c>
      <c r="AC6" t="e">
        <f ca="1">SUMIFS(AD$202:AD$312,$B$202:$B$312,$F6,'Scenario demand summary'!$A$202:$A$312,Scenarios!$Y$7,$D$202:$D$312,$G6)*AC$1</f>
        <v>#REF!</v>
      </c>
      <c r="AD6" t="e">
        <f ca="1">SUMIFS(AE$202:AE$312,$B$202:$B$312,$F6,'Scenario demand summary'!$A$202:$A$312,Scenarios!$Y$7,$D$202:$D$312,$G6)*AD$1</f>
        <v>#REF!</v>
      </c>
      <c r="AE6" t="e">
        <f ca="1">SUMIFS(AF$202:AF$312,$B$202:$B$312,$F6,'Scenario demand summary'!$A$202:$A$312,Scenarios!$Y$7,$D$202:$D$312,$G6)*AE$1</f>
        <v>#REF!</v>
      </c>
      <c r="AF6" t="e">
        <f ca="1">SUMIFS(AG$202:AG$312,$B$202:$B$312,$F6,'Scenario demand summary'!$A$202:$A$312,Scenarios!$Y$7,$D$202:$D$312,$G6)*AF$1</f>
        <v>#REF!</v>
      </c>
      <c r="AG6" t="e">
        <f ca="1">SUMIFS(AH$202:AH$312,$B$202:$B$312,$F6,'Scenario demand summary'!$A$202:$A$312,Scenarios!$Y$7,$D$202:$D$312,$G6)*AG$1</f>
        <v>#REF!</v>
      </c>
      <c r="AH6" t="e">
        <f ca="1">SUMIFS(AI$202:AI$312,$B$202:$B$312,$F6,'Scenario demand summary'!$A$202:$A$312,Scenarios!$Y$7,$D$202:$D$312,$G6)*AH$1</f>
        <v>#REF!</v>
      </c>
      <c r="AI6" t="e">
        <f ca="1">SUMIFS(AJ$202:AJ$312,$B$202:$B$312,$F6,'Scenario demand summary'!$A$202:$A$312,Scenarios!$Y$7,$D$202:$D$312,$G6)*AI$1</f>
        <v>#REF!</v>
      </c>
      <c r="AJ6" t="e">
        <f ca="1">SUMIFS(AK$202:AK$312,$B$202:$B$312,$F6,'Scenario demand summary'!$A$202:$A$312,Scenarios!$Y$7,$D$202:$D$312,$G6)*AJ$1</f>
        <v>#REF!</v>
      </c>
      <c r="AK6" t="e">
        <f ca="1">SUMIFS(AL$202:AL$312,$B$202:$B$312,$F6,'Scenario demand summary'!$A$202:$A$312,Scenarios!$Y$7,$D$202:$D$312,$G6)*AK$1</f>
        <v>#REF!</v>
      </c>
      <c r="AL6" t="e">
        <f ca="1">SUMIFS(AM$202:AM$312,$B$202:$B$312,$F6,'Scenario demand summary'!$A$202:$A$312,Scenarios!$Y$7,$D$202:$D$312,$G6)*AL$1</f>
        <v>#REF!</v>
      </c>
      <c r="AN6" t="s">
        <v>385</v>
      </c>
    </row>
    <row r="7" spans="1:40" x14ac:dyDescent="0.2">
      <c r="E7" t="str">
        <f>Scenarios!$Y$7</f>
        <v>M50</v>
      </c>
      <c r="F7" t="s">
        <v>52</v>
      </c>
      <c r="G7" t="s">
        <v>309</v>
      </c>
      <c r="H7" t="e">
        <f ca="1">SUMIFS(I$202:I$312,$B$202:$B$312,$F7,'Scenario demand summary'!$A$202:$A$312,Scenarios!$D$1,$D$202:$D$312,$G7)*H$1</f>
        <v>#REF!</v>
      </c>
      <c r="I7" t="e">
        <f t="shared" ref="I7:Q14" ca="1" si="13">H7+($R7-$H7)/($R$5-$H$5)</f>
        <v>#REF!</v>
      </c>
      <c r="J7" t="e">
        <f t="shared" ca="1" si="13"/>
        <v>#REF!</v>
      </c>
      <c r="K7" t="e">
        <f t="shared" ca="1" si="13"/>
        <v>#REF!</v>
      </c>
      <c r="L7" t="e">
        <f t="shared" ca="1" si="13"/>
        <v>#REF!</v>
      </c>
      <c r="M7" t="e">
        <f t="shared" ca="1" si="13"/>
        <v>#REF!</v>
      </c>
      <c r="N7" t="e">
        <f t="shared" ca="1" si="13"/>
        <v>#REF!</v>
      </c>
      <c r="O7" t="e">
        <f t="shared" ca="1" si="13"/>
        <v>#REF!</v>
      </c>
      <c r="P7" t="e">
        <f t="shared" ca="1" si="13"/>
        <v>#REF!</v>
      </c>
      <c r="Q7" t="e">
        <f t="shared" ca="1" si="13"/>
        <v>#REF!</v>
      </c>
      <c r="R7" t="e">
        <f ca="1">SUMIFS(S$202:S$312,$B$202:$B$312,$F7,'Scenario demand summary'!$A$202:$A$312,Scenarios!$Y$7,$D$202:$D$312,$G7)*R$1</f>
        <v>#REF!</v>
      </c>
      <c r="S7" t="e">
        <f ca="1">SUMIFS(T$202:T$312,$B$202:$B$312,$F7,'Scenario demand summary'!$A$202:$A$312,Scenarios!$Y$7,$D$202:$D$312,$G7)*S$1</f>
        <v>#REF!</v>
      </c>
      <c r="T7" t="e">
        <f ca="1">SUMIFS(U$202:U$312,$B$202:$B$312,$F7,'Scenario demand summary'!$A$202:$A$312,Scenarios!$Y$7,$D$202:$D$312,$G7)*T$1</f>
        <v>#REF!</v>
      </c>
      <c r="U7" t="e">
        <f ca="1">SUMIFS(V$202:V$312,$B$202:$B$312,$F7,'Scenario demand summary'!$A$202:$A$312,Scenarios!$Y$7,$D$202:$D$312,$G7)*U$1</f>
        <v>#REF!</v>
      </c>
      <c r="V7" t="e">
        <f ca="1">SUMIFS(W$202:W$312,$B$202:$B$312,$F7,'Scenario demand summary'!$A$202:$A$312,Scenarios!$Y$7,$D$202:$D$312,$G7)*V$1</f>
        <v>#REF!</v>
      </c>
      <c r="W7" t="e">
        <f ca="1">SUMIFS(X$202:X$312,$B$202:$B$312,$F7,'Scenario demand summary'!$A$202:$A$312,Scenarios!$Y$7,$D$202:$D$312,$G7)*W$1</f>
        <v>#REF!</v>
      </c>
      <c r="X7" t="e">
        <f ca="1">SUMIFS(Y$202:Y$312,$B$202:$B$312,$F7,'Scenario demand summary'!$A$202:$A$312,Scenarios!$Y$7,$D$202:$D$312,$G7)*X$1</f>
        <v>#REF!</v>
      </c>
      <c r="Y7" t="e">
        <f ca="1">SUMIFS(Z$202:Z$312,$B$202:$B$312,$F7,'Scenario demand summary'!$A$202:$A$312,Scenarios!$Y$7,$D$202:$D$312,$G7)*Y$1</f>
        <v>#REF!</v>
      </c>
      <c r="Z7" t="e">
        <f ca="1">SUMIFS(AA$202:AA$312,$B$202:$B$312,$F7,'Scenario demand summary'!$A$202:$A$312,Scenarios!$Y$7,$D$202:$D$312,$G7)*Z$1</f>
        <v>#REF!</v>
      </c>
      <c r="AA7" t="e">
        <f ca="1">SUMIFS(AB$202:AB$312,$B$202:$B$312,$F7,'Scenario demand summary'!$A$202:$A$312,Scenarios!$Y$7,$D$202:$D$312,$G7)*AA$1</f>
        <v>#REF!</v>
      </c>
      <c r="AB7" t="e">
        <f ca="1">SUMIFS(AC$202:AC$312,$B$202:$B$312,$F7,'Scenario demand summary'!$A$202:$A$312,Scenarios!$Y$7,$D$202:$D$312,$G7)*AB$1</f>
        <v>#REF!</v>
      </c>
      <c r="AC7" t="e">
        <f ca="1">SUMIFS(AD$202:AD$312,$B$202:$B$312,$F7,'Scenario demand summary'!$A$202:$A$312,Scenarios!$Y$7,$D$202:$D$312,$G7)*AC$1</f>
        <v>#REF!</v>
      </c>
      <c r="AD7" t="e">
        <f ca="1">SUMIFS(AE$202:AE$312,$B$202:$B$312,$F7,'Scenario demand summary'!$A$202:$A$312,Scenarios!$Y$7,$D$202:$D$312,$G7)*AD$1</f>
        <v>#REF!</v>
      </c>
      <c r="AE7" t="e">
        <f ca="1">SUMIFS(AF$202:AF$312,$B$202:$B$312,$F7,'Scenario demand summary'!$A$202:$A$312,Scenarios!$Y$7,$D$202:$D$312,$G7)*AE$1</f>
        <v>#REF!</v>
      </c>
      <c r="AF7" t="e">
        <f ca="1">SUMIFS(AG$202:AG$312,$B$202:$B$312,$F7,'Scenario demand summary'!$A$202:$A$312,Scenarios!$Y$7,$D$202:$D$312,$G7)*AF$1</f>
        <v>#REF!</v>
      </c>
      <c r="AG7" t="e">
        <f ca="1">SUMIFS(AH$202:AH$312,$B$202:$B$312,$F7,'Scenario demand summary'!$A$202:$A$312,Scenarios!$Y$7,$D$202:$D$312,$G7)*AG$1</f>
        <v>#REF!</v>
      </c>
      <c r="AH7" t="e">
        <f ca="1">SUMIFS(AI$202:AI$312,$B$202:$B$312,$F7,'Scenario demand summary'!$A$202:$A$312,Scenarios!$Y$7,$D$202:$D$312,$G7)*AH$1</f>
        <v>#REF!</v>
      </c>
      <c r="AI7" t="e">
        <f ca="1">SUMIFS(AJ$202:AJ$312,$B$202:$B$312,$F7,'Scenario demand summary'!$A$202:$A$312,Scenarios!$Y$7,$D$202:$D$312,$G7)*AI$1</f>
        <v>#REF!</v>
      </c>
      <c r="AJ7" t="e">
        <f ca="1">SUMIFS(AK$202:AK$312,$B$202:$B$312,$F7,'Scenario demand summary'!$A$202:$A$312,Scenarios!$Y$7,$D$202:$D$312,$G7)*AJ$1</f>
        <v>#REF!</v>
      </c>
      <c r="AK7" t="e">
        <f ca="1">SUMIFS(AL$202:AL$312,$B$202:$B$312,$F7,'Scenario demand summary'!$A$202:$A$312,Scenarios!$Y$7,$D$202:$D$312,$G7)*AK$1</f>
        <v>#REF!</v>
      </c>
      <c r="AL7" t="e">
        <f ca="1">SUMIFS(AM$202:AM$312,$B$202:$B$312,$F7,'Scenario demand summary'!$A$202:$A$312,Scenarios!$Y$7,$D$202:$D$312,$G7)*AL$1</f>
        <v>#REF!</v>
      </c>
      <c r="AN7" t="s">
        <v>386</v>
      </c>
    </row>
    <row r="8" spans="1:40" x14ac:dyDescent="0.2">
      <c r="A8">
        <v>50</v>
      </c>
      <c r="E8" t="str">
        <f>Scenarios!$Y$7</f>
        <v>M50</v>
      </c>
      <c r="F8" t="s">
        <v>52</v>
      </c>
      <c r="G8" t="s">
        <v>310</v>
      </c>
      <c r="H8" t="e">
        <f ca="1">SUMIFS(I$202:I$312,$B$202:$B$312,$F8,'Scenario demand summary'!$A$202:$A$312,Scenarios!$D$1,$D$202:$D$312,$G8)*H$1</f>
        <v>#REF!</v>
      </c>
      <c r="I8" t="e">
        <f t="shared" ca="1" si="13"/>
        <v>#REF!</v>
      </c>
      <c r="J8" t="e">
        <f t="shared" ca="1" si="13"/>
        <v>#REF!</v>
      </c>
      <c r="K8" t="e">
        <f t="shared" ca="1" si="13"/>
        <v>#REF!</v>
      </c>
      <c r="L8" t="e">
        <f t="shared" ca="1" si="13"/>
        <v>#REF!</v>
      </c>
      <c r="M8" t="e">
        <f t="shared" ca="1" si="13"/>
        <v>#REF!</v>
      </c>
      <c r="N8" t="e">
        <f t="shared" ca="1" si="13"/>
        <v>#REF!</v>
      </c>
      <c r="O8" t="e">
        <f t="shared" ca="1" si="13"/>
        <v>#REF!</v>
      </c>
      <c r="P8" t="e">
        <f t="shared" ca="1" si="13"/>
        <v>#REF!</v>
      </c>
      <c r="Q8" t="e">
        <f t="shared" ca="1" si="13"/>
        <v>#REF!</v>
      </c>
      <c r="R8" t="e">
        <f ca="1">SUMIFS(S$202:S$312,$B$202:$B$312,$F8,'Scenario demand summary'!$A$202:$A$312,Scenarios!$Y$7,$D$202:$D$312,$G8)*R$1</f>
        <v>#REF!</v>
      </c>
      <c r="S8" t="e">
        <f ca="1">SUMIFS(T$202:T$312,$B$202:$B$312,$F8,'Scenario demand summary'!$A$202:$A$312,Scenarios!$Y$7,$D$202:$D$312,$G8)*S$1</f>
        <v>#REF!</v>
      </c>
      <c r="T8" t="e">
        <f ca="1">SUMIFS(U$202:U$312,$B$202:$B$312,$F8,'Scenario demand summary'!$A$202:$A$312,Scenarios!$Y$7,$D$202:$D$312,$G8)*T$1</f>
        <v>#REF!</v>
      </c>
      <c r="U8" t="e">
        <f ca="1">SUMIFS(V$202:V$312,$B$202:$B$312,$F8,'Scenario demand summary'!$A$202:$A$312,Scenarios!$Y$7,$D$202:$D$312,$G8)*U$1</f>
        <v>#REF!</v>
      </c>
      <c r="V8" t="e">
        <f ca="1">SUMIFS(W$202:W$312,$B$202:$B$312,$F8,'Scenario demand summary'!$A$202:$A$312,Scenarios!$Y$7,$D$202:$D$312,$G8)*V$1</f>
        <v>#REF!</v>
      </c>
      <c r="W8" t="e">
        <f ca="1">SUMIFS(X$202:X$312,$B$202:$B$312,$F8,'Scenario demand summary'!$A$202:$A$312,Scenarios!$Y$7,$D$202:$D$312,$G8)*W$1</f>
        <v>#REF!</v>
      </c>
      <c r="X8" t="e">
        <f ca="1">SUMIFS(Y$202:Y$312,$B$202:$B$312,$F8,'Scenario demand summary'!$A$202:$A$312,Scenarios!$Y$7,$D$202:$D$312,$G8)*X$1</f>
        <v>#REF!</v>
      </c>
      <c r="Y8" t="e">
        <f ca="1">SUMIFS(Z$202:Z$312,$B$202:$B$312,$F8,'Scenario demand summary'!$A$202:$A$312,Scenarios!$Y$7,$D$202:$D$312,$G8)*Y$1</f>
        <v>#REF!</v>
      </c>
      <c r="Z8" t="e">
        <f ca="1">SUMIFS(AA$202:AA$312,$B$202:$B$312,$F8,'Scenario demand summary'!$A$202:$A$312,Scenarios!$Y$7,$D$202:$D$312,$G8)*Z$1</f>
        <v>#REF!</v>
      </c>
      <c r="AA8" t="e">
        <f ca="1">SUMIFS(AB$202:AB$312,$B$202:$B$312,$F8,'Scenario demand summary'!$A$202:$A$312,Scenarios!$Y$7,$D$202:$D$312,$G8)*AA$1</f>
        <v>#REF!</v>
      </c>
      <c r="AB8" t="e">
        <f ca="1">SUMIFS(AC$202:AC$312,$B$202:$B$312,$F8,'Scenario demand summary'!$A$202:$A$312,Scenarios!$Y$7,$D$202:$D$312,$G8)*AB$1</f>
        <v>#REF!</v>
      </c>
      <c r="AC8" t="e">
        <f ca="1">SUMIFS(AD$202:AD$312,$B$202:$B$312,$F8,'Scenario demand summary'!$A$202:$A$312,Scenarios!$Y$7,$D$202:$D$312,$G8)*AC$1</f>
        <v>#REF!</v>
      </c>
      <c r="AD8" t="e">
        <f ca="1">SUMIFS(AE$202:AE$312,$B$202:$B$312,$F8,'Scenario demand summary'!$A$202:$A$312,Scenarios!$Y$7,$D$202:$D$312,$G8)*AD$1</f>
        <v>#REF!</v>
      </c>
      <c r="AE8" t="e">
        <f ca="1">SUMIFS(AF$202:AF$312,$B$202:$B$312,$F8,'Scenario demand summary'!$A$202:$A$312,Scenarios!$Y$7,$D$202:$D$312,$G8)*AE$1</f>
        <v>#REF!</v>
      </c>
      <c r="AF8" t="e">
        <f ca="1">SUMIFS(AG$202:AG$312,$B$202:$B$312,$F8,'Scenario demand summary'!$A$202:$A$312,Scenarios!$Y$7,$D$202:$D$312,$G8)*AF$1</f>
        <v>#REF!</v>
      </c>
      <c r="AG8" t="e">
        <f ca="1">SUMIFS(AH$202:AH$312,$B$202:$B$312,$F8,'Scenario demand summary'!$A$202:$A$312,Scenarios!$Y$7,$D$202:$D$312,$G8)*AG$1</f>
        <v>#REF!</v>
      </c>
      <c r="AH8" t="e">
        <f ca="1">SUMIFS(AI$202:AI$312,$B$202:$B$312,$F8,'Scenario demand summary'!$A$202:$A$312,Scenarios!$Y$7,$D$202:$D$312,$G8)*AH$1</f>
        <v>#REF!</v>
      </c>
      <c r="AI8" t="e">
        <f ca="1">SUMIFS(AJ$202:AJ$312,$B$202:$B$312,$F8,'Scenario demand summary'!$A$202:$A$312,Scenarios!$Y$7,$D$202:$D$312,$G8)*AI$1</f>
        <v>#REF!</v>
      </c>
      <c r="AJ8" t="e">
        <f ca="1">SUMIFS(AK$202:AK$312,$B$202:$B$312,$F8,'Scenario demand summary'!$A$202:$A$312,Scenarios!$Y$7,$D$202:$D$312,$G8)*AJ$1</f>
        <v>#REF!</v>
      </c>
      <c r="AK8" t="e">
        <f ca="1">SUMIFS(AL$202:AL$312,$B$202:$B$312,$F8,'Scenario demand summary'!$A$202:$A$312,Scenarios!$Y$7,$D$202:$D$312,$G8)*AK$1</f>
        <v>#REF!</v>
      </c>
      <c r="AL8" t="e">
        <f ca="1">SUMIFS(AM$202:AM$312,$B$202:$B$312,$F8,'Scenario demand summary'!$A$202:$A$312,Scenarios!$Y$7,$D$202:$D$312,$G8)*AL$1</f>
        <v>#REF!</v>
      </c>
      <c r="AN8" t="s">
        <v>387</v>
      </c>
    </row>
    <row r="9" spans="1:40" x14ac:dyDescent="0.2">
      <c r="A9">
        <v>75</v>
      </c>
      <c r="C9" t="e">
        <f ca="1">H9+H10+H11</f>
        <v>#REF!</v>
      </c>
      <c r="E9" t="str">
        <f>Scenarios!$Y$7</f>
        <v>M50</v>
      </c>
      <c r="F9" t="s">
        <v>79</v>
      </c>
      <c r="G9" t="s">
        <v>308</v>
      </c>
      <c r="H9" t="e">
        <f ca="1">SUMIFS(I$202:I$312,$B$202:$B$312,$F9,'Scenario demand summary'!$A$202:$A$312,Scenarios!$D$1,$D$202:$D$312,$G9)*H$1</f>
        <v>#REF!</v>
      </c>
      <c r="I9" t="e">
        <f t="shared" ca="1" si="13"/>
        <v>#REF!</v>
      </c>
      <c r="J9" t="e">
        <f t="shared" ca="1" si="13"/>
        <v>#REF!</v>
      </c>
      <c r="K9" t="e">
        <f t="shared" ca="1" si="13"/>
        <v>#REF!</v>
      </c>
      <c r="L9" t="e">
        <f t="shared" ca="1" si="13"/>
        <v>#REF!</v>
      </c>
      <c r="M9" t="e">
        <f t="shared" ca="1" si="13"/>
        <v>#REF!</v>
      </c>
      <c r="N9" t="e">
        <f t="shared" ca="1" si="13"/>
        <v>#REF!</v>
      </c>
      <c r="O9" t="e">
        <f t="shared" ca="1" si="13"/>
        <v>#REF!</v>
      </c>
      <c r="P9" t="e">
        <f t="shared" ca="1" si="13"/>
        <v>#REF!</v>
      </c>
      <c r="Q9" t="e">
        <f t="shared" ca="1" si="13"/>
        <v>#REF!</v>
      </c>
      <c r="R9" t="e">
        <f ca="1">SUMIFS(S$202:S$312,$B$202:$B$312,$F9,'Scenario demand summary'!$A$202:$A$312,Scenarios!$Y$7,$D$202:$D$312,$G9)*R$1</f>
        <v>#REF!</v>
      </c>
      <c r="S9" t="e">
        <f ca="1">SUMIFS(T$202:T$312,$B$202:$B$312,$F9,'Scenario demand summary'!$A$202:$A$312,Scenarios!$Y$7,$D$202:$D$312,$G9)*S$1</f>
        <v>#REF!</v>
      </c>
      <c r="T9" t="e">
        <f ca="1">SUMIFS(U$202:U$312,$B$202:$B$312,$F9,'Scenario demand summary'!$A$202:$A$312,Scenarios!$Y$7,$D$202:$D$312,$G9)*T$1</f>
        <v>#REF!</v>
      </c>
      <c r="U9" t="e">
        <f ca="1">SUMIFS(V$202:V$312,$B$202:$B$312,$F9,'Scenario demand summary'!$A$202:$A$312,Scenarios!$Y$7,$D$202:$D$312,$G9)*U$1</f>
        <v>#REF!</v>
      </c>
      <c r="V9" t="e">
        <f ca="1">SUMIFS(W$202:W$312,$B$202:$B$312,$F9,'Scenario demand summary'!$A$202:$A$312,Scenarios!$Y$7,$D$202:$D$312,$G9)*V$1</f>
        <v>#REF!</v>
      </c>
      <c r="W9" t="e">
        <f ca="1">SUMIFS(X$202:X$312,$B$202:$B$312,$F9,'Scenario demand summary'!$A$202:$A$312,Scenarios!$Y$7,$D$202:$D$312,$G9)*W$1</f>
        <v>#REF!</v>
      </c>
      <c r="X9" t="e">
        <f ca="1">SUMIFS(Y$202:Y$312,$B$202:$B$312,$F9,'Scenario demand summary'!$A$202:$A$312,Scenarios!$Y$7,$D$202:$D$312,$G9)*X$1</f>
        <v>#REF!</v>
      </c>
      <c r="Y9" t="e">
        <f ca="1">SUMIFS(Z$202:Z$312,$B$202:$B$312,$F9,'Scenario demand summary'!$A$202:$A$312,Scenarios!$Y$7,$D$202:$D$312,$G9)*Y$1</f>
        <v>#REF!</v>
      </c>
      <c r="Z9" t="e">
        <f ca="1">SUMIFS(AA$202:AA$312,$B$202:$B$312,$F9,'Scenario demand summary'!$A$202:$A$312,Scenarios!$Y$7,$D$202:$D$312,$G9)*Z$1</f>
        <v>#REF!</v>
      </c>
      <c r="AA9" t="e">
        <f ca="1">SUMIFS(AB$202:AB$312,$B$202:$B$312,$F9,'Scenario demand summary'!$A$202:$A$312,Scenarios!$Y$7,$D$202:$D$312,$G9)*AA$1</f>
        <v>#REF!</v>
      </c>
      <c r="AB9" t="e">
        <f ca="1">SUMIFS(AC$202:AC$312,$B$202:$B$312,$F9,'Scenario demand summary'!$A$202:$A$312,Scenarios!$Y$7,$D$202:$D$312,$G9)*AB$1</f>
        <v>#REF!</v>
      </c>
      <c r="AC9" t="e">
        <f ca="1">SUMIFS(AD$202:AD$312,$B$202:$B$312,$F9,'Scenario demand summary'!$A$202:$A$312,Scenarios!$Y$7,$D$202:$D$312,$G9)*AC$1</f>
        <v>#REF!</v>
      </c>
      <c r="AD9" t="e">
        <f ca="1">SUMIFS(AE$202:AE$312,$B$202:$B$312,$F9,'Scenario demand summary'!$A$202:$A$312,Scenarios!$Y$7,$D$202:$D$312,$G9)*AD$1</f>
        <v>#REF!</v>
      </c>
      <c r="AE9" t="e">
        <f ca="1">SUMIFS(AF$202:AF$312,$B$202:$B$312,$F9,'Scenario demand summary'!$A$202:$A$312,Scenarios!$Y$7,$D$202:$D$312,$G9)*AE$1</f>
        <v>#REF!</v>
      </c>
      <c r="AF9" t="e">
        <f ca="1">SUMIFS(AG$202:AG$312,$B$202:$B$312,$F9,'Scenario demand summary'!$A$202:$A$312,Scenarios!$Y$7,$D$202:$D$312,$G9)*AF$1</f>
        <v>#REF!</v>
      </c>
      <c r="AG9" t="e">
        <f ca="1">SUMIFS(AH$202:AH$312,$B$202:$B$312,$F9,'Scenario demand summary'!$A$202:$A$312,Scenarios!$Y$7,$D$202:$D$312,$G9)*AG$1</f>
        <v>#REF!</v>
      </c>
      <c r="AH9" t="e">
        <f ca="1">SUMIFS(AI$202:AI$312,$B$202:$B$312,$F9,'Scenario demand summary'!$A$202:$A$312,Scenarios!$Y$7,$D$202:$D$312,$G9)*AH$1</f>
        <v>#REF!</v>
      </c>
      <c r="AI9" t="e">
        <f ca="1">SUMIFS(AJ$202:AJ$312,$B$202:$B$312,$F9,'Scenario demand summary'!$A$202:$A$312,Scenarios!$Y$7,$D$202:$D$312,$G9)*AI$1</f>
        <v>#REF!</v>
      </c>
      <c r="AJ9" t="e">
        <f ca="1">SUMIFS(AK$202:AK$312,$B$202:$B$312,$F9,'Scenario demand summary'!$A$202:$A$312,Scenarios!$Y$7,$D$202:$D$312,$G9)*AJ$1</f>
        <v>#REF!</v>
      </c>
      <c r="AK9" t="e">
        <f ca="1">SUMIFS(AL$202:AL$312,$B$202:$B$312,$F9,'Scenario demand summary'!$A$202:$A$312,Scenarios!$Y$7,$D$202:$D$312,$G9)*AK$1</f>
        <v>#REF!</v>
      </c>
      <c r="AL9" t="e">
        <f ca="1">SUMIFS(AM$202:AM$312,$B$202:$B$312,$F9,'Scenario demand summary'!$A$202:$A$312,Scenarios!$Y$7,$D$202:$D$312,$G9)*AL$1</f>
        <v>#REF!</v>
      </c>
      <c r="AN9" t="s">
        <v>393</v>
      </c>
    </row>
    <row r="10" spans="1:40" x14ac:dyDescent="0.2">
      <c r="A10">
        <v>100</v>
      </c>
      <c r="E10" t="str">
        <f>Scenarios!$Y$7</f>
        <v>M50</v>
      </c>
      <c r="F10" t="s">
        <v>79</v>
      </c>
      <c r="G10" t="s">
        <v>309</v>
      </c>
      <c r="H10" t="e">
        <f ca="1">SUMIFS(I$202:I$312,$B$202:$B$312,$F10,'Scenario demand summary'!$A$202:$A$312,Scenarios!$D$1,$D$202:$D$312,$G10)*H$1</f>
        <v>#REF!</v>
      </c>
      <c r="I10" t="e">
        <f t="shared" ca="1" si="13"/>
        <v>#REF!</v>
      </c>
      <c r="J10" t="e">
        <f t="shared" ca="1" si="13"/>
        <v>#REF!</v>
      </c>
      <c r="K10" t="e">
        <f t="shared" ca="1" si="13"/>
        <v>#REF!</v>
      </c>
      <c r="L10" t="e">
        <f t="shared" ca="1" si="13"/>
        <v>#REF!</v>
      </c>
      <c r="M10" t="e">
        <f t="shared" ca="1" si="13"/>
        <v>#REF!</v>
      </c>
      <c r="N10" t="e">
        <f t="shared" ca="1" si="13"/>
        <v>#REF!</v>
      </c>
      <c r="O10" t="e">
        <f t="shared" ca="1" si="13"/>
        <v>#REF!</v>
      </c>
      <c r="P10" t="e">
        <f t="shared" ca="1" si="13"/>
        <v>#REF!</v>
      </c>
      <c r="Q10" t="e">
        <f t="shared" ca="1" si="13"/>
        <v>#REF!</v>
      </c>
      <c r="R10" t="e">
        <f ca="1">SUMIFS(S$202:S$312,$B$202:$B$312,$F10,'Scenario demand summary'!$A$202:$A$312,Scenarios!$Y$7,$D$202:$D$312,$G10)*R$1</f>
        <v>#REF!</v>
      </c>
      <c r="S10" t="e">
        <f ca="1">SUMIFS(T$202:T$312,$B$202:$B$312,$F10,'Scenario demand summary'!$A$202:$A$312,Scenarios!$Y$7,$D$202:$D$312,$G10)*S$1</f>
        <v>#REF!</v>
      </c>
      <c r="T10" t="e">
        <f ca="1">SUMIFS(U$202:U$312,$B$202:$B$312,$F10,'Scenario demand summary'!$A$202:$A$312,Scenarios!$Y$7,$D$202:$D$312,$G10)*T$1</f>
        <v>#REF!</v>
      </c>
      <c r="U10" t="e">
        <f ca="1">SUMIFS(V$202:V$312,$B$202:$B$312,$F10,'Scenario demand summary'!$A$202:$A$312,Scenarios!$Y$7,$D$202:$D$312,$G10)*U$1</f>
        <v>#REF!</v>
      </c>
      <c r="V10" t="e">
        <f ca="1">SUMIFS(W$202:W$312,$B$202:$B$312,$F10,'Scenario demand summary'!$A$202:$A$312,Scenarios!$Y$7,$D$202:$D$312,$G10)*V$1</f>
        <v>#REF!</v>
      </c>
      <c r="W10" t="e">
        <f ca="1">SUMIFS(X$202:X$312,$B$202:$B$312,$F10,'Scenario demand summary'!$A$202:$A$312,Scenarios!$Y$7,$D$202:$D$312,$G10)*W$1</f>
        <v>#REF!</v>
      </c>
      <c r="X10" t="e">
        <f ca="1">SUMIFS(Y$202:Y$312,$B$202:$B$312,$F10,'Scenario demand summary'!$A$202:$A$312,Scenarios!$Y$7,$D$202:$D$312,$G10)*X$1</f>
        <v>#REF!</v>
      </c>
      <c r="Y10" t="e">
        <f ca="1">SUMIFS(Z$202:Z$312,$B$202:$B$312,$F10,'Scenario demand summary'!$A$202:$A$312,Scenarios!$Y$7,$D$202:$D$312,$G10)*Y$1</f>
        <v>#REF!</v>
      </c>
      <c r="Z10" t="e">
        <f ca="1">SUMIFS(AA$202:AA$312,$B$202:$B$312,$F10,'Scenario demand summary'!$A$202:$A$312,Scenarios!$Y$7,$D$202:$D$312,$G10)*Z$1</f>
        <v>#REF!</v>
      </c>
      <c r="AA10" t="e">
        <f ca="1">SUMIFS(AB$202:AB$312,$B$202:$B$312,$F10,'Scenario demand summary'!$A$202:$A$312,Scenarios!$Y$7,$D$202:$D$312,$G10)*AA$1</f>
        <v>#REF!</v>
      </c>
      <c r="AB10" t="e">
        <f ca="1">SUMIFS(AC$202:AC$312,$B$202:$B$312,$F10,'Scenario demand summary'!$A$202:$A$312,Scenarios!$Y$7,$D$202:$D$312,$G10)*AB$1</f>
        <v>#REF!</v>
      </c>
      <c r="AC10" t="e">
        <f ca="1">SUMIFS(AD$202:AD$312,$B$202:$B$312,$F10,'Scenario demand summary'!$A$202:$A$312,Scenarios!$Y$7,$D$202:$D$312,$G10)*AC$1</f>
        <v>#REF!</v>
      </c>
      <c r="AD10" t="e">
        <f ca="1">SUMIFS(AE$202:AE$312,$B$202:$B$312,$F10,'Scenario demand summary'!$A$202:$A$312,Scenarios!$Y$7,$D$202:$D$312,$G10)*AD$1</f>
        <v>#REF!</v>
      </c>
      <c r="AE10" t="e">
        <f ca="1">SUMIFS(AF$202:AF$312,$B$202:$B$312,$F10,'Scenario demand summary'!$A$202:$A$312,Scenarios!$Y$7,$D$202:$D$312,$G10)*AE$1</f>
        <v>#REF!</v>
      </c>
      <c r="AF10" t="e">
        <f ca="1">SUMIFS(AG$202:AG$312,$B$202:$B$312,$F10,'Scenario demand summary'!$A$202:$A$312,Scenarios!$Y$7,$D$202:$D$312,$G10)*AF$1</f>
        <v>#REF!</v>
      </c>
      <c r="AG10" t="e">
        <f ca="1">SUMIFS(AH$202:AH$312,$B$202:$B$312,$F10,'Scenario demand summary'!$A$202:$A$312,Scenarios!$Y$7,$D$202:$D$312,$G10)*AG$1</f>
        <v>#REF!</v>
      </c>
      <c r="AH10" t="e">
        <f ca="1">SUMIFS(AI$202:AI$312,$B$202:$B$312,$F10,'Scenario demand summary'!$A$202:$A$312,Scenarios!$Y$7,$D$202:$D$312,$G10)*AH$1</f>
        <v>#REF!</v>
      </c>
      <c r="AI10" t="e">
        <f ca="1">SUMIFS(AJ$202:AJ$312,$B$202:$B$312,$F10,'Scenario demand summary'!$A$202:$A$312,Scenarios!$Y$7,$D$202:$D$312,$G10)*AI$1</f>
        <v>#REF!</v>
      </c>
      <c r="AJ10" t="e">
        <f ca="1">SUMIFS(AK$202:AK$312,$B$202:$B$312,$F10,'Scenario demand summary'!$A$202:$A$312,Scenarios!$Y$7,$D$202:$D$312,$G10)*AJ$1</f>
        <v>#REF!</v>
      </c>
      <c r="AK10" t="e">
        <f ca="1">SUMIFS(AL$202:AL$312,$B$202:$B$312,$F10,'Scenario demand summary'!$A$202:$A$312,Scenarios!$Y$7,$D$202:$D$312,$G10)*AK$1</f>
        <v>#REF!</v>
      </c>
      <c r="AL10" t="e">
        <f ca="1">SUMIFS(AM$202:AM$312,$B$202:$B$312,$F10,'Scenario demand summary'!$A$202:$A$312,Scenarios!$Y$7,$D$202:$D$312,$G10)*AL$1</f>
        <v>#REF!</v>
      </c>
      <c r="AN10" t="s">
        <v>388</v>
      </c>
    </row>
    <row r="11" spans="1:40" x14ac:dyDescent="0.2">
      <c r="E11" t="str">
        <f>Scenarios!$Y$7</f>
        <v>M50</v>
      </c>
      <c r="F11" t="s">
        <v>79</v>
      </c>
      <c r="G11" t="s">
        <v>310</v>
      </c>
      <c r="H11" t="e">
        <f ca="1">SUMIFS(I$202:I$312,$B$202:$B$312,$F11,'Scenario demand summary'!$A$202:$A$312,Scenarios!$D$1,$D$202:$D$312,$G11)*H$1</f>
        <v>#REF!</v>
      </c>
      <c r="I11" t="e">
        <f t="shared" ca="1" si="13"/>
        <v>#REF!</v>
      </c>
      <c r="J11" t="e">
        <f t="shared" ca="1" si="13"/>
        <v>#REF!</v>
      </c>
      <c r="K11" t="e">
        <f t="shared" ca="1" si="13"/>
        <v>#REF!</v>
      </c>
      <c r="L11" t="e">
        <f t="shared" ca="1" si="13"/>
        <v>#REF!</v>
      </c>
      <c r="M11" t="e">
        <f t="shared" ca="1" si="13"/>
        <v>#REF!</v>
      </c>
      <c r="N11" t="e">
        <f t="shared" ca="1" si="13"/>
        <v>#REF!</v>
      </c>
      <c r="O11" t="e">
        <f t="shared" ca="1" si="13"/>
        <v>#REF!</v>
      </c>
      <c r="P11" t="e">
        <f t="shared" ca="1" si="13"/>
        <v>#REF!</v>
      </c>
      <c r="Q11" t="e">
        <f t="shared" ca="1" si="13"/>
        <v>#REF!</v>
      </c>
      <c r="R11" t="e">
        <f ca="1">SUMIFS(S$202:S$312,$B$202:$B$312,$F11,'Scenario demand summary'!$A$202:$A$312,Scenarios!$Y$7,$D$202:$D$312,$G11)*R$1</f>
        <v>#REF!</v>
      </c>
      <c r="S11" t="e">
        <f ca="1">SUMIFS(T$202:T$312,$B$202:$B$312,$F11,'Scenario demand summary'!$A$202:$A$312,Scenarios!$Y$7,$D$202:$D$312,$G11)*S$1</f>
        <v>#REF!</v>
      </c>
      <c r="T11" t="e">
        <f ca="1">SUMIFS(U$202:U$312,$B$202:$B$312,$F11,'Scenario demand summary'!$A$202:$A$312,Scenarios!$Y$7,$D$202:$D$312,$G11)*T$1</f>
        <v>#REF!</v>
      </c>
      <c r="U11" t="e">
        <f ca="1">SUMIFS(V$202:V$312,$B$202:$B$312,$F11,'Scenario demand summary'!$A$202:$A$312,Scenarios!$Y$7,$D$202:$D$312,$G11)*U$1</f>
        <v>#REF!</v>
      </c>
      <c r="V11" t="e">
        <f ca="1">SUMIFS(W$202:W$312,$B$202:$B$312,$F11,'Scenario demand summary'!$A$202:$A$312,Scenarios!$Y$7,$D$202:$D$312,$G11)*V$1</f>
        <v>#REF!</v>
      </c>
      <c r="W11" t="e">
        <f ca="1">SUMIFS(X$202:X$312,$B$202:$B$312,$F11,'Scenario demand summary'!$A$202:$A$312,Scenarios!$Y$7,$D$202:$D$312,$G11)*W$1</f>
        <v>#REF!</v>
      </c>
      <c r="X11" t="e">
        <f ca="1">SUMIFS(Y$202:Y$312,$B$202:$B$312,$F11,'Scenario demand summary'!$A$202:$A$312,Scenarios!$Y$7,$D$202:$D$312,$G11)*X$1</f>
        <v>#REF!</v>
      </c>
      <c r="Y11" t="e">
        <f ca="1">SUMIFS(Z$202:Z$312,$B$202:$B$312,$F11,'Scenario demand summary'!$A$202:$A$312,Scenarios!$Y$7,$D$202:$D$312,$G11)*Y$1</f>
        <v>#REF!</v>
      </c>
      <c r="Z11" t="e">
        <f ca="1">SUMIFS(AA$202:AA$312,$B$202:$B$312,$F11,'Scenario demand summary'!$A$202:$A$312,Scenarios!$Y$7,$D$202:$D$312,$G11)*Z$1</f>
        <v>#REF!</v>
      </c>
      <c r="AA11" t="e">
        <f ca="1">SUMIFS(AB$202:AB$312,$B$202:$B$312,$F11,'Scenario demand summary'!$A$202:$A$312,Scenarios!$Y$7,$D$202:$D$312,$G11)*AA$1</f>
        <v>#REF!</v>
      </c>
      <c r="AB11" t="e">
        <f ca="1">SUMIFS(AC$202:AC$312,$B$202:$B$312,$F11,'Scenario demand summary'!$A$202:$A$312,Scenarios!$Y$7,$D$202:$D$312,$G11)*AB$1</f>
        <v>#REF!</v>
      </c>
      <c r="AC11" t="e">
        <f ca="1">SUMIFS(AD$202:AD$312,$B$202:$B$312,$F11,'Scenario demand summary'!$A$202:$A$312,Scenarios!$Y$7,$D$202:$D$312,$G11)*AC$1</f>
        <v>#REF!</v>
      </c>
      <c r="AD11" t="e">
        <f ca="1">SUMIFS(AE$202:AE$312,$B$202:$B$312,$F11,'Scenario demand summary'!$A$202:$A$312,Scenarios!$Y$7,$D$202:$D$312,$G11)*AD$1</f>
        <v>#REF!</v>
      </c>
      <c r="AE11" t="e">
        <f ca="1">SUMIFS(AF$202:AF$312,$B$202:$B$312,$F11,'Scenario demand summary'!$A$202:$A$312,Scenarios!$Y$7,$D$202:$D$312,$G11)*AE$1</f>
        <v>#REF!</v>
      </c>
      <c r="AF11" t="e">
        <f ca="1">SUMIFS(AG$202:AG$312,$B$202:$B$312,$F11,'Scenario demand summary'!$A$202:$A$312,Scenarios!$Y$7,$D$202:$D$312,$G11)*AF$1</f>
        <v>#REF!</v>
      </c>
      <c r="AG11" t="e">
        <f ca="1">SUMIFS(AH$202:AH$312,$B$202:$B$312,$F11,'Scenario demand summary'!$A$202:$A$312,Scenarios!$Y$7,$D$202:$D$312,$G11)*AG$1</f>
        <v>#REF!</v>
      </c>
      <c r="AH11" t="e">
        <f ca="1">SUMIFS(AI$202:AI$312,$B$202:$B$312,$F11,'Scenario demand summary'!$A$202:$A$312,Scenarios!$Y$7,$D$202:$D$312,$G11)*AH$1</f>
        <v>#REF!</v>
      </c>
      <c r="AI11" t="e">
        <f ca="1">SUMIFS(AJ$202:AJ$312,$B$202:$B$312,$F11,'Scenario demand summary'!$A$202:$A$312,Scenarios!$Y$7,$D$202:$D$312,$G11)*AI$1</f>
        <v>#REF!</v>
      </c>
      <c r="AJ11" t="e">
        <f ca="1">SUMIFS(AK$202:AK$312,$B$202:$B$312,$F11,'Scenario demand summary'!$A$202:$A$312,Scenarios!$Y$7,$D$202:$D$312,$G11)*AJ$1</f>
        <v>#REF!</v>
      </c>
      <c r="AK11" t="e">
        <f ca="1">SUMIFS(AL$202:AL$312,$B$202:$B$312,$F11,'Scenario demand summary'!$A$202:$A$312,Scenarios!$Y$7,$D$202:$D$312,$G11)*AK$1</f>
        <v>#REF!</v>
      </c>
      <c r="AL11" t="e">
        <f ca="1">SUMIFS(AM$202:AM$312,$B$202:$B$312,$F11,'Scenario demand summary'!$A$202:$A$312,Scenarios!$Y$7,$D$202:$D$312,$G11)*AL$1</f>
        <v>#REF!</v>
      </c>
      <c r="AN11" t="s">
        <v>389</v>
      </c>
    </row>
    <row r="12" spans="1:40" x14ac:dyDescent="0.2">
      <c r="C12" t="e">
        <f ca="1">H12+H13+H14</f>
        <v>#REF!</v>
      </c>
      <c r="E12" t="str">
        <f>Scenarios!$Y$7</f>
        <v>M50</v>
      </c>
      <c r="F12" t="s">
        <v>84</v>
      </c>
      <c r="G12" t="s">
        <v>308</v>
      </c>
      <c r="H12" t="e">
        <f ca="1">SUMIFS(I$202:I$312,$B$202:$B$312,$F12,'Scenario demand summary'!$A$202:$A$312,Scenarios!$D$1,$D$202:$D$312,$G12)*H$1</f>
        <v>#REF!</v>
      </c>
      <c r="I12" t="e">
        <f t="shared" ca="1" si="13"/>
        <v>#REF!</v>
      </c>
      <c r="J12" t="e">
        <f t="shared" ca="1" si="13"/>
        <v>#REF!</v>
      </c>
      <c r="K12" t="e">
        <f t="shared" ca="1" si="13"/>
        <v>#REF!</v>
      </c>
      <c r="L12" t="e">
        <f t="shared" ca="1" si="13"/>
        <v>#REF!</v>
      </c>
      <c r="M12" t="e">
        <f t="shared" ca="1" si="13"/>
        <v>#REF!</v>
      </c>
      <c r="N12" t="e">
        <f t="shared" ca="1" si="13"/>
        <v>#REF!</v>
      </c>
      <c r="O12" t="e">
        <f t="shared" ca="1" si="13"/>
        <v>#REF!</v>
      </c>
      <c r="P12" t="e">
        <f t="shared" ca="1" si="13"/>
        <v>#REF!</v>
      </c>
      <c r="Q12" t="e">
        <f t="shared" ca="1" si="13"/>
        <v>#REF!</v>
      </c>
      <c r="R12" t="e">
        <f ca="1">SUMIFS(S$202:S$312,$B$202:$B$312,$F12,'Scenario demand summary'!$A$202:$A$312,Scenarios!$Y$7,$D$202:$D$312,$G12)*R$1</f>
        <v>#REF!</v>
      </c>
      <c r="S12" t="e">
        <f ca="1">SUMIFS(T$202:T$312,$B$202:$B$312,$F12,'Scenario demand summary'!$A$202:$A$312,Scenarios!$Y$7,$D$202:$D$312,$G12)*S$1</f>
        <v>#REF!</v>
      </c>
      <c r="T12" t="e">
        <f ca="1">SUMIFS(U$202:U$312,$B$202:$B$312,$F12,'Scenario demand summary'!$A$202:$A$312,Scenarios!$Y$7,$D$202:$D$312,$G12)*T$1</f>
        <v>#REF!</v>
      </c>
      <c r="U12" t="e">
        <f ca="1">SUMIFS(V$202:V$312,$B$202:$B$312,$F12,'Scenario demand summary'!$A$202:$A$312,Scenarios!$Y$7,$D$202:$D$312,$G12)*U$1</f>
        <v>#REF!</v>
      </c>
      <c r="V12" t="e">
        <f ca="1">SUMIFS(W$202:W$312,$B$202:$B$312,$F12,'Scenario demand summary'!$A$202:$A$312,Scenarios!$Y$7,$D$202:$D$312,$G12)*V$1</f>
        <v>#REF!</v>
      </c>
      <c r="W12" t="e">
        <f ca="1">SUMIFS(X$202:X$312,$B$202:$B$312,$F12,'Scenario demand summary'!$A$202:$A$312,Scenarios!$Y$7,$D$202:$D$312,$G12)*W$1</f>
        <v>#REF!</v>
      </c>
      <c r="X12" t="e">
        <f ca="1">SUMIFS(Y$202:Y$312,$B$202:$B$312,$F12,'Scenario demand summary'!$A$202:$A$312,Scenarios!$Y$7,$D$202:$D$312,$G12)*X$1</f>
        <v>#REF!</v>
      </c>
      <c r="Y12" t="e">
        <f ca="1">SUMIFS(Z$202:Z$312,$B$202:$B$312,$F12,'Scenario demand summary'!$A$202:$A$312,Scenarios!$Y$7,$D$202:$D$312,$G12)*Y$1</f>
        <v>#REF!</v>
      </c>
      <c r="Z12" t="e">
        <f ca="1">SUMIFS(AA$202:AA$312,$B$202:$B$312,$F12,'Scenario demand summary'!$A$202:$A$312,Scenarios!$Y$7,$D$202:$D$312,$G12)*Z$1</f>
        <v>#REF!</v>
      </c>
      <c r="AA12" t="e">
        <f ca="1">SUMIFS(AB$202:AB$312,$B$202:$B$312,$F12,'Scenario demand summary'!$A$202:$A$312,Scenarios!$Y$7,$D$202:$D$312,$G12)*AA$1</f>
        <v>#REF!</v>
      </c>
      <c r="AB12" t="e">
        <f ca="1">SUMIFS(AC$202:AC$312,$B$202:$B$312,$F12,'Scenario demand summary'!$A$202:$A$312,Scenarios!$Y$7,$D$202:$D$312,$G12)*AB$1</f>
        <v>#REF!</v>
      </c>
      <c r="AC12" t="e">
        <f ca="1">SUMIFS(AD$202:AD$312,$B$202:$B$312,$F12,'Scenario demand summary'!$A$202:$A$312,Scenarios!$Y$7,$D$202:$D$312,$G12)*AC$1</f>
        <v>#REF!</v>
      </c>
      <c r="AD12" t="e">
        <f ca="1">SUMIFS(AE$202:AE$312,$B$202:$B$312,$F12,'Scenario demand summary'!$A$202:$A$312,Scenarios!$Y$7,$D$202:$D$312,$G12)*AD$1</f>
        <v>#REF!</v>
      </c>
      <c r="AE12" t="e">
        <f ca="1">SUMIFS(AF$202:AF$312,$B$202:$B$312,$F12,'Scenario demand summary'!$A$202:$A$312,Scenarios!$Y$7,$D$202:$D$312,$G12)*AE$1</f>
        <v>#REF!</v>
      </c>
      <c r="AF12" t="e">
        <f ca="1">SUMIFS(AG$202:AG$312,$B$202:$B$312,$F12,'Scenario demand summary'!$A$202:$A$312,Scenarios!$Y$7,$D$202:$D$312,$G12)*AF$1</f>
        <v>#REF!</v>
      </c>
      <c r="AG12" t="e">
        <f ca="1">SUMIFS(AH$202:AH$312,$B$202:$B$312,$F12,'Scenario demand summary'!$A$202:$A$312,Scenarios!$Y$7,$D$202:$D$312,$G12)*AG$1</f>
        <v>#REF!</v>
      </c>
      <c r="AH12" t="e">
        <f ca="1">SUMIFS(AI$202:AI$312,$B$202:$B$312,$F12,'Scenario demand summary'!$A$202:$A$312,Scenarios!$Y$7,$D$202:$D$312,$G12)*AH$1</f>
        <v>#REF!</v>
      </c>
      <c r="AI12" t="e">
        <f ca="1">SUMIFS(AJ$202:AJ$312,$B$202:$B$312,$F12,'Scenario demand summary'!$A$202:$A$312,Scenarios!$Y$7,$D$202:$D$312,$G12)*AI$1</f>
        <v>#REF!</v>
      </c>
      <c r="AJ12" t="e">
        <f ca="1">SUMIFS(AK$202:AK$312,$B$202:$B$312,$F12,'Scenario demand summary'!$A$202:$A$312,Scenarios!$Y$7,$D$202:$D$312,$G12)*AJ$1</f>
        <v>#REF!</v>
      </c>
      <c r="AK12" t="e">
        <f ca="1">SUMIFS(AL$202:AL$312,$B$202:$B$312,$F12,'Scenario demand summary'!$A$202:$A$312,Scenarios!$Y$7,$D$202:$D$312,$G12)*AK$1</f>
        <v>#REF!</v>
      </c>
      <c r="AL12" t="e">
        <f ca="1">SUMIFS(AM$202:AM$312,$B$202:$B$312,$F12,'Scenario demand summary'!$A$202:$A$312,Scenarios!$Y$7,$D$202:$D$312,$G12)*AL$1</f>
        <v>#REF!</v>
      </c>
      <c r="AN12" t="s">
        <v>390</v>
      </c>
    </row>
    <row r="13" spans="1:40" x14ac:dyDescent="0.2">
      <c r="E13" t="str">
        <f>Scenarios!$Y$7</f>
        <v>M50</v>
      </c>
      <c r="F13" t="s">
        <v>84</v>
      </c>
      <c r="G13" t="s">
        <v>309</v>
      </c>
      <c r="H13" t="e">
        <f ca="1">SUMIFS(I$202:I$312,$B$202:$B$312,$F13,'Scenario demand summary'!$A$202:$A$312,Scenarios!$D$1,$D$202:$D$312,$G13)*H$1</f>
        <v>#REF!</v>
      </c>
      <c r="I13" t="e">
        <f t="shared" ca="1" si="13"/>
        <v>#REF!</v>
      </c>
      <c r="J13" t="e">
        <f t="shared" ca="1" si="13"/>
        <v>#REF!</v>
      </c>
      <c r="K13" t="e">
        <f t="shared" ca="1" si="13"/>
        <v>#REF!</v>
      </c>
      <c r="L13" t="e">
        <f t="shared" ca="1" si="13"/>
        <v>#REF!</v>
      </c>
      <c r="M13" t="e">
        <f t="shared" ca="1" si="13"/>
        <v>#REF!</v>
      </c>
      <c r="N13" t="e">
        <f t="shared" ca="1" si="13"/>
        <v>#REF!</v>
      </c>
      <c r="O13" t="e">
        <f t="shared" ca="1" si="13"/>
        <v>#REF!</v>
      </c>
      <c r="P13" t="e">
        <f t="shared" ca="1" si="13"/>
        <v>#REF!</v>
      </c>
      <c r="Q13" t="e">
        <f t="shared" ca="1" si="13"/>
        <v>#REF!</v>
      </c>
      <c r="R13" t="e">
        <f ca="1">SUMIFS(S$202:S$312,$B$202:$B$312,$F13,'Scenario demand summary'!$A$202:$A$312,Scenarios!$Y$7,$D$202:$D$312,$G13)*R$1</f>
        <v>#REF!</v>
      </c>
      <c r="S13" t="e">
        <f ca="1">SUMIFS(T$202:T$312,$B$202:$B$312,$F13,'Scenario demand summary'!$A$202:$A$312,Scenarios!$Y$7,$D$202:$D$312,$G13)*S$1</f>
        <v>#REF!</v>
      </c>
      <c r="T13" t="e">
        <f ca="1">SUMIFS(U$202:U$312,$B$202:$B$312,$F13,'Scenario demand summary'!$A$202:$A$312,Scenarios!$Y$7,$D$202:$D$312,$G13)*T$1</f>
        <v>#REF!</v>
      </c>
      <c r="U13" t="e">
        <f ca="1">SUMIFS(V$202:V$312,$B$202:$B$312,$F13,'Scenario demand summary'!$A$202:$A$312,Scenarios!$Y$7,$D$202:$D$312,$G13)*U$1</f>
        <v>#REF!</v>
      </c>
      <c r="V13" t="e">
        <f ca="1">SUMIFS(W$202:W$312,$B$202:$B$312,$F13,'Scenario demand summary'!$A$202:$A$312,Scenarios!$Y$7,$D$202:$D$312,$G13)*V$1</f>
        <v>#REF!</v>
      </c>
      <c r="W13" t="e">
        <f ca="1">SUMIFS(X$202:X$312,$B$202:$B$312,$F13,'Scenario demand summary'!$A$202:$A$312,Scenarios!$Y$7,$D$202:$D$312,$G13)*W$1</f>
        <v>#REF!</v>
      </c>
      <c r="X13" t="e">
        <f ca="1">SUMIFS(Y$202:Y$312,$B$202:$B$312,$F13,'Scenario demand summary'!$A$202:$A$312,Scenarios!$Y$7,$D$202:$D$312,$G13)*X$1</f>
        <v>#REF!</v>
      </c>
      <c r="Y13" t="e">
        <f ca="1">SUMIFS(Z$202:Z$312,$B$202:$B$312,$F13,'Scenario demand summary'!$A$202:$A$312,Scenarios!$Y$7,$D$202:$D$312,$G13)*Y$1</f>
        <v>#REF!</v>
      </c>
      <c r="Z13" t="e">
        <f ca="1">SUMIFS(AA$202:AA$312,$B$202:$B$312,$F13,'Scenario demand summary'!$A$202:$A$312,Scenarios!$Y$7,$D$202:$D$312,$G13)*Z$1</f>
        <v>#REF!</v>
      </c>
      <c r="AA13" t="e">
        <f ca="1">SUMIFS(AB$202:AB$312,$B$202:$B$312,$F13,'Scenario demand summary'!$A$202:$A$312,Scenarios!$Y$7,$D$202:$D$312,$G13)*AA$1</f>
        <v>#REF!</v>
      </c>
      <c r="AB13" t="e">
        <f ca="1">SUMIFS(AC$202:AC$312,$B$202:$B$312,$F13,'Scenario demand summary'!$A$202:$A$312,Scenarios!$Y$7,$D$202:$D$312,$G13)*AB$1</f>
        <v>#REF!</v>
      </c>
      <c r="AC13" t="e">
        <f ca="1">SUMIFS(AD$202:AD$312,$B$202:$B$312,$F13,'Scenario demand summary'!$A$202:$A$312,Scenarios!$Y$7,$D$202:$D$312,$G13)*AC$1</f>
        <v>#REF!</v>
      </c>
      <c r="AD13" t="e">
        <f ca="1">SUMIFS(AE$202:AE$312,$B$202:$B$312,$F13,'Scenario demand summary'!$A$202:$A$312,Scenarios!$Y$7,$D$202:$D$312,$G13)*AD$1</f>
        <v>#REF!</v>
      </c>
      <c r="AE13" t="e">
        <f ca="1">SUMIFS(AF$202:AF$312,$B$202:$B$312,$F13,'Scenario demand summary'!$A$202:$A$312,Scenarios!$Y$7,$D$202:$D$312,$G13)*AE$1</f>
        <v>#REF!</v>
      </c>
      <c r="AF13" t="e">
        <f ca="1">SUMIFS(AG$202:AG$312,$B$202:$B$312,$F13,'Scenario demand summary'!$A$202:$A$312,Scenarios!$Y$7,$D$202:$D$312,$G13)*AF$1</f>
        <v>#REF!</v>
      </c>
      <c r="AG13" t="e">
        <f ca="1">SUMIFS(AH$202:AH$312,$B$202:$B$312,$F13,'Scenario demand summary'!$A$202:$A$312,Scenarios!$Y$7,$D$202:$D$312,$G13)*AG$1</f>
        <v>#REF!</v>
      </c>
      <c r="AH13" t="e">
        <f ca="1">SUMIFS(AI$202:AI$312,$B$202:$B$312,$F13,'Scenario demand summary'!$A$202:$A$312,Scenarios!$Y$7,$D$202:$D$312,$G13)*AH$1</f>
        <v>#REF!</v>
      </c>
      <c r="AI13" t="e">
        <f ca="1">SUMIFS(AJ$202:AJ$312,$B$202:$B$312,$F13,'Scenario demand summary'!$A$202:$A$312,Scenarios!$Y$7,$D$202:$D$312,$G13)*AI$1</f>
        <v>#REF!</v>
      </c>
      <c r="AJ13" t="e">
        <f ca="1">SUMIFS(AK$202:AK$312,$B$202:$B$312,$F13,'Scenario demand summary'!$A$202:$A$312,Scenarios!$Y$7,$D$202:$D$312,$G13)*AJ$1</f>
        <v>#REF!</v>
      </c>
      <c r="AK13" t="e">
        <f ca="1">SUMIFS(AL$202:AL$312,$B$202:$B$312,$F13,'Scenario demand summary'!$A$202:$A$312,Scenarios!$Y$7,$D$202:$D$312,$G13)*AK$1</f>
        <v>#REF!</v>
      </c>
      <c r="AL13" t="e">
        <f ca="1">SUMIFS(AM$202:AM$312,$B$202:$B$312,$F13,'Scenario demand summary'!$A$202:$A$312,Scenarios!$Y$7,$D$202:$D$312,$G13)*AL$1</f>
        <v>#REF!</v>
      </c>
      <c r="AN13" t="s">
        <v>391</v>
      </c>
    </row>
    <row r="14" spans="1:40" x14ac:dyDescent="0.2">
      <c r="E14" t="str">
        <f>Scenarios!$Y$7</f>
        <v>M50</v>
      </c>
      <c r="F14" t="s">
        <v>84</v>
      </c>
      <c r="G14" t="s">
        <v>310</v>
      </c>
      <c r="H14" t="e">
        <f ca="1">SUMIFS(I$202:I$312,$B$202:$B$312,$F14,'Scenario demand summary'!$A$202:$A$312,Scenarios!$D$1,$D$202:$D$312,$G14)*H$1</f>
        <v>#REF!</v>
      </c>
      <c r="I14" t="e">
        <f t="shared" ca="1" si="13"/>
        <v>#REF!</v>
      </c>
      <c r="J14" t="e">
        <f t="shared" ca="1" si="13"/>
        <v>#REF!</v>
      </c>
      <c r="K14" t="e">
        <f t="shared" ca="1" si="13"/>
        <v>#REF!</v>
      </c>
      <c r="L14" t="e">
        <f t="shared" ca="1" si="13"/>
        <v>#REF!</v>
      </c>
      <c r="M14" t="e">
        <f t="shared" ca="1" si="13"/>
        <v>#REF!</v>
      </c>
      <c r="N14" t="e">
        <f t="shared" ca="1" si="13"/>
        <v>#REF!</v>
      </c>
      <c r="O14" t="e">
        <f t="shared" ca="1" si="13"/>
        <v>#REF!</v>
      </c>
      <c r="P14" t="e">
        <f t="shared" ca="1" si="13"/>
        <v>#REF!</v>
      </c>
      <c r="Q14" t="e">
        <f t="shared" ca="1" si="13"/>
        <v>#REF!</v>
      </c>
      <c r="R14" t="e">
        <f ca="1">SUMIFS(S$202:S$312,$B$202:$B$312,$F14,'Scenario demand summary'!$A$202:$A$312,Scenarios!$Y$7,$D$202:$D$312,$G14)*R$1</f>
        <v>#REF!</v>
      </c>
      <c r="S14" t="e">
        <f ca="1">SUMIFS(T$202:T$312,$B$202:$B$312,$F14,'Scenario demand summary'!$A$202:$A$312,Scenarios!$Y$7,$D$202:$D$312,$G14)*S$1</f>
        <v>#REF!</v>
      </c>
      <c r="T14" t="e">
        <f ca="1">SUMIFS(U$202:U$312,$B$202:$B$312,$F14,'Scenario demand summary'!$A$202:$A$312,Scenarios!$Y$7,$D$202:$D$312,$G14)*T$1</f>
        <v>#REF!</v>
      </c>
      <c r="U14" t="e">
        <f ca="1">SUMIFS(V$202:V$312,$B$202:$B$312,$F14,'Scenario demand summary'!$A$202:$A$312,Scenarios!$Y$7,$D$202:$D$312,$G14)*U$1</f>
        <v>#REF!</v>
      </c>
      <c r="V14" t="e">
        <f ca="1">SUMIFS(W$202:W$312,$B$202:$B$312,$F14,'Scenario demand summary'!$A$202:$A$312,Scenarios!$Y$7,$D$202:$D$312,$G14)*V$1</f>
        <v>#REF!</v>
      </c>
      <c r="W14" t="e">
        <f ca="1">SUMIFS(X$202:X$312,$B$202:$B$312,$F14,'Scenario demand summary'!$A$202:$A$312,Scenarios!$Y$7,$D$202:$D$312,$G14)*W$1</f>
        <v>#REF!</v>
      </c>
      <c r="X14" t="e">
        <f ca="1">SUMIFS(Y$202:Y$312,$B$202:$B$312,$F14,'Scenario demand summary'!$A$202:$A$312,Scenarios!$Y$7,$D$202:$D$312,$G14)*X$1</f>
        <v>#REF!</v>
      </c>
      <c r="Y14" t="e">
        <f ca="1">SUMIFS(Z$202:Z$312,$B$202:$B$312,$F14,'Scenario demand summary'!$A$202:$A$312,Scenarios!$Y$7,$D$202:$D$312,$G14)*Y$1</f>
        <v>#REF!</v>
      </c>
      <c r="Z14" t="e">
        <f ca="1">SUMIFS(AA$202:AA$312,$B$202:$B$312,$F14,'Scenario demand summary'!$A$202:$A$312,Scenarios!$Y$7,$D$202:$D$312,$G14)*Z$1</f>
        <v>#REF!</v>
      </c>
      <c r="AA14" t="e">
        <f ca="1">SUMIFS(AB$202:AB$312,$B$202:$B$312,$F14,'Scenario demand summary'!$A$202:$A$312,Scenarios!$Y$7,$D$202:$D$312,$G14)*AA$1</f>
        <v>#REF!</v>
      </c>
      <c r="AB14" t="e">
        <f ca="1">SUMIFS(AC$202:AC$312,$B$202:$B$312,$F14,'Scenario demand summary'!$A$202:$A$312,Scenarios!$Y$7,$D$202:$D$312,$G14)*AB$1</f>
        <v>#REF!</v>
      </c>
      <c r="AC14" t="e">
        <f ca="1">SUMIFS(AD$202:AD$312,$B$202:$B$312,$F14,'Scenario demand summary'!$A$202:$A$312,Scenarios!$Y$7,$D$202:$D$312,$G14)*AC$1</f>
        <v>#REF!</v>
      </c>
      <c r="AD14" t="e">
        <f ca="1">SUMIFS(AE$202:AE$312,$B$202:$B$312,$F14,'Scenario demand summary'!$A$202:$A$312,Scenarios!$Y$7,$D$202:$D$312,$G14)*AD$1</f>
        <v>#REF!</v>
      </c>
      <c r="AE14" t="e">
        <f ca="1">SUMIFS(AF$202:AF$312,$B$202:$B$312,$F14,'Scenario demand summary'!$A$202:$A$312,Scenarios!$Y$7,$D$202:$D$312,$G14)*AE$1</f>
        <v>#REF!</v>
      </c>
      <c r="AF14" t="e">
        <f ca="1">SUMIFS(AG$202:AG$312,$B$202:$B$312,$F14,'Scenario demand summary'!$A$202:$A$312,Scenarios!$Y$7,$D$202:$D$312,$G14)*AF$1</f>
        <v>#REF!</v>
      </c>
      <c r="AG14" t="e">
        <f ca="1">SUMIFS(AH$202:AH$312,$B$202:$B$312,$F14,'Scenario demand summary'!$A$202:$A$312,Scenarios!$Y$7,$D$202:$D$312,$G14)*AG$1</f>
        <v>#REF!</v>
      </c>
      <c r="AH14" t="e">
        <f ca="1">SUMIFS(AI$202:AI$312,$B$202:$B$312,$F14,'Scenario demand summary'!$A$202:$A$312,Scenarios!$Y$7,$D$202:$D$312,$G14)*AH$1</f>
        <v>#REF!</v>
      </c>
      <c r="AI14" t="e">
        <f ca="1">SUMIFS(AJ$202:AJ$312,$B$202:$B$312,$F14,'Scenario demand summary'!$A$202:$A$312,Scenarios!$Y$7,$D$202:$D$312,$G14)*AI$1</f>
        <v>#REF!</v>
      </c>
      <c r="AJ14" t="e">
        <f ca="1">SUMIFS(AK$202:AK$312,$B$202:$B$312,$F14,'Scenario demand summary'!$A$202:$A$312,Scenarios!$Y$7,$D$202:$D$312,$G14)*AJ$1</f>
        <v>#REF!</v>
      </c>
      <c r="AK14" t="e">
        <f ca="1">SUMIFS(AL$202:AL$312,$B$202:$B$312,$F14,'Scenario demand summary'!$A$202:$A$312,Scenarios!$Y$7,$D$202:$D$312,$G14)*AK$1</f>
        <v>#REF!</v>
      </c>
      <c r="AL14" t="e">
        <f ca="1">SUMIFS(AM$202:AM$312,$B$202:$B$312,$F14,'Scenario demand summary'!$A$202:$A$312,Scenarios!$Y$7,$D$202:$D$312,$G14)*AL$1</f>
        <v>#REF!</v>
      </c>
      <c r="AN14" t="s">
        <v>392</v>
      </c>
    </row>
    <row r="15" spans="1:40" x14ac:dyDescent="0.2">
      <c r="C15" t="e">
        <f ca="1">SUM(C6:C14)</f>
        <v>#REF!</v>
      </c>
      <c r="H15" t="e">
        <f ca="1">SUM(H6:H14)</f>
        <v>#REF!</v>
      </c>
    </row>
    <row r="16" spans="1:40" x14ac:dyDescent="0.2">
      <c r="H16" t="e">
        <f ca="1">H15*3.6/1000</f>
        <v>#REF!</v>
      </c>
    </row>
    <row r="17" spans="1:27" x14ac:dyDescent="0.2">
      <c r="H17" t="e">
        <f ca="1">SUM(H12:H14)</f>
        <v>#REF!</v>
      </c>
    </row>
    <row r="19" spans="1:27" x14ac:dyDescent="0.2">
      <c r="H19" s="36" t="s">
        <v>359</v>
      </c>
    </row>
    <row r="20" spans="1:27" x14ac:dyDescent="0.2">
      <c r="A20" t="s">
        <v>286</v>
      </c>
      <c r="H20" t="s">
        <v>361</v>
      </c>
    </row>
    <row r="21" spans="1:27" x14ac:dyDescent="0.2">
      <c r="A21" t="s">
        <v>285</v>
      </c>
      <c r="I21" s="36" t="s">
        <v>360</v>
      </c>
      <c r="J21" t="str">
        <f>INDEX(I21,1,1)</f>
        <v>/Users/alison/Documents/2022/2021 OSeMOSYS model/ONSSET demand/high/[ouest_high.csv]ouest_high'!$B$2:B3</v>
      </c>
    </row>
    <row r="22" spans="1:27" x14ac:dyDescent="0.2">
      <c r="A22" t="s">
        <v>290</v>
      </c>
      <c r="H22" t="s">
        <v>324</v>
      </c>
      <c r="I22" t="s">
        <v>327</v>
      </c>
      <c r="J22" t="s">
        <v>329</v>
      </c>
      <c r="K22" t="s">
        <v>331</v>
      </c>
      <c r="L22" t="s">
        <v>333</v>
      </c>
      <c r="M22" t="s">
        <v>335</v>
      </c>
      <c r="N22" t="s">
        <v>337</v>
      </c>
      <c r="O22" t="s">
        <v>339</v>
      </c>
      <c r="P22" t="s">
        <v>341</v>
      </c>
      <c r="Q22" t="s">
        <v>351</v>
      </c>
      <c r="R22" t="s">
        <v>353</v>
      </c>
    </row>
    <row r="23" spans="1:27" x14ac:dyDescent="0.2">
      <c r="H23" t="s">
        <v>326</v>
      </c>
      <c r="I23" t="s">
        <v>328</v>
      </c>
      <c r="J23" t="s">
        <v>330</v>
      </c>
      <c r="K23" t="s">
        <v>332</v>
      </c>
      <c r="L23" t="s">
        <v>334</v>
      </c>
      <c r="M23" t="s">
        <v>336</v>
      </c>
      <c r="N23" t="s">
        <v>338</v>
      </c>
      <c r="O23" t="s">
        <v>340</v>
      </c>
      <c r="P23" t="s">
        <v>342</v>
      </c>
      <c r="Q23" t="s">
        <v>352</v>
      </c>
      <c r="R23" t="s">
        <v>354</v>
      </c>
    </row>
    <row r="24" spans="1:27" x14ac:dyDescent="0.2">
      <c r="H24" t="s">
        <v>325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350</v>
      </c>
      <c r="Q24" t="s">
        <v>356</v>
      </c>
      <c r="R24" t="s">
        <v>355</v>
      </c>
    </row>
    <row r="25" spans="1:27" x14ac:dyDescent="0.2">
      <c r="H25" s="36" t="s">
        <v>357</v>
      </c>
      <c r="P25" t="s">
        <v>290</v>
      </c>
      <c r="S25" s="36" t="s">
        <v>323</v>
      </c>
    </row>
    <row r="26" spans="1:27" x14ac:dyDescent="0.2">
      <c r="G26" t="s">
        <v>322</v>
      </c>
      <c r="H26" s="36" t="s">
        <v>381</v>
      </c>
      <c r="N26" t="s">
        <v>358</v>
      </c>
      <c r="O26" t="s">
        <v>314</v>
      </c>
      <c r="P26" t="s">
        <v>290</v>
      </c>
      <c r="Q26" t="s">
        <v>358</v>
      </c>
      <c r="R26" t="s">
        <v>314</v>
      </c>
      <c r="S26" s="36" t="s">
        <v>323</v>
      </c>
      <c r="Y26" t="s">
        <v>382</v>
      </c>
      <c r="Z26" t="s">
        <v>383</v>
      </c>
      <c r="AA26" t="s">
        <v>384</v>
      </c>
    </row>
    <row r="27" spans="1:27" x14ac:dyDescent="0.2">
      <c r="G27" t="s">
        <v>289</v>
      </c>
      <c r="H27">
        <v>2020</v>
      </c>
      <c r="I27">
        <f>H27+1</f>
        <v>2021</v>
      </c>
      <c r="J27">
        <f t="shared" ref="J27:Q27" si="14">I27+1</f>
        <v>2022</v>
      </c>
      <c r="K27">
        <f t="shared" si="14"/>
        <v>2023</v>
      </c>
      <c r="L27">
        <f t="shared" si="14"/>
        <v>2024</v>
      </c>
      <c r="M27">
        <f t="shared" si="14"/>
        <v>2025</v>
      </c>
      <c r="N27">
        <f t="shared" si="14"/>
        <v>2026</v>
      </c>
      <c r="O27">
        <f t="shared" si="14"/>
        <v>2027</v>
      </c>
      <c r="P27">
        <f t="shared" si="14"/>
        <v>2028</v>
      </c>
      <c r="Q27">
        <f t="shared" si="14"/>
        <v>2029</v>
      </c>
      <c r="R27">
        <f>Q27+1</f>
        <v>2030</v>
      </c>
      <c r="W27" t="str">
        <f>A28</f>
        <v>L50</v>
      </c>
      <c r="X27" t="str">
        <f>F28</f>
        <v>Household</v>
      </c>
      <c r="Y27" t="e">
        <f ca="1">R28</f>
        <v>#REF!</v>
      </c>
      <c r="Z27" t="e">
        <f ca="1">R64</f>
        <v>#REF!</v>
      </c>
      <c r="AA27" t="e">
        <f ca="1">R100</f>
        <v>#REF!</v>
      </c>
    </row>
    <row r="28" spans="1:27" x14ac:dyDescent="0.2">
      <c r="A28" t="str">
        <f>IF(D28="Low","L"&amp;C28,IF(D28="Medium","M"&amp;C28,IF(D28="High","H"&amp;C28,"")))</f>
        <v>L50</v>
      </c>
      <c r="B28" t="s">
        <v>52</v>
      </c>
      <c r="C28">
        <v>50</v>
      </c>
      <c r="D28" t="s">
        <v>296</v>
      </c>
      <c r="E28" t="str">
        <f>IF(B28="D1","ouest_cd-",IF(B28="D2","sud_cd-",IF(B28="D3","est_cd-","")))</f>
        <v>ouest_cd-</v>
      </c>
      <c r="F28" t="str">
        <f>[1]Demand!$C$4</f>
        <v>Household</v>
      </c>
      <c r="G28" t="s">
        <v>315</v>
      </c>
      <c r="H28" s="36" t="e" cm="1">
        <f t="array" aca="1" ref="H28" ca="1">INDIRECT("'"&amp;$H$26&amp;$E28&amp;$G28&amp;$P$26&amp;$E28&amp;$G28&amp;"'"&amp;$S$26&amp;H$22)</f>
        <v>#REF!</v>
      </c>
      <c r="I28" s="36" t="e" cm="1">
        <f t="array" aca="1" ref="I28" ca="1">INDIRECT("'"&amp;$H$26&amp;$E28&amp;$G28&amp;$P$26&amp;$E28&amp;$G28&amp;"'"&amp;$S$26&amp;I$22)</f>
        <v>#REF!</v>
      </c>
      <c r="J28" s="36" t="e" cm="1">
        <f t="array" aca="1" ref="J28" ca="1">INDIRECT("'"&amp;$H$26&amp;$E28&amp;$G28&amp;$P$26&amp;$E28&amp;$G28&amp;"'"&amp;$S$26&amp;J$22)</f>
        <v>#REF!</v>
      </c>
      <c r="K28" s="36" t="e" cm="1">
        <f t="array" aca="1" ref="K28" ca="1">INDIRECT("'"&amp;$H$26&amp;$E28&amp;$G28&amp;$P$26&amp;$E28&amp;$G28&amp;"'"&amp;$S$26&amp;K$22)</f>
        <v>#REF!</v>
      </c>
      <c r="L28" s="36" t="e" cm="1">
        <f t="array" aca="1" ref="L28" ca="1">INDIRECT("'"&amp;$H$26&amp;$E28&amp;$G28&amp;$P$26&amp;$E28&amp;$G28&amp;"'"&amp;$S$26&amp;L$22)</f>
        <v>#REF!</v>
      </c>
      <c r="M28" s="36" t="e" cm="1">
        <f t="array" aca="1" ref="M28" ca="1">INDIRECT("'"&amp;$H$26&amp;$E28&amp;$G28&amp;$P$26&amp;$E28&amp;$G28&amp;"'"&amp;$S$26&amp;M$22)</f>
        <v>#REF!</v>
      </c>
      <c r="N28" s="36" t="e" cm="1">
        <f t="array" aca="1" ref="N28" ca="1">INDIRECT("'"&amp;$H$26&amp;$E28&amp;$G28&amp;$P$26&amp;$E28&amp;$G28&amp;"'"&amp;$S$26&amp;N$22)</f>
        <v>#REF!</v>
      </c>
      <c r="O28" s="36" t="e" cm="1">
        <f t="array" aca="1" ref="O28" ca="1">INDIRECT("'"&amp;$H$26&amp;$E28&amp;$G28&amp;$P$26&amp;$E28&amp;$G28&amp;"'"&amp;$S$26&amp;O$22)</f>
        <v>#REF!</v>
      </c>
      <c r="P28" s="36" t="e" cm="1">
        <f t="array" aca="1" ref="P28" ca="1">INDIRECT("'"&amp;$H$26&amp;$E28&amp;$G28&amp;$P$26&amp;$E28&amp;$G28&amp;"'"&amp;$S$26&amp;P$22)</f>
        <v>#REF!</v>
      </c>
      <c r="Q28" s="36" t="e" cm="1">
        <f t="array" aca="1" ref="Q28" ca="1">INDIRECT("'"&amp;$H$26&amp;$E28&amp;$G28&amp;$P$26&amp;$E28&amp;$G28&amp;"'"&amp;$S$26&amp;Q$22)</f>
        <v>#REF!</v>
      </c>
      <c r="R28" s="36" t="e" cm="1">
        <f t="array" aca="1" ref="R28" ca="1">INDIRECT("'"&amp;$H$26&amp;$E28&amp;$G28&amp;$P$26&amp;$E28&amp;$G28&amp;"'"&amp;$S$26&amp;R$22)</f>
        <v>#REF!</v>
      </c>
      <c r="U28" t="str">
        <f>INDEX(G28,1,1)</f>
        <v>0_2_0_0_0_0</v>
      </c>
      <c r="W28" t="str">
        <f t="shared" ref="W28:W37" si="15">A29</f>
        <v>L50</v>
      </c>
      <c r="X28" t="str">
        <f t="shared" ref="X28:X37" si="16">F29</f>
        <v>Industry</v>
      </c>
      <c r="Y28" t="e">
        <f t="shared" ref="Y28:Y37" ca="1" si="17">R29</f>
        <v>#REF!</v>
      </c>
      <c r="Z28" t="e">
        <f t="shared" ref="Z28:Z37" ca="1" si="18">R65</f>
        <v>#REF!</v>
      </c>
      <c r="AA28" t="e">
        <f t="shared" ref="AA28:AA37" ca="1" si="19">R101</f>
        <v>#REF!</v>
      </c>
    </row>
    <row r="29" spans="1:27" x14ac:dyDescent="0.2">
      <c r="A29" t="str">
        <f>IF(D29="Low","L"&amp;C29,IF(D29="Medium","M"&amp;C29,IF(D29="High","H"&amp;C29,"")))</f>
        <v>L50</v>
      </c>
      <c r="B29" t="s">
        <v>52</v>
      </c>
      <c r="C29">
        <v>50</v>
      </c>
      <c r="D29" t="s">
        <v>296</v>
      </c>
      <c r="E29" t="str">
        <f t="shared" ref="E29:E30" si="20">IF(B29="D1","ouest_cd-",IF(B29="D2","sud_cd-",IF(B29="D3","est_cd-","")))</f>
        <v>ouest_cd-</v>
      </c>
      <c r="F29" t="str">
        <f>[1]Demand!$C$5</f>
        <v>Industry</v>
      </c>
      <c r="G29" t="s">
        <v>315</v>
      </c>
      <c r="H29" s="36" t="e" cm="1">
        <f t="array" aca="1" ref="H29" ca="1">INDIRECT("'"&amp;$H$26&amp;$E29&amp;$G29&amp;$P$26&amp;$E29&amp;$G29&amp;"'"&amp;$S$26&amp;H$23)</f>
        <v>#REF!</v>
      </c>
      <c r="I29" s="36" t="e" cm="1">
        <f t="array" aca="1" ref="I29" ca="1">INDIRECT("'"&amp;$H$26&amp;$E29&amp;$G29&amp;$P$26&amp;$E29&amp;$G29&amp;"'"&amp;$S$26&amp;I$23)</f>
        <v>#REF!</v>
      </c>
      <c r="J29" s="36" t="e" cm="1">
        <f t="array" aca="1" ref="J29" ca="1">INDIRECT("'"&amp;$H$26&amp;$E29&amp;$G29&amp;$P$26&amp;$E29&amp;$G29&amp;"'"&amp;$S$26&amp;J$23)</f>
        <v>#REF!</v>
      </c>
      <c r="K29" s="36" t="e" cm="1">
        <f t="array" aca="1" ref="K29" ca="1">INDIRECT("'"&amp;$H$26&amp;$E29&amp;$G29&amp;$P$26&amp;$E29&amp;$G29&amp;"'"&amp;$S$26&amp;K$23)</f>
        <v>#REF!</v>
      </c>
      <c r="L29" s="36" t="e" cm="1">
        <f t="array" aca="1" ref="L29" ca="1">INDIRECT("'"&amp;$H$26&amp;$E29&amp;$G29&amp;$P$26&amp;$E29&amp;$G29&amp;"'"&amp;$S$26&amp;L$23)</f>
        <v>#REF!</v>
      </c>
      <c r="M29" s="36" t="e" cm="1">
        <f t="array" aca="1" ref="M29" ca="1">INDIRECT("'"&amp;$H$26&amp;$E29&amp;$G29&amp;$P$26&amp;$E29&amp;$G29&amp;"'"&amp;$S$26&amp;M$23)</f>
        <v>#REF!</v>
      </c>
      <c r="N29" s="36" t="e" cm="1">
        <f t="array" aca="1" ref="N29" ca="1">INDIRECT("'"&amp;$H$26&amp;$E29&amp;$G29&amp;$P$26&amp;$E29&amp;$G29&amp;"'"&amp;$S$26&amp;N$23)</f>
        <v>#REF!</v>
      </c>
      <c r="O29" s="36" t="e" cm="1">
        <f t="array" aca="1" ref="O29" ca="1">INDIRECT("'"&amp;$H$26&amp;$E29&amp;$G29&amp;$P$26&amp;$E29&amp;$G29&amp;"'"&amp;$S$26&amp;O$23)</f>
        <v>#REF!</v>
      </c>
      <c r="P29" s="36" t="e" cm="1">
        <f t="array" aca="1" ref="P29" ca="1">INDIRECT("'"&amp;$H$26&amp;$E29&amp;$G29&amp;$P$26&amp;$E29&amp;$G29&amp;"'"&amp;$S$26&amp;P$23)</f>
        <v>#REF!</v>
      </c>
      <c r="Q29" s="36" t="e" cm="1">
        <f t="array" aca="1" ref="Q29" ca="1">INDIRECT("'"&amp;$H$26&amp;$E29&amp;$G29&amp;$P$26&amp;$E29&amp;$G29&amp;"'"&amp;$S$26&amp;Q$23)</f>
        <v>#REF!</v>
      </c>
      <c r="R29" s="36" t="e" cm="1">
        <f t="array" aca="1" ref="R29" ca="1">INDIRECT("'"&amp;$H$26&amp;$E29&amp;$G29&amp;$P$26&amp;$E29&amp;$G29&amp;"'"&amp;$S$26&amp;R$23)</f>
        <v>#REF!</v>
      </c>
      <c r="W29" t="str">
        <f t="shared" si="15"/>
        <v>L50</v>
      </c>
      <c r="X29" t="str">
        <f t="shared" si="16"/>
        <v>Other</v>
      </c>
      <c r="Y29" t="e">
        <f t="shared" ca="1" si="17"/>
        <v>#REF!</v>
      </c>
      <c r="Z29" t="e">
        <f t="shared" ca="1" si="18"/>
        <v>#REF!</v>
      </c>
      <c r="AA29" t="e">
        <f t="shared" ca="1" si="19"/>
        <v>#REF!</v>
      </c>
    </row>
    <row r="30" spans="1:27" x14ac:dyDescent="0.2">
      <c r="A30" t="str">
        <f>IF(D30="Low","L"&amp;C30,IF(D30="Medium","M"&amp;C30,IF(D30="High","H"&amp;C30,"")))</f>
        <v>L50</v>
      </c>
      <c r="B30" t="s">
        <v>52</v>
      </c>
      <c r="C30">
        <v>50</v>
      </c>
      <c r="D30" t="s">
        <v>296</v>
      </c>
      <c r="E30" t="str">
        <f t="shared" si="20"/>
        <v>ouest_cd-</v>
      </c>
      <c r="F30" t="str">
        <f>[1]Demand!$C$6</f>
        <v>Other</v>
      </c>
      <c r="G30" t="s">
        <v>315</v>
      </c>
      <c r="H30" s="36" t="e">
        <f ca="1">SUM(INDIRECT("'"&amp;$H$26&amp;$E30&amp;$G30&amp;$P$26&amp;$E30&amp;$G30&amp;"'"&amp;$S$26&amp;H$24))</f>
        <v>#REF!</v>
      </c>
      <c r="I30" s="36" t="e">
        <f t="shared" ref="I30:R30" ca="1" si="21">SUM(INDIRECT("'"&amp;$H$26&amp;$E30&amp;$G30&amp;$P$26&amp;$E30&amp;$G30&amp;"'"&amp;$S$26&amp;I$24))</f>
        <v>#REF!</v>
      </c>
      <c r="J30" s="36" t="e">
        <f t="shared" ca="1" si="21"/>
        <v>#REF!</v>
      </c>
      <c r="K30" s="36" t="e">
        <f t="shared" ca="1" si="21"/>
        <v>#REF!</v>
      </c>
      <c r="L30" s="36" t="e">
        <f t="shared" ca="1" si="21"/>
        <v>#REF!</v>
      </c>
      <c r="M30" s="36" t="e">
        <f t="shared" ca="1" si="21"/>
        <v>#REF!</v>
      </c>
      <c r="N30" s="36" t="e">
        <f t="shared" ca="1" si="21"/>
        <v>#REF!</v>
      </c>
      <c r="O30" s="36" t="e">
        <f t="shared" ca="1" si="21"/>
        <v>#REF!</v>
      </c>
      <c r="P30" s="36" t="e">
        <f t="shared" ca="1" si="21"/>
        <v>#REF!</v>
      </c>
      <c r="Q30" s="36" t="e">
        <f t="shared" ca="1" si="21"/>
        <v>#REF!</v>
      </c>
      <c r="R30" s="36" t="e">
        <f t="shared" ca="1" si="21"/>
        <v>#REF!</v>
      </c>
    </row>
    <row r="31" spans="1:27" x14ac:dyDescent="0.2">
      <c r="D31" t="str">
        <f t="shared" ref="D31:D75" si="22">IF(A31="L","Low",IF(A31="M","Medium",IF(A31="H","High","")))</f>
        <v/>
      </c>
      <c r="E31" t="str">
        <f t="shared" ref="E31:E107" si="23">IF(B31="D1","ouest_",IF(B31="D2","sud_",IF(B31="D3","est_","")))</f>
        <v/>
      </c>
      <c r="G31" t="str">
        <f t="shared" ref="G31:G39" si="24">IF(A31="","",$A$21&amp;D31&amp;"/["&amp;E31&amp;D31&amp;$A$22)</f>
        <v/>
      </c>
      <c r="H31" t="e">
        <f ca="1">SUM(H28:H30)</f>
        <v>#REF!</v>
      </c>
      <c r="I31" t="e">
        <f t="shared" ref="I31:R31" ca="1" si="25">SUM(I28:I30)</f>
        <v>#REF!</v>
      </c>
      <c r="J31" t="e">
        <f t="shared" ca="1" si="25"/>
        <v>#REF!</v>
      </c>
      <c r="K31" t="e">
        <f t="shared" ca="1" si="25"/>
        <v>#REF!</v>
      </c>
      <c r="L31" t="e">
        <f t="shared" ca="1" si="25"/>
        <v>#REF!</v>
      </c>
      <c r="M31" t="e">
        <f t="shared" ca="1" si="25"/>
        <v>#REF!</v>
      </c>
      <c r="N31" t="e">
        <f t="shared" ca="1" si="25"/>
        <v>#REF!</v>
      </c>
      <c r="O31" t="e">
        <f t="shared" ca="1" si="25"/>
        <v>#REF!</v>
      </c>
      <c r="P31" t="e">
        <f t="shared" ca="1" si="25"/>
        <v>#REF!</v>
      </c>
      <c r="Q31" t="e">
        <f t="shared" ca="1" si="25"/>
        <v>#REF!</v>
      </c>
      <c r="R31" t="e">
        <f t="shared" ca="1" si="25"/>
        <v>#REF!</v>
      </c>
      <c r="W31" t="str">
        <f t="shared" si="15"/>
        <v>M50</v>
      </c>
      <c r="X31" t="str">
        <f t="shared" si="16"/>
        <v>Household</v>
      </c>
      <c r="Y31" t="e">
        <f t="shared" ca="1" si="17"/>
        <v>#REF!</v>
      </c>
      <c r="Z31" t="e">
        <f t="shared" ca="1" si="18"/>
        <v>#REF!</v>
      </c>
      <c r="AA31" t="e">
        <f t="shared" ca="1" si="19"/>
        <v>#REF!</v>
      </c>
    </row>
    <row r="32" spans="1:27" x14ac:dyDescent="0.2">
      <c r="A32" t="str">
        <f>IF(D32="Low","L"&amp;C32,IF(D32="Medium","M"&amp;C32,IF(D32="High","H"&amp;C32,"")))</f>
        <v>M50</v>
      </c>
      <c r="B32" t="s">
        <v>52</v>
      </c>
      <c r="C32">
        <v>50</v>
      </c>
      <c r="D32" t="s">
        <v>297</v>
      </c>
      <c r="E32" t="str">
        <f>IF(B32="D1","ouest_cd-",IF(B32="D2","sud_cd-",IF(B32="D3","est_cd-","")))</f>
        <v>ouest_cd-</v>
      </c>
      <c r="F32" t="str">
        <f>[1]Demand!$C$4</f>
        <v>Household</v>
      </c>
      <c r="G32" t="s">
        <v>362</v>
      </c>
      <c r="H32" s="36" t="e" cm="1">
        <f t="array" aca="1" ref="H32" ca="1">INDIRECT("'"&amp;$H$26&amp;$E32&amp;$G32&amp;$P$26&amp;$E32&amp;$G32&amp;"'"&amp;$S$26&amp;H$22)</f>
        <v>#REF!</v>
      </c>
      <c r="I32" s="36" t="e" cm="1">
        <f t="array" aca="1" ref="I32" ca="1">INDIRECT("'"&amp;$H$26&amp;$E32&amp;$G32&amp;$P$26&amp;$E32&amp;$G32&amp;"'"&amp;$S$26&amp;I$22)</f>
        <v>#REF!</v>
      </c>
      <c r="J32" s="36" t="e" cm="1">
        <f t="array" aca="1" ref="J32" ca="1">INDIRECT("'"&amp;$H$26&amp;$E32&amp;$G32&amp;$P$26&amp;$E32&amp;$G32&amp;"'"&amp;$S$26&amp;J$22)</f>
        <v>#REF!</v>
      </c>
      <c r="K32" s="36" t="e" cm="1">
        <f t="array" aca="1" ref="K32" ca="1">INDIRECT("'"&amp;$H$26&amp;$E32&amp;$G32&amp;$P$26&amp;$E32&amp;$G32&amp;"'"&amp;$S$26&amp;K$22)</f>
        <v>#REF!</v>
      </c>
      <c r="L32" s="36" t="e" cm="1">
        <f t="array" aca="1" ref="L32" ca="1">INDIRECT("'"&amp;$H$26&amp;$E32&amp;$G32&amp;$P$26&amp;$E32&amp;$G32&amp;"'"&amp;$S$26&amp;L$22)</f>
        <v>#REF!</v>
      </c>
      <c r="M32" s="36" t="e" cm="1">
        <f t="array" aca="1" ref="M32" ca="1">INDIRECT("'"&amp;$H$26&amp;$E32&amp;$G32&amp;$P$26&amp;$E32&amp;$G32&amp;"'"&amp;$S$26&amp;M$22)</f>
        <v>#REF!</v>
      </c>
      <c r="N32" s="36" t="e" cm="1">
        <f t="array" aca="1" ref="N32" ca="1">INDIRECT("'"&amp;$H$26&amp;$E32&amp;$G32&amp;$P$26&amp;$E32&amp;$G32&amp;"'"&amp;$S$26&amp;N$22)</f>
        <v>#REF!</v>
      </c>
      <c r="O32" s="36" t="e" cm="1">
        <f t="array" aca="1" ref="O32" ca="1">INDIRECT("'"&amp;$H$26&amp;$E32&amp;$G32&amp;$P$26&amp;$E32&amp;$G32&amp;"'"&amp;$S$26&amp;O$22)</f>
        <v>#REF!</v>
      </c>
      <c r="P32" s="36" t="e" cm="1">
        <f t="array" aca="1" ref="P32" ca="1">INDIRECT("'"&amp;$H$26&amp;$E32&amp;$G32&amp;$P$26&amp;$E32&amp;$G32&amp;"'"&amp;$S$26&amp;P$22)</f>
        <v>#REF!</v>
      </c>
      <c r="Q32" s="36" t="e" cm="1">
        <f t="array" aca="1" ref="Q32" ca="1">INDIRECT("'"&amp;$H$26&amp;$E32&amp;$G32&amp;$P$26&amp;$E32&amp;$G32&amp;"'"&amp;$S$26&amp;Q$22)</f>
        <v>#REF!</v>
      </c>
      <c r="R32" s="36" t="e" cm="1">
        <f t="array" aca="1" ref="R32" ca="1">INDIRECT("'"&amp;$H$26&amp;$E32&amp;$G32&amp;$P$26&amp;$E32&amp;$G32&amp;"'"&amp;$S$26&amp;R$22)</f>
        <v>#REF!</v>
      </c>
      <c r="W32" t="str">
        <f t="shared" si="15"/>
        <v>M50</v>
      </c>
      <c r="X32" t="str">
        <f t="shared" si="16"/>
        <v>Industry</v>
      </c>
      <c r="Y32" t="e">
        <f t="shared" ca="1" si="17"/>
        <v>#REF!</v>
      </c>
      <c r="Z32" t="e">
        <f t="shared" ca="1" si="18"/>
        <v>#REF!</v>
      </c>
      <c r="AA32" t="e">
        <f t="shared" ca="1" si="19"/>
        <v>#REF!</v>
      </c>
    </row>
    <row r="33" spans="1:35" x14ac:dyDescent="0.2">
      <c r="A33" t="str">
        <f>IF(D33="Low","L"&amp;C33,IF(D33="Medium","M"&amp;C33,IF(D33="High","H"&amp;C33,"")))</f>
        <v>M50</v>
      </c>
      <c r="B33" t="s">
        <v>52</v>
      </c>
      <c r="C33">
        <v>50</v>
      </c>
      <c r="D33" t="s">
        <v>297</v>
      </c>
      <c r="E33" t="str">
        <f t="shared" ref="E33:E34" si="26">IF(B33="D1","ouest_cd-",IF(B33="D2","sud_cd-",IF(B33="D3","est_cd-","")))</f>
        <v>ouest_cd-</v>
      </c>
      <c r="F33" t="str">
        <f>[1]Demand!$C$5</f>
        <v>Industry</v>
      </c>
      <c r="G33" s="45" t="s">
        <v>362</v>
      </c>
      <c r="H33" s="36" t="e" cm="1">
        <f t="array" aca="1" ref="H33" ca="1">INDIRECT("'"&amp;$H$26&amp;$E33&amp;$G33&amp;$P$26&amp;$E33&amp;$G33&amp;"'"&amp;$S$26&amp;H$23)</f>
        <v>#REF!</v>
      </c>
      <c r="I33" s="36" t="e" cm="1">
        <f t="array" aca="1" ref="I33" ca="1">INDIRECT("'"&amp;$H$26&amp;$E33&amp;$G33&amp;$P$26&amp;$E33&amp;$G33&amp;"'"&amp;$S$26&amp;I$23)</f>
        <v>#REF!</v>
      </c>
      <c r="J33" s="36" t="e" cm="1">
        <f t="array" aca="1" ref="J33" ca="1">INDIRECT("'"&amp;$H$26&amp;$E33&amp;$G33&amp;$P$26&amp;$E33&amp;$G33&amp;"'"&amp;$S$26&amp;J$23)</f>
        <v>#REF!</v>
      </c>
      <c r="K33" s="36" t="e" cm="1">
        <f t="array" aca="1" ref="K33" ca="1">INDIRECT("'"&amp;$H$26&amp;$E33&amp;$G33&amp;$P$26&amp;$E33&amp;$G33&amp;"'"&amp;$S$26&amp;K$23)</f>
        <v>#REF!</v>
      </c>
      <c r="L33" s="36" t="e" cm="1">
        <f t="array" aca="1" ref="L33" ca="1">INDIRECT("'"&amp;$H$26&amp;$E33&amp;$G33&amp;$P$26&amp;$E33&amp;$G33&amp;"'"&amp;$S$26&amp;L$23)</f>
        <v>#REF!</v>
      </c>
      <c r="M33" s="36" t="e" cm="1">
        <f t="array" aca="1" ref="M33" ca="1">INDIRECT("'"&amp;$H$26&amp;$E33&amp;$G33&amp;$P$26&amp;$E33&amp;$G33&amp;"'"&amp;$S$26&amp;M$23)</f>
        <v>#REF!</v>
      </c>
      <c r="N33" s="36" t="e" cm="1">
        <f t="array" aca="1" ref="N33" ca="1">INDIRECT("'"&amp;$H$26&amp;$E33&amp;$G33&amp;$P$26&amp;$E33&amp;$G33&amp;"'"&amp;$S$26&amp;N$23)</f>
        <v>#REF!</v>
      </c>
      <c r="O33" s="36" t="e" cm="1">
        <f t="array" aca="1" ref="O33" ca="1">INDIRECT("'"&amp;$H$26&amp;$E33&amp;$G33&amp;$P$26&amp;$E33&amp;$G33&amp;"'"&amp;$S$26&amp;O$23)</f>
        <v>#REF!</v>
      </c>
      <c r="P33" s="36" t="e" cm="1">
        <f t="array" aca="1" ref="P33" ca="1">INDIRECT("'"&amp;$H$26&amp;$E33&amp;$G33&amp;$P$26&amp;$E33&amp;$G33&amp;"'"&amp;$S$26&amp;P$23)</f>
        <v>#REF!</v>
      </c>
      <c r="Q33" s="36" t="e" cm="1">
        <f t="array" aca="1" ref="Q33" ca="1">INDIRECT("'"&amp;$H$26&amp;$E33&amp;$G33&amp;$P$26&amp;$E33&amp;$G33&amp;"'"&amp;$S$26&amp;Q$23)</f>
        <v>#REF!</v>
      </c>
      <c r="R33" s="36" t="e" cm="1">
        <f t="array" aca="1" ref="R33" ca="1">INDIRECT("'"&amp;$H$26&amp;$E33&amp;$G33&amp;$P$26&amp;$E33&amp;$G33&amp;"'"&amp;$S$26&amp;R$23)</f>
        <v>#REF!</v>
      </c>
      <c r="W33" t="str">
        <f t="shared" si="15"/>
        <v>M50</v>
      </c>
      <c r="X33" t="str">
        <f t="shared" si="16"/>
        <v>Other</v>
      </c>
      <c r="Y33" t="e">
        <f t="shared" ca="1" si="17"/>
        <v>#REF!</v>
      </c>
      <c r="Z33" t="e">
        <f t="shared" ca="1" si="18"/>
        <v>#REF!</v>
      </c>
      <c r="AA33" t="e">
        <f t="shared" ca="1" si="19"/>
        <v>#REF!</v>
      </c>
    </row>
    <row r="34" spans="1:35" x14ac:dyDescent="0.2">
      <c r="A34" t="str">
        <f>IF(D34="Low","L"&amp;C34,IF(D34="Medium","M"&amp;C34,IF(D34="High","H"&amp;C34,"")))</f>
        <v>M50</v>
      </c>
      <c r="B34" t="s">
        <v>52</v>
      </c>
      <c r="C34">
        <v>50</v>
      </c>
      <c r="D34" t="s">
        <v>297</v>
      </c>
      <c r="E34" t="str">
        <f t="shared" si="26"/>
        <v>ouest_cd-</v>
      </c>
      <c r="F34" t="str">
        <f>[1]Demand!$C$6</f>
        <v>Other</v>
      </c>
      <c r="G34" s="45" t="s">
        <v>362</v>
      </c>
      <c r="H34" s="36" t="e">
        <f ca="1">SUM(INDIRECT("'"&amp;$H$26&amp;$E34&amp;$G34&amp;$P$26&amp;$E34&amp;$G34&amp;"'"&amp;$S$26&amp;H$24))</f>
        <v>#REF!</v>
      </c>
      <c r="I34" s="36" t="e">
        <f t="shared" ref="I34:R34" ca="1" si="27">SUM(INDIRECT("'"&amp;$H$26&amp;$E34&amp;$G34&amp;$P$26&amp;$E34&amp;$G34&amp;"'"&amp;$S$26&amp;I$24))</f>
        <v>#REF!</v>
      </c>
      <c r="J34" s="36" t="e">
        <f t="shared" ca="1" si="27"/>
        <v>#REF!</v>
      </c>
      <c r="K34" s="36" t="e">
        <f t="shared" ca="1" si="27"/>
        <v>#REF!</v>
      </c>
      <c r="L34" s="36" t="e">
        <f t="shared" ca="1" si="27"/>
        <v>#REF!</v>
      </c>
      <c r="M34" s="36" t="e">
        <f t="shared" ca="1" si="27"/>
        <v>#REF!</v>
      </c>
      <c r="N34" s="36" t="e">
        <f t="shared" ca="1" si="27"/>
        <v>#REF!</v>
      </c>
      <c r="O34" s="36" t="e">
        <f t="shared" ca="1" si="27"/>
        <v>#REF!</v>
      </c>
      <c r="P34" s="36" t="e">
        <f t="shared" ca="1" si="27"/>
        <v>#REF!</v>
      </c>
      <c r="Q34" s="36" t="e">
        <f t="shared" ca="1" si="27"/>
        <v>#REF!</v>
      </c>
      <c r="R34" s="36" t="e">
        <f t="shared" ca="1" si="27"/>
        <v>#REF!</v>
      </c>
    </row>
    <row r="35" spans="1:35" x14ac:dyDescent="0.2">
      <c r="D35" t="str">
        <f t="shared" si="22"/>
        <v/>
      </c>
      <c r="E35" t="str">
        <f t="shared" si="23"/>
        <v/>
      </c>
      <c r="G35" t="str">
        <f t="shared" si="24"/>
        <v/>
      </c>
      <c r="H35" t="e">
        <f ca="1">SUM(H32:H34)</f>
        <v>#REF!</v>
      </c>
      <c r="I35" t="e">
        <f t="shared" ref="I35:R35" ca="1" si="28">SUM(I32:I34)</f>
        <v>#REF!</v>
      </c>
      <c r="J35" t="e">
        <f t="shared" ca="1" si="28"/>
        <v>#REF!</v>
      </c>
      <c r="K35" t="e">
        <f t="shared" ca="1" si="28"/>
        <v>#REF!</v>
      </c>
      <c r="L35" t="e">
        <f t="shared" ca="1" si="28"/>
        <v>#REF!</v>
      </c>
      <c r="M35" t="e">
        <f t="shared" ca="1" si="28"/>
        <v>#REF!</v>
      </c>
      <c r="N35" t="e">
        <f t="shared" ca="1" si="28"/>
        <v>#REF!</v>
      </c>
      <c r="O35" t="e">
        <f t="shared" ca="1" si="28"/>
        <v>#REF!</v>
      </c>
      <c r="P35" t="e">
        <f t="shared" ca="1" si="28"/>
        <v>#REF!</v>
      </c>
      <c r="Q35" t="e">
        <f t="shared" ca="1" si="28"/>
        <v>#REF!</v>
      </c>
      <c r="R35" t="e">
        <f t="shared" ca="1" si="28"/>
        <v>#REF!</v>
      </c>
      <c r="W35" t="str">
        <f t="shared" si="15"/>
        <v>H50</v>
      </c>
      <c r="X35" t="str">
        <f t="shared" si="16"/>
        <v>Household</v>
      </c>
      <c r="Y35" t="e">
        <f t="shared" ca="1" si="17"/>
        <v>#REF!</v>
      </c>
      <c r="Z35" t="e">
        <f t="shared" ca="1" si="18"/>
        <v>#REF!</v>
      </c>
      <c r="AA35" t="e">
        <f t="shared" ca="1" si="19"/>
        <v>#REF!</v>
      </c>
    </row>
    <row r="36" spans="1:35" x14ac:dyDescent="0.2">
      <c r="A36" t="str">
        <f>IF(D36="Low","L"&amp;C36,IF(D36="Medium","M"&amp;C36,IF(D36="High","H"&amp;C36,"")))</f>
        <v>H50</v>
      </c>
      <c r="B36" t="s">
        <v>52</v>
      </c>
      <c r="C36">
        <v>50</v>
      </c>
      <c r="D36" t="s">
        <v>298</v>
      </c>
      <c r="E36" t="str">
        <f>IF(B36="D1","ouest_cd-",IF(B36="D2","sud_cd-",IF(B36="D3","est_cd-","")))</f>
        <v>ouest_cd-</v>
      </c>
      <c r="F36" t="str">
        <f>[1]Demand!$C$4</f>
        <v>Household</v>
      </c>
      <c r="G36" s="45" t="s">
        <v>320</v>
      </c>
      <c r="H36" s="36" t="e" cm="1">
        <f t="array" aca="1" ref="H36" ca="1">INDIRECT("'"&amp;$H$26&amp;$E36&amp;$G36&amp;$P$26&amp;$E36&amp;$G36&amp;"'"&amp;$S$26&amp;H$22)</f>
        <v>#REF!</v>
      </c>
      <c r="I36" s="36" t="e" cm="1">
        <f t="array" aca="1" ref="I36" ca="1">INDIRECT("'"&amp;$H$26&amp;$E36&amp;$G36&amp;$P$26&amp;$E36&amp;$G36&amp;"'"&amp;$S$26&amp;I$22)</f>
        <v>#REF!</v>
      </c>
      <c r="J36" s="36" t="e" cm="1">
        <f t="array" aca="1" ref="J36" ca="1">INDIRECT("'"&amp;$H$26&amp;$E36&amp;$G36&amp;$P$26&amp;$E36&amp;$G36&amp;"'"&amp;$S$26&amp;J$22)</f>
        <v>#REF!</v>
      </c>
      <c r="K36" s="36" t="e" cm="1">
        <f t="array" aca="1" ref="K36" ca="1">INDIRECT("'"&amp;$H$26&amp;$E36&amp;$G36&amp;$P$26&amp;$E36&amp;$G36&amp;"'"&amp;$S$26&amp;K$22)</f>
        <v>#REF!</v>
      </c>
      <c r="L36" s="36" t="e" cm="1">
        <f t="array" aca="1" ref="L36" ca="1">INDIRECT("'"&amp;$H$26&amp;$E36&amp;$G36&amp;$P$26&amp;$E36&amp;$G36&amp;"'"&amp;$S$26&amp;L$22)</f>
        <v>#REF!</v>
      </c>
      <c r="M36" s="36" t="e" cm="1">
        <f t="array" aca="1" ref="M36" ca="1">INDIRECT("'"&amp;$H$26&amp;$E36&amp;$G36&amp;$P$26&amp;$E36&amp;$G36&amp;"'"&amp;$S$26&amp;M$22)</f>
        <v>#REF!</v>
      </c>
      <c r="N36" s="36" t="e" cm="1">
        <f t="array" aca="1" ref="N36" ca="1">INDIRECT("'"&amp;$H$26&amp;$E36&amp;$G36&amp;$P$26&amp;$E36&amp;$G36&amp;"'"&amp;$S$26&amp;N$22)</f>
        <v>#REF!</v>
      </c>
      <c r="O36" s="36" t="e" cm="1">
        <f t="array" aca="1" ref="O36" ca="1">INDIRECT("'"&amp;$H$26&amp;$E36&amp;$G36&amp;$P$26&amp;$E36&amp;$G36&amp;"'"&amp;$S$26&amp;O$22)</f>
        <v>#REF!</v>
      </c>
      <c r="P36" s="36" t="e" cm="1">
        <f t="array" aca="1" ref="P36" ca="1">INDIRECT("'"&amp;$H$26&amp;$E36&amp;$G36&amp;$P$26&amp;$E36&amp;$G36&amp;"'"&amp;$S$26&amp;P$22)</f>
        <v>#REF!</v>
      </c>
      <c r="Q36" s="36" t="e" cm="1">
        <f t="array" aca="1" ref="Q36" ca="1">INDIRECT("'"&amp;$H$26&amp;$E36&amp;$G36&amp;$P$26&amp;$E36&amp;$G36&amp;"'"&amp;$S$26&amp;Q$22)</f>
        <v>#REF!</v>
      </c>
      <c r="R36" s="36" t="e" cm="1">
        <f t="array" aca="1" ref="R36" ca="1">INDIRECT("'"&amp;$H$26&amp;$E36&amp;$G36&amp;$P$26&amp;$E36&amp;$G36&amp;"'"&amp;$S$26&amp;R$22)</f>
        <v>#REF!</v>
      </c>
      <c r="W36" t="str">
        <f t="shared" si="15"/>
        <v>H50</v>
      </c>
      <c r="X36" t="str">
        <f t="shared" si="16"/>
        <v>Industry</v>
      </c>
      <c r="Y36" t="e">
        <f t="shared" ca="1" si="17"/>
        <v>#REF!</v>
      </c>
      <c r="Z36" t="e">
        <f t="shared" ca="1" si="18"/>
        <v>#REF!</v>
      </c>
      <c r="AA36" t="e">
        <f t="shared" ca="1" si="19"/>
        <v>#REF!</v>
      </c>
    </row>
    <row r="37" spans="1:35" x14ac:dyDescent="0.2">
      <c r="A37" t="str">
        <f>IF(D37="Low","L"&amp;C37,IF(D37="Medium","M"&amp;C37,IF(D37="High","H"&amp;C37,"")))</f>
        <v>H50</v>
      </c>
      <c r="B37" t="s">
        <v>52</v>
      </c>
      <c r="C37">
        <v>50</v>
      </c>
      <c r="D37" t="s">
        <v>298</v>
      </c>
      <c r="E37" t="str">
        <f t="shared" ref="E37:E38" si="29">IF(B37="D1","ouest_cd-",IF(B37="D2","sud_cd-",IF(B37="D3","est_cd-","")))</f>
        <v>ouest_cd-</v>
      </c>
      <c r="F37" t="str">
        <f>[1]Demand!$C$5</f>
        <v>Industry</v>
      </c>
      <c r="G37" s="45" t="s">
        <v>320</v>
      </c>
      <c r="H37" s="36" t="e" cm="1">
        <f t="array" aca="1" ref="H37" ca="1">INDIRECT("'"&amp;$H$26&amp;$E37&amp;$G37&amp;$P$26&amp;$E37&amp;$G37&amp;"'"&amp;$S$26&amp;H$23)</f>
        <v>#REF!</v>
      </c>
      <c r="I37" s="36" t="e" cm="1">
        <f t="array" aca="1" ref="I37" ca="1">INDIRECT("'"&amp;$H$26&amp;$E37&amp;$G37&amp;$P$26&amp;$E37&amp;$G37&amp;"'"&amp;$S$26&amp;I$23)</f>
        <v>#REF!</v>
      </c>
      <c r="J37" s="36" t="e" cm="1">
        <f t="array" aca="1" ref="J37" ca="1">INDIRECT("'"&amp;$H$26&amp;$E37&amp;$G37&amp;$P$26&amp;$E37&amp;$G37&amp;"'"&amp;$S$26&amp;J$23)</f>
        <v>#REF!</v>
      </c>
      <c r="K37" s="36" t="e" cm="1">
        <f t="array" aca="1" ref="K37" ca="1">INDIRECT("'"&amp;$H$26&amp;$E37&amp;$G37&amp;$P$26&amp;$E37&amp;$G37&amp;"'"&amp;$S$26&amp;K$23)</f>
        <v>#REF!</v>
      </c>
      <c r="L37" s="36" t="e" cm="1">
        <f t="array" aca="1" ref="L37" ca="1">INDIRECT("'"&amp;$H$26&amp;$E37&amp;$G37&amp;$P$26&amp;$E37&amp;$G37&amp;"'"&amp;$S$26&amp;L$23)</f>
        <v>#REF!</v>
      </c>
      <c r="M37" s="36" t="e" cm="1">
        <f t="array" aca="1" ref="M37" ca="1">INDIRECT("'"&amp;$H$26&amp;$E37&amp;$G37&amp;$P$26&amp;$E37&amp;$G37&amp;"'"&amp;$S$26&amp;M$23)</f>
        <v>#REF!</v>
      </c>
      <c r="N37" s="36" t="e" cm="1">
        <f t="array" aca="1" ref="N37" ca="1">INDIRECT("'"&amp;$H$26&amp;$E37&amp;$G37&amp;$P$26&amp;$E37&amp;$G37&amp;"'"&amp;$S$26&amp;N$23)</f>
        <v>#REF!</v>
      </c>
      <c r="O37" s="36" t="e" cm="1">
        <f t="array" aca="1" ref="O37" ca="1">INDIRECT("'"&amp;$H$26&amp;$E37&amp;$G37&amp;$P$26&amp;$E37&amp;$G37&amp;"'"&amp;$S$26&amp;O$23)</f>
        <v>#REF!</v>
      </c>
      <c r="P37" s="36" t="e" cm="1">
        <f t="array" aca="1" ref="P37" ca="1">INDIRECT("'"&amp;$H$26&amp;$E37&amp;$G37&amp;$P$26&amp;$E37&amp;$G37&amp;"'"&amp;$S$26&amp;P$23)</f>
        <v>#REF!</v>
      </c>
      <c r="Q37" s="36" t="e" cm="1">
        <f t="array" aca="1" ref="Q37" ca="1">INDIRECT("'"&amp;$H$26&amp;$E37&amp;$G37&amp;$P$26&amp;$E37&amp;$G37&amp;"'"&amp;$S$26&amp;Q$23)</f>
        <v>#REF!</v>
      </c>
      <c r="R37" s="36" t="e" cm="1">
        <f t="array" aca="1" ref="R37" ca="1">INDIRECT("'"&amp;$H$26&amp;$E37&amp;$G37&amp;$P$26&amp;$E37&amp;$G37&amp;"'"&amp;$S$26&amp;R$23)</f>
        <v>#REF!</v>
      </c>
      <c r="W37" t="str">
        <f t="shared" si="15"/>
        <v>H50</v>
      </c>
      <c r="X37" t="str">
        <f t="shared" si="16"/>
        <v>Other</v>
      </c>
      <c r="Y37" t="e">
        <f t="shared" ca="1" si="17"/>
        <v>#REF!</v>
      </c>
      <c r="Z37" t="e">
        <f t="shared" ca="1" si="18"/>
        <v>#REF!</v>
      </c>
      <c r="AA37" t="e">
        <f t="shared" ca="1" si="19"/>
        <v>#REF!</v>
      </c>
    </row>
    <row r="38" spans="1:35" x14ac:dyDescent="0.2">
      <c r="A38" t="str">
        <f>IF(D38="Low","L"&amp;C38,IF(D38="Medium","M"&amp;C38,IF(D38="High","H"&amp;C38,"")))</f>
        <v>H50</v>
      </c>
      <c r="B38" t="s">
        <v>52</v>
      </c>
      <c r="C38">
        <v>50</v>
      </c>
      <c r="D38" t="s">
        <v>298</v>
      </c>
      <c r="E38" t="str">
        <f t="shared" si="29"/>
        <v>ouest_cd-</v>
      </c>
      <c r="F38" t="str">
        <f>[1]Demand!$C$6</f>
        <v>Other</v>
      </c>
      <c r="G38" s="45" t="s">
        <v>320</v>
      </c>
      <c r="H38" s="36" t="e">
        <f ca="1">SUM(INDIRECT("'"&amp;$H$26&amp;$E38&amp;$G38&amp;$P$26&amp;$E38&amp;$G38&amp;"'"&amp;$S$26&amp;H$24))</f>
        <v>#REF!</v>
      </c>
      <c r="I38" s="36" t="e">
        <f t="shared" ref="I38:R38" ca="1" si="30">SUM(INDIRECT("'"&amp;$H$26&amp;$E38&amp;$G38&amp;$P$26&amp;$E38&amp;$G38&amp;"'"&amp;$S$26&amp;I$24))</f>
        <v>#REF!</v>
      </c>
      <c r="J38" s="36" t="e">
        <f t="shared" ca="1" si="30"/>
        <v>#REF!</v>
      </c>
      <c r="K38" s="36" t="e">
        <f t="shared" ca="1" si="30"/>
        <v>#REF!</v>
      </c>
      <c r="L38" s="36" t="e">
        <f t="shared" ca="1" si="30"/>
        <v>#REF!</v>
      </c>
      <c r="M38" s="36" t="e">
        <f t="shared" ca="1" si="30"/>
        <v>#REF!</v>
      </c>
      <c r="N38" s="36" t="e">
        <f t="shared" ca="1" si="30"/>
        <v>#REF!</v>
      </c>
      <c r="O38" s="36" t="e">
        <f t="shared" ca="1" si="30"/>
        <v>#REF!</v>
      </c>
      <c r="P38" s="36" t="e">
        <f t="shared" ca="1" si="30"/>
        <v>#REF!</v>
      </c>
      <c r="Q38" s="36" t="e">
        <f t="shared" ca="1" si="30"/>
        <v>#REF!</v>
      </c>
      <c r="R38" s="36" t="e">
        <f t="shared" ca="1" si="30"/>
        <v>#REF!</v>
      </c>
    </row>
    <row r="39" spans="1:35" x14ac:dyDescent="0.2">
      <c r="D39" t="str">
        <f t="shared" si="22"/>
        <v/>
      </c>
      <c r="E39" t="str">
        <f t="shared" si="23"/>
        <v/>
      </c>
      <c r="G39" t="str">
        <f t="shared" si="24"/>
        <v/>
      </c>
      <c r="H39" t="e">
        <f ca="1">SUM(H36:H38)</f>
        <v>#REF!</v>
      </c>
      <c r="I39" t="e">
        <f t="shared" ref="I39:R39" ca="1" si="31">SUM(I36:I38)</f>
        <v>#REF!</v>
      </c>
      <c r="J39" t="e">
        <f t="shared" ca="1" si="31"/>
        <v>#REF!</v>
      </c>
      <c r="K39" t="e">
        <f t="shared" ca="1" si="31"/>
        <v>#REF!</v>
      </c>
      <c r="L39" t="e">
        <f t="shared" ca="1" si="31"/>
        <v>#REF!</v>
      </c>
      <c r="M39" t="e">
        <f t="shared" ca="1" si="31"/>
        <v>#REF!</v>
      </c>
      <c r="N39" t="e">
        <f t="shared" ca="1" si="31"/>
        <v>#REF!</v>
      </c>
      <c r="O39" t="e">
        <f t="shared" ca="1" si="31"/>
        <v>#REF!</v>
      </c>
      <c r="P39" t="e">
        <f t="shared" ca="1" si="31"/>
        <v>#REF!</v>
      </c>
      <c r="Q39" t="e">
        <f t="shared" ca="1" si="31"/>
        <v>#REF!</v>
      </c>
      <c r="R39" t="e">
        <f t="shared" ca="1" si="31"/>
        <v>#REF!</v>
      </c>
      <c r="Y39" t="s">
        <v>308</v>
      </c>
      <c r="Z39" t="s">
        <v>309</v>
      </c>
      <c r="AA39" t="s">
        <v>310</v>
      </c>
      <c r="AC39" t="s">
        <v>308</v>
      </c>
      <c r="AD39" t="s">
        <v>309</v>
      </c>
      <c r="AE39" t="s">
        <v>310</v>
      </c>
      <c r="AG39" t="s">
        <v>308</v>
      </c>
      <c r="AH39" t="s">
        <v>309</v>
      </c>
      <c r="AI39" t="s">
        <v>310</v>
      </c>
    </row>
    <row r="40" spans="1:35" x14ac:dyDescent="0.2">
      <c r="A40" t="str">
        <f>IF(D40="Low","L"&amp;C40,IF(D40="Medium","M"&amp;C40,IF(D40="High","H"&amp;C40,"")))</f>
        <v>L75</v>
      </c>
      <c r="B40" t="str">
        <f>IF(B28="","",B28)</f>
        <v>D1</v>
      </c>
      <c r="C40">
        <f>IF(B40="","",$A$9)</f>
        <v>75</v>
      </c>
      <c r="D40" t="str">
        <f>IF(D28="","",D28)</f>
        <v>Low</v>
      </c>
      <c r="E40" t="str">
        <f>IF(E28="","",E28)</f>
        <v>ouest_cd-</v>
      </c>
      <c r="F40" t="str">
        <f>IF(F28="","",F28)</f>
        <v>Household</v>
      </c>
      <c r="G40" t="s">
        <v>314</v>
      </c>
      <c r="H40" s="36" t="e" cm="1">
        <f t="array" aca="1" ref="H40" ca="1">INDIRECT("'"&amp;$H$26&amp;$E40&amp;$G40&amp;$P$26&amp;$E40&amp;$G40&amp;"'"&amp;$S$26&amp;H$22)</f>
        <v>#REF!</v>
      </c>
      <c r="I40" s="36" t="e" cm="1">
        <f t="array" aca="1" ref="I40" ca="1">INDIRECT("'"&amp;$H$26&amp;$E40&amp;$G40&amp;$P$26&amp;$E40&amp;$G40&amp;"'"&amp;$S$26&amp;I$22)</f>
        <v>#REF!</v>
      </c>
      <c r="J40" s="36" t="e" cm="1">
        <f t="array" aca="1" ref="J40" ca="1">INDIRECT("'"&amp;$H$26&amp;$E40&amp;$G40&amp;$P$26&amp;$E40&amp;$G40&amp;"'"&amp;$S$26&amp;J$22)</f>
        <v>#REF!</v>
      </c>
      <c r="K40" s="36" t="e" cm="1">
        <f t="array" aca="1" ref="K40" ca="1">INDIRECT("'"&amp;$H$26&amp;$E40&amp;$G40&amp;$P$26&amp;$E40&amp;$G40&amp;"'"&amp;$S$26&amp;K$22)</f>
        <v>#REF!</v>
      </c>
      <c r="L40" s="36" t="e" cm="1">
        <f t="array" aca="1" ref="L40" ca="1">INDIRECT("'"&amp;$H$26&amp;$E40&amp;$G40&amp;$P$26&amp;$E40&amp;$G40&amp;"'"&amp;$S$26&amp;L$22)</f>
        <v>#REF!</v>
      </c>
      <c r="M40" s="36" t="e" cm="1">
        <f t="array" aca="1" ref="M40" ca="1">INDIRECT("'"&amp;$H$26&amp;$E40&amp;$G40&amp;$P$26&amp;$E40&amp;$G40&amp;"'"&amp;$S$26&amp;M$22)</f>
        <v>#REF!</v>
      </c>
      <c r="N40" s="36" t="e" cm="1">
        <f t="array" aca="1" ref="N40" ca="1">INDIRECT("'"&amp;$H$26&amp;$E40&amp;$G40&amp;$P$26&amp;$E40&amp;$G40&amp;"'"&amp;$S$26&amp;N$22)</f>
        <v>#REF!</v>
      </c>
      <c r="O40" s="36" t="e" cm="1">
        <f t="array" aca="1" ref="O40" ca="1">INDIRECT("'"&amp;$H$26&amp;$E40&amp;$G40&amp;$P$26&amp;$E40&amp;$G40&amp;"'"&amp;$S$26&amp;O$22)</f>
        <v>#REF!</v>
      </c>
      <c r="P40" s="36" t="e" cm="1">
        <f t="array" aca="1" ref="P40" ca="1">INDIRECT("'"&amp;$H$26&amp;$E40&amp;$G40&amp;$P$26&amp;$E40&amp;$G40&amp;"'"&amp;$S$26&amp;P$22)</f>
        <v>#REF!</v>
      </c>
      <c r="Q40" s="36" t="e" cm="1">
        <f t="array" aca="1" ref="Q40" ca="1">INDIRECT("'"&amp;$H$26&amp;$E40&amp;$G40&amp;$P$26&amp;$E40&amp;$G40&amp;"'"&amp;$S$26&amp;Q$22)</f>
        <v>#REF!</v>
      </c>
      <c r="R40" s="36" t="e" cm="1">
        <f t="array" aca="1" ref="R40" ca="1">INDIRECT("'"&amp;$H$26&amp;$E40&amp;$G40&amp;$P$26&amp;$E40&amp;$G40&amp;"'"&amp;$S$26&amp;R$22)</f>
        <v>#REF!</v>
      </c>
      <c r="W40" t="s">
        <v>363</v>
      </c>
      <c r="X40" t="s">
        <v>382</v>
      </c>
      <c r="Y40">
        <v>3388.24</v>
      </c>
      <c r="Z40">
        <v>2742.7</v>
      </c>
      <c r="AA40">
        <v>1028.77</v>
      </c>
      <c r="AC40">
        <v>4161.91</v>
      </c>
      <c r="AD40">
        <v>3761.9</v>
      </c>
      <c r="AE40">
        <v>2016.19</v>
      </c>
      <c r="AG40">
        <v>4968.08</v>
      </c>
      <c r="AH40">
        <v>5379.69</v>
      </c>
      <c r="AI40">
        <v>4055.0299999999997</v>
      </c>
    </row>
    <row r="41" spans="1:35" x14ac:dyDescent="0.2">
      <c r="A41" t="str">
        <f t="shared" ref="A41:A49" si="32">IF(D41="Low","L"&amp;C41,IF(D41="Medium","M"&amp;C41,IF(D41="High","H"&amp;C41,"")))</f>
        <v>L75</v>
      </c>
      <c r="B41" t="str">
        <f t="shared" ref="B41:B62" si="33">IF(B29="","",B29)</f>
        <v>D1</v>
      </c>
      <c r="C41">
        <f t="shared" ref="C41:C51" si="34">IF(B41="","",$A$9)</f>
        <v>75</v>
      </c>
      <c r="D41" t="str">
        <f t="shared" ref="D41:F41" si="35">IF(D29="","",D29)</f>
        <v>Low</v>
      </c>
      <c r="E41" t="str">
        <f t="shared" si="35"/>
        <v>ouest_cd-</v>
      </c>
      <c r="F41" t="str">
        <f t="shared" si="35"/>
        <v>Industry</v>
      </c>
      <c r="G41" t="str">
        <f>G40</f>
        <v>0_0_0_0_0_0</v>
      </c>
      <c r="H41" s="36" t="e" cm="1">
        <f t="array" aca="1" ref="H41" ca="1">INDIRECT("'"&amp;$H$26&amp;$E41&amp;$G41&amp;$P$26&amp;$E41&amp;$G41&amp;"'"&amp;$S$26&amp;H$23)</f>
        <v>#REF!</v>
      </c>
      <c r="I41" s="36" t="e" cm="1">
        <f t="array" aca="1" ref="I41" ca="1">INDIRECT("'"&amp;$H$26&amp;$E41&amp;$G41&amp;$P$26&amp;$E41&amp;$G41&amp;"'"&amp;$S$26&amp;I$23)</f>
        <v>#REF!</v>
      </c>
      <c r="J41" s="36" t="e" cm="1">
        <f t="array" aca="1" ref="J41" ca="1">INDIRECT("'"&amp;$H$26&amp;$E41&amp;$G41&amp;$P$26&amp;$E41&amp;$G41&amp;"'"&amp;$S$26&amp;J$23)</f>
        <v>#REF!</v>
      </c>
      <c r="K41" s="36" t="e" cm="1">
        <f t="array" aca="1" ref="K41" ca="1">INDIRECT("'"&amp;$H$26&amp;$E41&amp;$G41&amp;$P$26&amp;$E41&amp;$G41&amp;"'"&amp;$S$26&amp;K$23)</f>
        <v>#REF!</v>
      </c>
      <c r="L41" s="36" t="e" cm="1">
        <f t="array" aca="1" ref="L41" ca="1">INDIRECT("'"&amp;$H$26&amp;$E41&amp;$G41&amp;$P$26&amp;$E41&amp;$G41&amp;"'"&amp;$S$26&amp;L$23)</f>
        <v>#REF!</v>
      </c>
      <c r="M41" s="36" t="e" cm="1">
        <f t="array" aca="1" ref="M41" ca="1">INDIRECT("'"&amp;$H$26&amp;$E41&amp;$G41&amp;$P$26&amp;$E41&amp;$G41&amp;"'"&amp;$S$26&amp;M$23)</f>
        <v>#REF!</v>
      </c>
      <c r="N41" s="36" t="e" cm="1">
        <f t="array" aca="1" ref="N41" ca="1">INDIRECT("'"&amp;$H$26&amp;$E41&amp;$G41&amp;$P$26&amp;$E41&amp;$G41&amp;"'"&amp;$S$26&amp;N$23)</f>
        <v>#REF!</v>
      </c>
      <c r="O41" s="36" t="e" cm="1">
        <f t="array" aca="1" ref="O41" ca="1">INDIRECT("'"&amp;$H$26&amp;$E41&amp;$G41&amp;$P$26&amp;$E41&amp;$G41&amp;"'"&amp;$S$26&amp;O$23)</f>
        <v>#REF!</v>
      </c>
      <c r="P41" s="36" t="e" cm="1">
        <f t="array" aca="1" ref="P41" ca="1">INDIRECT("'"&amp;$H$26&amp;$E41&amp;$G41&amp;$P$26&amp;$E41&amp;$G41&amp;"'"&amp;$S$26&amp;P$23)</f>
        <v>#REF!</v>
      </c>
      <c r="Q41" s="36" t="e" cm="1">
        <f t="array" aca="1" ref="Q41" ca="1">INDIRECT("'"&amp;$H$26&amp;$E41&amp;$G41&amp;$P$26&amp;$E41&amp;$G41&amp;"'"&amp;$S$26&amp;Q$23)</f>
        <v>#REF!</v>
      </c>
      <c r="R41" s="36" t="e" cm="1">
        <f t="array" aca="1" ref="R41" ca="1">INDIRECT("'"&amp;$H$26&amp;$E41&amp;$G41&amp;$P$26&amp;$E41&amp;$G41&amp;"'"&amp;$S$26&amp;R$23)</f>
        <v>#REF!</v>
      </c>
      <c r="W41" t="s">
        <v>363</v>
      </c>
      <c r="X41" t="s">
        <v>383</v>
      </c>
      <c r="Y41">
        <v>2139.48</v>
      </c>
      <c r="Z41">
        <v>10537.9</v>
      </c>
      <c r="AA41">
        <v>650.64</v>
      </c>
      <c r="AC41">
        <v>2675.17</v>
      </c>
      <c r="AD41">
        <v>14453.82</v>
      </c>
      <c r="AE41">
        <v>1296.94</v>
      </c>
      <c r="AG41">
        <v>3196.29</v>
      </c>
      <c r="AH41">
        <v>20669.59</v>
      </c>
      <c r="AI41">
        <v>2609.4</v>
      </c>
    </row>
    <row r="42" spans="1:35" x14ac:dyDescent="0.2">
      <c r="A42" t="str">
        <f t="shared" si="32"/>
        <v>L75</v>
      </c>
      <c r="B42" t="str">
        <f t="shared" si="33"/>
        <v>D1</v>
      </c>
      <c r="C42">
        <f t="shared" si="34"/>
        <v>75</v>
      </c>
      <c r="D42" t="str">
        <f t="shared" ref="D42:F42" si="36">IF(D30="","",D30)</f>
        <v>Low</v>
      </c>
      <c r="E42" t="str">
        <f t="shared" si="36"/>
        <v>ouest_cd-</v>
      </c>
      <c r="F42" t="str">
        <f t="shared" si="36"/>
        <v>Other</v>
      </c>
      <c r="G42" t="str">
        <f>G41</f>
        <v>0_0_0_0_0_0</v>
      </c>
      <c r="H42" s="36" t="e">
        <f ca="1">SUM(INDIRECT("'"&amp;$H$26&amp;$E42&amp;$G42&amp;$P$26&amp;$E42&amp;$G42&amp;"'"&amp;$S$26&amp;H$24))</f>
        <v>#REF!</v>
      </c>
      <c r="I42" s="36" t="e">
        <f t="shared" ref="I42:R42" ca="1" si="37">SUM(INDIRECT("'"&amp;$H$26&amp;$E42&amp;$G42&amp;$P$26&amp;$E42&amp;$G42&amp;"'"&amp;$S$26&amp;I$24))</f>
        <v>#REF!</v>
      </c>
      <c r="J42" s="36" t="e">
        <f t="shared" ca="1" si="37"/>
        <v>#REF!</v>
      </c>
      <c r="K42" s="36" t="e">
        <f t="shared" ca="1" si="37"/>
        <v>#REF!</v>
      </c>
      <c r="L42" s="36" t="e">
        <f t="shared" ca="1" si="37"/>
        <v>#REF!</v>
      </c>
      <c r="M42" s="36" t="e">
        <f t="shared" ca="1" si="37"/>
        <v>#REF!</v>
      </c>
      <c r="N42" s="36" t="e">
        <f t="shared" ca="1" si="37"/>
        <v>#REF!</v>
      </c>
      <c r="O42" s="36" t="e">
        <f t="shared" ca="1" si="37"/>
        <v>#REF!</v>
      </c>
      <c r="P42" s="36" t="e">
        <f t="shared" ca="1" si="37"/>
        <v>#REF!</v>
      </c>
      <c r="Q42" s="36" t="e">
        <f t="shared" ca="1" si="37"/>
        <v>#REF!</v>
      </c>
      <c r="R42" s="36" t="e">
        <f t="shared" ca="1" si="37"/>
        <v>#REF!</v>
      </c>
      <c r="W42" t="s">
        <v>363</v>
      </c>
      <c r="X42" t="s">
        <v>384</v>
      </c>
      <c r="Y42">
        <v>1751.17</v>
      </c>
      <c r="Z42">
        <v>0</v>
      </c>
      <c r="AA42">
        <v>536.11</v>
      </c>
      <c r="AC42">
        <v>2331.69</v>
      </c>
      <c r="AD42">
        <v>0</v>
      </c>
      <c r="AE42">
        <v>1135.46</v>
      </c>
      <c r="AG42">
        <v>2842.03</v>
      </c>
      <c r="AH42">
        <v>0</v>
      </c>
      <c r="AI42">
        <v>2326.5700000000002</v>
      </c>
    </row>
    <row r="43" spans="1:35" x14ac:dyDescent="0.2">
      <c r="A43" t="str">
        <f t="shared" si="32"/>
        <v/>
      </c>
      <c r="B43" t="str">
        <f t="shared" si="33"/>
        <v/>
      </c>
      <c r="C43" t="str">
        <f t="shared" si="34"/>
        <v/>
      </c>
      <c r="D43" t="str">
        <f t="shared" ref="D43:F43" si="38">IF(D31="","",D31)</f>
        <v/>
      </c>
      <c r="E43" t="str">
        <f t="shared" si="38"/>
        <v/>
      </c>
      <c r="F43" t="str">
        <f t="shared" si="38"/>
        <v/>
      </c>
      <c r="H43" t="e">
        <f ca="1">SUM(H40:H42)</f>
        <v>#REF!</v>
      </c>
      <c r="I43" t="e">
        <f t="shared" ref="I43" ca="1" si="39">SUM(I40:I42)</f>
        <v>#REF!</v>
      </c>
      <c r="J43" t="e">
        <f t="shared" ref="J43" ca="1" si="40">SUM(J40:J42)</f>
        <v>#REF!</v>
      </c>
      <c r="K43" t="e">
        <f t="shared" ref="K43" ca="1" si="41">SUM(K40:K42)</f>
        <v>#REF!</v>
      </c>
      <c r="L43" t="e">
        <f t="shared" ref="L43" ca="1" si="42">SUM(L40:L42)</f>
        <v>#REF!</v>
      </c>
      <c r="M43" t="e">
        <f t="shared" ref="M43" ca="1" si="43">SUM(M40:M42)</f>
        <v>#REF!</v>
      </c>
      <c r="N43" t="e">
        <f t="shared" ref="N43" ca="1" si="44">SUM(N40:N42)</f>
        <v>#REF!</v>
      </c>
      <c r="O43" t="e">
        <f t="shared" ref="O43" ca="1" si="45">SUM(O40:O42)</f>
        <v>#REF!</v>
      </c>
      <c r="P43" t="e">
        <f t="shared" ref="P43" ca="1" si="46">SUM(P40:P42)</f>
        <v>#REF!</v>
      </c>
      <c r="Q43" t="e">
        <f t="shared" ref="Q43" ca="1" si="47">SUM(Q40:Q42)</f>
        <v>#REF!</v>
      </c>
      <c r="R43" t="e">
        <f t="shared" ref="R43" ca="1" si="48">SUM(R40:R42)</f>
        <v>#REF!</v>
      </c>
      <c r="W43" t="s">
        <v>366</v>
      </c>
      <c r="X43" t="s">
        <v>382</v>
      </c>
      <c r="Y43">
        <v>4161.91</v>
      </c>
      <c r="Z43">
        <v>3761.9</v>
      </c>
      <c r="AA43">
        <v>2016.19</v>
      </c>
    </row>
    <row r="44" spans="1:35" x14ac:dyDescent="0.2">
      <c r="A44" t="str">
        <f t="shared" si="32"/>
        <v>M75</v>
      </c>
      <c r="B44" t="str">
        <f t="shared" si="33"/>
        <v>D1</v>
      </c>
      <c r="C44">
        <f t="shared" si="34"/>
        <v>75</v>
      </c>
      <c r="D44" t="str">
        <f t="shared" ref="D44:F44" si="49">IF(D32="","",D32)</f>
        <v>Medium</v>
      </c>
      <c r="E44" t="str">
        <f t="shared" si="49"/>
        <v>ouest_cd-</v>
      </c>
      <c r="F44" t="str">
        <f t="shared" si="49"/>
        <v>Household</v>
      </c>
      <c r="G44" t="s">
        <v>317</v>
      </c>
      <c r="H44" s="36" t="e" cm="1">
        <f t="array" aca="1" ref="H44" ca="1">INDIRECT("'"&amp;$H$26&amp;$E44&amp;$G44&amp;$P$26&amp;$E44&amp;$G44&amp;"'"&amp;$S$26&amp;H$22)</f>
        <v>#REF!</v>
      </c>
      <c r="I44" s="36" t="e" cm="1">
        <f t="array" aca="1" ref="I44" ca="1">INDIRECT("'"&amp;$H$26&amp;$E44&amp;$G44&amp;$P$26&amp;$E44&amp;$G44&amp;"'"&amp;$S$26&amp;I$22)</f>
        <v>#REF!</v>
      </c>
      <c r="J44" s="36" t="e" cm="1">
        <f t="array" aca="1" ref="J44" ca="1">INDIRECT("'"&amp;$H$26&amp;$E44&amp;$G44&amp;$P$26&amp;$E44&amp;$G44&amp;"'"&amp;$S$26&amp;J$22)</f>
        <v>#REF!</v>
      </c>
      <c r="K44" s="36" t="e" cm="1">
        <f t="array" aca="1" ref="K44" ca="1">INDIRECT("'"&amp;$H$26&amp;$E44&amp;$G44&amp;$P$26&amp;$E44&amp;$G44&amp;"'"&amp;$S$26&amp;K$22)</f>
        <v>#REF!</v>
      </c>
      <c r="L44" s="36" t="e" cm="1">
        <f t="array" aca="1" ref="L44" ca="1">INDIRECT("'"&amp;$H$26&amp;$E44&amp;$G44&amp;$P$26&amp;$E44&amp;$G44&amp;"'"&amp;$S$26&amp;L$22)</f>
        <v>#REF!</v>
      </c>
      <c r="M44" s="36" t="e" cm="1">
        <f t="array" aca="1" ref="M44" ca="1">INDIRECT("'"&amp;$H$26&amp;$E44&amp;$G44&amp;$P$26&amp;$E44&amp;$G44&amp;"'"&amp;$S$26&amp;M$22)</f>
        <v>#REF!</v>
      </c>
      <c r="N44" s="36" t="e" cm="1">
        <f t="array" aca="1" ref="N44" ca="1">INDIRECT("'"&amp;$H$26&amp;$E44&amp;$G44&amp;$P$26&amp;$E44&amp;$G44&amp;"'"&amp;$S$26&amp;N$22)</f>
        <v>#REF!</v>
      </c>
      <c r="O44" s="36" t="e" cm="1">
        <f t="array" aca="1" ref="O44" ca="1">INDIRECT("'"&amp;$H$26&amp;$E44&amp;$G44&amp;$P$26&amp;$E44&amp;$G44&amp;"'"&amp;$S$26&amp;O$22)</f>
        <v>#REF!</v>
      </c>
      <c r="P44" s="36" t="e" cm="1">
        <f t="array" aca="1" ref="P44" ca="1">INDIRECT("'"&amp;$H$26&amp;$E44&amp;$G44&amp;$P$26&amp;$E44&amp;$G44&amp;"'"&amp;$S$26&amp;P$22)</f>
        <v>#REF!</v>
      </c>
      <c r="Q44" s="36" t="e" cm="1">
        <f t="array" aca="1" ref="Q44" ca="1">INDIRECT("'"&amp;$H$26&amp;$E44&amp;$G44&amp;$P$26&amp;$E44&amp;$G44&amp;"'"&amp;$S$26&amp;Q$22)</f>
        <v>#REF!</v>
      </c>
      <c r="R44" s="36" t="e" cm="1">
        <f t="array" aca="1" ref="R44" ca="1">INDIRECT("'"&amp;$H$26&amp;$E44&amp;$G44&amp;$P$26&amp;$E44&amp;$G44&amp;"'"&amp;$S$26&amp;R$22)</f>
        <v>#REF!</v>
      </c>
      <c r="W44" t="s">
        <v>366</v>
      </c>
      <c r="X44" t="s">
        <v>383</v>
      </c>
      <c r="Y44">
        <v>2675.17</v>
      </c>
      <c r="Z44">
        <v>14453.82</v>
      </c>
      <c r="AA44">
        <v>1296.94</v>
      </c>
    </row>
    <row r="45" spans="1:35" x14ac:dyDescent="0.2">
      <c r="A45" t="str">
        <f t="shared" si="32"/>
        <v>M75</v>
      </c>
      <c r="B45" t="str">
        <f t="shared" si="33"/>
        <v>D1</v>
      </c>
      <c r="C45">
        <f t="shared" si="34"/>
        <v>75</v>
      </c>
      <c r="D45" t="str">
        <f t="shared" ref="D45:F45" si="50">IF(D33="","",D33)</f>
        <v>Medium</v>
      </c>
      <c r="E45" t="str">
        <f t="shared" si="50"/>
        <v>ouest_cd-</v>
      </c>
      <c r="F45" t="str">
        <f t="shared" si="50"/>
        <v>Industry</v>
      </c>
      <c r="G45" t="str">
        <f>G44</f>
        <v>0_0_1_1_1_0</v>
      </c>
      <c r="H45" s="36" t="e" cm="1">
        <f t="array" aca="1" ref="H45" ca="1">INDIRECT("'"&amp;$H$26&amp;$E45&amp;$G45&amp;$P$26&amp;$E45&amp;$G45&amp;"'"&amp;$S$26&amp;H$23)</f>
        <v>#REF!</v>
      </c>
      <c r="I45" s="36" t="e" cm="1">
        <f t="array" aca="1" ref="I45" ca="1">INDIRECT("'"&amp;$H$26&amp;$E45&amp;$G45&amp;$P$26&amp;$E45&amp;$G45&amp;"'"&amp;$S$26&amp;I$23)</f>
        <v>#REF!</v>
      </c>
      <c r="J45" s="36" t="e" cm="1">
        <f t="array" aca="1" ref="J45" ca="1">INDIRECT("'"&amp;$H$26&amp;$E45&amp;$G45&amp;$P$26&amp;$E45&amp;$G45&amp;"'"&amp;$S$26&amp;J$23)</f>
        <v>#REF!</v>
      </c>
      <c r="K45" s="36" t="e" cm="1">
        <f t="array" aca="1" ref="K45" ca="1">INDIRECT("'"&amp;$H$26&amp;$E45&amp;$G45&amp;$P$26&amp;$E45&amp;$G45&amp;"'"&amp;$S$26&amp;K$23)</f>
        <v>#REF!</v>
      </c>
      <c r="L45" s="36" t="e" cm="1">
        <f t="array" aca="1" ref="L45" ca="1">INDIRECT("'"&amp;$H$26&amp;$E45&amp;$G45&amp;$P$26&amp;$E45&amp;$G45&amp;"'"&amp;$S$26&amp;L$23)</f>
        <v>#REF!</v>
      </c>
      <c r="M45" s="36" t="e" cm="1">
        <f t="array" aca="1" ref="M45" ca="1">INDIRECT("'"&amp;$H$26&amp;$E45&amp;$G45&amp;$P$26&amp;$E45&amp;$G45&amp;"'"&amp;$S$26&amp;M$23)</f>
        <v>#REF!</v>
      </c>
      <c r="N45" s="36" t="e" cm="1">
        <f t="array" aca="1" ref="N45" ca="1">INDIRECT("'"&amp;$H$26&amp;$E45&amp;$G45&amp;$P$26&amp;$E45&amp;$G45&amp;"'"&amp;$S$26&amp;N$23)</f>
        <v>#REF!</v>
      </c>
      <c r="O45" s="36" t="e" cm="1">
        <f t="array" aca="1" ref="O45" ca="1">INDIRECT("'"&amp;$H$26&amp;$E45&amp;$G45&amp;$P$26&amp;$E45&amp;$G45&amp;"'"&amp;$S$26&amp;O$23)</f>
        <v>#REF!</v>
      </c>
      <c r="P45" s="36" t="e" cm="1">
        <f t="array" aca="1" ref="P45" ca="1">INDIRECT("'"&amp;$H$26&amp;$E45&amp;$G45&amp;$P$26&amp;$E45&amp;$G45&amp;"'"&amp;$S$26&amp;P$23)</f>
        <v>#REF!</v>
      </c>
      <c r="Q45" s="36" t="e" cm="1">
        <f t="array" aca="1" ref="Q45" ca="1">INDIRECT("'"&amp;$H$26&amp;$E45&amp;$G45&amp;$P$26&amp;$E45&amp;$G45&amp;"'"&amp;$S$26&amp;Q$23)</f>
        <v>#REF!</v>
      </c>
      <c r="R45" s="36" t="e" cm="1">
        <f t="array" aca="1" ref="R45" ca="1">INDIRECT("'"&amp;$H$26&amp;$E45&amp;$G45&amp;$P$26&amp;$E45&amp;$G45&amp;"'"&amp;$S$26&amp;R$23)</f>
        <v>#REF!</v>
      </c>
      <c r="W45" t="s">
        <v>366</v>
      </c>
      <c r="X45" t="s">
        <v>384</v>
      </c>
      <c r="Y45">
        <v>2331.69</v>
      </c>
      <c r="Z45">
        <v>0</v>
      </c>
      <c r="AA45">
        <v>1135.46</v>
      </c>
    </row>
    <row r="46" spans="1:35" x14ac:dyDescent="0.2">
      <c r="A46" t="str">
        <f t="shared" si="32"/>
        <v>M75</v>
      </c>
      <c r="B46" t="str">
        <f t="shared" si="33"/>
        <v>D1</v>
      </c>
      <c r="C46">
        <f t="shared" si="34"/>
        <v>75</v>
      </c>
      <c r="D46" t="str">
        <f t="shared" ref="D46:F46" si="51">IF(D34="","",D34)</f>
        <v>Medium</v>
      </c>
      <c r="E46" t="str">
        <f t="shared" si="51"/>
        <v>ouest_cd-</v>
      </c>
      <c r="F46" t="str">
        <f t="shared" si="51"/>
        <v>Other</v>
      </c>
      <c r="G46" t="str">
        <f>G45</f>
        <v>0_0_1_1_1_0</v>
      </c>
      <c r="H46" s="36" t="e">
        <f ca="1">SUM(INDIRECT("'"&amp;$H$26&amp;$E46&amp;$G46&amp;$P$26&amp;$E46&amp;$G46&amp;"'"&amp;$S$26&amp;H$24))</f>
        <v>#REF!</v>
      </c>
      <c r="I46" s="36" t="e">
        <f t="shared" ref="I46:R46" ca="1" si="52">SUM(INDIRECT("'"&amp;$H$26&amp;$E46&amp;$G46&amp;$P$26&amp;$E46&amp;$G46&amp;"'"&amp;$S$26&amp;I$24))</f>
        <v>#REF!</v>
      </c>
      <c r="J46" s="36" t="e">
        <f t="shared" ca="1" si="52"/>
        <v>#REF!</v>
      </c>
      <c r="K46" s="36" t="e">
        <f t="shared" ca="1" si="52"/>
        <v>#REF!</v>
      </c>
      <c r="L46" s="36" t="e">
        <f t="shared" ca="1" si="52"/>
        <v>#REF!</v>
      </c>
      <c r="M46" s="36" t="e">
        <f t="shared" ca="1" si="52"/>
        <v>#REF!</v>
      </c>
      <c r="N46" s="36" t="e">
        <f t="shared" ca="1" si="52"/>
        <v>#REF!</v>
      </c>
      <c r="O46" s="36" t="e">
        <f t="shared" ca="1" si="52"/>
        <v>#REF!</v>
      </c>
      <c r="P46" s="36" t="e">
        <f t="shared" ca="1" si="52"/>
        <v>#REF!</v>
      </c>
      <c r="Q46" s="36" t="e">
        <f t="shared" ca="1" si="52"/>
        <v>#REF!</v>
      </c>
      <c r="R46" s="36" t="e">
        <f t="shared" ca="1" si="52"/>
        <v>#REF!</v>
      </c>
      <c r="W46" t="s">
        <v>367</v>
      </c>
      <c r="X46" t="s">
        <v>382</v>
      </c>
      <c r="Y46">
        <v>4968.08</v>
      </c>
      <c r="Z46">
        <v>5379.69</v>
      </c>
      <c r="AA46">
        <v>4055.0299999999997</v>
      </c>
    </row>
    <row r="47" spans="1:35" x14ac:dyDescent="0.2">
      <c r="A47" t="str">
        <f t="shared" si="32"/>
        <v/>
      </c>
      <c r="B47" t="str">
        <f t="shared" si="33"/>
        <v/>
      </c>
      <c r="C47" t="str">
        <f t="shared" si="34"/>
        <v/>
      </c>
      <c r="D47" t="str">
        <f t="shared" ref="D47:F47" si="53">IF(D35="","",D35)</f>
        <v/>
      </c>
      <c r="E47" t="str">
        <f t="shared" si="53"/>
        <v/>
      </c>
      <c r="F47" t="str">
        <f t="shared" si="53"/>
        <v/>
      </c>
      <c r="H47" t="e">
        <f ca="1">SUM(H44:H46)</f>
        <v>#REF!</v>
      </c>
      <c r="I47" t="e">
        <f t="shared" ref="I47:R47" ca="1" si="54">SUM(I44:I46)</f>
        <v>#REF!</v>
      </c>
      <c r="J47" t="e">
        <f t="shared" ca="1" si="54"/>
        <v>#REF!</v>
      </c>
      <c r="K47" t="e">
        <f t="shared" ca="1" si="54"/>
        <v>#REF!</v>
      </c>
      <c r="L47" t="e">
        <f t="shared" ca="1" si="54"/>
        <v>#REF!</v>
      </c>
      <c r="M47" t="e">
        <f t="shared" ca="1" si="54"/>
        <v>#REF!</v>
      </c>
      <c r="N47" t="e">
        <f t="shared" ca="1" si="54"/>
        <v>#REF!</v>
      </c>
      <c r="O47" t="e">
        <f t="shared" ca="1" si="54"/>
        <v>#REF!</v>
      </c>
      <c r="P47" t="e">
        <f t="shared" ca="1" si="54"/>
        <v>#REF!</v>
      </c>
      <c r="Q47" t="e">
        <f t="shared" ca="1" si="54"/>
        <v>#REF!</v>
      </c>
      <c r="R47" t="e">
        <f t="shared" ca="1" si="54"/>
        <v>#REF!</v>
      </c>
      <c r="W47" t="s">
        <v>367</v>
      </c>
      <c r="X47" t="s">
        <v>383</v>
      </c>
      <c r="Y47">
        <v>3196.29</v>
      </c>
      <c r="Z47">
        <v>20669.59</v>
      </c>
      <c r="AA47">
        <v>2609.4</v>
      </c>
    </row>
    <row r="48" spans="1:35" x14ac:dyDescent="0.2">
      <c r="A48" t="str">
        <f t="shared" si="32"/>
        <v>H75</v>
      </c>
      <c r="B48" t="str">
        <f t="shared" si="33"/>
        <v>D1</v>
      </c>
      <c r="C48">
        <f t="shared" si="34"/>
        <v>75</v>
      </c>
      <c r="D48" t="str">
        <f t="shared" ref="D48:F48" si="55">IF(D36="","",D36)</f>
        <v>High</v>
      </c>
      <c r="E48" t="str">
        <f t="shared" si="55"/>
        <v>ouest_cd-</v>
      </c>
      <c r="F48" t="str">
        <f t="shared" si="55"/>
        <v>Household</v>
      </c>
      <c r="G48" s="45" t="s">
        <v>318</v>
      </c>
      <c r="H48" s="36" t="e" cm="1">
        <f t="array" aca="1" ref="H48" ca="1">INDIRECT("'"&amp;$H$26&amp;$E48&amp;$G48&amp;$P$26&amp;$E48&amp;$G48&amp;"'"&amp;$S$26&amp;H$22)</f>
        <v>#REF!</v>
      </c>
      <c r="I48" s="36" t="e" cm="1">
        <f t="array" aca="1" ref="I48" ca="1">INDIRECT("'"&amp;$H$26&amp;$E48&amp;$G48&amp;$P$26&amp;$E48&amp;$G48&amp;"'"&amp;$S$26&amp;I$22)</f>
        <v>#REF!</v>
      </c>
      <c r="J48" s="36" t="e" cm="1">
        <f t="array" aca="1" ref="J48" ca="1">INDIRECT("'"&amp;$H$26&amp;$E48&amp;$G48&amp;$P$26&amp;$E48&amp;$G48&amp;"'"&amp;$S$26&amp;J$22)</f>
        <v>#REF!</v>
      </c>
      <c r="K48" s="36" t="e" cm="1">
        <f t="array" aca="1" ref="K48" ca="1">INDIRECT("'"&amp;$H$26&amp;$E48&amp;$G48&amp;$P$26&amp;$E48&amp;$G48&amp;"'"&amp;$S$26&amp;K$22)</f>
        <v>#REF!</v>
      </c>
      <c r="L48" s="36" t="e" cm="1">
        <f t="array" aca="1" ref="L48" ca="1">INDIRECT("'"&amp;$H$26&amp;$E48&amp;$G48&amp;$P$26&amp;$E48&amp;$G48&amp;"'"&amp;$S$26&amp;L$22)</f>
        <v>#REF!</v>
      </c>
      <c r="M48" s="36" t="e" cm="1">
        <f t="array" aca="1" ref="M48" ca="1">INDIRECT("'"&amp;$H$26&amp;$E48&amp;$G48&amp;$P$26&amp;$E48&amp;$G48&amp;"'"&amp;$S$26&amp;M$22)</f>
        <v>#REF!</v>
      </c>
      <c r="N48" s="36" t="e" cm="1">
        <f t="array" aca="1" ref="N48" ca="1">INDIRECT("'"&amp;$H$26&amp;$E48&amp;$G48&amp;$P$26&amp;$E48&amp;$G48&amp;"'"&amp;$S$26&amp;N$22)</f>
        <v>#REF!</v>
      </c>
      <c r="O48" s="36" t="e" cm="1">
        <f t="array" aca="1" ref="O48" ca="1">INDIRECT("'"&amp;$H$26&amp;$E48&amp;$G48&amp;$P$26&amp;$E48&amp;$G48&amp;"'"&amp;$S$26&amp;O$22)</f>
        <v>#REF!</v>
      </c>
      <c r="P48" s="36" t="e" cm="1">
        <f t="array" aca="1" ref="P48" ca="1">INDIRECT("'"&amp;$H$26&amp;$E48&amp;$G48&amp;$P$26&amp;$E48&amp;$G48&amp;"'"&amp;$S$26&amp;P$22)</f>
        <v>#REF!</v>
      </c>
      <c r="Q48" s="36" t="e" cm="1">
        <f t="array" aca="1" ref="Q48" ca="1">INDIRECT("'"&amp;$H$26&amp;$E48&amp;$G48&amp;$P$26&amp;$E48&amp;$G48&amp;"'"&amp;$S$26&amp;Q$22)</f>
        <v>#REF!</v>
      </c>
      <c r="R48" s="36" t="e" cm="1">
        <f t="array" aca="1" ref="R48" ca="1">INDIRECT("'"&amp;$H$26&amp;$E48&amp;$G48&amp;$P$26&amp;$E48&amp;$G48&amp;"'"&amp;$S$26&amp;R$22)</f>
        <v>#REF!</v>
      </c>
      <c r="W48" t="s">
        <v>367</v>
      </c>
      <c r="X48" t="s">
        <v>384</v>
      </c>
      <c r="Y48">
        <v>2842.03</v>
      </c>
      <c r="Z48">
        <v>0</v>
      </c>
      <c r="AA48">
        <v>2326.5700000000002</v>
      </c>
    </row>
    <row r="49" spans="1:18" x14ac:dyDescent="0.2">
      <c r="A49" t="str">
        <f t="shared" si="32"/>
        <v>H75</v>
      </c>
      <c r="B49" t="str">
        <f t="shared" si="33"/>
        <v>D1</v>
      </c>
      <c r="C49">
        <f t="shared" si="34"/>
        <v>75</v>
      </c>
      <c r="D49" t="str">
        <f t="shared" ref="D49:F49" si="56">IF(D37="","",D37)</f>
        <v>High</v>
      </c>
      <c r="E49" t="str">
        <f t="shared" si="56"/>
        <v>ouest_cd-</v>
      </c>
      <c r="F49" t="str">
        <f t="shared" si="56"/>
        <v>Industry</v>
      </c>
      <c r="G49" t="str">
        <f>G48</f>
        <v>0_0_2_2_2_0</v>
      </c>
      <c r="H49" s="36" t="e" cm="1">
        <f t="array" aca="1" ref="H49" ca="1">INDIRECT("'"&amp;$H$26&amp;$E49&amp;$G49&amp;$P$26&amp;$E49&amp;$G49&amp;"'"&amp;$S$26&amp;H$23)</f>
        <v>#REF!</v>
      </c>
      <c r="I49" s="36" t="e" cm="1">
        <f t="array" aca="1" ref="I49" ca="1">INDIRECT("'"&amp;$H$26&amp;$E49&amp;$G49&amp;$P$26&amp;$E49&amp;$G49&amp;"'"&amp;$S$26&amp;I$23)</f>
        <v>#REF!</v>
      </c>
      <c r="J49" s="36" t="e" cm="1">
        <f t="array" aca="1" ref="J49" ca="1">INDIRECT("'"&amp;$H$26&amp;$E49&amp;$G49&amp;$P$26&amp;$E49&amp;$G49&amp;"'"&amp;$S$26&amp;J$23)</f>
        <v>#REF!</v>
      </c>
      <c r="K49" s="36" t="e" cm="1">
        <f t="array" aca="1" ref="K49" ca="1">INDIRECT("'"&amp;$H$26&amp;$E49&amp;$G49&amp;$P$26&amp;$E49&amp;$G49&amp;"'"&amp;$S$26&amp;K$23)</f>
        <v>#REF!</v>
      </c>
      <c r="L49" s="36" t="e" cm="1">
        <f t="array" aca="1" ref="L49" ca="1">INDIRECT("'"&amp;$H$26&amp;$E49&amp;$G49&amp;$P$26&amp;$E49&amp;$G49&amp;"'"&amp;$S$26&amp;L$23)</f>
        <v>#REF!</v>
      </c>
      <c r="M49" s="36" t="e" cm="1">
        <f t="array" aca="1" ref="M49" ca="1">INDIRECT("'"&amp;$H$26&amp;$E49&amp;$G49&amp;$P$26&amp;$E49&amp;$G49&amp;"'"&amp;$S$26&amp;M$23)</f>
        <v>#REF!</v>
      </c>
      <c r="N49" s="36" t="e" cm="1">
        <f t="array" aca="1" ref="N49" ca="1">INDIRECT("'"&amp;$H$26&amp;$E49&amp;$G49&amp;$P$26&amp;$E49&amp;$G49&amp;"'"&amp;$S$26&amp;N$23)</f>
        <v>#REF!</v>
      </c>
      <c r="O49" s="36" t="e" cm="1">
        <f t="array" aca="1" ref="O49" ca="1">INDIRECT("'"&amp;$H$26&amp;$E49&amp;$G49&amp;$P$26&amp;$E49&amp;$G49&amp;"'"&amp;$S$26&amp;O$23)</f>
        <v>#REF!</v>
      </c>
      <c r="P49" s="36" t="e" cm="1">
        <f t="array" aca="1" ref="P49" ca="1">INDIRECT("'"&amp;$H$26&amp;$E49&amp;$G49&amp;$P$26&amp;$E49&amp;$G49&amp;"'"&amp;$S$26&amp;P$23)</f>
        <v>#REF!</v>
      </c>
      <c r="Q49" s="36" t="e" cm="1">
        <f t="array" aca="1" ref="Q49" ca="1">INDIRECT("'"&amp;$H$26&amp;$E49&amp;$G49&amp;$P$26&amp;$E49&amp;$G49&amp;"'"&amp;$S$26&amp;Q$23)</f>
        <v>#REF!</v>
      </c>
      <c r="R49" s="36" t="e" cm="1">
        <f t="array" aca="1" ref="R49" ca="1">INDIRECT("'"&amp;$H$26&amp;$E49&amp;$G49&amp;$P$26&amp;$E49&amp;$G49&amp;"'"&amp;$S$26&amp;R$23)</f>
        <v>#REF!</v>
      </c>
    </row>
    <row r="50" spans="1:18" x14ac:dyDescent="0.2">
      <c r="A50" t="str">
        <f t="shared" ref="A50:A60" si="57">IF(D50="Low","L"&amp;C50,IF(D50="Medium","M"&amp;C50,IF(D50="High","H"&amp;C50,"")))</f>
        <v>H75</v>
      </c>
      <c r="B50" t="str">
        <f t="shared" si="33"/>
        <v>D1</v>
      </c>
      <c r="C50">
        <f t="shared" si="34"/>
        <v>75</v>
      </c>
      <c r="D50" t="str">
        <f t="shared" ref="D50:F50" si="58">IF(D38="","",D38)</f>
        <v>High</v>
      </c>
      <c r="E50" t="str">
        <f t="shared" si="58"/>
        <v>ouest_cd-</v>
      </c>
      <c r="F50" t="str">
        <f t="shared" si="58"/>
        <v>Other</v>
      </c>
      <c r="G50" t="str">
        <f>G49</f>
        <v>0_0_2_2_2_0</v>
      </c>
      <c r="H50" s="36" t="e">
        <f ca="1">SUM(INDIRECT("'"&amp;$H$26&amp;$E50&amp;$G50&amp;$P$26&amp;$E50&amp;$G50&amp;"'"&amp;$S$26&amp;H$24))</f>
        <v>#REF!</v>
      </c>
      <c r="I50" s="36" t="e">
        <f t="shared" ref="I50:R50" ca="1" si="59">SUM(INDIRECT("'"&amp;$H$26&amp;$E50&amp;$G50&amp;$P$26&amp;$E50&amp;$G50&amp;"'"&amp;$S$26&amp;I$24))</f>
        <v>#REF!</v>
      </c>
      <c r="J50" s="36" t="e">
        <f t="shared" ca="1" si="59"/>
        <v>#REF!</v>
      </c>
      <c r="K50" s="36" t="e">
        <f t="shared" ca="1" si="59"/>
        <v>#REF!</v>
      </c>
      <c r="L50" s="36" t="e">
        <f t="shared" ca="1" si="59"/>
        <v>#REF!</v>
      </c>
      <c r="M50" s="36" t="e">
        <f t="shared" ca="1" si="59"/>
        <v>#REF!</v>
      </c>
      <c r="N50" s="36" t="e">
        <f t="shared" ca="1" si="59"/>
        <v>#REF!</v>
      </c>
      <c r="O50" s="36" t="e">
        <f t="shared" ca="1" si="59"/>
        <v>#REF!</v>
      </c>
      <c r="P50" s="36" t="e">
        <f t="shared" ca="1" si="59"/>
        <v>#REF!</v>
      </c>
      <c r="Q50" s="36" t="e">
        <f t="shared" ca="1" si="59"/>
        <v>#REF!</v>
      </c>
      <c r="R50" s="36" t="e">
        <f t="shared" ca="1" si="59"/>
        <v>#REF!</v>
      </c>
    </row>
    <row r="51" spans="1:18" x14ac:dyDescent="0.2">
      <c r="A51" t="str">
        <f t="shared" si="57"/>
        <v/>
      </c>
      <c r="B51" t="str">
        <f t="shared" si="33"/>
        <v/>
      </c>
      <c r="C51" t="str">
        <f t="shared" si="34"/>
        <v/>
      </c>
      <c r="D51" t="str">
        <f t="shared" ref="D51:F51" si="60">IF(D39="","",D39)</f>
        <v/>
      </c>
      <c r="E51" t="str">
        <f t="shared" si="60"/>
        <v/>
      </c>
      <c r="F51" t="str">
        <f t="shared" si="60"/>
        <v/>
      </c>
      <c r="H51" t="e">
        <f ca="1">SUM(H48:H50)</f>
        <v>#REF!</v>
      </c>
      <c r="I51" t="e">
        <f t="shared" ref="I51:R51" ca="1" si="61">SUM(I48:I50)</f>
        <v>#REF!</v>
      </c>
      <c r="J51" t="e">
        <f t="shared" ca="1" si="61"/>
        <v>#REF!</v>
      </c>
      <c r="K51" t="e">
        <f t="shared" ca="1" si="61"/>
        <v>#REF!</v>
      </c>
      <c r="L51" t="e">
        <f t="shared" ca="1" si="61"/>
        <v>#REF!</v>
      </c>
      <c r="M51" t="e">
        <f t="shared" ca="1" si="61"/>
        <v>#REF!</v>
      </c>
      <c r="N51" t="e">
        <f t="shared" ca="1" si="61"/>
        <v>#REF!</v>
      </c>
      <c r="O51" t="e">
        <f t="shared" ca="1" si="61"/>
        <v>#REF!</v>
      </c>
      <c r="P51" t="e">
        <f t="shared" ca="1" si="61"/>
        <v>#REF!</v>
      </c>
      <c r="Q51" t="e">
        <f t="shared" ca="1" si="61"/>
        <v>#REF!</v>
      </c>
      <c r="R51" t="e">
        <f t="shared" ca="1" si="61"/>
        <v>#REF!</v>
      </c>
    </row>
    <row r="52" spans="1:18" x14ac:dyDescent="0.2">
      <c r="A52" t="str">
        <f t="shared" si="57"/>
        <v>L100</v>
      </c>
      <c r="B52" t="str">
        <f t="shared" si="33"/>
        <v>D1</v>
      </c>
      <c r="C52">
        <f>IF(B52="","",$A$10)</f>
        <v>100</v>
      </c>
      <c r="D52" t="str">
        <f t="shared" ref="D52:F52" si="62">IF(D40="","",D40)</f>
        <v>Low</v>
      </c>
      <c r="E52" t="str">
        <f t="shared" si="62"/>
        <v>ouest_cd-</v>
      </c>
      <c r="F52" t="str">
        <f t="shared" si="62"/>
        <v>Household</v>
      </c>
      <c r="G52" t="s">
        <v>316</v>
      </c>
      <c r="H52" s="36" t="e" cm="1">
        <f t="array" aca="1" ref="H52" ca="1">INDIRECT("'"&amp;$H$26&amp;$E52&amp;$G52&amp;$P$26&amp;$E52&amp;$G52&amp;"'"&amp;$S$26&amp;H$22)</f>
        <v>#REF!</v>
      </c>
      <c r="I52" s="36" t="e" cm="1">
        <f t="array" aca="1" ref="I52" ca="1">INDIRECT("'"&amp;$H$26&amp;$E52&amp;$G52&amp;$P$26&amp;$E52&amp;$G52&amp;"'"&amp;$S$26&amp;I$22)</f>
        <v>#REF!</v>
      </c>
      <c r="J52" s="36" t="e" cm="1">
        <f t="array" aca="1" ref="J52" ca="1">INDIRECT("'"&amp;$H$26&amp;$E52&amp;$G52&amp;$P$26&amp;$E52&amp;$G52&amp;"'"&amp;$S$26&amp;J$22)</f>
        <v>#REF!</v>
      </c>
      <c r="K52" s="36" t="e" cm="1">
        <f t="array" aca="1" ref="K52" ca="1">INDIRECT("'"&amp;$H$26&amp;$E52&amp;$G52&amp;$P$26&amp;$E52&amp;$G52&amp;"'"&amp;$S$26&amp;K$22)</f>
        <v>#REF!</v>
      </c>
      <c r="L52" s="36" t="e" cm="1">
        <f t="array" aca="1" ref="L52" ca="1">INDIRECT("'"&amp;$H$26&amp;$E52&amp;$G52&amp;$P$26&amp;$E52&amp;$G52&amp;"'"&amp;$S$26&amp;L$22)</f>
        <v>#REF!</v>
      </c>
      <c r="M52" s="36" t="e" cm="1">
        <f t="array" aca="1" ref="M52" ca="1">INDIRECT("'"&amp;$H$26&amp;$E52&amp;$G52&amp;$P$26&amp;$E52&amp;$G52&amp;"'"&amp;$S$26&amp;M$22)</f>
        <v>#REF!</v>
      </c>
      <c r="N52" s="36" t="e" cm="1">
        <f t="array" aca="1" ref="N52" ca="1">INDIRECT("'"&amp;$H$26&amp;$E52&amp;$G52&amp;$P$26&amp;$E52&amp;$G52&amp;"'"&amp;$S$26&amp;N$22)</f>
        <v>#REF!</v>
      </c>
      <c r="O52" s="36" t="e" cm="1">
        <f t="array" aca="1" ref="O52" ca="1">INDIRECT("'"&amp;$H$26&amp;$E52&amp;$G52&amp;$P$26&amp;$E52&amp;$G52&amp;"'"&amp;$S$26&amp;O$22)</f>
        <v>#REF!</v>
      </c>
      <c r="P52" s="36" t="e" cm="1">
        <f t="array" aca="1" ref="P52" ca="1">INDIRECT("'"&amp;$H$26&amp;$E52&amp;$G52&amp;$P$26&amp;$E52&amp;$G52&amp;"'"&amp;$S$26&amp;P$22)</f>
        <v>#REF!</v>
      </c>
      <c r="Q52" s="36" t="e" cm="1">
        <f t="array" aca="1" ref="Q52" ca="1">INDIRECT("'"&amp;$H$26&amp;$E52&amp;$G52&amp;$P$26&amp;$E52&amp;$G52&amp;"'"&amp;$S$26&amp;Q$22)</f>
        <v>#REF!</v>
      </c>
      <c r="R52" s="36" t="e" cm="1">
        <f t="array" aca="1" ref="R52" ca="1">INDIRECT("'"&amp;$H$26&amp;$E52&amp;$G52&amp;$P$26&amp;$E52&amp;$G52&amp;"'"&amp;$S$26&amp;R$22)</f>
        <v>#REF!</v>
      </c>
    </row>
    <row r="53" spans="1:18" x14ac:dyDescent="0.2">
      <c r="A53" t="str">
        <f t="shared" si="57"/>
        <v>L100</v>
      </c>
      <c r="B53" t="str">
        <f t="shared" si="33"/>
        <v>D1</v>
      </c>
      <c r="C53">
        <f t="shared" ref="C53:C62" si="63">IF(B53="","",$A$10)</f>
        <v>100</v>
      </c>
      <c r="D53" t="str">
        <f t="shared" ref="D53:F53" si="64">IF(D41="","",D41)</f>
        <v>Low</v>
      </c>
      <c r="E53" t="str">
        <f t="shared" si="64"/>
        <v>ouest_cd-</v>
      </c>
      <c r="F53" t="str">
        <f t="shared" si="64"/>
        <v>Industry</v>
      </c>
      <c r="G53" t="str">
        <f>G52</f>
        <v>0_1_0_0_0_0</v>
      </c>
      <c r="H53" s="36" t="e" cm="1">
        <f t="array" aca="1" ref="H53" ca="1">INDIRECT("'"&amp;$H$26&amp;$E53&amp;$G53&amp;$P$26&amp;$E53&amp;$G53&amp;"'"&amp;$S$26&amp;H$23)</f>
        <v>#REF!</v>
      </c>
      <c r="I53" s="36" t="e" cm="1">
        <f t="array" aca="1" ref="I53" ca="1">INDIRECT("'"&amp;$H$26&amp;$E53&amp;$G53&amp;$P$26&amp;$E53&amp;$G53&amp;"'"&amp;$S$26&amp;I$23)</f>
        <v>#REF!</v>
      </c>
      <c r="J53" s="36" t="e" cm="1">
        <f t="array" aca="1" ref="J53" ca="1">INDIRECT("'"&amp;$H$26&amp;$E53&amp;$G53&amp;$P$26&amp;$E53&amp;$G53&amp;"'"&amp;$S$26&amp;J$23)</f>
        <v>#REF!</v>
      </c>
      <c r="K53" s="36" t="e" cm="1">
        <f t="array" aca="1" ref="K53" ca="1">INDIRECT("'"&amp;$H$26&amp;$E53&amp;$G53&amp;$P$26&amp;$E53&amp;$G53&amp;"'"&amp;$S$26&amp;K$23)</f>
        <v>#REF!</v>
      </c>
      <c r="L53" s="36" t="e" cm="1">
        <f t="array" aca="1" ref="L53" ca="1">INDIRECT("'"&amp;$H$26&amp;$E53&amp;$G53&amp;$P$26&amp;$E53&amp;$G53&amp;"'"&amp;$S$26&amp;L$23)</f>
        <v>#REF!</v>
      </c>
      <c r="M53" s="36" t="e" cm="1">
        <f t="array" aca="1" ref="M53" ca="1">INDIRECT("'"&amp;$H$26&amp;$E53&amp;$G53&amp;$P$26&amp;$E53&amp;$G53&amp;"'"&amp;$S$26&amp;M$23)</f>
        <v>#REF!</v>
      </c>
      <c r="N53" s="36" t="e" cm="1">
        <f t="array" aca="1" ref="N53" ca="1">INDIRECT("'"&amp;$H$26&amp;$E53&amp;$G53&amp;$P$26&amp;$E53&amp;$G53&amp;"'"&amp;$S$26&amp;N$23)</f>
        <v>#REF!</v>
      </c>
      <c r="O53" s="36" t="e" cm="1">
        <f t="array" aca="1" ref="O53" ca="1">INDIRECT("'"&amp;$H$26&amp;$E53&amp;$G53&amp;$P$26&amp;$E53&amp;$G53&amp;"'"&amp;$S$26&amp;O$23)</f>
        <v>#REF!</v>
      </c>
      <c r="P53" s="36" t="e" cm="1">
        <f t="array" aca="1" ref="P53" ca="1">INDIRECT("'"&amp;$H$26&amp;$E53&amp;$G53&amp;$P$26&amp;$E53&amp;$G53&amp;"'"&amp;$S$26&amp;P$23)</f>
        <v>#REF!</v>
      </c>
      <c r="Q53" s="36" t="e" cm="1">
        <f t="array" aca="1" ref="Q53" ca="1">INDIRECT("'"&amp;$H$26&amp;$E53&amp;$G53&amp;$P$26&amp;$E53&amp;$G53&amp;"'"&amp;$S$26&amp;Q$23)</f>
        <v>#REF!</v>
      </c>
      <c r="R53" s="36" t="e" cm="1">
        <f t="array" aca="1" ref="R53" ca="1">INDIRECT("'"&amp;$H$26&amp;$E53&amp;$G53&amp;$P$26&amp;$E53&amp;$G53&amp;"'"&amp;$S$26&amp;R$23)</f>
        <v>#REF!</v>
      </c>
    </row>
    <row r="54" spans="1:18" x14ac:dyDescent="0.2">
      <c r="A54" t="str">
        <f t="shared" si="57"/>
        <v>L100</v>
      </c>
      <c r="B54" t="str">
        <f t="shared" si="33"/>
        <v>D1</v>
      </c>
      <c r="C54">
        <f t="shared" si="63"/>
        <v>100</v>
      </c>
      <c r="D54" t="str">
        <f t="shared" ref="D54:F54" si="65">IF(D42="","",D42)</f>
        <v>Low</v>
      </c>
      <c r="E54" t="str">
        <f t="shared" si="65"/>
        <v>ouest_cd-</v>
      </c>
      <c r="F54" t="str">
        <f t="shared" si="65"/>
        <v>Other</v>
      </c>
      <c r="G54" t="str">
        <f>G53</f>
        <v>0_1_0_0_0_0</v>
      </c>
      <c r="H54" s="36" t="e">
        <f ca="1">SUM(INDIRECT("'"&amp;$H$26&amp;$E54&amp;$G54&amp;$P$26&amp;$E54&amp;$G54&amp;"'"&amp;$S$26&amp;H$24))</f>
        <v>#REF!</v>
      </c>
      <c r="I54" s="36" t="e">
        <f t="shared" ref="I54:R54" ca="1" si="66">SUM(INDIRECT("'"&amp;$H$26&amp;$E54&amp;$G54&amp;$P$26&amp;$E54&amp;$G54&amp;"'"&amp;$S$26&amp;I$24))</f>
        <v>#REF!</v>
      </c>
      <c r="J54" s="36" t="e">
        <f t="shared" ca="1" si="66"/>
        <v>#REF!</v>
      </c>
      <c r="K54" s="36" t="e">
        <f t="shared" ca="1" si="66"/>
        <v>#REF!</v>
      </c>
      <c r="L54" s="36" t="e">
        <f t="shared" ca="1" si="66"/>
        <v>#REF!</v>
      </c>
      <c r="M54" s="36" t="e">
        <f t="shared" ca="1" si="66"/>
        <v>#REF!</v>
      </c>
      <c r="N54" s="36" t="e">
        <f t="shared" ca="1" si="66"/>
        <v>#REF!</v>
      </c>
      <c r="O54" s="36" t="e">
        <f t="shared" ca="1" si="66"/>
        <v>#REF!</v>
      </c>
      <c r="P54" s="36" t="e">
        <f t="shared" ca="1" si="66"/>
        <v>#REF!</v>
      </c>
      <c r="Q54" s="36" t="e">
        <f t="shared" ca="1" si="66"/>
        <v>#REF!</v>
      </c>
      <c r="R54" s="36" t="e">
        <f t="shared" ca="1" si="66"/>
        <v>#REF!</v>
      </c>
    </row>
    <row r="55" spans="1:18" x14ac:dyDescent="0.2">
      <c r="A55" t="str">
        <f t="shared" si="57"/>
        <v/>
      </c>
      <c r="B55" t="str">
        <f t="shared" si="33"/>
        <v/>
      </c>
      <c r="C55" t="str">
        <f t="shared" si="63"/>
        <v/>
      </c>
      <c r="D55" t="str">
        <f t="shared" ref="D55:F55" si="67">IF(D43="","",D43)</f>
        <v/>
      </c>
      <c r="E55" t="str">
        <f t="shared" si="67"/>
        <v/>
      </c>
      <c r="F55" t="str">
        <f t="shared" si="67"/>
        <v/>
      </c>
      <c r="H55" t="e">
        <f ca="1">SUM(H52:H54)</f>
        <v>#REF!</v>
      </c>
      <c r="I55" t="e">
        <f t="shared" ref="I55:R55" ca="1" si="68">SUM(I52:I54)</f>
        <v>#REF!</v>
      </c>
      <c r="J55" t="e">
        <f t="shared" ca="1" si="68"/>
        <v>#REF!</v>
      </c>
      <c r="K55" t="e">
        <f t="shared" ca="1" si="68"/>
        <v>#REF!</v>
      </c>
      <c r="L55" t="e">
        <f t="shared" ca="1" si="68"/>
        <v>#REF!</v>
      </c>
      <c r="M55" t="e">
        <f t="shared" ca="1" si="68"/>
        <v>#REF!</v>
      </c>
      <c r="N55" t="e">
        <f t="shared" ca="1" si="68"/>
        <v>#REF!</v>
      </c>
      <c r="O55" t="e">
        <f t="shared" ca="1" si="68"/>
        <v>#REF!</v>
      </c>
      <c r="P55" t="e">
        <f t="shared" ca="1" si="68"/>
        <v>#REF!</v>
      </c>
      <c r="Q55" t="e">
        <f t="shared" ca="1" si="68"/>
        <v>#REF!</v>
      </c>
      <c r="R55" t="e">
        <f t="shared" ca="1" si="68"/>
        <v>#REF!</v>
      </c>
    </row>
    <row r="56" spans="1:18" x14ac:dyDescent="0.2">
      <c r="A56" t="str">
        <f t="shared" si="57"/>
        <v>M100</v>
      </c>
      <c r="B56" t="str">
        <f t="shared" si="33"/>
        <v>D1</v>
      </c>
      <c r="C56">
        <f t="shared" si="63"/>
        <v>100</v>
      </c>
      <c r="D56" t="str">
        <f t="shared" ref="D56:F56" si="69">IF(D44="","",D44)</f>
        <v>Medium</v>
      </c>
      <c r="E56" t="str">
        <f t="shared" si="69"/>
        <v>ouest_cd-</v>
      </c>
      <c r="F56" t="str">
        <f t="shared" si="69"/>
        <v>Household</v>
      </c>
      <c r="G56" t="s">
        <v>321</v>
      </c>
      <c r="H56" s="36" t="e" cm="1">
        <f t="array" aca="1" ref="H56" ca="1">INDIRECT("'"&amp;$H$26&amp;$E56&amp;$G56&amp;$P$26&amp;$E56&amp;$G56&amp;"'"&amp;$S$26&amp;H$22)</f>
        <v>#REF!</v>
      </c>
      <c r="I56" s="36" t="e" cm="1">
        <f t="array" aca="1" ref="I56" ca="1">INDIRECT("'"&amp;$H$26&amp;$E56&amp;$G56&amp;$P$26&amp;$E56&amp;$G56&amp;"'"&amp;$S$26&amp;I$22)</f>
        <v>#REF!</v>
      </c>
      <c r="J56" s="36" t="e" cm="1">
        <f t="array" aca="1" ref="J56" ca="1">INDIRECT("'"&amp;$H$26&amp;$E56&amp;$G56&amp;$P$26&amp;$E56&amp;$G56&amp;"'"&amp;$S$26&amp;J$22)</f>
        <v>#REF!</v>
      </c>
      <c r="K56" s="36" t="e" cm="1">
        <f t="array" aca="1" ref="K56" ca="1">INDIRECT("'"&amp;$H$26&amp;$E56&amp;$G56&amp;$P$26&amp;$E56&amp;$G56&amp;"'"&amp;$S$26&amp;K$22)</f>
        <v>#REF!</v>
      </c>
      <c r="L56" s="36" t="e" cm="1">
        <f t="array" aca="1" ref="L56" ca="1">INDIRECT("'"&amp;$H$26&amp;$E56&amp;$G56&amp;$P$26&amp;$E56&amp;$G56&amp;"'"&amp;$S$26&amp;L$22)</f>
        <v>#REF!</v>
      </c>
      <c r="M56" s="36" t="e" cm="1">
        <f t="array" aca="1" ref="M56" ca="1">INDIRECT("'"&amp;$H$26&amp;$E56&amp;$G56&amp;$P$26&amp;$E56&amp;$G56&amp;"'"&amp;$S$26&amp;M$22)</f>
        <v>#REF!</v>
      </c>
      <c r="N56" s="36" t="e" cm="1">
        <f t="array" aca="1" ref="N56" ca="1">INDIRECT("'"&amp;$H$26&amp;$E56&amp;$G56&amp;$P$26&amp;$E56&amp;$G56&amp;"'"&amp;$S$26&amp;N$22)</f>
        <v>#REF!</v>
      </c>
      <c r="O56" s="36" t="e" cm="1">
        <f t="array" aca="1" ref="O56" ca="1">INDIRECT("'"&amp;$H$26&amp;$E56&amp;$G56&amp;$P$26&amp;$E56&amp;$G56&amp;"'"&amp;$S$26&amp;O$22)</f>
        <v>#REF!</v>
      </c>
      <c r="P56" s="36" t="e" cm="1">
        <f t="array" aca="1" ref="P56" ca="1">INDIRECT("'"&amp;$H$26&amp;$E56&amp;$G56&amp;$P$26&amp;$E56&amp;$G56&amp;"'"&amp;$S$26&amp;P$22)</f>
        <v>#REF!</v>
      </c>
      <c r="Q56" s="36" t="e" cm="1">
        <f t="array" aca="1" ref="Q56" ca="1">INDIRECT("'"&amp;$H$26&amp;$E56&amp;$G56&amp;$P$26&amp;$E56&amp;$G56&amp;"'"&amp;$S$26&amp;Q$22)</f>
        <v>#REF!</v>
      </c>
      <c r="R56" s="36" t="e" cm="1">
        <f t="array" aca="1" ref="R56" ca="1">INDIRECT("'"&amp;$H$26&amp;$E56&amp;$G56&amp;$P$26&amp;$E56&amp;$G56&amp;"'"&amp;$S$26&amp;R$22)</f>
        <v>#REF!</v>
      </c>
    </row>
    <row r="57" spans="1:18" x14ac:dyDescent="0.2">
      <c r="A57" t="str">
        <f t="shared" si="57"/>
        <v>M100</v>
      </c>
      <c r="B57" t="str">
        <f t="shared" si="33"/>
        <v>D1</v>
      </c>
      <c r="C57">
        <f t="shared" si="63"/>
        <v>100</v>
      </c>
      <c r="D57" t="str">
        <f t="shared" ref="D57:F57" si="70">IF(D45="","",D45)</f>
        <v>Medium</v>
      </c>
      <c r="E57" t="str">
        <f t="shared" si="70"/>
        <v>ouest_cd-</v>
      </c>
      <c r="F57" t="str">
        <f t="shared" si="70"/>
        <v>Industry</v>
      </c>
      <c r="G57" t="str">
        <f>G56</f>
        <v>0_1_1_1_1_0</v>
      </c>
      <c r="H57" s="36" t="e" cm="1">
        <f t="array" aca="1" ref="H57" ca="1">INDIRECT("'"&amp;$H$26&amp;$E57&amp;$G57&amp;$P$26&amp;$E57&amp;$G57&amp;"'"&amp;$S$26&amp;H$23)</f>
        <v>#REF!</v>
      </c>
      <c r="I57" s="36" t="e" cm="1">
        <f t="array" aca="1" ref="I57" ca="1">INDIRECT("'"&amp;$H$26&amp;$E57&amp;$G57&amp;$P$26&amp;$E57&amp;$G57&amp;"'"&amp;$S$26&amp;I$23)</f>
        <v>#REF!</v>
      </c>
      <c r="J57" s="36" t="e" cm="1">
        <f t="array" aca="1" ref="J57" ca="1">INDIRECT("'"&amp;$H$26&amp;$E57&amp;$G57&amp;$P$26&amp;$E57&amp;$G57&amp;"'"&amp;$S$26&amp;J$23)</f>
        <v>#REF!</v>
      </c>
      <c r="K57" s="36" t="e" cm="1">
        <f t="array" aca="1" ref="K57" ca="1">INDIRECT("'"&amp;$H$26&amp;$E57&amp;$G57&amp;$P$26&amp;$E57&amp;$G57&amp;"'"&amp;$S$26&amp;K$23)</f>
        <v>#REF!</v>
      </c>
      <c r="L57" s="36" t="e" cm="1">
        <f t="array" aca="1" ref="L57" ca="1">INDIRECT("'"&amp;$H$26&amp;$E57&amp;$G57&amp;$P$26&amp;$E57&amp;$G57&amp;"'"&amp;$S$26&amp;L$23)</f>
        <v>#REF!</v>
      </c>
      <c r="M57" s="36" t="e" cm="1">
        <f t="array" aca="1" ref="M57" ca="1">INDIRECT("'"&amp;$H$26&amp;$E57&amp;$G57&amp;$P$26&amp;$E57&amp;$G57&amp;"'"&amp;$S$26&amp;M$23)</f>
        <v>#REF!</v>
      </c>
      <c r="N57" s="36" t="e" cm="1">
        <f t="array" aca="1" ref="N57" ca="1">INDIRECT("'"&amp;$H$26&amp;$E57&amp;$G57&amp;$P$26&amp;$E57&amp;$G57&amp;"'"&amp;$S$26&amp;N$23)</f>
        <v>#REF!</v>
      </c>
      <c r="O57" s="36" t="e" cm="1">
        <f t="array" aca="1" ref="O57" ca="1">INDIRECT("'"&amp;$H$26&amp;$E57&amp;$G57&amp;$P$26&amp;$E57&amp;$G57&amp;"'"&amp;$S$26&amp;O$23)</f>
        <v>#REF!</v>
      </c>
      <c r="P57" s="36" t="e" cm="1">
        <f t="array" aca="1" ref="P57" ca="1">INDIRECT("'"&amp;$H$26&amp;$E57&amp;$G57&amp;$P$26&amp;$E57&amp;$G57&amp;"'"&amp;$S$26&amp;P$23)</f>
        <v>#REF!</v>
      </c>
      <c r="Q57" s="36" t="e" cm="1">
        <f t="array" aca="1" ref="Q57" ca="1">INDIRECT("'"&amp;$H$26&amp;$E57&amp;$G57&amp;$P$26&amp;$E57&amp;$G57&amp;"'"&amp;$S$26&amp;Q$23)</f>
        <v>#REF!</v>
      </c>
      <c r="R57" s="36" t="e" cm="1">
        <f t="array" aca="1" ref="R57" ca="1">INDIRECT("'"&amp;$H$26&amp;$E57&amp;$G57&amp;$P$26&amp;$E57&amp;$G57&amp;"'"&amp;$S$26&amp;R$23)</f>
        <v>#REF!</v>
      </c>
    </row>
    <row r="58" spans="1:18" x14ac:dyDescent="0.2">
      <c r="A58" t="str">
        <f t="shared" si="57"/>
        <v>M100</v>
      </c>
      <c r="B58" t="str">
        <f t="shared" si="33"/>
        <v>D1</v>
      </c>
      <c r="C58">
        <f t="shared" si="63"/>
        <v>100</v>
      </c>
      <c r="D58" t="str">
        <f t="shared" ref="D58:F58" si="71">IF(D46="","",D46)</f>
        <v>Medium</v>
      </c>
      <c r="E58" t="str">
        <f t="shared" si="71"/>
        <v>ouest_cd-</v>
      </c>
      <c r="F58" t="str">
        <f t="shared" si="71"/>
        <v>Other</v>
      </c>
      <c r="G58" t="str">
        <f>G57</f>
        <v>0_1_1_1_1_0</v>
      </c>
      <c r="H58" s="36" t="e">
        <f ca="1">SUM(INDIRECT("'"&amp;$H$26&amp;$E58&amp;$G58&amp;$P$26&amp;$E58&amp;$G58&amp;"'"&amp;$S$26&amp;H$24))</f>
        <v>#REF!</v>
      </c>
      <c r="I58" s="36" t="e">
        <f t="shared" ref="I58:R58" ca="1" si="72">SUM(INDIRECT("'"&amp;$H$26&amp;$E58&amp;$G58&amp;$P$26&amp;$E58&amp;$G58&amp;"'"&amp;$S$26&amp;I$24))</f>
        <v>#REF!</v>
      </c>
      <c r="J58" s="36" t="e">
        <f t="shared" ca="1" si="72"/>
        <v>#REF!</v>
      </c>
      <c r="K58" s="36" t="e">
        <f t="shared" ca="1" si="72"/>
        <v>#REF!</v>
      </c>
      <c r="L58" s="36" t="e">
        <f t="shared" ca="1" si="72"/>
        <v>#REF!</v>
      </c>
      <c r="M58" s="36" t="e">
        <f t="shared" ca="1" si="72"/>
        <v>#REF!</v>
      </c>
      <c r="N58" s="36" t="e">
        <f t="shared" ca="1" si="72"/>
        <v>#REF!</v>
      </c>
      <c r="O58" s="36" t="e">
        <f t="shared" ca="1" si="72"/>
        <v>#REF!</v>
      </c>
      <c r="P58" s="36" t="e">
        <f t="shared" ca="1" si="72"/>
        <v>#REF!</v>
      </c>
      <c r="Q58" s="36" t="e">
        <f t="shared" ca="1" si="72"/>
        <v>#REF!</v>
      </c>
      <c r="R58" s="36" t="e">
        <f t="shared" ca="1" si="72"/>
        <v>#REF!</v>
      </c>
    </row>
    <row r="59" spans="1:18" x14ac:dyDescent="0.2">
      <c r="A59" t="str">
        <f t="shared" si="57"/>
        <v/>
      </c>
      <c r="B59" t="str">
        <f t="shared" si="33"/>
        <v/>
      </c>
      <c r="C59" t="str">
        <f t="shared" si="63"/>
        <v/>
      </c>
      <c r="D59" t="str">
        <f t="shared" ref="D59:F59" si="73">IF(D47="","",D47)</f>
        <v/>
      </c>
      <c r="E59" t="str">
        <f t="shared" si="73"/>
        <v/>
      </c>
      <c r="F59" t="str">
        <f t="shared" si="73"/>
        <v/>
      </c>
      <c r="H59" t="e">
        <f ca="1">SUM(H56:H58)</f>
        <v>#REF!</v>
      </c>
      <c r="I59" t="e">
        <f t="shared" ref="I59:R59" ca="1" si="74">SUM(I56:I58)</f>
        <v>#REF!</v>
      </c>
      <c r="J59" t="e">
        <f t="shared" ca="1" si="74"/>
        <v>#REF!</v>
      </c>
      <c r="K59" t="e">
        <f t="shared" ca="1" si="74"/>
        <v>#REF!</v>
      </c>
      <c r="L59" t="e">
        <f t="shared" ca="1" si="74"/>
        <v>#REF!</v>
      </c>
      <c r="M59" t="e">
        <f t="shared" ca="1" si="74"/>
        <v>#REF!</v>
      </c>
      <c r="N59" t="e">
        <f t="shared" ca="1" si="74"/>
        <v>#REF!</v>
      </c>
      <c r="O59" t="e">
        <f t="shared" ca="1" si="74"/>
        <v>#REF!</v>
      </c>
      <c r="P59" t="e">
        <f t="shared" ca="1" si="74"/>
        <v>#REF!</v>
      </c>
      <c r="Q59" t="e">
        <f t="shared" ca="1" si="74"/>
        <v>#REF!</v>
      </c>
      <c r="R59" t="e">
        <f t="shared" ca="1" si="74"/>
        <v>#REF!</v>
      </c>
    </row>
    <row r="60" spans="1:18" x14ac:dyDescent="0.2">
      <c r="A60" t="str">
        <f t="shared" si="57"/>
        <v>H100</v>
      </c>
      <c r="B60" t="str">
        <f t="shared" si="33"/>
        <v>D1</v>
      </c>
      <c r="C60">
        <f t="shared" si="63"/>
        <v>100</v>
      </c>
      <c r="D60" t="str">
        <f t="shared" ref="D60:F60" si="75">IF(D48="","",D48)</f>
        <v>High</v>
      </c>
      <c r="E60" t="str">
        <f t="shared" si="75"/>
        <v>ouest_cd-</v>
      </c>
      <c r="F60" t="str">
        <f t="shared" si="75"/>
        <v>Household</v>
      </c>
      <c r="G60" s="45" t="s">
        <v>319</v>
      </c>
      <c r="H60" s="36" t="e" cm="1">
        <f t="array" aca="1" ref="H60" ca="1">INDIRECT("'"&amp;$H$26&amp;$E60&amp;$G60&amp;$P$26&amp;$E60&amp;$G60&amp;"'"&amp;$S$26&amp;H$22)</f>
        <v>#REF!</v>
      </c>
      <c r="I60" s="36" t="e" cm="1">
        <f t="array" aca="1" ref="I60" ca="1">INDIRECT("'"&amp;$H$26&amp;$E60&amp;$G60&amp;$P$26&amp;$E60&amp;$G60&amp;"'"&amp;$S$26&amp;I$22)</f>
        <v>#REF!</v>
      </c>
      <c r="J60" s="36" t="e" cm="1">
        <f t="array" aca="1" ref="J60" ca="1">INDIRECT("'"&amp;$H$26&amp;$E60&amp;$G60&amp;$P$26&amp;$E60&amp;$G60&amp;"'"&amp;$S$26&amp;J$22)</f>
        <v>#REF!</v>
      </c>
      <c r="K60" s="36" t="e" cm="1">
        <f t="array" aca="1" ref="K60" ca="1">INDIRECT("'"&amp;$H$26&amp;$E60&amp;$G60&amp;$P$26&amp;$E60&amp;$G60&amp;"'"&amp;$S$26&amp;K$22)</f>
        <v>#REF!</v>
      </c>
      <c r="L60" s="36" t="e" cm="1">
        <f t="array" aca="1" ref="L60" ca="1">INDIRECT("'"&amp;$H$26&amp;$E60&amp;$G60&amp;$P$26&amp;$E60&amp;$G60&amp;"'"&amp;$S$26&amp;L$22)</f>
        <v>#REF!</v>
      </c>
      <c r="M60" s="36" t="e" cm="1">
        <f t="array" aca="1" ref="M60" ca="1">INDIRECT("'"&amp;$H$26&amp;$E60&amp;$G60&amp;$P$26&amp;$E60&amp;$G60&amp;"'"&amp;$S$26&amp;M$22)</f>
        <v>#REF!</v>
      </c>
      <c r="N60" s="36" t="e" cm="1">
        <f t="array" aca="1" ref="N60" ca="1">INDIRECT("'"&amp;$H$26&amp;$E60&amp;$G60&amp;$P$26&amp;$E60&amp;$G60&amp;"'"&amp;$S$26&amp;N$22)</f>
        <v>#REF!</v>
      </c>
      <c r="O60" s="36" t="e" cm="1">
        <f t="array" aca="1" ref="O60" ca="1">INDIRECT("'"&amp;$H$26&amp;$E60&amp;$G60&amp;$P$26&amp;$E60&amp;$G60&amp;"'"&amp;$S$26&amp;O$22)</f>
        <v>#REF!</v>
      </c>
      <c r="P60" s="36" t="e" cm="1">
        <f t="array" aca="1" ref="P60" ca="1">INDIRECT("'"&amp;$H$26&amp;$E60&amp;$G60&amp;$P$26&amp;$E60&amp;$G60&amp;"'"&amp;$S$26&amp;P$22)</f>
        <v>#REF!</v>
      </c>
      <c r="Q60" s="36" t="e" cm="1">
        <f t="array" aca="1" ref="Q60" ca="1">INDIRECT("'"&amp;$H$26&amp;$E60&amp;$G60&amp;$P$26&amp;$E60&amp;$G60&amp;"'"&amp;$S$26&amp;Q$22)</f>
        <v>#REF!</v>
      </c>
      <c r="R60" s="36" t="e" cm="1">
        <f t="array" aca="1" ref="R60" ca="1">INDIRECT("'"&amp;$H$26&amp;$E60&amp;$G60&amp;$P$26&amp;$E60&amp;$G60&amp;"'"&amp;$S$26&amp;R$22)</f>
        <v>#REF!</v>
      </c>
    </row>
    <row r="61" spans="1:18" x14ac:dyDescent="0.2">
      <c r="A61" t="str">
        <f t="shared" ref="A61:A62" si="76">IF(D61="Low","L"&amp;C61,IF(D61="Medium","M"&amp;C61,IF(D61="High","H"&amp;C61,"")))</f>
        <v>H100</v>
      </c>
      <c r="B61" t="str">
        <f t="shared" si="33"/>
        <v>D1</v>
      </c>
      <c r="C61">
        <f t="shared" si="63"/>
        <v>100</v>
      </c>
      <c r="D61" t="str">
        <f t="shared" ref="D61:F61" si="77">IF(D49="","",D49)</f>
        <v>High</v>
      </c>
      <c r="E61" t="str">
        <f t="shared" si="77"/>
        <v>ouest_cd-</v>
      </c>
      <c r="F61" t="str">
        <f t="shared" si="77"/>
        <v>Industry</v>
      </c>
      <c r="G61" t="str">
        <f>G60</f>
        <v>0_1_2_2_2_0</v>
      </c>
      <c r="H61" s="36" t="e" cm="1">
        <f t="array" aca="1" ref="H61" ca="1">INDIRECT("'"&amp;$H$26&amp;$E61&amp;$G61&amp;$P$26&amp;$E61&amp;$G61&amp;"'"&amp;$S$26&amp;H$23)</f>
        <v>#REF!</v>
      </c>
      <c r="I61" s="36" t="e" cm="1">
        <f t="array" aca="1" ref="I61" ca="1">INDIRECT("'"&amp;$H$26&amp;$E61&amp;$G61&amp;$P$26&amp;$E61&amp;$G61&amp;"'"&amp;$S$26&amp;I$23)</f>
        <v>#REF!</v>
      </c>
      <c r="J61" s="36" t="e" cm="1">
        <f t="array" aca="1" ref="J61" ca="1">INDIRECT("'"&amp;$H$26&amp;$E61&amp;$G61&amp;$P$26&amp;$E61&amp;$G61&amp;"'"&amp;$S$26&amp;J$23)</f>
        <v>#REF!</v>
      </c>
      <c r="K61" s="36" t="e" cm="1">
        <f t="array" aca="1" ref="K61" ca="1">INDIRECT("'"&amp;$H$26&amp;$E61&amp;$G61&amp;$P$26&amp;$E61&amp;$G61&amp;"'"&amp;$S$26&amp;K$23)</f>
        <v>#REF!</v>
      </c>
      <c r="L61" s="36" t="e" cm="1">
        <f t="array" aca="1" ref="L61" ca="1">INDIRECT("'"&amp;$H$26&amp;$E61&amp;$G61&amp;$P$26&amp;$E61&amp;$G61&amp;"'"&amp;$S$26&amp;L$23)</f>
        <v>#REF!</v>
      </c>
      <c r="M61" s="36" t="e" cm="1">
        <f t="array" aca="1" ref="M61" ca="1">INDIRECT("'"&amp;$H$26&amp;$E61&amp;$G61&amp;$P$26&amp;$E61&amp;$G61&amp;"'"&amp;$S$26&amp;M$23)</f>
        <v>#REF!</v>
      </c>
      <c r="N61" s="36" t="e" cm="1">
        <f t="array" aca="1" ref="N61" ca="1">INDIRECT("'"&amp;$H$26&amp;$E61&amp;$G61&amp;$P$26&amp;$E61&amp;$G61&amp;"'"&amp;$S$26&amp;N$23)</f>
        <v>#REF!</v>
      </c>
      <c r="O61" s="36" t="e" cm="1">
        <f t="array" aca="1" ref="O61" ca="1">INDIRECT("'"&amp;$H$26&amp;$E61&amp;$G61&amp;$P$26&amp;$E61&amp;$G61&amp;"'"&amp;$S$26&amp;O$23)</f>
        <v>#REF!</v>
      </c>
      <c r="P61" s="36" t="e" cm="1">
        <f t="array" aca="1" ref="P61" ca="1">INDIRECT("'"&amp;$H$26&amp;$E61&amp;$G61&amp;$P$26&amp;$E61&amp;$G61&amp;"'"&amp;$S$26&amp;P$23)</f>
        <v>#REF!</v>
      </c>
      <c r="Q61" s="36" t="e" cm="1">
        <f t="array" aca="1" ref="Q61" ca="1">INDIRECT("'"&amp;$H$26&amp;$E61&amp;$G61&amp;$P$26&amp;$E61&amp;$G61&amp;"'"&amp;$S$26&amp;Q$23)</f>
        <v>#REF!</v>
      </c>
      <c r="R61" s="36" t="e" cm="1">
        <f t="array" aca="1" ref="R61" ca="1">INDIRECT("'"&amp;$H$26&amp;$E61&amp;$G61&amp;$P$26&amp;$E61&amp;$G61&amp;"'"&amp;$S$26&amp;R$23)</f>
        <v>#REF!</v>
      </c>
    </row>
    <row r="62" spans="1:18" x14ac:dyDescent="0.2">
      <c r="A62" t="str">
        <f t="shared" si="76"/>
        <v>H100</v>
      </c>
      <c r="B62" t="str">
        <f t="shared" si="33"/>
        <v>D1</v>
      </c>
      <c r="C62">
        <f t="shared" si="63"/>
        <v>100</v>
      </c>
      <c r="D62" t="str">
        <f t="shared" ref="D62:F62" si="78">IF(D50="","",D50)</f>
        <v>High</v>
      </c>
      <c r="E62" t="str">
        <f t="shared" si="78"/>
        <v>ouest_cd-</v>
      </c>
      <c r="F62" t="str">
        <f t="shared" si="78"/>
        <v>Other</v>
      </c>
      <c r="G62" t="str">
        <f>G61</f>
        <v>0_1_2_2_2_0</v>
      </c>
      <c r="H62" s="36" t="e">
        <f ca="1">SUM(INDIRECT("'"&amp;$H$26&amp;$E62&amp;$G62&amp;$P$26&amp;$E62&amp;$G62&amp;"'"&amp;$S$26&amp;H$24))</f>
        <v>#REF!</v>
      </c>
      <c r="I62" s="36" t="e">
        <f t="shared" ref="I62:R62" ca="1" si="79">SUM(INDIRECT("'"&amp;$H$26&amp;$E62&amp;$G62&amp;$P$26&amp;$E62&amp;$G62&amp;"'"&amp;$S$26&amp;I$24))</f>
        <v>#REF!</v>
      </c>
      <c r="J62" s="36" t="e">
        <f t="shared" ca="1" si="79"/>
        <v>#REF!</v>
      </c>
      <c r="K62" s="36" t="e">
        <f t="shared" ca="1" si="79"/>
        <v>#REF!</v>
      </c>
      <c r="L62" s="36" t="e">
        <f t="shared" ca="1" si="79"/>
        <v>#REF!</v>
      </c>
      <c r="M62" s="36" t="e">
        <f t="shared" ca="1" si="79"/>
        <v>#REF!</v>
      </c>
      <c r="N62" s="36" t="e">
        <f t="shared" ca="1" si="79"/>
        <v>#REF!</v>
      </c>
      <c r="O62" s="36" t="e">
        <f t="shared" ca="1" si="79"/>
        <v>#REF!</v>
      </c>
      <c r="P62" s="36" t="e">
        <f t="shared" ca="1" si="79"/>
        <v>#REF!</v>
      </c>
      <c r="Q62" s="36" t="e">
        <f t="shared" ca="1" si="79"/>
        <v>#REF!</v>
      </c>
      <c r="R62" s="36" t="e">
        <f t="shared" ca="1" si="79"/>
        <v>#REF!</v>
      </c>
    </row>
    <row r="63" spans="1:18" s="44" customFormat="1" x14ac:dyDescent="0.2">
      <c r="H63" t="e">
        <f ca="1">SUM(H60:H62)</f>
        <v>#REF!</v>
      </c>
      <c r="I63" t="e">
        <f t="shared" ref="I63:R63" ca="1" si="80">SUM(I60:I62)</f>
        <v>#REF!</v>
      </c>
      <c r="J63" t="e">
        <f t="shared" ca="1" si="80"/>
        <v>#REF!</v>
      </c>
      <c r="K63" t="e">
        <f t="shared" ca="1" si="80"/>
        <v>#REF!</v>
      </c>
      <c r="L63" t="e">
        <f t="shared" ca="1" si="80"/>
        <v>#REF!</v>
      </c>
      <c r="M63" t="e">
        <f t="shared" ca="1" si="80"/>
        <v>#REF!</v>
      </c>
      <c r="N63" t="e">
        <f t="shared" ca="1" si="80"/>
        <v>#REF!</v>
      </c>
      <c r="O63" t="e">
        <f t="shared" ca="1" si="80"/>
        <v>#REF!</v>
      </c>
      <c r="P63" t="e">
        <f t="shared" ca="1" si="80"/>
        <v>#REF!</v>
      </c>
      <c r="Q63" t="e">
        <f t="shared" ca="1" si="80"/>
        <v>#REF!</v>
      </c>
      <c r="R63" t="e">
        <f t="shared" ca="1" si="80"/>
        <v>#REF!</v>
      </c>
    </row>
    <row r="64" spans="1:18" x14ac:dyDescent="0.2">
      <c r="A64" t="str">
        <f>IF(D64="Low","L"&amp;C64,IF(D64="Medium","M"&amp;C64,IF(D64="High","H"&amp;C64,"")))</f>
        <v>L50</v>
      </c>
      <c r="B64" t="s">
        <v>79</v>
      </c>
      <c r="C64">
        <v>50</v>
      </c>
      <c r="D64" t="s">
        <v>296</v>
      </c>
      <c r="E64" t="str">
        <f>IF(B64="D1","ouest_cd-",IF(B64="D2","sud_cd-",IF(B64="D3","est_cd-","")))</f>
        <v>sud_cd-</v>
      </c>
      <c r="F64" t="str">
        <f>[1]Demand!$C$4</f>
        <v>Household</v>
      </c>
      <c r="G64" t="str">
        <f>IF(B64="","",G28)</f>
        <v>0_2_0_0_0_0</v>
      </c>
      <c r="H64" s="36" t="e" cm="1">
        <f t="array" aca="1" ref="H64" ca="1">INDIRECT("'"&amp;$H$26&amp;$E64&amp;$G64&amp;$P$26&amp;$E64&amp;$G64&amp;"'"&amp;$S$26&amp;H$22)</f>
        <v>#REF!</v>
      </c>
      <c r="I64" s="36" t="e" cm="1">
        <f t="array" aca="1" ref="I64" ca="1">INDIRECT("'"&amp;$H$26&amp;$E64&amp;$G64&amp;$P$26&amp;$E64&amp;$G64&amp;"'"&amp;$S$26&amp;I$22)</f>
        <v>#REF!</v>
      </c>
      <c r="J64" s="36" t="e" cm="1">
        <f t="array" aca="1" ref="J64" ca="1">INDIRECT("'"&amp;$H$26&amp;$E64&amp;$G64&amp;$P$26&amp;$E64&amp;$G64&amp;"'"&amp;$S$26&amp;J$22)</f>
        <v>#REF!</v>
      </c>
      <c r="K64" s="36" t="e" cm="1">
        <f t="array" aca="1" ref="K64" ca="1">INDIRECT("'"&amp;$H$26&amp;$E64&amp;$G64&amp;$P$26&amp;$E64&amp;$G64&amp;"'"&amp;$S$26&amp;K$22)</f>
        <v>#REF!</v>
      </c>
      <c r="L64" s="36" t="e" cm="1">
        <f t="array" aca="1" ref="L64" ca="1">INDIRECT("'"&amp;$H$26&amp;$E64&amp;$G64&amp;$P$26&amp;$E64&amp;$G64&amp;"'"&amp;$S$26&amp;L$22)</f>
        <v>#REF!</v>
      </c>
      <c r="M64" s="36" t="e" cm="1">
        <f t="array" aca="1" ref="M64" ca="1">INDIRECT("'"&amp;$H$26&amp;$E64&amp;$G64&amp;$P$26&amp;$E64&amp;$G64&amp;"'"&amp;$S$26&amp;M$22)</f>
        <v>#REF!</v>
      </c>
      <c r="N64" s="36" t="e" cm="1">
        <f t="array" aca="1" ref="N64" ca="1">INDIRECT("'"&amp;$H$26&amp;$E64&amp;$G64&amp;$P$26&amp;$E64&amp;$G64&amp;"'"&amp;$S$26&amp;N$22)</f>
        <v>#REF!</v>
      </c>
      <c r="O64" s="36" t="e" cm="1">
        <f t="array" aca="1" ref="O64" ca="1">INDIRECT("'"&amp;$H$26&amp;$E64&amp;$G64&amp;$P$26&amp;$E64&amp;$G64&amp;"'"&amp;$S$26&amp;O$22)</f>
        <v>#REF!</v>
      </c>
      <c r="P64" s="36" t="e" cm="1">
        <f t="array" aca="1" ref="P64" ca="1">INDIRECT("'"&amp;$H$26&amp;$E64&amp;$G64&amp;$P$26&amp;$E64&amp;$G64&amp;"'"&amp;$S$26&amp;P$22)</f>
        <v>#REF!</v>
      </c>
      <c r="Q64" s="36" t="e" cm="1">
        <f t="array" aca="1" ref="Q64" ca="1">INDIRECT("'"&amp;$H$26&amp;$E64&amp;$G64&amp;$P$26&amp;$E64&amp;$G64&amp;"'"&amp;$S$26&amp;Q$22)</f>
        <v>#REF!</v>
      </c>
      <c r="R64" s="36" t="e" cm="1">
        <f t="array" aca="1" ref="R64" ca="1">INDIRECT("'"&amp;$H$26&amp;$E64&amp;$G64&amp;$P$26&amp;$E64&amp;$G64&amp;"'"&amp;$S$26&amp;R$22)</f>
        <v>#REF!</v>
      </c>
    </row>
    <row r="65" spans="1:18" x14ac:dyDescent="0.2">
      <c r="A65" t="str">
        <f>IF(D65="Low","L"&amp;C65,IF(D65="Medium","M"&amp;C65,IF(D65="High","H"&amp;C65,"")))</f>
        <v>L50</v>
      </c>
      <c r="B65" t="s">
        <v>79</v>
      </c>
      <c r="C65">
        <v>50</v>
      </c>
      <c r="D65" t="s">
        <v>296</v>
      </c>
      <c r="E65" t="str">
        <f t="shared" ref="E65:E66" si="81">IF(B65="D1","ouest_cd-",IF(B65="D2","sud_cd-",IF(B65="D3","est_cd-","")))</f>
        <v>sud_cd-</v>
      </c>
      <c r="F65" t="str">
        <f>[1]Demand!$C$5</f>
        <v>Industry</v>
      </c>
      <c r="G65" t="str">
        <f t="shared" ref="G65:G98" si="82">IF(B65="","",G29)</f>
        <v>0_2_0_0_0_0</v>
      </c>
      <c r="H65" s="36" t="e" cm="1">
        <f t="array" aca="1" ref="H65" ca="1">INDIRECT("'"&amp;$H$26&amp;$E65&amp;$G65&amp;$P$26&amp;$E65&amp;$G65&amp;"'"&amp;$S$26&amp;H$23)</f>
        <v>#REF!</v>
      </c>
      <c r="I65" s="36" t="e" cm="1">
        <f t="array" aca="1" ref="I65" ca="1">INDIRECT("'"&amp;$H$26&amp;$E65&amp;$G65&amp;$P$26&amp;$E65&amp;$G65&amp;"'"&amp;$S$26&amp;I$23)</f>
        <v>#REF!</v>
      </c>
      <c r="J65" s="36" t="e" cm="1">
        <f t="array" aca="1" ref="J65" ca="1">INDIRECT("'"&amp;$H$26&amp;$E65&amp;$G65&amp;$P$26&amp;$E65&amp;$G65&amp;"'"&amp;$S$26&amp;J$23)</f>
        <v>#REF!</v>
      </c>
      <c r="K65" s="36" t="e" cm="1">
        <f t="array" aca="1" ref="K65" ca="1">INDIRECT("'"&amp;$H$26&amp;$E65&amp;$G65&amp;$P$26&amp;$E65&amp;$G65&amp;"'"&amp;$S$26&amp;K$23)</f>
        <v>#REF!</v>
      </c>
      <c r="L65" s="36" t="e" cm="1">
        <f t="array" aca="1" ref="L65" ca="1">INDIRECT("'"&amp;$H$26&amp;$E65&amp;$G65&amp;$P$26&amp;$E65&amp;$G65&amp;"'"&amp;$S$26&amp;L$23)</f>
        <v>#REF!</v>
      </c>
      <c r="M65" s="36" t="e" cm="1">
        <f t="array" aca="1" ref="M65" ca="1">INDIRECT("'"&amp;$H$26&amp;$E65&amp;$G65&amp;$P$26&amp;$E65&amp;$G65&amp;"'"&amp;$S$26&amp;M$23)</f>
        <v>#REF!</v>
      </c>
      <c r="N65" s="36" t="e" cm="1">
        <f t="array" aca="1" ref="N65" ca="1">INDIRECT("'"&amp;$H$26&amp;$E65&amp;$G65&amp;$P$26&amp;$E65&amp;$G65&amp;"'"&amp;$S$26&amp;N$23)</f>
        <v>#REF!</v>
      </c>
      <c r="O65" s="36" t="e" cm="1">
        <f t="array" aca="1" ref="O65" ca="1">INDIRECT("'"&amp;$H$26&amp;$E65&amp;$G65&amp;$P$26&amp;$E65&amp;$G65&amp;"'"&amp;$S$26&amp;O$23)</f>
        <v>#REF!</v>
      </c>
      <c r="P65" s="36" t="e" cm="1">
        <f t="array" aca="1" ref="P65" ca="1">INDIRECT("'"&amp;$H$26&amp;$E65&amp;$G65&amp;$P$26&amp;$E65&amp;$G65&amp;"'"&amp;$S$26&amp;P$23)</f>
        <v>#REF!</v>
      </c>
      <c r="Q65" s="36" t="e" cm="1">
        <f t="array" aca="1" ref="Q65" ca="1">INDIRECT("'"&amp;$H$26&amp;$E65&amp;$G65&amp;$P$26&amp;$E65&amp;$G65&amp;"'"&amp;$S$26&amp;Q$23)</f>
        <v>#REF!</v>
      </c>
      <c r="R65" s="36" t="e" cm="1">
        <f t="array" aca="1" ref="R65" ca="1">INDIRECT("'"&amp;$H$26&amp;$E65&amp;$G65&amp;$P$26&amp;$E65&amp;$G65&amp;"'"&amp;$S$26&amp;R$23)</f>
        <v>#REF!</v>
      </c>
    </row>
    <row r="66" spans="1:18" x14ac:dyDescent="0.2">
      <c r="A66" t="str">
        <f>IF(D66="Low","L"&amp;C66,IF(D66="Medium","M"&amp;C66,IF(D66="High","H"&amp;C66,"")))</f>
        <v>L50</v>
      </c>
      <c r="B66" t="s">
        <v>79</v>
      </c>
      <c r="C66">
        <v>50</v>
      </c>
      <c r="D66" t="s">
        <v>296</v>
      </c>
      <c r="E66" t="str">
        <f t="shared" si="81"/>
        <v>sud_cd-</v>
      </c>
      <c r="F66" t="str">
        <f>[1]Demand!$C$6</f>
        <v>Other</v>
      </c>
      <c r="G66" t="str">
        <f t="shared" si="82"/>
        <v>0_2_0_0_0_0</v>
      </c>
      <c r="H66" s="36" t="e">
        <f ca="1">SUM(INDIRECT("'"&amp;$H$26&amp;$E66&amp;$G66&amp;$P$26&amp;$E66&amp;$G66&amp;"'"&amp;$S$26&amp;H$24))</f>
        <v>#REF!</v>
      </c>
      <c r="I66" s="36" t="e">
        <f t="shared" ref="I66:R66" ca="1" si="83">SUM(INDIRECT("'"&amp;$H$26&amp;$E66&amp;$G66&amp;$P$26&amp;$E66&amp;$G66&amp;"'"&amp;$S$26&amp;I$24))</f>
        <v>#REF!</v>
      </c>
      <c r="J66" s="36" t="e">
        <f t="shared" ca="1" si="83"/>
        <v>#REF!</v>
      </c>
      <c r="K66" s="36" t="e">
        <f t="shared" ca="1" si="83"/>
        <v>#REF!</v>
      </c>
      <c r="L66" s="36" t="e">
        <f t="shared" ca="1" si="83"/>
        <v>#REF!</v>
      </c>
      <c r="M66" s="36" t="e">
        <f t="shared" ca="1" si="83"/>
        <v>#REF!</v>
      </c>
      <c r="N66" s="36" t="e">
        <f t="shared" ca="1" si="83"/>
        <v>#REF!</v>
      </c>
      <c r="O66" s="36" t="e">
        <f t="shared" ca="1" si="83"/>
        <v>#REF!</v>
      </c>
      <c r="P66" s="36" t="e">
        <f t="shared" ca="1" si="83"/>
        <v>#REF!</v>
      </c>
      <c r="Q66" s="36" t="e">
        <f t="shared" ca="1" si="83"/>
        <v>#REF!</v>
      </c>
      <c r="R66" s="36" t="e">
        <f t="shared" ca="1" si="83"/>
        <v>#REF!</v>
      </c>
    </row>
    <row r="67" spans="1:18" x14ac:dyDescent="0.2">
      <c r="D67" t="str">
        <f t="shared" ref="D67" si="84">IF(A67="L","Low",IF(A67="M","Medium",IF(A67="H","High","")))</f>
        <v/>
      </c>
      <c r="E67" t="str">
        <f t="shared" si="23"/>
        <v/>
      </c>
      <c r="G67" t="str">
        <f t="shared" si="82"/>
        <v/>
      </c>
      <c r="H67" t="e">
        <f ca="1">SUM(H64:H66)</f>
        <v>#REF!</v>
      </c>
      <c r="I67" t="e">
        <f t="shared" ref="I67:R67" ca="1" si="85">SUM(I64:I66)</f>
        <v>#REF!</v>
      </c>
      <c r="J67" t="e">
        <f t="shared" ca="1" si="85"/>
        <v>#REF!</v>
      </c>
      <c r="K67" t="e">
        <f t="shared" ca="1" si="85"/>
        <v>#REF!</v>
      </c>
      <c r="L67" t="e">
        <f t="shared" ca="1" si="85"/>
        <v>#REF!</v>
      </c>
      <c r="M67" t="e">
        <f t="shared" ca="1" si="85"/>
        <v>#REF!</v>
      </c>
      <c r="N67" t="e">
        <f t="shared" ca="1" si="85"/>
        <v>#REF!</v>
      </c>
      <c r="O67" t="e">
        <f t="shared" ca="1" si="85"/>
        <v>#REF!</v>
      </c>
      <c r="P67" t="e">
        <f t="shared" ca="1" si="85"/>
        <v>#REF!</v>
      </c>
      <c r="Q67" t="e">
        <f t="shared" ca="1" si="85"/>
        <v>#REF!</v>
      </c>
      <c r="R67" t="e">
        <f t="shared" ca="1" si="85"/>
        <v>#REF!</v>
      </c>
    </row>
    <row r="68" spans="1:18" x14ac:dyDescent="0.2">
      <c r="A68" t="str">
        <f>IF(D68="Low","L"&amp;C68,IF(D68="Medium","M"&amp;C68,IF(D68="High","H"&amp;C68,"")))</f>
        <v>M50</v>
      </c>
      <c r="B68" t="s">
        <v>79</v>
      </c>
      <c r="C68">
        <v>50</v>
      </c>
      <c r="D68" t="s">
        <v>297</v>
      </c>
      <c r="E68" t="str">
        <f>IF(B68="D1","ouest_cd-",IF(B68="D2","sud_cd-",IF(B68="D3","est_cd-","")))</f>
        <v>sud_cd-</v>
      </c>
      <c r="F68" t="str">
        <f>[1]Demand!$C$4</f>
        <v>Household</v>
      </c>
      <c r="G68" t="str">
        <f t="shared" si="82"/>
        <v>0_2_1_1_1_0</v>
      </c>
      <c r="H68" s="36" t="e" cm="1">
        <f t="array" aca="1" ref="H68" ca="1">INDIRECT("'"&amp;$H$26&amp;$E68&amp;$G68&amp;$P$26&amp;$E68&amp;$G68&amp;"'"&amp;$S$26&amp;H$22)</f>
        <v>#REF!</v>
      </c>
      <c r="I68" s="36" t="e" cm="1">
        <f t="array" aca="1" ref="I68" ca="1">INDIRECT("'"&amp;$H$26&amp;$E68&amp;$G68&amp;$P$26&amp;$E68&amp;$G68&amp;"'"&amp;$S$26&amp;I$22)</f>
        <v>#REF!</v>
      </c>
      <c r="J68" s="36" t="e" cm="1">
        <f t="array" aca="1" ref="J68" ca="1">INDIRECT("'"&amp;$H$26&amp;$E68&amp;$G68&amp;$P$26&amp;$E68&amp;$G68&amp;"'"&amp;$S$26&amp;J$22)</f>
        <v>#REF!</v>
      </c>
      <c r="K68" s="36" t="e" cm="1">
        <f t="array" aca="1" ref="K68" ca="1">INDIRECT("'"&amp;$H$26&amp;$E68&amp;$G68&amp;$P$26&amp;$E68&amp;$G68&amp;"'"&amp;$S$26&amp;K$22)</f>
        <v>#REF!</v>
      </c>
      <c r="L68" s="36" t="e" cm="1">
        <f t="array" aca="1" ref="L68" ca="1">INDIRECT("'"&amp;$H$26&amp;$E68&amp;$G68&amp;$P$26&amp;$E68&amp;$G68&amp;"'"&amp;$S$26&amp;L$22)</f>
        <v>#REF!</v>
      </c>
      <c r="M68" s="36" t="e" cm="1">
        <f t="array" aca="1" ref="M68" ca="1">INDIRECT("'"&amp;$H$26&amp;$E68&amp;$G68&amp;$P$26&amp;$E68&amp;$G68&amp;"'"&amp;$S$26&amp;M$22)</f>
        <v>#REF!</v>
      </c>
      <c r="N68" s="36" t="e" cm="1">
        <f t="array" aca="1" ref="N68" ca="1">INDIRECT("'"&amp;$H$26&amp;$E68&amp;$G68&amp;$P$26&amp;$E68&amp;$G68&amp;"'"&amp;$S$26&amp;N$22)</f>
        <v>#REF!</v>
      </c>
      <c r="O68" s="36" t="e" cm="1">
        <f t="array" aca="1" ref="O68" ca="1">INDIRECT("'"&amp;$H$26&amp;$E68&amp;$G68&amp;$P$26&amp;$E68&amp;$G68&amp;"'"&amp;$S$26&amp;O$22)</f>
        <v>#REF!</v>
      </c>
      <c r="P68" s="36" t="e" cm="1">
        <f t="array" aca="1" ref="P68" ca="1">INDIRECT("'"&amp;$H$26&amp;$E68&amp;$G68&amp;$P$26&amp;$E68&amp;$G68&amp;"'"&amp;$S$26&amp;P$22)</f>
        <v>#REF!</v>
      </c>
      <c r="Q68" s="36" t="e" cm="1">
        <f t="array" aca="1" ref="Q68" ca="1">INDIRECT("'"&amp;$H$26&amp;$E68&amp;$G68&amp;$P$26&amp;$E68&amp;$G68&amp;"'"&amp;$S$26&amp;Q$22)</f>
        <v>#REF!</v>
      </c>
      <c r="R68" s="36" t="e" cm="1">
        <f t="array" aca="1" ref="R68" ca="1">INDIRECT("'"&amp;$H$26&amp;$E68&amp;$G68&amp;$P$26&amp;$E68&amp;$G68&amp;"'"&amp;$S$26&amp;R$22)</f>
        <v>#REF!</v>
      </c>
    </row>
    <row r="69" spans="1:18" x14ac:dyDescent="0.2">
      <c r="A69" t="str">
        <f>IF(D69="Low","L"&amp;C69,IF(D69="Medium","M"&amp;C69,IF(D69="High","H"&amp;C69,"")))</f>
        <v>M50</v>
      </c>
      <c r="B69" t="s">
        <v>79</v>
      </c>
      <c r="C69">
        <v>50</v>
      </c>
      <c r="D69" t="s">
        <v>297</v>
      </c>
      <c r="E69" t="str">
        <f t="shared" ref="E69:E70" si="86">IF(B69="D1","ouest_cd-",IF(B69="D2","sud_cd-",IF(B69="D3","est_cd-","")))</f>
        <v>sud_cd-</v>
      </c>
      <c r="F69" t="str">
        <f>[1]Demand!$C$5</f>
        <v>Industry</v>
      </c>
      <c r="G69" t="str">
        <f t="shared" si="82"/>
        <v>0_2_1_1_1_0</v>
      </c>
      <c r="H69" s="36" t="e" cm="1">
        <f t="array" aca="1" ref="H69" ca="1">INDIRECT("'"&amp;$H$26&amp;$E69&amp;$G69&amp;$P$26&amp;$E69&amp;$G69&amp;"'"&amp;$S$26&amp;H$23)</f>
        <v>#REF!</v>
      </c>
      <c r="I69" s="36" t="e" cm="1">
        <f t="array" aca="1" ref="I69" ca="1">INDIRECT("'"&amp;$H$26&amp;$E69&amp;$G69&amp;$P$26&amp;$E69&amp;$G69&amp;"'"&amp;$S$26&amp;I$23)</f>
        <v>#REF!</v>
      </c>
      <c r="J69" s="36" t="e" cm="1">
        <f t="array" aca="1" ref="J69" ca="1">INDIRECT("'"&amp;$H$26&amp;$E69&amp;$G69&amp;$P$26&amp;$E69&amp;$G69&amp;"'"&amp;$S$26&amp;J$23)</f>
        <v>#REF!</v>
      </c>
      <c r="K69" s="36" t="e" cm="1">
        <f t="array" aca="1" ref="K69" ca="1">INDIRECT("'"&amp;$H$26&amp;$E69&amp;$G69&amp;$P$26&amp;$E69&amp;$G69&amp;"'"&amp;$S$26&amp;K$23)</f>
        <v>#REF!</v>
      </c>
      <c r="L69" s="36" t="e" cm="1">
        <f t="array" aca="1" ref="L69" ca="1">INDIRECT("'"&amp;$H$26&amp;$E69&amp;$G69&amp;$P$26&amp;$E69&amp;$G69&amp;"'"&amp;$S$26&amp;L$23)</f>
        <v>#REF!</v>
      </c>
      <c r="M69" s="36" t="e" cm="1">
        <f t="array" aca="1" ref="M69" ca="1">INDIRECT("'"&amp;$H$26&amp;$E69&amp;$G69&amp;$P$26&amp;$E69&amp;$G69&amp;"'"&amp;$S$26&amp;M$23)</f>
        <v>#REF!</v>
      </c>
      <c r="N69" s="36" t="e" cm="1">
        <f t="array" aca="1" ref="N69" ca="1">INDIRECT("'"&amp;$H$26&amp;$E69&amp;$G69&amp;$P$26&amp;$E69&amp;$G69&amp;"'"&amp;$S$26&amp;N$23)</f>
        <v>#REF!</v>
      </c>
      <c r="O69" s="36" t="e" cm="1">
        <f t="array" aca="1" ref="O69" ca="1">INDIRECT("'"&amp;$H$26&amp;$E69&amp;$G69&amp;$P$26&amp;$E69&amp;$G69&amp;"'"&amp;$S$26&amp;O$23)</f>
        <v>#REF!</v>
      </c>
      <c r="P69" s="36" t="e" cm="1">
        <f t="array" aca="1" ref="P69" ca="1">INDIRECT("'"&amp;$H$26&amp;$E69&amp;$G69&amp;$P$26&amp;$E69&amp;$G69&amp;"'"&amp;$S$26&amp;P$23)</f>
        <v>#REF!</v>
      </c>
      <c r="Q69" s="36" t="e" cm="1">
        <f t="array" aca="1" ref="Q69" ca="1">INDIRECT("'"&amp;$H$26&amp;$E69&amp;$G69&amp;$P$26&amp;$E69&amp;$G69&amp;"'"&amp;$S$26&amp;Q$23)</f>
        <v>#REF!</v>
      </c>
      <c r="R69" s="36" t="e" cm="1">
        <f t="array" aca="1" ref="R69" ca="1">INDIRECT("'"&amp;$H$26&amp;$E69&amp;$G69&amp;$P$26&amp;$E69&amp;$G69&amp;"'"&amp;$S$26&amp;R$23)</f>
        <v>#REF!</v>
      </c>
    </row>
    <row r="70" spans="1:18" x14ac:dyDescent="0.2">
      <c r="A70" t="str">
        <f>IF(D70="Low","L"&amp;C70,IF(D70="Medium","M"&amp;C70,IF(D70="High","H"&amp;C70,"")))</f>
        <v>M50</v>
      </c>
      <c r="B70" t="s">
        <v>79</v>
      </c>
      <c r="C70">
        <v>50</v>
      </c>
      <c r="D70" t="s">
        <v>297</v>
      </c>
      <c r="E70" t="str">
        <f t="shared" si="86"/>
        <v>sud_cd-</v>
      </c>
      <c r="F70" t="str">
        <f>[1]Demand!$C$6</f>
        <v>Other</v>
      </c>
      <c r="G70" t="str">
        <f t="shared" si="82"/>
        <v>0_2_1_1_1_0</v>
      </c>
      <c r="H70" s="36" t="e">
        <f ca="1">SUM(INDIRECT("'"&amp;$H$26&amp;$E70&amp;$G70&amp;$P$26&amp;$E70&amp;$G70&amp;"'"&amp;$S$26&amp;H$24))</f>
        <v>#REF!</v>
      </c>
      <c r="I70" s="36" t="e">
        <f t="shared" ref="I70:R70" ca="1" si="87">SUM(INDIRECT("'"&amp;$H$26&amp;$E70&amp;$G70&amp;$P$26&amp;$E70&amp;$G70&amp;"'"&amp;$S$26&amp;I$24))</f>
        <v>#REF!</v>
      </c>
      <c r="J70" s="36" t="e">
        <f t="shared" ca="1" si="87"/>
        <v>#REF!</v>
      </c>
      <c r="K70" s="36" t="e">
        <f t="shared" ca="1" si="87"/>
        <v>#REF!</v>
      </c>
      <c r="L70" s="36" t="e">
        <f t="shared" ca="1" si="87"/>
        <v>#REF!</v>
      </c>
      <c r="M70" s="36" t="e">
        <f t="shared" ca="1" si="87"/>
        <v>#REF!</v>
      </c>
      <c r="N70" s="36" t="e">
        <f t="shared" ca="1" si="87"/>
        <v>#REF!</v>
      </c>
      <c r="O70" s="36" t="e">
        <f t="shared" ca="1" si="87"/>
        <v>#REF!</v>
      </c>
      <c r="P70" s="36" t="e">
        <f t="shared" ca="1" si="87"/>
        <v>#REF!</v>
      </c>
      <c r="Q70" s="36" t="e">
        <f t="shared" ca="1" si="87"/>
        <v>#REF!</v>
      </c>
      <c r="R70" s="36" t="e">
        <f t="shared" ca="1" si="87"/>
        <v>#REF!</v>
      </c>
    </row>
    <row r="71" spans="1:18" x14ac:dyDescent="0.2">
      <c r="D71" t="str">
        <f t="shared" ref="D71" si="88">IF(A71="L","Low",IF(A71="M","Medium",IF(A71="H","High","")))</f>
        <v/>
      </c>
      <c r="E71" t="str">
        <f t="shared" si="23"/>
        <v/>
      </c>
      <c r="G71" t="str">
        <f t="shared" si="82"/>
        <v/>
      </c>
      <c r="H71" t="e">
        <f ca="1">SUM(H68:H70)</f>
        <v>#REF!</v>
      </c>
      <c r="I71" t="e">
        <f t="shared" ref="I71:R71" ca="1" si="89">SUM(I68:I70)</f>
        <v>#REF!</v>
      </c>
      <c r="J71" t="e">
        <f t="shared" ca="1" si="89"/>
        <v>#REF!</v>
      </c>
      <c r="K71" t="e">
        <f t="shared" ca="1" si="89"/>
        <v>#REF!</v>
      </c>
      <c r="L71" t="e">
        <f t="shared" ca="1" si="89"/>
        <v>#REF!</v>
      </c>
      <c r="M71" t="e">
        <f t="shared" ca="1" si="89"/>
        <v>#REF!</v>
      </c>
      <c r="N71" t="e">
        <f t="shared" ca="1" si="89"/>
        <v>#REF!</v>
      </c>
      <c r="O71" t="e">
        <f t="shared" ca="1" si="89"/>
        <v>#REF!</v>
      </c>
      <c r="P71" t="e">
        <f t="shared" ca="1" si="89"/>
        <v>#REF!</v>
      </c>
      <c r="Q71" t="e">
        <f t="shared" ca="1" si="89"/>
        <v>#REF!</v>
      </c>
      <c r="R71" t="e">
        <f t="shared" ca="1" si="89"/>
        <v>#REF!</v>
      </c>
    </row>
    <row r="72" spans="1:18" x14ac:dyDescent="0.2">
      <c r="A72" t="str">
        <f>IF(D72="Low","L"&amp;C72,IF(D72="Medium","M"&amp;C72,IF(D72="High","H"&amp;C72,"")))</f>
        <v>H50</v>
      </c>
      <c r="B72" t="s">
        <v>79</v>
      </c>
      <c r="C72">
        <v>50</v>
      </c>
      <c r="D72" t="s">
        <v>298</v>
      </c>
      <c r="E72" t="str">
        <f>IF(B72="D1","ouest_cd-",IF(B72="D2","sud_cd-",IF(B72="D3","est_cd-","")))</f>
        <v>sud_cd-</v>
      </c>
      <c r="F72" t="str">
        <f>[1]Demand!$C$4</f>
        <v>Household</v>
      </c>
      <c r="G72" t="str">
        <f t="shared" si="82"/>
        <v>0_2_2_2_2_0</v>
      </c>
      <c r="H72" s="36" t="e" cm="1">
        <f t="array" aca="1" ref="H72" ca="1">INDIRECT("'"&amp;$H$26&amp;$E72&amp;$G72&amp;$P$26&amp;$E72&amp;$G72&amp;"'"&amp;$S$26&amp;H$22)</f>
        <v>#REF!</v>
      </c>
      <c r="I72" s="36" t="e" cm="1">
        <f t="array" aca="1" ref="I72" ca="1">INDIRECT("'"&amp;$H$26&amp;$E72&amp;$G72&amp;$P$26&amp;$E72&amp;$G72&amp;"'"&amp;$S$26&amp;I$22)</f>
        <v>#REF!</v>
      </c>
      <c r="J72" s="36" t="e" cm="1">
        <f t="array" aca="1" ref="J72" ca="1">INDIRECT("'"&amp;$H$26&amp;$E72&amp;$G72&amp;$P$26&amp;$E72&amp;$G72&amp;"'"&amp;$S$26&amp;J$22)</f>
        <v>#REF!</v>
      </c>
      <c r="K72" s="36" t="e" cm="1">
        <f t="array" aca="1" ref="K72" ca="1">INDIRECT("'"&amp;$H$26&amp;$E72&amp;$G72&amp;$P$26&amp;$E72&amp;$G72&amp;"'"&amp;$S$26&amp;K$22)</f>
        <v>#REF!</v>
      </c>
      <c r="L72" s="36" t="e" cm="1">
        <f t="array" aca="1" ref="L72" ca="1">INDIRECT("'"&amp;$H$26&amp;$E72&amp;$G72&amp;$P$26&amp;$E72&amp;$G72&amp;"'"&amp;$S$26&amp;L$22)</f>
        <v>#REF!</v>
      </c>
      <c r="M72" s="36" t="e" cm="1">
        <f t="array" aca="1" ref="M72" ca="1">INDIRECT("'"&amp;$H$26&amp;$E72&amp;$G72&amp;$P$26&amp;$E72&amp;$G72&amp;"'"&amp;$S$26&amp;M$22)</f>
        <v>#REF!</v>
      </c>
      <c r="N72" s="36" t="e" cm="1">
        <f t="array" aca="1" ref="N72" ca="1">INDIRECT("'"&amp;$H$26&amp;$E72&amp;$G72&amp;$P$26&amp;$E72&amp;$G72&amp;"'"&amp;$S$26&amp;N$22)</f>
        <v>#REF!</v>
      </c>
      <c r="O72" s="36" t="e" cm="1">
        <f t="array" aca="1" ref="O72" ca="1">INDIRECT("'"&amp;$H$26&amp;$E72&amp;$G72&amp;$P$26&amp;$E72&amp;$G72&amp;"'"&amp;$S$26&amp;O$22)</f>
        <v>#REF!</v>
      </c>
      <c r="P72" s="36" t="e" cm="1">
        <f t="array" aca="1" ref="P72" ca="1">INDIRECT("'"&amp;$H$26&amp;$E72&amp;$G72&amp;$P$26&amp;$E72&amp;$G72&amp;"'"&amp;$S$26&amp;P$22)</f>
        <v>#REF!</v>
      </c>
      <c r="Q72" s="36" t="e" cm="1">
        <f t="array" aca="1" ref="Q72" ca="1">INDIRECT("'"&amp;$H$26&amp;$E72&amp;$G72&amp;$P$26&amp;$E72&amp;$G72&amp;"'"&amp;$S$26&amp;Q$22)</f>
        <v>#REF!</v>
      </c>
      <c r="R72" s="36" t="e" cm="1">
        <f t="array" aca="1" ref="R72" ca="1">INDIRECT("'"&amp;$H$26&amp;$E72&amp;$G72&amp;$P$26&amp;$E72&amp;$G72&amp;"'"&amp;$S$26&amp;R$22)</f>
        <v>#REF!</v>
      </c>
    </row>
    <row r="73" spans="1:18" x14ac:dyDescent="0.2">
      <c r="A73" t="str">
        <f>IF(D73="Low","L"&amp;C73,IF(D73="Medium","M"&amp;C73,IF(D73="High","H"&amp;C73,"")))</f>
        <v>H50</v>
      </c>
      <c r="B73" t="s">
        <v>79</v>
      </c>
      <c r="C73">
        <v>50</v>
      </c>
      <c r="D73" t="s">
        <v>298</v>
      </c>
      <c r="E73" t="str">
        <f t="shared" ref="E73:E74" si="90">IF(B73="D1","ouest_cd-",IF(B73="D2","sud_cd-",IF(B73="D3","est_cd-","")))</f>
        <v>sud_cd-</v>
      </c>
      <c r="F73" t="str">
        <f>[1]Demand!$C$5</f>
        <v>Industry</v>
      </c>
      <c r="G73" t="str">
        <f t="shared" si="82"/>
        <v>0_2_2_2_2_0</v>
      </c>
      <c r="H73" s="36" t="e" cm="1">
        <f t="array" aca="1" ref="H73" ca="1">INDIRECT("'"&amp;$H$26&amp;$E73&amp;$G73&amp;$P$26&amp;$E73&amp;$G73&amp;"'"&amp;$S$26&amp;H$23)</f>
        <v>#REF!</v>
      </c>
      <c r="I73" s="36" t="e" cm="1">
        <f t="array" aca="1" ref="I73" ca="1">INDIRECT("'"&amp;$H$26&amp;$E73&amp;$G73&amp;$P$26&amp;$E73&amp;$G73&amp;"'"&amp;$S$26&amp;I$23)</f>
        <v>#REF!</v>
      </c>
      <c r="J73" s="36" t="e" cm="1">
        <f t="array" aca="1" ref="J73" ca="1">INDIRECT("'"&amp;$H$26&amp;$E73&amp;$G73&amp;$P$26&amp;$E73&amp;$G73&amp;"'"&amp;$S$26&amp;J$23)</f>
        <v>#REF!</v>
      </c>
      <c r="K73" s="36" t="e" cm="1">
        <f t="array" aca="1" ref="K73" ca="1">INDIRECT("'"&amp;$H$26&amp;$E73&amp;$G73&amp;$P$26&amp;$E73&amp;$G73&amp;"'"&amp;$S$26&amp;K$23)</f>
        <v>#REF!</v>
      </c>
      <c r="L73" s="36" t="e" cm="1">
        <f t="array" aca="1" ref="L73" ca="1">INDIRECT("'"&amp;$H$26&amp;$E73&amp;$G73&amp;$P$26&amp;$E73&amp;$G73&amp;"'"&amp;$S$26&amp;L$23)</f>
        <v>#REF!</v>
      </c>
      <c r="M73" s="36" t="e" cm="1">
        <f t="array" aca="1" ref="M73" ca="1">INDIRECT("'"&amp;$H$26&amp;$E73&amp;$G73&amp;$P$26&amp;$E73&amp;$G73&amp;"'"&amp;$S$26&amp;M$23)</f>
        <v>#REF!</v>
      </c>
      <c r="N73" s="36" t="e" cm="1">
        <f t="array" aca="1" ref="N73" ca="1">INDIRECT("'"&amp;$H$26&amp;$E73&amp;$G73&amp;$P$26&amp;$E73&amp;$G73&amp;"'"&amp;$S$26&amp;N$23)</f>
        <v>#REF!</v>
      </c>
      <c r="O73" s="36" t="e" cm="1">
        <f t="array" aca="1" ref="O73" ca="1">INDIRECT("'"&amp;$H$26&amp;$E73&amp;$G73&amp;$P$26&amp;$E73&amp;$G73&amp;"'"&amp;$S$26&amp;O$23)</f>
        <v>#REF!</v>
      </c>
      <c r="P73" s="36" t="e" cm="1">
        <f t="array" aca="1" ref="P73" ca="1">INDIRECT("'"&amp;$H$26&amp;$E73&amp;$G73&amp;$P$26&amp;$E73&amp;$G73&amp;"'"&amp;$S$26&amp;P$23)</f>
        <v>#REF!</v>
      </c>
      <c r="Q73" s="36" t="e" cm="1">
        <f t="array" aca="1" ref="Q73" ca="1">INDIRECT("'"&amp;$H$26&amp;$E73&amp;$G73&amp;$P$26&amp;$E73&amp;$G73&amp;"'"&amp;$S$26&amp;Q$23)</f>
        <v>#REF!</v>
      </c>
      <c r="R73" s="36" t="e" cm="1">
        <f t="array" aca="1" ref="R73" ca="1">INDIRECT("'"&amp;$H$26&amp;$E73&amp;$G73&amp;$P$26&amp;$E73&amp;$G73&amp;"'"&amp;$S$26&amp;R$23)</f>
        <v>#REF!</v>
      </c>
    </row>
    <row r="74" spans="1:18" x14ac:dyDescent="0.2">
      <c r="A74" t="str">
        <f>IF(D74="Low","L"&amp;C74,IF(D74="Medium","M"&amp;C74,IF(D74="High","H"&amp;C74,"")))</f>
        <v>H50</v>
      </c>
      <c r="B74" t="s">
        <v>79</v>
      </c>
      <c r="C74">
        <v>50</v>
      </c>
      <c r="D74" t="s">
        <v>298</v>
      </c>
      <c r="E74" t="str">
        <f t="shared" si="90"/>
        <v>sud_cd-</v>
      </c>
      <c r="F74" t="str">
        <f>[1]Demand!$C$6</f>
        <v>Other</v>
      </c>
      <c r="G74" t="str">
        <f t="shared" si="82"/>
        <v>0_2_2_2_2_0</v>
      </c>
      <c r="H74" s="36" t="e">
        <f ca="1">SUM(INDIRECT("'"&amp;$H$26&amp;$E74&amp;$G74&amp;$P$26&amp;$E74&amp;$G74&amp;"'"&amp;$S$26&amp;H$24))</f>
        <v>#REF!</v>
      </c>
      <c r="I74" s="36" t="e">
        <f t="shared" ref="I74:R74" ca="1" si="91">SUM(INDIRECT("'"&amp;$H$26&amp;$E74&amp;$G74&amp;$P$26&amp;$E74&amp;$G74&amp;"'"&amp;$S$26&amp;I$24))</f>
        <v>#REF!</v>
      </c>
      <c r="J74" s="36" t="e">
        <f t="shared" ca="1" si="91"/>
        <v>#REF!</v>
      </c>
      <c r="K74" s="36" t="e">
        <f t="shared" ca="1" si="91"/>
        <v>#REF!</v>
      </c>
      <c r="L74" s="36" t="e">
        <f t="shared" ca="1" si="91"/>
        <v>#REF!</v>
      </c>
      <c r="M74" s="36" t="e">
        <f t="shared" ca="1" si="91"/>
        <v>#REF!</v>
      </c>
      <c r="N74" s="36" t="e">
        <f t="shared" ca="1" si="91"/>
        <v>#REF!</v>
      </c>
      <c r="O74" s="36" t="e">
        <f t="shared" ca="1" si="91"/>
        <v>#REF!</v>
      </c>
      <c r="P74" s="36" t="e">
        <f t="shared" ca="1" si="91"/>
        <v>#REF!</v>
      </c>
      <c r="Q74" s="36" t="e">
        <f t="shared" ca="1" si="91"/>
        <v>#REF!</v>
      </c>
      <c r="R74" s="36" t="e">
        <f t="shared" ca="1" si="91"/>
        <v>#REF!</v>
      </c>
    </row>
    <row r="75" spans="1:18" x14ac:dyDescent="0.2">
      <c r="D75" t="str">
        <f t="shared" si="22"/>
        <v/>
      </c>
      <c r="E75" t="str">
        <f t="shared" si="23"/>
        <v/>
      </c>
      <c r="G75" t="str">
        <f t="shared" si="82"/>
        <v/>
      </c>
      <c r="H75" t="e">
        <f ca="1">SUM(H72:H74)</f>
        <v>#REF!</v>
      </c>
      <c r="I75" t="e">
        <f t="shared" ref="I75:R75" ca="1" si="92">SUM(I72:I74)</f>
        <v>#REF!</v>
      </c>
      <c r="J75" t="e">
        <f t="shared" ca="1" si="92"/>
        <v>#REF!</v>
      </c>
      <c r="K75" t="e">
        <f t="shared" ca="1" si="92"/>
        <v>#REF!</v>
      </c>
      <c r="L75" t="e">
        <f t="shared" ca="1" si="92"/>
        <v>#REF!</v>
      </c>
      <c r="M75" t="e">
        <f t="shared" ca="1" si="92"/>
        <v>#REF!</v>
      </c>
      <c r="N75" t="e">
        <f t="shared" ca="1" si="92"/>
        <v>#REF!</v>
      </c>
      <c r="O75" t="e">
        <f t="shared" ca="1" si="92"/>
        <v>#REF!</v>
      </c>
      <c r="P75" t="e">
        <f t="shared" ca="1" si="92"/>
        <v>#REF!</v>
      </c>
      <c r="Q75" t="e">
        <f t="shared" ca="1" si="92"/>
        <v>#REF!</v>
      </c>
      <c r="R75" t="e">
        <f t="shared" ca="1" si="92"/>
        <v>#REF!</v>
      </c>
    </row>
    <row r="76" spans="1:18" x14ac:dyDescent="0.2">
      <c r="A76" t="str">
        <f>IF(D76="Low","L"&amp;C76,IF(D76="Medium","M"&amp;C76,IF(D76="High","H"&amp;C76,"")))</f>
        <v>L75</v>
      </c>
      <c r="B76" t="str">
        <f>IF(B64="","",B64)</f>
        <v>D2</v>
      </c>
      <c r="C76">
        <f>IF(B76="","",$A$9)</f>
        <v>75</v>
      </c>
      <c r="D76" t="str">
        <f>IF(D64="","",D64)</f>
        <v>Low</v>
      </c>
      <c r="E76" t="str">
        <f>IF(E64="","",E64)</f>
        <v>sud_cd-</v>
      </c>
      <c r="F76" t="str">
        <f>IF(F64="","",F64)</f>
        <v>Household</v>
      </c>
      <c r="G76" t="str">
        <f t="shared" si="82"/>
        <v>0_0_0_0_0_0</v>
      </c>
      <c r="H76" s="36" t="e" cm="1">
        <f t="array" aca="1" ref="H76" ca="1">INDIRECT("'"&amp;$H$26&amp;$E76&amp;$G76&amp;$P$26&amp;$E76&amp;$G76&amp;"'"&amp;$S$26&amp;H$22)</f>
        <v>#REF!</v>
      </c>
      <c r="I76" s="36" t="e" cm="1">
        <f t="array" aca="1" ref="I76" ca="1">INDIRECT("'"&amp;$H$26&amp;$E76&amp;$G76&amp;$P$26&amp;$E76&amp;$G76&amp;"'"&amp;$S$26&amp;I$22)</f>
        <v>#REF!</v>
      </c>
      <c r="J76" s="36" t="e" cm="1">
        <f t="array" aca="1" ref="J76" ca="1">INDIRECT("'"&amp;$H$26&amp;$E76&amp;$G76&amp;$P$26&amp;$E76&amp;$G76&amp;"'"&amp;$S$26&amp;J$22)</f>
        <v>#REF!</v>
      </c>
      <c r="K76" s="36" t="e" cm="1">
        <f t="array" aca="1" ref="K76" ca="1">INDIRECT("'"&amp;$H$26&amp;$E76&amp;$G76&amp;$P$26&amp;$E76&amp;$G76&amp;"'"&amp;$S$26&amp;K$22)</f>
        <v>#REF!</v>
      </c>
      <c r="L76" s="36" t="e" cm="1">
        <f t="array" aca="1" ref="L76" ca="1">INDIRECT("'"&amp;$H$26&amp;$E76&amp;$G76&amp;$P$26&amp;$E76&amp;$G76&amp;"'"&amp;$S$26&amp;L$22)</f>
        <v>#REF!</v>
      </c>
      <c r="M76" s="36" t="e" cm="1">
        <f t="array" aca="1" ref="M76" ca="1">INDIRECT("'"&amp;$H$26&amp;$E76&amp;$G76&amp;$P$26&amp;$E76&amp;$G76&amp;"'"&amp;$S$26&amp;M$22)</f>
        <v>#REF!</v>
      </c>
      <c r="N76" s="36" t="e" cm="1">
        <f t="array" aca="1" ref="N76" ca="1">INDIRECT("'"&amp;$H$26&amp;$E76&amp;$G76&amp;$P$26&amp;$E76&amp;$G76&amp;"'"&amp;$S$26&amp;N$22)</f>
        <v>#REF!</v>
      </c>
      <c r="O76" s="36" t="e" cm="1">
        <f t="array" aca="1" ref="O76" ca="1">INDIRECT("'"&amp;$H$26&amp;$E76&amp;$G76&amp;$P$26&amp;$E76&amp;$G76&amp;"'"&amp;$S$26&amp;O$22)</f>
        <v>#REF!</v>
      </c>
      <c r="P76" s="36" t="e" cm="1">
        <f t="array" aca="1" ref="P76" ca="1">INDIRECT("'"&amp;$H$26&amp;$E76&amp;$G76&amp;$P$26&amp;$E76&amp;$G76&amp;"'"&amp;$S$26&amp;P$22)</f>
        <v>#REF!</v>
      </c>
      <c r="Q76" s="36" t="e" cm="1">
        <f t="array" aca="1" ref="Q76" ca="1">INDIRECT("'"&amp;$H$26&amp;$E76&amp;$G76&amp;$P$26&amp;$E76&amp;$G76&amp;"'"&amp;$S$26&amp;Q$22)</f>
        <v>#REF!</v>
      </c>
      <c r="R76" s="36" t="e" cm="1">
        <f t="array" aca="1" ref="R76" ca="1">INDIRECT("'"&amp;$H$26&amp;$E76&amp;$G76&amp;$P$26&amp;$E76&amp;$G76&amp;"'"&amp;$S$26&amp;R$22)</f>
        <v>#REF!</v>
      </c>
    </row>
    <row r="77" spans="1:18" x14ac:dyDescent="0.2">
      <c r="A77" t="str">
        <f t="shared" ref="A77:A98" si="93">IF(D77="Low","L"&amp;C77,IF(D77="Medium","M"&amp;C77,IF(D77="High","H"&amp;C77,"")))</f>
        <v>L75</v>
      </c>
      <c r="B77" t="str">
        <f t="shared" ref="B77:B98" si="94">IF(B65="","",B65)</f>
        <v>D2</v>
      </c>
      <c r="C77">
        <f t="shared" ref="C77:C87" si="95">IF(B77="","",$A$9)</f>
        <v>75</v>
      </c>
      <c r="D77" t="str">
        <f t="shared" ref="D77:F77" si="96">IF(D65="","",D65)</f>
        <v>Low</v>
      </c>
      <c r="E77" t="str">
        <f t="shared" si="96"/>
        <v>sud_cd-</v>
      </c>
      <c r="F77" t="str">
        <f t="shared" si="96"/>
        <v>Industry</v>
      </c>
      <c r="G77" t="str">
        <f t="shared" si="82"/>
        <v>0_0_0_0_0_0</v>
      </c>
      <c r="H77" s="36" t="e" cm="1">
        <f t="array" aca="1" ref="H77" ca="1">INDIRECT("'"&amp;$H$26&amp;$E77&amp;$G77&amp;$P$26&amp;$E77&amp;$G77&amp;"'"&amp;$S$26&amp;H$23)</f>
        <v>#REF!</v>
      </c>
      <c r="I77" s="36" t="e" cm="1">
        <f t="array" aca="1" ref="I77" ca="1">INDIRECT("'"&amp;$H$26&amp;$E77&amp;$G77&amp;$P$26&amp;$E77&amp;$G77&amp;"'"&amp;$S$26&amp;I$23)</f>
        <v>#REF!</v>
      </c>
      <c r="J77" s="36" t="e" cm="1">
        <f t="array" aca="1" ref="J77" ca="1">INDIRECT("'"&amp;$H$26&amp;$E77&amp;$G77&amp;$P$26&amp;$E77&amp;$G77&amp;"'"&amp;$S$26&amp;J$23)</f>
        <v>#REF!</v>
      </c>
      <c r="K77" s="36" t="e" cm="1">
        <f t="array" aca="1" ref="K77" ca="1">INDIRECT("'"&amp;$H$26&amp;$E77&amp;$G77&amp;$P$26&amp;$E77&amp;$G77&amp;"'"&amp;$S$26&amp;K$23)</f>
        <v>#REF!</v>
      </c>
      <c r="L77" s="36" t="e" cm="1">
        <f t="array" aca="1" ref="L77" ca="1">INDIRECT("'"&amp;$H$26&amp;$E77&amp;$G77&amp;$P$26&amp;$E77&amp;$G77&amp;"'"&amp;$S$26&amp;L$23)</f>
        <v>#REF!</v>
      </c>
      <c r="M77" s="36" t="e" cm="1">
        <f t="array" aca="1" ref="M77" ca="1">INDIRECT("'"&amp;$H$26&amp;$E77&amp;$G77&amp;$P$26&amp;$E77&amp;$G77&amp;"'"&amp;$S$26&amp;M$23)</f>
        <v>#REF!</v>
      </c>
      <c r="N77" s="36" t="e" cm="1">
        <f t="array" aca="1" ref="N77" ca="1">INDIRECT("'"&amp;$H$26&amp;$E77&amp;$G77&amp;$P$26&amp;$E77&amp;$G77&amp;"'"&amp;$S$26&amp;N$23)</f>
        <v>#REF!</v>
      </c>
      <c r="O77" s="36" t="e" cm="1">
        <f t="array" aca="1" ref="O77" ca="1">INDIRECT("'"&amp;$H$26&amp;$E77&amp;$G77&amp;$P$26&amp;$E77&amp;$G77&amp;"'"&amp;$S$26&amp;O$23)</f>
        <v>#REF!</v>
      </c>
      <c r="P77" s="36" t="e" cm="1">
        <f t="array" aca="1" ref="P77" ca="1">INDIRECT("'"&amp;$H$26&amp;$E77&amp;$G77&amp;$P$26&amp;$E77&amp;$G77&amp;"'"&amp;$S$26&amp;P$23)</f>
        <v>#REF!</v>
      </c>
      <c r="Q77" s="36" t="e" cm="1">
        <f t="array" aca="1" ref="Q77" ca="1">INDIRECT("'"&amp;$H$26&amp;$E77&amp;$G77&amp;$P$26&amp;$E77&amp;$G77&amp;"'"&amp;$S$26&amp;Q$23)</f>
        <v>#REF!</v>
      </c>
      <c r="R77" s="36" t="e" cm="1">
        <f t="array" aca="1" ref="R77" ca="1">INDIRECT("'"&amp;$H$26&amp;$E77&amp;$G77&amp;$P$26&amp;$E77&amp;$G77&amp;"'"&amp;$S$26&amp;R$23)</f>
        <v>#REF!</v>
      </c>
    </row>
    <row r="78" spans="1:18" x14ac:dyDescent="0.2">
      <c r="A78" t="str">
        <f t="shared" si="93"/>
        <v>L75</v>
      </c>
      <c r="B78" t="str">
        <f t="shared" si="94"/>
        <v>D2</v>
      </c>
      <c r="C78">
        <f t="shared" si="95"/>
        <v>75</v>
      </c>
      <c r="D78" t="str">
        <f t="shared" ref="D78:F78" si="97">IF(D66="","",D66)</f>
        <v>Low</v>
      </c>
      <c r="E78" t="str">
        <f t="shared" si="97"/>
        <v>sud_cd-</v>
      </c>
      <c r="F78" t="str">
        <f t="shared" si="97"/>
        <v>Other</v>
      </c>
      <c r="G78" t="str">
        <f t="shared" si="82"/>
        <v>0_0_0_0_0_0</v>
      </c>
      <c r="H78" s="36" t="e">
        <f ca="1">SUM(INDIRECT("'"&amp;$H$26&amp;$E78&amp;$G78&amp;$P$26&amp;$E78&amp;$G78&amp;"'"&amp;$S$26&amp;H$24))</f>
        <v>#REF!</v>
      </c>
      <c r="I78" s="36" t="e">
        <f t="shared" ref="I78:R78" ca="1" si="98">SUM(INDIRECT("'"&amp;$H$26&amp;$E78&amp;$G78&amp;$P$26&amp;$E78&amp;$G78&amp;"'"&amp;$S$26&amp;I$24))</f>
        <v>#REF!</v>
      </c>
      <c r="J78" s="36" t="e">
        <f t="shared" ca="1" si="98"/>
        <v>#REF!</v>
      </c>
      <c r="K78" s="36" t="e">
        <f t="shared" ca="1" si="98"/>
        <v>#REF!</v>
      </c>
      <c r="L78" s="36" t="e">
        <f t="shared" ca="1" si="98"/>
        <v>#REF!</v>
      </c>
      <c r="M78" s="36" t="e">
        <f t="shared" ca="1" si="98"/>
        <v>#REF!</v>
      </c>
      <c r="N78" s="36" t="e">
        <f t="shared" ca="1" si="98"/>
        <v>#REF!</v>
      </c>
      <c r="O78" s="36" t="e">
        <f t="shared" ca="1" si="98"/>
        <v>#REF!</v>
      </c>
      <c r="P78" s="36" t="e">
        <f t="shared" ca="1" si="98"/>
        <v>#REF!</v>
      </c>
      <c r="Q78" s="36" t="e">
        <f t="shared" ca="1" si="98"/>
        <v>#REF!</v>
      </c>
      <c r="R78" s="36" t="e">
        <f t="shared" ca="1" si="98"/>
        <v>#REF!</v>
      </c>
    </row>
    <row r="79" spans="1:18" x14ac:dyDescent="0.2">
      <c r="A79" t="str">
        <f t="shared" si="93"/>
        <v/>
      </c>
      <c r="B79" t="str">
        <f t="shared" si="94"/>
        <v/>
      </c>
      <c r="C79" t="str">
        <f t="shared" si="95"/>
        <v/>
      </c>
      <c r="D79" t="str">
        <f t="shared" ref="D79:F79" si="99">IF(D67="","",D67)</f>
        <v/>
      </c>
      <c r="E79" t="str">
        <f t="shared" si="99"/>
        <v/>
      </c>
      <c r="F79" t="str">
        <f t="shared" si="99"/>
        <v/>
      </c>
      <c r="G79" t="str">
        <f t="shared" si="82"/>
        <v/>
      </c>
      <c r="H79" t="e">
        <f ca="1">SUM(H76:H78)</f>
        <v>#REF!</v>
      </c>
      <c r="I79" t="e">
        <f t="shared" ref="I79:R79" ca="1" si="100">SUM(I76:I78)</f>
        <v>#REF!</v>
      </c>
      <c r="J79" t="e">
        <f t="shared" ca="1" si="100"/>
        <v>#REF!</v>
      </c>
      <c r="K79" t="e">
        <f t="shared" ca="1" si="100"/>
        <v>#REF!</v>
      </c>
      <c r="L79" t="e">
        <f t="shared" ca="1" si="100"/>
        <v>#REF!</v>
      </c>
      <c r="M79" t="e">
        <f t="shared" ca="1" si="100"/>
        <v>#REF!</v>
      </c>
      <c r="N79" t="e">
        <f t="shared" ca="1" si="100"/>
        <v>#REF!</v>
      </c>
      <c r="O79" t="e">
        <f t="shared" ca="1" si="100"/>
        <v>#REF!</v>
      </c>
      <c r="P79" t="e">
        <f t="shared" ca="1" si="100"/>
        <v>#REF!</v>
      </c>
      <c r="Q79" t="e">
        <f t="shared" ca="1" si="100"/>
        <v>#REF!</v>
      </c>
      <c r="R79" t="e">
        <f t="shared" ca="1" si="100"/>
        <v>#REF!</v>
      </c>
    </row>
    <row r="80" spans="1:18" x14ac:dyDescent="0.2">
      <c r="A80" t="str">
        <f t="shared" si="93"/>
        <v>M75</v>
      </c>
      <c r="B80" t="str">
        <f t="shared" si="94"/>
        <v>D2</v>
      </c>
      <c r="C80">
        <f t="shared" si="95"/>
        <v>75</v>
      </c>
      <c r="D80" t="str">
        <f t="shared" ref="D80:F80" si="101">IF(D68="","",D68)</f>
        <v>Medium</v>
      </c>
      <c r="E80" t="str">
        <f t="shared" si="101"/>
        <v>sud_cd-</v>
      </c>
      <c r="F80" t="str">
        <f t="shared" si="101"/>
        <v>Household</v>
      </c>
      <c r="G80" t="str">
        <f t="shared" si="82"/>
        <v>0_0_1_1_1_0</v>
      </c>
      <c r="H80" s="36" t="e" cm="1">
        <f t="array" aca="1" ref="H80" ca="1">INDIRECT("'"&amp;$H$26&amp;$E80&amp;$G80&amp;$P$26&amp;$E80&amp;$G80&amp;"'"&amp;$S$26&amp;H$22)</f>
        <v>#REF!</v>
      </c>
      <c r="I80" s="36" t="e" cm="1">
        <f t="array" aca="1" ref="I80" ca="1">INDIRECT("'"&amp;$H$26&amp;$E80&amp;$G80&amp;$P$26&amp;$E80&amp;$G80&amp;"'"&amp;$S$26&amp;I$22)</f>
        <v>#REF!</v>
      </c>
      <c r="J80" s="36" t="e" cm="1">
        <f t="array" aca="1" ref="J80" ca="1">INDIRECT("'"&amp;$H$26&amp;$E80&amp;$G80&amp;$P$26&amp;$E80&amp;$G80&amp;"'"&amp;$S$26&amp;J$22)</f>
        <v>#REF!</v>
      </c>
      <c r="K80" s="36" t="e" cm="1">
        <f t="array" aca="1" ref="K80" ca="1">INDIRECT("'"&amp;$H$26&amp;$E80&amp;$G80&amp;$P$26&amp;$E80&amp;$G80&amp;"'"&amp;$S$26&amp;K$22)</f>
        <v>#REF!</v>
      </c>
      <c r="L80" s="36" t="e" cm="1">
        <f t="array" aca="1" ref="L80" ca="1">INDIRECT("'"&amp;$H$26&amp;$E80&amp;$G80&amp;$P$26&amp;$E80&amp;$G80&amp;"'"&amp;$S$26&amp;L$22)</f>
        <v>#REF!</v>
      </c>
      <c r="M80" s="36" t="e" cm="1">
        <f t="array" aca="1" ref="M80" ca="1">INDIRECT("'"&amp;$H$26&amp;$E80&amp;$G80&amp;$P$26&amp;$E80&amp;$G80&amp;"'"&amp;$S$26&amp;M$22)</f>
        <v>#REF!</v>
      </c>
      <c r="N80" s="36" t="e" cm="1">
        <f t="array" aca="1" ref="N80" ca="1">INDIRECT("'"&amp;$H$26&amp;$E80&amp;$G80&amp;$P$26&amp;$E80&amp;$G80&amp;"'"&amp;$S$26&amp;N$22)</f>
        <v>#REF!</v>
      </c>
      <c r="O80" s="36" t="e" cm="1">
        <f t="array" aca="1" ref="O80" ca="1">INDIRECT("'"&amp;$H$26&amp;$E80&amp;$G80&amp;$P$26&amp;$E80&amp;$G80&amp;"'"&amp;$S$26&amp;O$22)</f>
        <v>#REF!</v>
      </c>
      <c r="P80" s="36" t="e" cm="1">
        <f t="array" aca="1" ref="P80" ca="1">INDIRECT("'"&amp;$H$26&amp;$E80&amp;$G80&amp;$P$26&amp;$E80&amp;$G80&amp;"'"&amp;$S$26&amp;P$22)</f>
        <v>#REF!</v>
      </c>
      <c r="Q80" s="36" t="e" cm="1">
        <f t="array" aca="1" ref="Q80" ca="1">INDIRECT("'"&amp;$H$26&amp;$E80&amp;$G80&amp;$P$26&amp;$E80&amp;$G80&amp;"'"&amp;$S$26&amp;Q$22)</f>
        <v>#REF!</v>
      </c>
      <c r="R80" s="36" t="e" cm="1">
        <f t="array" aca="1" ref="R80" ca="1">INDIRECT("'"&amp;$H$26&amp;$E80&amp;$G80&amp;$P$26&amp;$E80&amp;$G80&amp;"'"&amp;$S$26&amp;R$22)</f>
        <v>#REF!</v>
      </c>
    </row>
    <row r="81" spans="1:18" x14ac:dyDescent="0.2">
      <c r="A81" t="str">
        <f t="shared" si="93"/>
        <v>M75</v>
      </c>
      <c r="B81" t="str">
        <f t="shared" si="94"/>
        <v>D2</v>
      </c>
      <c r="C81">
        <f t="shared" si="95"/>
        <v>75</v>
      </c>
      <c r="D81" t="str">
        <f t="shared" ref="D81:F81" si="102">IF(D69="","",D69)</f>
        <v>Medium</v>
      </c>
      <c r="E81" t="str">
        <f t="shared" si="102"/>
        <v>sud_cd-</v>
      </c>
      <c r="F81" t="str">
        <f t="shared" si="102"/>
        <v>Industry</v>
      </c>
      <c r="G81" t="str">
        <f t="shared" si="82"/>
        <v>0_0_1_1_1_0</v>
      </c>
      <c r="H81" s="36" t="e" cm="1">
        <f t="array" aca="1" ref="H81" ca="1">INDIRECT("'"&amp;$H$26&amp;$E81&amp;$G81&amp;$P$26&amp;$E81&amp;$G81&amp;"'"&amp;$S$26&amp;H$23)</f>
        <v>#REF!</v>
      </c>
      <c r="I81" s="36" t="e" cm="1">
        <f t="array" aca="1" ref="I81" ca="1">INDIRECT("'"&amp;$H$26&amp;$E81&amp;$G81&amp;$P$26&amp;$E81&amp;$G81&amp;"'"&amp;$S$26&amp;I$23)</f>
        <v>#REF!</v>
      </c>
      <c r="J81" s="36" t="e" cm="1">
        <f t="array" aca="1" ref="J81" ca="1">INDIRECT("'"&amp;$H$26&amp;$E81&amp;$G81&amp;$P$26&amp;$E81&amp;$G81&amp;"'"&amp;$S$26&amp;J$23)</f>
        <v>#REF!</v>
      </c>
      <c r="K81" s="36" t="e" cm="1">
        <f t="array" aca="1" ref="K81" ca="1">INDIRECT("'"&amp;$H$26&amp;$E81&amp;$G81&amp;$P$26&amp;$E81&amp;$G81&amp;"'"&amp;$S$26&amp;K$23)</f>
        <v>#REF!</v>
      </c>
      <c r="L81" s="36" t="e" cm="1">
        <f t="array" aca="1" ref="L81" ca="1">INDIRECT("'"&amp;$H$26&amp;$E81&amp;$G81&amp;$P$26&amp;$E81&amp;$G81&amp;"'"&amp;$S$26&amp;L$23)</f>
        <v>#REF!</v>
      </c>
      <c r="M81" s="36" t="e" cm="1">
        <f t="array" aca="1" ref="M81" ca="1">INDIRECT("'"&amp;$H$26&amp;$E81&amp;$G81&amp;$P$26&amp;$E81&amp;$G81&amp;"'"&amp;$S$26&amp;M$23)</f>
        <v>#REF!</v>
      </c>
      <c r="N81" s="36" t="e" cm="1">
        <f t="array" aca="1" ref="N81" ca="1">INDIRECT("'"&amp;$H$26&amp;$E81&amp;$G81&amp;$P$26&amp;$E81&amp;$G81&amp;"'"&amp;$S$26&amp;N$23)</f>
        <v>#REF!</v>
      </c>
      <c r="O81" s="36" t="e" cm="1">
        <f t="array" aca="1" ref="O81" ca="1">INDIRECT("'"&amp;$H$26&amp;$E81&amp;$G81&amp;$P$26&amp;$E81&amp;$G81&amp;"'"&amp;$S$26&amp;O$23)</f>
        <v>#REF!</v>
      </c>
      <c r="P81" s="36" t="e" cm="1">
        <f t="array" aca="1" ref="P81" ca="1">INDIRECT("'"&amp;$H$26&amp;$E81&amp;$G81&amp;$P$26&amp;$E81&amp;$G81&amp;"'"&amp;$S$26&amp;P$23)</f>
        <v>#REF!</v>
      </c>
      <c r="Q81" s="36" t="e" cm="1">
        <f t="array" aca="1" ref="Q81" ca="1">INDIRECT("'"&amp;$H$26&amp;$E81&amp;$G81&amp;$P$26&amp;$E81&amp;$G81&amp;"'"&amp;$S$26&amp;Q$23)</f>
        <v>#REF!</v>
      </c>
      <c r="R81" s="36" t="e" cm="1">
        <f t="array" aca="1" ref="R81" ca="1">INDIRECT("'"&amp;$H$26&amp;$E81&amp;$G81&amp;$P$26&amp;$E81&amp;$G81&amp;"'"&amp;$S$26&amp;R$23)</f>
        <v>#REF!</v>
      </c>
    </row>
    <row r="82" spans="1:18" x14ac:dyDescent="0.2">
      <c r="A82" t="str">
        <f t="shared" si="93"/>
        <v>M75</v>
      </c>
      <c r="B82" t="str">
        <f t="shared" si="94"/>
        <v>D2</v>
      </c>
      <c r="C82">
        <f t="shared" si="95"/>
        <v>75</v>
      </c>
      <c r="D82" t="str">
        <f t="shared" ref="D82:F82" si="103">IF(D70="","",D70)</f>
        <v>Medium</v>
      </c>
      <c r="E82" t="str">
        <f t="shared" si="103"/>
        <v>sud_cd-</v>
      </c>
      <c r="F82" t="str">
        <f t="shared" si="103"/>
        <v>Other</v>
      </c>
      <c r="G82" t="str">
        <f t="shared" si="82"/>
        <v>0_0_1_1_1_0</v>
      </c>
      <c r="H82" s="36" t="e">
        <f ca="1">SUM(INDIRECT("'"&amp;$H$26&amp;$E82&amp;$G82&amp;$P$26&amp;$E82&amp;$G82&amp;"'"&amp;$S$26&amp;H$24))</f>
        <v>#REF!</v>
      </c>
      <c r="I82" s="36" t="e">
        <f t="shared" ref="I82:R82" ca="1" si="104">SUM(INDIRECT("'"&amp;$H$26&amp;$E82&amp;$G82&amp;$P$26&amp;$E82&amp;$G82&amp;"'"&amp;$S$26&amp;I$24))</f>
        <v>#REF!</v>
      </c>
      <c r="J82" s="36" t="e">
        <f t="shared" ca="1" si="104"/>
        <v>#REF!</v>
      </c>
      <c r="K82" s="36" t="e">
        <f t="shared" ca="1" si="104"/>
        <v>#REF!</v>
      </c>
      <c r="L82" s="36" t="e">
        <f t="shared" ca="1" si="104"/>
        <v>#REF!</v>
      </c>
      <c r="M82" s="36" t="e">
        <f t="shared" ca="1" si="104"/>
        <v>#REF!</v>
      </c>
      <c r="N82" s="36" t="e">
        <f t="shared" ca="1" si="104"/>
        <v>#REF!</v>
      </c>
      <c r="O82" s="36" t="e">
        <f t="shared" ca="1" si="104"/>
        <v>#REF!</v>
      </c>
      <c r="P82" s="36" t="e">
        <f t="shared" ca="1" si="104"/>
        <v>#REF!</v>
      </c>
      <c r="Q82" s="36" t="e">
        <f t="shared" ca="1" si="104"/>
        <v>#REF!</v>
      </c>
      <c r="R82" s="36" t="e">
        <f t="shared" ca="1" si="104"/>
        <v>#REF!</v>
      </c>
    </row>
    <row r="83" spans="1:18" x14ac:dyDescent="0.2">
      <c r="A83" t="str">
        <f t="shared" si="93"/>
        <v/>
      </c>
      <c r="B83" t="str">
        <f t="shared" si="94"/>
        <v/>
      </c>
      <c r="C83" t="str">
        <f t="shared" si="95"/>
        <v/>
      </c>
      <c r="D83" t="str">
        <f t="shared" ref="D83:F83" si="105">IF(D71="","",D71)</f>
        <v/>
      </c>
      <c r="E83" t="str">
        <f t="shared" si="105"/>
        <v/>
      </c>
      <c r="F83" t="str">
        <f t="shared" si="105"/>
        <v/>
      </c>
      <c r="G83" t="str">
        <f t="shared" si="82"/>
        <v/>
      </c>
      <c r="H83" t="e">
        <f ca="1">SUM(H80:H82)</f>
        <v>#REF!</v>
      </c>
      <c r="I83" t="e">
        <f t="shared" ref="I83:R83" ca="1" si="106">SUM(I80:I82)</f>
        <v>#REF!</v>
      </c>
      <c r="J83" t="e">
        <f t="shared" ca="1" si="106"/>
        <v>#REF!</v>
      </c>
      <c r="K83" t="e">
        <f t="shared" ca="1" si="106"/>
        <v>#REF!</v>
      </c>
      <c r="L83" t="e">
        <f t="shared" ca="1" si="106"/>
        <v>#REF!</v>
      </c>
      <c r="M83" t="e">
        <f t="shared" ca="1" si="106"/>
        <v>#REF!</v>
      </c>
      <c r="N83" t="e">
        <f t="shared" ca="1" si="106"/>
        <v>#REF!</v>
      </c>
      <c r="O83" t="e">
        <f t="shared" ca="1" si="106"/>
        <v>#REF!</v>
      </c>
      <c r="P83" t="e">
        <f t="shared" ca="1" si="106"/>
        <v>#REF!</v>
      </c>
      <c r="Q83" t="e">
        <f t="shared" ca="1" si="106"/>
        <v>#REF!</v>
      </c>
      <c r="R83" t="e">
        <f t="shared" ca="1" si="106"/>
        <v>#REF!</v>
      </c>
    </row>
    <row r="84" spans="1:18" x14ac:dyDescent="0.2">
      <c r="A84" t="str">
        <f t="shared" si="93"/>
        <v>H75</v>
      </c>
      <c r="B84" t="str">
        <f t="shared" si="94"/>
        <v>D2</v>
      </c>
      <c r="C84">
        <f t="shared" si="95"/>
        <v>75</v>
      </c>
      <c r="D84" t="str">
        <f t="shared" ref="D84:F84" si="107">IF(D72="","",D72)</f>
        <v>High</v>
      </c>
      <c r="E84" t="str">
        <f t="shared" si="107"/>
        <v>sud_cd-</v>
      </c>
      <c r="F84" t="str">
        <f t="shared" si="107"/>
        <v>Household</v>
      </c>
      <c r="G84" t="str">
        <f t="shared" si="82"/>
        <v>0_0_2_2_2_0</v>
      </c>
      <c r="H84" s="36" t="e" cm="1">
        <f t="array" aca="1" ref="H84" ca="1">INDIRECT("'"&amp;$H$26&amp;$E84&amp;$G84&amp;$P$26&amp;$E84&amp;$G84&amp;"'"&amp;$S$26&amp;H$22)</f>
        <v>#REF!</v>
      </c>
      <c r="I84" s="36" t="e" cm="1">
        <f t="array" aca="1" ref="I84" ca="1">INDIRECT("'"&amp;$H$26&amp;$E84&amp;$G84&amp;$P$26&amp;$E84&amp;$G84&amp;"'"&amp;$S$26&amp;I$22)</f>
        <v>#REF!</v>
      </c>
      <c r="J84" s="36" t="e" cm="1">
        <f t="array" aca="1" ref="J84" ca="1">INDIRECT("'"&amp;$H$26&amp;$E84&amp;$G84&amp;$P$26&amp;$E84&amp;$G84&amp;"'"&amp;$S$26&amp;J$22)</f>
        <v>#REF!</v>
      </c>
      <c r="K84" s="36" t="e" cm="1">
        <f t="array" aca="1" ref="K84" ca="1">INDIRECT("'"&amp;$H$26&amp;$E84&amp;$G84&amp;$P$26&amp;$E84&amp;$G84&amp;"'"&amp;$S$26&amp;K$22)</f>
        <v>#REF!</v>
      </c>
      <c r="L84" s="36" t="e" cm="1">
        <f t="array" aca="1" ref="L84" ca="1">INDIRECT("'"&amp;$H$26&amp;$E84&amp;$G84&amp;$P$26&amp;$E84&amp;$G84&amp;"'"&amp;$S$26&amp;L$22)</f>
        <v>#REF!</v>
      </c>
      <c r="M84" s="36" t="e" cm="1">
        <f t="array" aca="1" ref="M84" ca="1">INDIRECT("'"&amp;$H$26&amp;$E84&amp;$G84&amp;$P$26&amp;$E84&amp;$G84&amp;"'"&amp;$S$26&amp;M$22)</f>
        <v>#REF!</v>
      </c>
      <c r="N84" s="36" t="e" cm="1">
        <f t="array" aca="1" ref="N84" ca="1">INDIRECT("'"&amp;$H$26&amp;$E84&amp;$G84&amp;$P$26&amp;$E84&amp;$G84&amp;"'"&amp;$S$26&amp;N$22)</f>
        <v>#REF!</v>
      </c>
      <c r="O84" s="36" t="e" cm="1">
        <f t="array" aca="1" ref="O84" ca="1">INDIRECT("'"&amp;$H$26&amp;$E84&amp;$G84&amp;$P$26&amp;$E84&amp;$G84&amp;"'"&amp;$S$26&amp;O$22)</f>
        <v>#REF!</v>
      </c>
      <c r="P84" s="36" t="e" cm="1">
        <f t="array" aca="1" ref="P84" ca="1">INDIRECT("'"&amp;$H$26&amp;$E84&amp;$G84&amp;$P$26&amp;$E84&amp;$G84&amp;"'"&amp;$S$26&amp;P$22)</f>
        <v>#REF!</v>
      </c>
      <c r="Q84" s="36" t="e" cm="1">
        <f t="array" aca="1" ref="Q84" ca="1">INDIRECT("'"&amp;$H$26&amp;$E84&amp;$G84&amp;$P$26&amp;$E84&amp;$G84&amp;"'"&amp;$S$26&amp;Q$22)</f>
        <v>#REF!</v>
      </c>
      <c r="R84" s="36" t="e" cm="1">
        <f t="array" aca="1" ref="R84" ca="1">INDIRECT("'"&amp;$H$26&amp;$E84&amp;$G84&amp;$P$26&amp;$E84&amp;$G84&amp;"'"&amp;$S$26&amp;R$22)</f>
        <v>#REF!</v>
      </c>
    </row>
    <row r="85" spans="1:18" x14ac:dyDescent="0.2">
      <c r="A85" t="str">
        <f t="shared" si="93"/>
        <v>H75</v>
      </c>
      <c r="B85" t="str">
        <f t="shared" si="94"/>
        <v>D2</v>
      </c>
      <c r="C85">
        <f t="shared" si="95"/>
        <v>75</v>
      </c>
      <c r="D85" t="str">
        <f t="shared" ref="D85:F85" si="108">IF(D73="","",D73)</f>
        <v>High</v>
      </c>
      <c r="E85" t="str">
        <f t="shared" si="108"/>
        <v>sud_cd-</v>
      </c>
      <c r="F85" t="str">
        <f t="shared" si="108"/>
        <v>Industry</v>
      </c>
      <c r="G85" t="str">
        <f t="shared" si="82"/>
        <v>0_0_2_2_2_0</v>
      </c>
      <c r="H85" s="36" t="e" cm="1">
        <f t="array" aca="1" ref="H85" ca="1">INDIRECT("'"&amp;$H$26&amp;$E85&amp;$G85&amp;$P$26&amp;$E85&amp;$G85&amp;"'"&amp;$S$26&amp;H$23)</f>
        <v>#REF!</v>
      </c>
      <c r="I85" s="36" t="e" cm="1">
        <f t="array" aca="1" ref="I85" ca="1">INDIRECT("'"&amp;$H$26&amp;$E85&amp;$G85&amp;$P$26&amp;$E85&amp;$G85&amp;"'"&amp;$S$26&amp;I$23)</f>
        <v>#REF!</v>
      </c>
      <c r="J85" s="36" t="e" cm="1">
        <f t="array" aca="1" ref="J85" ca="1">INDIRECT("'"&amp;$H$26&amp;$E85&amp;$G85&amp;$P$26&amp;$E85&amp;$G85&amp;"'"&amp;$S$26&amp;J$23)</f>
        <v>#REF!</v>
      </c>
      <c r="K85" s="36" t="e" cm="1">
        <f t="array" aca="1" ref="K85" ca="1">INDIRECT("'"&amp;$H$26&amp;$E85&amp;$G85&amp;$P$26&amp;$E85&amp;$G85&amp;"'"&amp;$S$26&amp;K$23)</f>
        <v>#REF!</v>
      </c>
      <c r="L85" s="36" t="e" cm="1">
        <f t="array" aca="1" ref="L85" ca="1">INDIRECT("'"&amp;$H$26&amp;$E85&amp;$G85&amp;$P$26&amp;$E85&amp;$G85&amp;"'"&amp;$S$26&amp;L$23)</f>
        <v>#REF!</v>
      </c>
      <c r="M85" s="36" t="e" cm="1">
        <f t="array" aca="1" ref="M85" ca="1">INDIRECT("'"&amp;$H$26&amp;$E85&amp;$G85&amp;$P$26&amp;$E85&amp;$G85&amp;"'"&amp;$S$26&amp;M$23)</f>
        <v>#REF!</v>
      </c>
      <c r="N85" s="36" t="e" cm="1">
        <f t="array" aca="1" ref="N85" ca="1">INDIRECT("'"&amp;$H$26&amp;$E85&amp;$G85&amp;$P$26&amp;$E85&amp;$G85&amp;"'"&amp;$S$26&amp;N$23)</f>
        <v>#REF!</v>
      </c>
      <c r="O85" s="36" t="e" cm="1">
        <f t="array" aca="1" ref="O85" ca="1">INDIRECT("'"&amp;$H$26&amp;$E85&amp;$G85&amp;$P$26&amp;$E85&amp;$G85&amp;"'"&amp;$S$26&amp;O$23)</f>
        <v>#REF!</v>
      </c>
      <c r="P85" s="36" t="e" cm="1">
        <f t="array" aca="1" ref="P85" ca="1">INDIRECT("'"&amp;$H$26&amp;$E85&amp;$G85&amp;$P$26&amp;$E85&amp;$G85&amp;"'"&amp;$S$26&amp;P$23)</f>
        <v>#REF!</v>
      </c>
      <c r="Q85" s="36" t="e" cm="1">
        <f t="array" aca="1" ref="Q85" ca="1">INDIRECT("'"&amp;$H$26&amp;$E85&amp;$G85&amp;$P$26&amp;$E85&amp;$G85&amp;"'"&amp;$S$26&amp;Q$23)</f>
        <v>#REF!</v>
      </c>
      <c r="R85" s="36" t="e" cm="1">
        <f t="array" aca="1" ref="R85" ca="1">INDIRECT("'"&amp;$H$26&amp;$E85&amp;$G85&amp;$P$26&amp;$E85&amp;$G85&amp;"'"&amp;$S$26&amp;R$23)</f>
        <v>#REF!</v>
      </c>
    </row>
    <row r="86" spans="1:18" x14ac:dyDescent="0.2">
      <c r="A86" t="str">
        <f t="shared" si="93"/>
        <v>H75</v>
      </c>
      <c r="B86" t="str">
        <f t="shared" si="94"/>
        <v>D2</v>
      </c>
      <c r="C86">
        <f t="shared" si="95"/>
        <v>75</v>
      </c>
      <c r="D86" t="str">
        <f t="shared" ref="D86:F86" si="109">IF(D74="","",D74)</f>
        <v>High</v>
      </c>
      <c r="E86" t="str">
        <f t="shared" si="109"/>
        <v>sud_cd-</v>
      </c>
      <c r="F86" t="str">
        <f t="shared" si="109"/>
        <v>Other</v>
      </c>
      <c r="G86" t="str">
        <f t="shared" si="82"/>
        <v>0_0_2_2_2_0</v>
      </c>
      <c r="H86" s="36" t="e">
        <f ca="1">SUM(INDIRECT("'"&amp;$H$26&amp;$E86&amp;$G86&amp;$P$26&amp;$E86&amp;$G86&amp;"'"&amp;$S$26&amp;H$24))</f>
        <v>#REF!</v>
      </c>
      <c r="I86" s="36" t="e">
        <f t="shared" ref="I86:R86" ca="1" si="110">SUM(INDIRECT("'"&amp;$H$26&amp;$E86&amp;$G86&amp;$P$26&amp;$E86&amp;$G86&amp;"'"&amp;$S$26&amp;I$24))</f>
        <v>#REF!</v>
      </c>
      <c r="J86" s="36" t="e">
        <f t="shared" ca="1" si="110"/>
        <v>#REF!</v>
      </c>
      <c r="K86" s="36" t="e">
        <f t="shared" ca="1" si="110"/>
        <v>#REF!</v>
      </c>
      <c r="L86" s="36" t="e">
        <f t="shared" ca="1" si="110"/>
        <v>#REF!</v>
      </c>
      <c r="M86" s="36" t="e">
        <f t="shared" ca="1" si="110"/>
        <v>#REF!</v>
      </c>
      <c r="N86" s="36" t="e">
        <f t="shared" ca="1" si="110"/>
        <v>#REF!</v>
      </c>
      <c r="O86" s="36" t="e">
        <f t="shared" ca="1" si="110"/>
        <v>#REF!</v>
      </c>
      <c r="P86" s="36" t="e">
        <f t="shared" ca="1" si="110"/>
        <v>#REF!</v>
      </c>
      <c r="Q86" s="36" t="e">
        <f t="shared" ca="1" si="110"/>
        <v>#REF!</v>
      </c>
      <c r="R86" s="36" t="e">
        <f t="shared" ca="1" si="110"/>
        <v>#REF!</v>
      </c>
    </row>
    <row r="87" spans="1:18" x14ac:dyDescent="0.2">
      <c r="A87" t="str">
        <f t="shared" si="93"/>
        <v/>
      </c>
      <c r="B87" t="str">
        <f t="shared" si="94"/>
        <v/>
      </c>
      <c r="C87" t="str">
        <f t="shared" si="95"/>
        <v/>
      </c>
      <c r="D87" t="str">
        <f t="shared" ref="D87:F87" si="111">IF(D75="","",D75)</f>
        <v/>
      </c>
      <c r="E87" t="str">
        <f t="shared" si="111"/>
        <v/>
      </c>
      <c r="F87" t="str">
        <f t="shared" si="111"/>
        <v/>
      </c>
      <c r="G87" t="str">
        <f t="shared" si="82"/>
        <v/>
      </c>
      <c r="H87" t="e">
        <f ca="1">SUM(H84:H86)</f>
        <v>#REF!</v>
      </c>
      <c r="I87" t="e">
        <f t="shared" ref="I87:R87" ca="1" si="112">SUM(I84:I86)</f>
        <v>#REF!</v>
      </c>
      <c r="J87" t="e">
        <f t="shared" ca="1" si="112"/>
        <v>#REF!</v>
      </c>
      <c r="K87" t="e">
        <f t="shared" ca="1" si="112"/>
        <v>#REF!</v>
      </c>
      <c r="L87" t="e">
        <f t="shared" ca="1" si="112"/>
        <v>#REF!</v>
      </c>
      <c r="M87" t="e">
        <f t="shared" ca="1" si="112"/>
        <v>#REF!</v>
      </c>
      <c r="N87" t="e">
        <f t="shared" ca="1" si="112"/>
        <v>#REF!</v>
      </c>
      <c r="O87" t="e">
        <f t="shared" ca="1" si="112"/>
        <v>#REF!</v>
      </c>
      <c r="P87" t="e">
        <f t="shared" ca="1" si="112"/>
        <v>#REF!</v>
      </c>
      <c r="Q87" t="e">
        <f t="shared" ca="1" si="112"/>
        <v>#REF!</v>
      </c>
      <c r="R87" t="e">
        <f t="shared" ca="1" si="112"/>
        <v>#REF!</v>
      </c>
    </row>
    <row r="88" spans="1:18" x14ac:dyDescent="0.2">
      <c r="A88" t="str">
        <f t="shared" si="93"/>
        <v>L100</v>
      </c>
      <c r="B88" t="str">
        <f t="shared" si="94"/>
        <v>D2</v>
      </c>
      <c r="C88">
        <f>IF(B88="","",$A$10)</f>
        <v>100</v>
      </c>
      <c r="D88" t="str">
        <f t="shared" ref="D88:F88" si="113">IF(D76="","",D76)</f>
        <v>Low</v>
      </c>
      <c r="E88" t="str">
        <f t="shared" si="113"/>
        <v>sud_cd-</v>
      </c>
      <c r="F88" t="str">
        <f t="shared" si="113"/>
        <v>Household</v>
      </c>
      <c r="G88" t="str">
        <f t="shared" si="82"/>
        <v>0_1_0_0_0_0</v>
      </c>
      <c r="H88" s="36" t="e" cm="1">
        <f t="array" aca="1" ref="H88" ca="1">INDIRECT("'"&amp;$H$26&amp;$E88&amp;$G88&amp;$P$26&amp;$E88&amp;$G88&amp;"'"&amp;$S$26&amp;H$22)</f>
        <v>#REF!</v>
      </c>
      <c r="I88" s="36" t="e" cm="1">
        <f t="array" aca="1" ref="I88" ca="1">INDIRECT("'"&amp;$H$26&amp;$E88&amp;$G88&amp;$P$26&amp;$E88&amp;$G88&amp;"'"&amp;$S$26&amp;I$22)</f>
        <v>#REF!</v>
      </c>
      <c r="J88" s="36" t="e" cm="1">
        <f t="array" aca="1" ref="J88" ca="1">INDIRECT("'"&amp;$H$26&amp;$E88&amp;$G88&amp;$P$26&amp;$E88&amp;$G88&amp;"'"&amp;$S$26&amp;J$22)</f>
        <v>#REF!</v>
      </c>
      <c r="K88" s="36" t="e" cm="1">
        <f t="array" aca="1" ref="K88" ca="1">INDIRECT("'"&amp;$H$26&amp;$E88&amp;$G88&amp;$P$26&amp;$E88&amp;$G88&amp;"'"&amp;$S$26&amp;K$22)</f>
        <v>#REF!</v>
      </c>
      <c r="L88" s="36" t="e" cm="1">
        <f t="array" aca="1" ref="L88" ca="1">INDIRECT("'"&amp;$H$26&amp;$E88&amp;$G88&amp;$P$26&amp;$E88&amp;$G88&amp;"'"&amp;$S$26&amp;L$22)</f>
        <v>#REF!</v>
      </c>
      <c r="M88" s="36" t="e" cm="1">
        <f t="array" aca="1" ref="M88" ca="1">INDIRECT("'"&amp;$H$26&amp;$E88&amp;$G88&amp;$P$26&amp;$E88&amp;$G88&amp;"'"&amp;$S$26&amp;M$22)</f>
        <v>#REF!</v>
      </c>
      <c r="N88" s="36" t="e" cm="1">
        <f t="array" aca="1" ref="N88" ca="1">INDIRECT("'"&amp;$H$26&amp;$E88&amp;$G88&amp;$P$26&amp;$E88&amp;$G88&amp;"'"&amp;$S$26&amp;N$22)</f>
        <v>#REF!</v>
      </c>
      <c r="O88" s="36" t="e" cm="1">
        <f t="array" aca="1" ref="O88" ca="1">INDIRECT("'"&amp;$H$26&amp;$E88&amp;$G88&amp;$P$26&amp;$E88&amp;$G88&amp;"'"&amp;$S$26&amp;O$22)</f>
        <v>#REF!</v>
      </c>
      <c r="P88" s="36" t="e" cm="1">
        <f t="array" aca="1" ref="P88" ca="1">INDIRECT("'"&amp;$H$26&amp;$E88&amp;$G88&amp;$P$26&amp;$E88&amp;$G88&amp;"'"&amp;$S$26&amp;P$22)</f>
        <v>#REF!</v>
      </c>
      <c r="Q88" s="36" t="e" cm="1">
        <f t="array" aca="1" ref="Q88" ca="1">INDIRECT("'"&amp;$H$26&amp;$E88&amp;$G88&amp;$P$26&amp;$E88&amp;$G88&amp;"'"&amp;$S$26&amp;Q$22)</f>
        <v>#REF!</v>
      </c>
      <c r="R88" s="36" t="e" cm="1">
        <f t="array" aca="1" ref="R88" ca="1">INDIRECT("'"&amp;$H$26&amp;$E88&amp;$G88&amp;$P$26&amp;$E88&amp;$G88&amp;"'"&amp;$S$26&amp;R$22)</f>
        <v>#REF!</v>
      </c>
    </row>
    <row r="89" spans="1:18" x14ac:dyDescent="0.2">
      <c r="A89" t="str">
        <f t="shared" si="93"/>
        <v>L100</v>
      </c>
      <c r="B89" t="str">
        <f t="shared" si="94"/>
        <v>D2</v>
      </c>
      <c r="C89">
        <f t="shared" ref="C89:C98" si="114">IF(B89="","",$A$10)</f>
        <v>100</v>
      </c>
      <c r="D89" t="str">
        <f t="shared" ref="D89:F89" si="115">IF(D77="","",D77)</f>
        <v>Low</v>
      </c>
      <c r="E89" t="str">
        <f t="shared" si="115"/>
        <v>sud_cd-</v>
      </c>
      <c r="F89" t="str">
        <f t="shared" si="115"/>
        <v>Industry</v>
      </c>
      <c r="G89" t="str">
        <f t="shared" si="82"/>
        <v>0_1_0_0_0_0</v>
      </c>
      <c r="H89" s="36" t="e" cm="1">
        <f t="array" aca="1" ref="H89" ca="1">INDIRECT("'"&amp;$H$26&amp;$E89&amp;$G89&amp;$P$26&amp;$E89&amp;$G89&amp;"'"&amp;$S$26&amp;H$23)</f>
        <v>#REF!</v>
      </c>
      <c r="I89" s="36" t="e" cm="1">
        <f t="array" aca="1" ref="I89" ca="1">INDIRECT("'"&amp;$H$26&amp;$E89&amp;$G89&amp;$P$26&amp;$E89&amp;$G89&amp;"'"&amp;$S$26&amp;I$23)</f>
        <v>#REF!</v>
      </c>
      <c r="J89" s="36" t="e" cm="1">
        <f t="array" aca="1" ref="J89" ca="1">INDIRECT("'"&amp;$H$26&amp;$E89&amp;$G89&amp;$P$26&amp;$E89&amp;$G89&amp;"'"&amp;$S$26&amp;J$23)</f>
        <v>#REF!</v>
      </c>
      <c r="K89" s="36" t="e" cm="1">
        <f t="array" aca="1" ref="K89" ca="1">INDIRECT("'"&amp;$H$26&amp;$E89&amp;$G89&amp;$P$26&amp;$E89&amp;$G89&amp;"'"&amp;$S$26&amp;K$23)</f>
        <v>#REF!</v>
      </c>
      <c r="L89" s="36" t="e" cm="1">
        <f t="array" aca="1" ref="L89" ca="1">INDIRECT("'"&amp;$H$26&amp;$E89&amp;$G89&amp;$P$26&amp;$E89&amp;$G89&amp;"'"&amp;$S$26&amp;L$23)</f>
        <v>#REF!</v>
      </c>
      <c r="M89" s="36" t="e" cm="1">
        <f t="array" aca="1" ref="M89" ca="1">INDIRECT("'"&amp;$H$26&amp;$E89&amp;$G89&amp;$P$26&amp;$E89&amp;$G89&amp;"'"&amp;$S$26&amp;M$23)</f>
        <v>#REF!</v>
      </c>
      <c r="N89" s="36" t="e" cm="1">
        <f t="array" aca="1" ref="N89" ca="1">INDIRECT("'"&amp;$H$26&amp;$E89&amp;$G89&amp;$P$26&amp;$E89&amp;$G89&amp;"'"&amp;$S$26&amp;N$23)</f>
        <v>#REF!</v>
      </c>
      <c r="O89" s="36" t="e" cm="1">
        <f t="array" aca="1" ref="O89" ca="1">INDIRECT("'"&amp;$H$26&amp;$E89&amp;$G89&amp;$P$26&amp;$E89&amp;$G89&amp;"'"&amp;$S$26&amp;O$23)</f>
        <v>#REF!</v>
      </c>
      <c r="P89" s="36" t="e" cm="1">
        <f t="array" aca="1" ref="P89" ca="1">INDIRECT("'"&amp;$H$26&amp;$E89&amp;$G89&amp;$P$26&amp;$E89&amp;$G89&amp;"'"&amp;$S$26&amp;P$23)</f>
        <v>#REF!</v>
      </c>
      <c r="Q89" s="36" t="e" cm="1">
        <f t="array" aca="1" ref="Q89" ca="1">INDIRECT("'"&amp;$H$26&amp;$E89&amp;$G89&amp;$P$26&amp;$E89&amp;$G89&amp;"'"&amp;$S$26&amp;Q$23)</f>
        <v>#REF!</v>
      </c>
      <c r="R89" s="36" t="e" cm="1">
        <f t="array" aca="1" ref="R89" ca="1">INDIRECT("'"&amp;$H$26&amp;$E89&amp;$G89&amp;$P$26&amp;$E89&amp;$G89&amp;"'"&amp;$S$26&amp;R$23)</f>
        <v>#REF!</v>
      </c>
    </row>
    <row r="90" spans="1:18" x14ac:dyDescent="0.2">
      <c r="A90" t="str">
        <f t="shared" si="93"/>
        <v>L100</v>
      </c>
      <c r="B90" t="str">
        <f t="shared" si="94"/>
        <v>D2</v>
      </c>
      <c r="C90">
        <f t="shared" si="114"/>
        <v>100</v>
      </c>
      <c r="D90" t="str">
        <f t="shared" ref="D90:F90" si="116">IF(D78="","",D78)</f>
        <v>Low</v>
      </c>
      <c r="E90" t="str">
        <f t="shared" si="116"/>
        <v>sud_cd-</v>
      </c>
      <c r="F90" t="str">
        <f t="shared" si="116"/>
        <v>Other</v>
      </c>
      <c r="G90" t="str">
        <f t="shared" si="82"/>
        <v>0_1_0_0_0_0</v>
      </c>
      <c r="H90" s="36" t="e">
        <f ca="1">SUM(INDIRECT("'"&amp;$H$26&amp;$E90&amp;$G90&amp;$P$26&amp;$E90&amp;$G90&amp;"'"&amp;$S$26&amp;H$24))</f>
        <v>#REF!</v>
      </c>
      <c r="I90" s="36" t="e">
        <f t="shared" ref="I90:R90" ca="1" si="117">SUM(INDIRECT("'"&amp;$H$26&amp;$E90&amp;$G90&amp;$P$26&amp;$E90&amp;$G90&amp;"'"&amp;$S$26&amp;I$24))</f>
        <v>#REF!</v>
      </c>
      <c r="J90" s="36" t="e">
        <f t="shared" ca="1" si="117"/>
        <v>#REF!</v>
      </c>
      <c r="K90" s="36" t="e">
        <f t="shared" ca="1" si="117"/>
        <v>#REF!</v>
      </c>
      <c r="L90" s="36" t="e">
        <f t="shared" ca="1" si="117"/>
        <v>#REF!</v>
      </c>
      <c r="M90" s="36" t="e">
        <f t="shared" ca="1" si="117"/>
        <v>#REF!</v>
      </c>
      <c r="N90" s="36" t="e">
        <f t="shared" ca="1" si="117"/>
        <v>#REF!</v>
      </c>
      <c r="O90" s="36" t="e">
        <f t="shared" ca="1" si="117"/>
        <v>#REF!</v>
      </c>
      <c r="P90" s="36" t="e">
        <f t="shared" ca="1" si="117"/>
        <v>#REF!</v>
      </c>
      <c r="Q90" s="36" t="e">
        <f t="shared" ca="1" si="117"/>
        <v>#REF!</v>
      </c>
      <c r="R90" s="36" t="e">
        <f t="shared" ca="1" si="117"/>
        <v>#REF!</v>
      </c>
    </row>
    <row r="91" spans="1:18" x14ac:dyDescent="0.2">
      <c r="A91" t="str">
        <f t="shared" si="93"/>
        <v/>
      </c>
      <c r="B91" t="str">
        <f t="shared" si="94"/>
        <v/>
      </c>
      <c r="C91" t="str">
        <f t="shared" si="114"/>
        <v/>
      </c>
      <c r="D91" t="str">
        <f t="shared" ref="D91:F91" si="118">IF(D79="","",D79)</f>
        <v/>
      </c>
      <c r="E91" t="str">
        <f t="shared" si="118"/>
        <v/>
      </c>
      <c r="F91" t="str">
        <f t="shared" si="118"/>
        <v/>
      </c>
      <c r="G91" t="str">
        <f t="shared" si="82"/>
        <v/>
      </c>
      <c r="H91" t="e">
        <f ca="1">SUM(H88:H90)</f>
        <v>#REF!</v>
      </c>
      <c r="I91" t="e">
        <f t="shared" ref="I91:R91" ca="1" si="119">SUM(I88:I90)</f>
        <v>#REF!</v>
      </c>
      <c r="J91" t="e">
        <f t="shared" ca="1" si="119"/>
        <v>#REF!</v>
      </c>
      <c r="K91" t="e">
        <f t="shared" ca="1" si="119"/>
        <v>#REF!</v>
      </c>
      <c r="L91" t="e">
        <f t="shared" ca="1" si="119"/>
        <v>#REF!</v>
      </c>
      <c r="M91" t="e">
        <f t="shared" ca="1" si="119"/>
        <v>#REF!</v>
      </c>
      <c r="N91" t="e">
        <f t="shared" ca="1" si="119"/>
        <v>#REF!</v>
      </c>
      <c r="O91" t="e">
        <f t="shared" ca="1" si="119"/>
        <v>#REF!</v>
      </c>
      <c r="P91" t="e">
        <f t="shared" ca="1" si="119"/>
        <v>#REF!</v>
      </c>
      <c r="Q91" t="e">
        <f t="shared" ca="1" si="119"/>
        <v>#REF!</v>
      </c>
      <c r="R91" t="e">
        <f t="shared" ca="1" si="119"/>
        <v>#REF!</v>
      </c>
    </row>
    <row r="92" spans="1:18" x14ac:dyDescent="0.2">
      <c r="A92" t="str">
        <f t="shared" si="93"/>
        <v>M100</v>
      </c>
      <c r="B92" t="str">
        <f t="shared" si="94"/>
        <v>D2</v>
      </c>
      <c r="C92">
        <f t="shared" si="114"/>
        <v>100</v>
      </c>
      <c r="D92" t="str">
        <f t="shared" ref="D92:F92" si="120">IF(D80="","",D80)</f>
        <v>Medium</v>
      </c>
      <c r="E92" t="str">
        <f t="shared" si="120"/>
        <v>sud_cd-</v>
      </c>
      <c r="F92" t="str">
        <f t="shared" si="120"/>
        <v>Household</v>
      </c>
      <c r="G92" t="str">
        <f t="shared" si="82"/>
        <v>0_1_1_1_1_0</v>
      </c>
      <c r="H92" s="36" t="e" cm="1">
        <f t="array" aca="1" ref="H92" ca="1">INDIRECT("'"&amp;$H$26&amp;$E92&amp;$G92&amp;$P$26&amp;$E92&amp;$G92&amp;"'"&amp;$S$26&amp;H$22)</f>
        <v>#REF!</v>
      </c>
      <c r="I92" s="36" t="e" cm="1">
        <f t="array" aca="1" ref="I92" ca="1">INDIRECT("'"&amp;$H$26&amp;$E92&amp;$G92&amp;$P$26&amp;$E92&amp;$G92&amp;"'"&amp;$S$26&amp;I$22)</f>
        <v>#REF!</v>
      </c>
      <c r="J92" s="36" t="e" cm="1">
        <f t="array" aca="1" ref="J92" ca="1">INDIRECT("'"&amp;$H$26&amp;$E92&amp;$G92&amp;$P$26&amp;$E92&amp;$G92&amp;"'"&amp;$S$26&amp;J$22)</f>
        <v>#REF!</v>
      </c>
      <c r="K92" s="36" t="e" cm="1">
        <f t="array" aca="1" ref="K92" ca="1">INDIRECT("'"&amp;$H$26&amp;$E92&amp;$G92&amp;$P$26&amp;$E92&amp;$G92&amp;"'"&amp;$S$26&amp;K$22)</f>
        <v>#REF!</v>
      </c>
      <c r="L92" s="36" t="e" cm="1">
        <f t="array" aca="1" ref="L92" ca="1">INDIRECT("'"&amp;$H$26&amp;$E92&amp;$G92&amp;$P$26&amp;$E92&amp;$G92&amp;"'"&amp;$S$26&amp;L$22)</f>
        <v>#REF!</v>
      </c>
      <c r="M92" s="36" t="e" cm="1">
        <f t="array" aca="1" ref="M92" ca="1">INDIRECT("'"&amp;$H$26&amp;$E92&amp;$G92&amp;$P$26&amp;$E92&amp;$G92&amp;"'"&amp;$S$26&amp;M$22)</f>
        <v>#REF!</v>
      </c>
      <c r="N92" s="36" t="e" cm="1">
        <f t="array" aca="1" ref="N92" ca="1">INDIRECT("'"&amp;$H$26&amp;$E92&amp;$G92&amp;$P$26&amp;$E92&amp;$G92&amp;"'"&amp;$S$26&amp;N$22)</f>
        <v>#REF!</v>
      </c>
      <c r="O92" s="36" t="e" cm="1">
        <f t="array" aca="1" ref="O92" ca="1">INDIRECT("'"&amp;$H$26&amp;$E92&amp;$G92&amp;$P$26&amp;$E92&amp;$G92&amp;"'"&amp;$S$26&amp;O$22)</f>
        <v>#REF!</v>
      </c>
      <c r="P92" s="36" t="e" cm="1">
        <f t="array" aca="1" ref="P92" ca="1">INDIRECT("'"&amp;$H$26&amp;$E92&amp;$G92&amp;$P$26&amp;$E92&amp;$G92&amp;"'"&amp;$S$26&amp;P$22)</f>
        <v>#REF!</v>
      </c>
      <c r="Q92" s="36" t="e" cm="1">
        <f t="array" aca="1" ref="Q92" ca="1">INDIRECT("'"&amp;$H$26&amp;$E92&amp;$G92&amp;$P$26&amp;$E92&amp;$G92&amp;"'"&amp;$S$26&amp;Q$22)</f>
        <v>#REF!</v>
      </c>
      <c r="R92" s="36" t="e" cm="1">
        <f t="array" aca="1" ref="R92" ca="1">INDIRECT("'"&amp;$H$26&amp;$E92&amp;$G92&amp;$P$26&amp;$E92&amp;$G92&amp;"'"&amp;$S$26&amp;R$22)</f>
        <v>#REF!</v>
      </c>
    </row>
    <row r="93" spans="1:18" x14ac:dyDescent="0.2">
      <c r="A93" t="str">
        <f t="shared" si="93"/>
        <v>M100</v>
      </c>
      <c r="B93" t="str">
        <f t="shared" si="94"/>
        <v>D2</v>
      </c>
      <c r="C93">
        <f t="shared" si="114"/>
        <v>100</v>
      </c>
      <c r="D93" t="str">
        <f t="shared" ref="D93:F93" si="121">IF(D81="","",D81)</f>
        <v>Medium</v>
      </c>
      <c r="E93" t="str">
        <f t="shared" si="121"/>
        <v>sud_cd-</v>
      </c>
      <c r="F93" t="str">
        <f t="shared" si="121"/>
        <v>Industry</v>
      </c>
      <c r="G93" t="str">
        <f t="shared" si="82"/>
        <v>0_1_1_1_1_0</v>
      </c>
      <c r="H93" s="36" t="e" cm="1">
        <f t="array" aca="1" ref="H93" ca="1">INDIRECT("'"&amp;$H$26&amp;$E93&amp;$G93&amp;$P$26&amp;$E93&amp;$G93&amp;"'"&amp;$S$26&amp;H$23)</f>
        <v>#REF!</v>
      </c>
      <c r="I93" s="36" t="e" cm="1">
        <f t="array" aca="1" ref="I93" ca="1">INDIRECT("'"&amp;$H$26&amp;$E93&amp;$G93&amp;$P$26&amp;$E93&amp;$G93&amp;"'"&amp;$S$26&amp;I$23)</f>
        <v>#REF!</v>
      </c>
      <c r="J93" s="36" t="e" cm="1">
        <f t="array" aca="1" ref="J93" ca="1">INDIRECT("'"&amp;$H$26&amp;$E93&amp;$G93&amp;$P$26&amp;$E93&amp;$G93&amp;"'"&amp;$S$26&amp;J$23)</f>
        <v>#REF!</v>
      </c>
      <c r="K93" s="36" t="e" cm="1">
        <f t="array" aca="1" ref="K93" ca="1">INDIRECT("'"&amp;$H$26&amp;$E93&amp;$G93&amp;$P$26&amp;$E93&amp;$G93&amp;"'"&amp;$S$26&amp;K$23)</f>
        <v>#REF!</v>
      </c>
      <c r="L93" s="36" t="e" cm="1">
        <f t="array" aca="1" ref="L93" ca="1">INDIRECT("'"&amp;$H$26&amp;$E93&amp;$G93&amp;$P$26&amp;$E93&amp;$G93&amp;"'"&amp;$S$26&amp;L$23)</f>
        <v>#REF!</v>
      </c>
      <c r="M93" s="36" t="e" cm="1">
        <f t="array" aca="1" ref="M93" ca="1">INDIRECT("'"&amp;$H$26&amp;$E93&amp;$G93&amp;$P$26&amp;$E93&amp;$G93&amp;"'"&amp;$S$26&amp;M$23)</f>
        <v>#REF!</v>
      </c>
      <c r="N93" s="36" t="e" cm="1">
        <f t="array" aca="1" ref="N93" ca="1">INDIRECT("'"&amp;$H$26&amp;$E93&amp;$G93&amp;$P$26&amp;$E93&amp;$G93&amp;"'"&amp;$S$26&amp;N$23)</f>
        <v>#REF!</v>
      </c>
      <c r="O93" s="36" t="e" cm="1">
        <f t="array" aca="1" ref="O93" ca="1">INDIRECT("'"&amp;$H$26&amp;$E93&amp;$G93&amp;$P$26&amp;$E93&amp;$G93&amp;"'"&amp;$S$26&amp;O$23)</f>
        <v>#REF!</v>
      </c>
      <c r="P93" s="36" t="e" cm="1">
        <f t="array" aca="1" ref="P93" ca="1">INDIRECT("'"&amp;$H$26&amp;$E93&amp;$G93&amp;$P$26&amp;$E93&amp;$G93&amp;"'"&amp;$S$26&amp;P$23)</f>
        <v>#REF!</v>
      </c>
      <c r="Q93" s="36" t="e" cm="1">
        <f t="array" aca="1" ref="Q93" ca="1">INDIRECT("'"&amp;$H$26&amp;$E93&amp;$G93&amp;$P$26&amp;$E93&amp;$G93&amp;"'"&amp;$S$26&amp;Q$23)</f>
        <v>#REF!</v>
      </c>
      <c r="R93" s="36" t="e" cm="1">
        <f t="array" aca="1" ref="R93" ca="1">INDIRECT("'"&amp;$H$26&amp;$E93&amp;$G93&amp;$P$26&amp;$E93&amp;$G93&amp;"'"&amp;$S$26&amp;R$23)</f>
        <v>#REF!</v>
      </c>
    </row>
    <row r="94" spans="1:18" x14ac:dyDescent="0.2">
      <c r="A94" t="str">
        <f t="shared" si="93"/>
        <v>M100</v>
      </c>
      <c r="B94" t="str">
        <f t="shared" si="94"/>
        <v>D2</v>
      </c>
      <c r="C94">
        <f t="shared" si="114"/>
        <v>100</v>
      </c>
      <c r="D94" t="str">
        <f t="shared" ref="D94:F94" si="122">IF(D82="","",D82)</f>
        <v>Medium</v>
      </c>
      <c r="E94" t="str">
        <f t="shared" si="122"/>
        <v>sud_cd-</v>
      </c>
      <c r="F94" t="str">
        <f t="shared" si="122"/>
        <v>Other</v>
      </c>
      <c r="G94" t="str">
        <f t="shared" si="82"/>
        <v>0_1_1_1_1_0</v>
      </c>
      <c r="H94" s="36" t="e">
        <f ca="1">SUM(INDIRECT("'"&amp;$H$26&amp;$E94&amp;$G94&amp;$P$26&amp;$E94&amp;$G94&amp;"'"&amp;$S$26&amp;H$24))</f>
        <v>#REF!</v>
      </c>
      <c r="I94" s="36" t="e">
        <f t="shared" ref="I94:R94" ca="1" si="123">SUM(INDIRECT("'"&amp;$H$26&amp;$E94&amp;$G94&amp;$P$26&amp;$E94&amp;$G94&amp;"'"&amp;$S$26&amp;I$24))</f>
        <v>#REF!</v>
      </c>
      <c r="J94" s="36" t="e">
        <f t="shared" ca="1" si="123"/>
        <v>#REF!</v>
      </c>
      <c r="K94" s="36" t="e">
        <f t="shared" ca="1" si="123"/>
        <v>#REF!</v>
      </c>
      <c r="L94" s="36" t="e">
        <f t="shared" ca="1" si="123"/>
        <v>#REF!</v>
      </c>
      <c r="M94" s="36" t="e">
        <f t="shared" ca="1" si="123"/>
        <v>#REF!</v>
      </c>
      <c r="N94" s="36" t="e">
        <f t="shared" ca="1" si="123"/>
        <v>#REF!</v>
      </c>
      <c r="O94" s="36" t="e">
        <f t="shared" ca="1" si="123"/>
        <v>#REF!</v>
      </c>
      <c r="P94" s="36" t="e">
        <f t="shared" ca="1" si="123"/>
        <v>#REF!</v>
      </c>
      <c r="Q94" s="36" t="e">
        <f t="shared" ca="1" si="123"/>
        <v>#REF!</v>
      </c>
      <c r="R94" s="36" t="e">
        <f t="shared" ca="1" si="123"/>
        <v>#REF!</v>
      </c>
    </row>
    <row r="95" spans="1:18" x14ac:dyDescent="0.2">
      <c r="A95" t="str">
        <f t="shared" si="93"/>
        <v/>
      </c>
      <c r="B95" t="str">
        <f t="shared" si="94"/>
        <v/>
      </c>
      <c r="C95" t="str">
        <f t="shared" si="114"/>
        <v/>
      </c>
      <c r="D95" t="str">
        <f t="shared" ref="D95:F95" si="124">IF(D83="","",D83)</f>
        <v/>
      </c>
      <c r="E95" t="str">
        <f t="shared" si="124"/>
        <v/>
      </c>
      <c r="F95" t="str">
        <f t="shared" si="124"/>
        <v/>
      </c>
      <c r="G95" t="str">
        <f t="shared" si="82"/>
        <v/>
      </c>
      <c r="H95" t="e">
        <f ca="1">SUM(H92:H94)</f>
        <v>#REF!</v>
      </c>
      <c r="I95" t="e">
        <f t="shared" ref="I95:R95" ca="1" si="125">SUM(I92:I94)</f>
        <v>#REF!</v>
      </c>
      <c r="J95" t="e">
        <f t="shared" ca="1" si="125"/>
        <v>#REF!</v>
      </c>
      <c r="K95" t="e">
        <f t="shared" ca="1" si="125"/>
        <v>#REF!</v>
      </c>
      <c r="L95" t="e">
        <f t="shared" ca="1" si="125"/>
        <v>#REF!</v>
      </c>
      <c r="M95" t="e">
        <f t="shared" ca="1" si="125"/>
        <v>#REF!</v>
      </c>
      <c r="N95" t="e">
        <f t="shared" ca="1" si="125"/>
        <v>#REF!</v>
      </c>
      <c r="O95" t="e">
        <f t="shared" ca="1" si="125"/>
        <v>#REF!</v>
      </c>
      <c r="P95" t="e">
        <f t="shared" ca="1" si="125"/>
        <v>#REF!</v>
      </c>
      <c r="Q95" t="e">
        <f t="shared" ca="1" si="125"/>
        <v>#REF!</v>
      </c>
      <c r="R95" t="e">
        <f t="shared" ca="1" si="125"/>
        <v>#REF!</v>
      </c>
    </row>
    <row r="96" spans="1:18" x14ac:dyDescent="0.2">
      <c r="A96" t="str">
        <f t="shared" si="93"/>
        <v>H100</v>
      </c>
      <c r="B96" t="str">
        <f t="shared" si="94"/>
        <v>D2</v>
      </c>
      <c r="C96">
        <f t="shared" si="114"/>
        <v>100</v>
      </c>
      <c r="D96" t="str">
        <f t="shared" ref="D96:F96" si="126">IF(D84="","",D84)</f>
        <v>High</v>
      </c>
      <c r="E96" t="str">
        <f t="shared" si="126"/>
        <v>sud_cd-</v>
      </c>
      <c r="F96" t="str">
        <f t="shared" si="126"/>
        <v>Household</v>
      </c>
      <c r="G96" t="str">
        <f t="shared" si="82"/>
        <v>0_1_2_2_2_0</v>
      </c>
      <c r="H96" s="36" t="e" cm="1">
        <f t="array" aca="1" ref="H96" ca="1">INDIRECT("'"&amp;$H$26&amp;$E96&amp;$G96&amp;$P$26&amp;$E96&amp;$G96&amp;"'"&amp;$S$26&amp;H$22)</f>
        <v>#REF!</v>
      </c>
      <c r="I96" s="36" t="e" cm="1">
        <f t="array" aca="1" ref="I96" ca="1">INDIRECT("'"&amp;$H$26&amp;$E96&amp;$G96&amp;$P$26&amp;$E96&amp;$G96&amp;"'"&amp;$S$26&amp;I$22)</f>
        <v>#REF!</v>
      </c>
      <c r="J96" s="36" t="e" cm="1">
        <f t="array" aca="1" ref="J96" ca="1">INDIRECT("'"&amp;$H$26&amp;$E96&amp;$G96&amp;$P$26&amp;$E96&amp;$G96&amp;"'"&amp;$S$26&amp;J$22)</f>
        <v>#REF!</v>
      </c>
      <c r="K96" s="36" t="e" cm="1">
        <f t="array" aca="1" ref="K96" ca="1">INDIRECT("'"&amp;$H$26&amp;$E96&amp;$G96&amp;$P$26&amp;$E96&amp;$G96&amp;"'"&amp;$S$26&amp;K$22)</f>
        <v>#REF!</v>
      </c>
      <c r="L96" s="36" t="e" cm="1">
        <f t="array" aca="1" ref="L96" ca="1">INDIRECT("'"&amp;$H$26&amp;$E96&amp;$G96&amp;$P$26&amp;$E96&amp;$G96&amp;"'"&amp;$S$26&amp;L$22)</f>
        <v>#REF!</v>
      </c>
      <c r="M96" s="36" t="e" cm="1">
        <f t="array" aca="1" ref="M96" ca="1">INDIRECT("'"&amp;$H$26&amp;$E96&amp;$G96&amp;$P$26&amp;$E96&amp;$G96&amp;"'"&amp;$S$26&amp;M$22)</f>
        <v>#REF!</v>
      </c>
      <c r="N96" s="36" t="e" cm="1">
        <f t="array" aca="1" ref="N96" ca="1">INDIRECT("'"&amp;$H$26&amp;$E96&amp;$G96&amp;$P$26&amp;$E96&amp;$G96&amp;"'"&amp;$S$26&amp;N$22)</f>
        <v>#REF!</v>
      </c>
      <c r="O96" s="36" t="e" cm="1">
        <f t="array" aca="1" ref="O96" ca="1">INDIRECT("'"&amp;$H$26&amp;$E96&amp;$G96&amp;$P$26&amp;$E96&amp;$G96&amp;"'"&amp;$S$26&amp;O$22)</f>
        <v>#REF!</v>
      </c>
      <c r="P96" s="36" t="e" cm="1">
        <f t="array" aca="1" ref="P96" ca="1">INDIRECT("'"&amp;$H$26&amp;$E96&amp;$G96&amp;$P$26&amp;$E96&amp;$G96&amp;"'"&amp;$S$26&amp;P$22)</f>
        <v>#REF!</v>
      </c>
      <c r="Q96" s="36" t="e" cm="1">
        <f t="array" aca="1" ref="Q96" ca="1">INDIRECT("'"&amp;$H$26&amp;$E96&amp;$G96&amp;$P$26&amp;$E96&amp;$G96&amp;"'"&amp;$S$26&amp;Q$22)</f>
        <v>#REF!</v>
      </c>
      <c r="R96" s="36" t="e" cm="1">
        <f t="array" aca="1" ref="R96" ca="1">INDIRECT("'"&amp;$H$26&amp;$E96&amp;$G96&amp;$P$26&amp;$E96&amp;$G96&amp;"'"&amp;$S$26&amp;R$22)</f>
        <v>#REF!</v>
      </c>
    </row>
    <row r="97" spans="1:18" x14ac:dyDescent="0.2">
      <c r="A97" t="str">
        <f t="shared" si="93"/>
        <v>H100</v>
      </c>
      <c r="B97" t="str">
        <f t="shared" si="94"/>
        <v>D2</v>
      </c>
      <c r="C97">
        <f t="shared" si="114"/>
        <v>100</v>
      </c>
      <c r="D97" t="str">
        <f t="shared" ref="D97:F97" si="127">IF(D85="","",D85)</f>
        <v>High</v>
      </c>
      <c r="E97" t="str">
        <f t="shared" si="127"/>
        <v>sud_cd-</v>
      </c>
      <c r="F97" t="str">
        <f t="shared" si="127"/>
        <v>Industry</v>
      </c>
      <c r="G97" t="str">
        <f t="shared" si="82"/>
        <v>0_1_2_2_2_0</v>
      </c>
      <c r="H97" s="36" t="e" cm="1">
        <f t="array" aca="1" ref="H97" ca="1">INDIRECT("'"&amp;$H$26&amp;$E97&amp;$G97&amp;$P$26&amp;$E97&amp;$G97&amp;"'"&amp;$S$26&amp;H$23)</f>
        <v>#REF!</v>
      </c>
      <c r="I97" s="36" t="e" cm="1">
        <f t="array" aca="1" ref="I97" ca="1">INDIRECT("'"&amp;$H$26&amp;$E97&amp;$G97&amp;$P$26&amp;$E97&amp;$G97&amp;"'"&amp;$S$26&amp;I$23)</f>
        <v>#REF!</v>
      </c>
      <c r="J97" s="36" t="e" cm="1">
        <f t="array" aca="1" ref="J97" ca="1">INDIRECT("'"&amp;$H$26&amp;$E97&amp;$G97&amp;$P$26&amp;$E97&amp;$G97&amp;"'"&amp;$S$26&amp;J$23)</f>
        <v>#REF!</v>
      </c>
      <c r="K97" s="36" t="e" cm="1">
        <f t="array" aca="1" ref="K97" ca="1">INDIRECT("'"&amp;$H$26&amp;$E97&amp;$G97&amp;$P$26&amp;$E97&amp;$G97&amp;"'"&amp;$S$26&amp;K$23)</f>
        <v>#REF!</v>
      </c>
      <c r="L97" s="36" t="e" cm="1">
        <f t="array" aca="1" ref="L97" ca="1">INDIRECT("'"&amp;$H$26&amp;$E97&amp;$G97&amp;$P$26&amp;$E97&amp;$G97&amp;"'"&amp;$S$26&amp;L$23)</f>
        <v>#REF!</v>
      </c>
      <c r="M97" s="36" t="e" cm="1">
        <f t="array" aca="1" ref="M97" ca="1">INDIRECT("'"&amp;$H$26&amp;$E97&amp;$G97&amp;$P$26&amp;$E97&amp;$G97&amp;"'"&amp;$S$26&amp;M$23)</f>
        <v>#REF!</v>
      </c>
      <c r="N97" s="36" t="e" cm="1">
        <f t="array" aca="1" ref="N97" ca="1">INDIRECT("'"&amp;$H$26&amp;$E97&amp;$G97&amp;$P$26&amp;$E97&amp;$G97&amp;"'"&amp;$S$26&amp;N$23)</f>
        <v>#REF!</v>
      </c>
      <c r="O97" s="36" t="e" cm="1">
        <f t="array" aca="1" ref="O97" ca="1">INDIRECT("'"&amp;$H$26&amp;$E97&amp;$G97&amp;$P$26&amp;$E97&amp;$G97&amp;"'"&amp;$S$26&amp;O$23)</f>
        <v>#REF!</v>
      </c>
      <c r="P97" s="36" t="e" cm="1">
        <f t="array" aca="1" ref="P97" ca="1">INDIRECT("'"&amp;$H$26&amp;$E97&amp;$G97&amp;$P$26&amp;$E97&amp;$G97&amp;"'"&amp;$S$26&amp;P$23)</f>
        <v>#REF!</v>
      </c>
      <c r="Q97" s="36" t="e" cm="1">
        <f t="array" aca="1" ref="Q97" ca="1">INDIRECT("'"&amp;$H$26&amp;$E97&amp;$G97&amp;$P$26&amp;$E97&amp;$G97&amp;"'"&amp;$S$26&amp;Q$23)</f>
        <v>#REF!</v>
      </c>
      <c r="R97" s="36" t="e" cm="1">
        <f t="array" aca="1" ref="R97" ca="1">INDIRECT("'"&amp;$H$26&amp;$E97&amp;$G97&amp;$P$26&amp;$E97&amp;$G97&amp;"'"&amp;$S$26&amp;R$23)</f>
        <v>#REF!</v>
      </c>
    </row>
    <row r="98" spans="1:18" x14ac:dyDescent="0.2">
      <c r="A98" t="str">
        <f t="shared" si="93"/>
        <v>H100</v>
      </c>
      <c r="B98" t="str">
        <f t="shared" si="94"/>
        <v>D2</v>
      </c>
      <c r="C98">
        <f t="shared" si="114"/>
        <v>100</v>
      </c>
      <c r="D98" t="str">
        <f t="shared" ref="D98:F98" si="128">IF(D86="","",D86)</f>
        <v>High</v>
      </c>
      <c r="E98" t="str">
        <f t="shared" si="128"/>
        <v>sud_cd-</v>
      </c>
      <c r="F98" t="str">
        <f t="shared" si="128"/>
        <v>Other</v>
      </c>
      <c r="G98" t="str">
        <f t="shared" si="82"/>
        <v>0_1_2_2_2_0</v>
      </c>
      <c r="H98" s="36" t="e">
        <f ca="1">SUM(INDIRECT("'"&amp;$H$26&amp;$E98&amp;$G98&amp;$P$26&amp;$E98&amp;$G98&amp;"'"&amp;$S$26&amp;H$24))</f>
        <v>#REF!</v>
      </c>
      <c r="I98" s="36" t="e">
        <f t="shared" ref="I98:R98" ca="1" si="129">SUM(INDIRECT("'"&amp;$H$26&amp;$E98&amp;$G98&amp;$P$26&amp;$E98&amp;$G98&amp;"'"&amp;$S$26&amp;I$24))</f>
        <v>#REF!</v>
      </c>
      <c r="J98" s="36" t="e">
        <f t="shared" ca="1" si="129"/>
        <v>#REF!</v>
      </c>
      <c r="K98" s="36" t="e">
        <f t="shared" ca="1" si="129"/>
        <v>#REF!</v>
      </c>
      <c r="L98" s="36" t="e">
        <f t="shared" ca="1" si="129"/>
        <v>#REF!</v>
      </c>
      <c r="M98" s="36" t="e">
        <f t="shared" ca="1" si="129"/>
        <v>#REF!</v>
      </c>
      <c r="N98" s="36" t="e">
        <f t="shared" ca="1" si="129"/>
        <v>#REF!</v>
      </c>
      <c r="O98" s="36" t="e">
        <f t="shared" ca="1" si="129"/>
        <v>#REF!</v>
      </c>
      <c r="P98" s="36" t="e">
        <f t="shared" ca="1" si="129"/>
        <v>#REF!</v>
      </c>
      <c r="Q98" s="36" t="e">
        <f t="shared" ca="1" si="129"/>
        <v>#REF!</v>
      </c>
      <c r="R98" s="36" t="e">
        <f t="shared" ca="1" si="129"/>
        <v>#REF!</v>
      </c>
    </row>
    <row r="99" spans="1:18" s="44" customFormat="1" x14ac:dyDescent="0.2">
      <c r="H99" t="e">
        <f ca="1">SUM(H96:H98)</f>
        <v>#REF!</v>
      </c>
      <c r="I99" t="e">
        <f t="shared" ref="I99:R99" ca="1" si="130">SUM(I96:I98)</f>
        <v>#REF!</v>
      </c>
      <c r="J99" t="e">
        <f t="shared" ca="1" si="130"/>
        <v>#REF!</v>
      </c>
      <c r="K99" t="e">
        <f t="shared" ca="1" si="130"/>
        <v>#REF!</v>
      </c>
      <c r="L99" t="e">
        <f t="shared" ca="1" si="130"/>
        <v>#REF!</v>
      </c>
      <c r="M99" t="e">
        <f t="shared" ca="1" si="130"/>
        <v>#REF!</v>
      </c>
      <c r="N99" t="e">
        <f t="shared" ca="1" si="130"/>
        <v>#REF!</v>
      </c>
      <c r="O99" t="e">
        <f t="shared" ca="1" si="130"/>
        <v>#REF!</v>
      </c>
      <c r="P99" t="e">
        <f t="shared" ca="1" si="130"/>
        <v>#REF!</v>
      </c>
      <c r="Q99" t="e">
        <f t="shared" ca="1" si="130"/>
        <v>#REF!</v>
      </c>
      <c r="R99" t="e">
        <f t="shared" ca="1" si="130"/>
        <v>#REF!</v>
      </c>
    </row>
    <row r="100" spans="1:18" x14ac:dyDescent="0.2">
      <c r="A100" t="str">
        <f>IF(D100="Low","L"&amp;C100,IF(D100="Medium","M"&amp;C100,IF(D100="High","H"&amp;C100,"")))</f>
        <v>L50</v>
      </c>
      <c r="B100" t="s">
        <v>84</v>
      </c>
      <c r="C100">
        <v>50</v>
      </c>
      <c r="D100" t="s">
        <v>296</v>
      </c>
      <c r="E100" t="str">
        <f>IF(B100="D1","ouest_cd-",IF(B100="D2","sud_cd-",IF(B100="D3","est_cd-","")))</f>
        <v>est_cd-</v>
      </c>
      <c r="F100" t="str">
        <f>[1]Demand!$C$4</f>
        <v>Household</v>
      </c>
      <c r="G100" t="str">
        <f>IF(B64="","",G28)</f>
        <v>0_2_0_0_0_0</v>
      </c>
      <c r="H100" s="36" t="e" cm="1">
        <f t="array" aca="1" ref="H100" ca="1">INDIRECT("'"&amp;$H$26&amp;$E100&amp;$G100&amp;$P$26&amp;$E100&amp;$G100&amp;"'"&amp;$S$26&amp;H$22)</f>
        <v>#REF!</v>
      </c>
      <c r="I100" s="36" t="e" cm="1">
        <f t="array" aca="1" ref="I100" ca="1">INDIRECT("'"&amp;$H$26&amp;$E100&amp;$G100&amp;$P$26&amp;$E100&amp;$G100&amp;"'"&amp;$S$26&amp;I$22)</f>
        <v>#REF!</v>
      </c>
      <c r="J100" s="36" t="e" cm="1">
        <f t="array" aca="1" ref="J100" ca="1">INDIRECT("'"&amp;$H$26&amp;$E100&amp;$G100&amp;$P$26&amp;$E100&amp;$G100&amp;"'"&amp;$S$26&amp;J$22)</f>
        <v>#REF!</v>
      </c>
      <c r="K100" s="36" t="e" cm="1">
        <f t="array" aca="1" ref="K100" ca="1">INDIRECT("'"&amp;$H$26&amp;$E100&amp;$G100&amp;$P$26&amp;$E100&amp;$G100&amp;"'"&amp;$S$26&amp;K$22)</f>
        <v>#REF!</v>
      </c>
      <c r="L100" s="36" t="e" cm="1">
        <f t="array" aca="1" ref="L100" ca="1">INDIRECT("'"&amp;$H$26&amp;$E100&amp;$G100&amp;$P$26&amp;$E100&amp;$G100&amp;"'"&amp;$S$26&amp;L$22)</f>
        <v>#REF!</v>
      </c>
      <c r="M100" s="36" t="e" cm="1">
        <f t="array" aca="1" ref="M100" ca="1">INDIRECT("'"&amp;$H$26&amp;$E100&amp;$G100&amp;$P$26&amp;$E100&amp;$G100&amp;"'"&amp;$S$26&amp;M$22)</f>
        <v>#REF!</v>
      </c>
      <c r="N100" s="36" t="e" cm="1">
        <f t="array" aca="1" ref="N100" ca="1">INDIRECT("'"&amp;$H$26&amp;$E100&amp;$G100&amp;$P$26&amp;$E100&amp;$G100&amp;"'"&amp;$S$26&amp;N$22)</f>
        <v>#REF!</v>
      </c>
      <c r="O100" s="36" t="e" cm="1">
        <f t="array" aca="1" ref="O100" ca="1">INDIRECT("'"&amp;$H$26&amp;$E100&amp;$G100&amp;$P$26&amp;$E100&amp;$G100&amp;"'"&amp;$S$26&amp;O$22)</f>
        <v>#REF!</v>
      </c>
      <c r="P100" s="36" t="e" cm="1">
        <f t="array" aca="1" ref="P100" ca="1">INDIRECT("'"&amp;$H$26&amp;$E100&amp;$G100&amp;$P$26&amp;$E100&amp;$G100&amp;"'"&amp;$S$26&amp;P$22)</f>
        <v>#REF!</v>
      </c>
      <c r="Q100" s="36" t="e" cm="1">
        <f t="array" aca="1" ref="Q100" ca="1">INDIRECT("'"&amp;$H$26&amp;$E100&amp;$G100&amp;$P$26&amp;$E100&amp;$G100&amp;"'"&amp;$S$26&amp;Q$22)</f>
        <v>#REF!</v>
      </c>
      <c r="R100" s="36" t="e" cm="1">
        <f t="array" aca="1" ref="R100" ca="1">INDIRECT("'"&amp;$H$26&amp;$E100&amp;$G100&amp;$P$26&amp;$E100&amp;$G100&amp;"'"&amp;$S$26&amp;R$22)</f>
        <v>#REF!</v>
      </c>
    </row>
    <row r="101" spans="1:18" x14ac:dyDescent="0.2">
      <c r="A101" t="str">
        <f>IF(D101="Low","L"&amp;C101,IF(D101="Medium","M"&amp;C101,IF(D101="High","H"&amp;C101,"")))</f>
        <v>L50</v>
      </c>
      <c r="B101" t="s">
        <v>84</v>
      </c>
      <c r="C101">
        <v>50</v>
      </c>
      <c r="D101" t="s">
        <v>296</v>
      </c>
      <c r="E101" t="str">
        <f t="shared" ref="E101:E102" si="131">IF(B101="D1","ouest_cd-",IF(B101="D2","sud_cd-",IF(B101="D3","est_cd-","")))</f>
        <v>est_cd-</v>
      </c>
      <c r="F101" t="str">
        <f>[1]Demand!$C$5</f>
        <v>Industry</v>
      </c>
      <c r="G101" t="str">
        <f t="shared" ref="G101:G134" si="132">IF(B65="","",G29)</f>
        <v>0_2_0_0_0_0</v>
      </c>
      <c r="H101" s="36" t="e" cm="1">
        <f t="array" aca="1" ref="H101" ca="1">INDIRECT("'"&amp;$H$26&amp;$E101&amp;$G101&amp;$P$26&amp;$E101&amp;$G101&amp;"'"&amp;$S$26&amp;H$23)</f>
        <v>#REF!</v>
      </c>
      <c r="I101" s="36" t="e" cm="1">
        <f t="array" aca="1" ref="I101" ca="1">INDIRECT("'"&amp;$H$26&amp;$E101&amp;$G101&amp;$P$26&amp;$E101&amp;$G101&amp;"'"&amp;$S$26&amp;I$23)</f>
        <v>#REF!</v>
      </c>
      <c r="J101" s="36" t="e" cm="1">
        <f t="array" aca="1" ref="J101" ca="1">INDIRECT("'"&amp;$H$26&amp;$E101&amp;$G101&amp;$P$26&amp;$E101&amp;$G101&amp;"'"&amp;$S$26&amp;J$23)</f>
        <v>#REF!</v>
      </c>
      <c r="K101" s="36" t="e" cm="1">
        <f t="array" aca="1" ref="K101" ca="1">INDIRECT("'"&amp;$H$26&amp;$E101&amp;$G101&amp;$P$26&amp;$E101&amp;$G101&amp;"'"&amp;$S$26&amp;K$23)</f>
        <v>#REF!</v>
      </c>
      <c r="L101" s="36" t="e" cm="1">
        <f t="array" aca="1" ref="L101" ca="1">INDIRECT("'"&amp;$H$26&amp;$E101&amp;$G101&amp;$P$26&amp;$E101&amp;$G101&amp;"'"&amp;$S$26&amp;L$23)</f>
        <v>#REF!</v>
      </c>
      <c r="M101" s="36" t="e" cm="1">
        <f t="array" aca="1" ref="M101" ca="1">INDIRECT("'"&amp;$H$26&amp;$E101&amp;$G101&amp;$P$26&amp;$E101&amp;$G101&amp;"'"&amp;$S$26&amp;M$23)</f>
        <v>#REF!</v>
      </c>
      <c r="N101" s="36" t="e" cm="1">
        <f t="array" aca="1" ref="N101" ca="1">INDIRECT("'"&amp;$H$26&amp;$E101&amp;$G101&amp;$P$26&amp;$E101&amp;$G101&amp;"'"&amp;$S$26&amp;N$23)</f>
        <v>#REF!</v>
      </c>
      <c r="O101" s="36" t="e" cm="1">
        <f t="array" aca="1" ref="O101" ca="1">INDIRECT("'"&amp;$H$26&amp;$E101&amp;$G101&amp;$P$26&amp;$E101&amp;$G101&amp;"'"&amp;$S$26&amp;O$23)</f>
        <v>#REF!</v>
      </c>
      <c r="P101" s="36" t="e" cm="1">
        <f t="array" aca="1" ref="P101" ca="1">INDIRECT("'"&amp;$H$26&amp;$E101&amp;$G101&amp;$P$26&amp;$E101&amp;$G101&amp;"'"&amp;$S$26&amp;P$23)</f>
        <v>#REF!</v>
      </c>
      <c r="Q101" s="36" t="e" cm="1">
        <f t="array" aca="1" ref="Q101" ca="1">INDIRECT("'"&amp;$H$26&amp;$E101&amp;$G101&amp;$P$26&amp;$E101&amp;$G101&amp;"'"&amp;$S$26&amp;Q$23)</f>
        <v>#REF!</v>
      </c>
      <c r="R101" s="36" t="e" cm="1">
        <f t="array" aca="1" ref="R101" ca="1">INDIRECT("'"&amp;$H$26&amp;$E101&amp;$G101&amp;$P$26&amp;$E101&amp;$G101&amp;"'"&amp;$S$26&amp;R$23)</f>
        <v>#REF!</v>
      </c>
    </row>
    <row r="102" spans="1:18" x14ac:dyDescent="0.2">
      <c r="A102" t="str">
        <f>IF(D102="Low","L"&amp;C102,IF(D102="Medium","M"&amp;C102,IF(D102="High","H"&amp;C102,"")))</f>
        <v>L50</v>
      </c>
      <c r="B102" t="s">
        <v>84</v>
      </c>
      <c r="C102">
        <v>50</v>
      </c>
      <c r="D102" t="s">
        <v>296</v>
      </c>
      <c r="E102" t="str">
        <f t="shared" si="131"/>
        <v>est_cd-</v>
      </c>
      <c r="F102" t="str">
        <f>[1]Demand!$C$6</f>
        <v>Other</v>
      </c>
      <c r="G102" t="str">
        <f t="shared" si="132"/>
        <v>0_2_0_0_0_0</v>
      </c>
      <c r="H102" s="36" t="e">
        <f ca="1">SUM(INDIRECT("'"&amp;$H$26&amp;$E102&amp;$G102&amp;$P$26&amp;$E102&amp;$G102&amp;"'"&amp;$S$26&amp;H$24))</f>
        <v>#REF!</v>
      </c>
      <c r="I102" s="36" t="e">
        <f t="shared" ref="I102:R102" ca="1" si="133">SUM(INDIRECT("'"&amp;$H$26&amp;$E102&amp;$G102&amp;$P$26&amp;$E102&amp;$G102&amp;"'"&amp;$S$26&amp;I$24))</f>
        <v>#REF!</v>
      </c>
      <c r="J102" s="36" t="e">
        <f t="shared" ca="1" si="133"/>
        <v>#REF!</v>
      </c>
      <c r="K102" s="36" t="e">
        <f t="shared" ca="1" si="133"/>
        <v>#REF!</v>
      </c>
      <c r="L102" s="36" t="e">
        <f t="shared" ca="1" si="133"/>
        <v>#REF!</v>
      </c>
      <c r="M102" s="36" t="e">
        <f t="shared" ca="1" si="133"/>
        <v>#REF!</v>
      </c>
      <c r="N102" s="36" t="e">
        <f t="shared" ca="1" si="133"/>
        <v>#REF!</v>
      </c>
      <c r="O102" s="36" t="e">
        <f t="shared" ca="1" si="133"/>
        <v>#REF!</v>
      </c>
      <c r="P102" s="36" t="e">
        <f t="shared" ca="1" si="133"/>
        <v>#REF!</v>
      </c>
      <c r="Q102" s="36" t="e">
        <f t="shared" ca="1" si="133"/>
        <v>#REF!</v>
      </c>
      <c r="R102" s="36" t="e">
        <f t="shared" ca="1" si="133"/>
        <v>#REF!</v>
      </c>
    </row>
    <row r="103" spans="1:18" x14ac:dyDescent="0.2">
      <c r="D103" t="str">
        <f t="shared" ref="D103" si="134">IF(A103="L","Low",IF(A103="M","Medium",IF(A103="H","High","")))</f>
        <v/>
      </c>
      <c r="E103" t="str">
        <f t="shared" si="23"/>
        <v/>
      </c>
      <c r="G103" t="str">
        <f t="shared" si="132"/>
        <v/>
      </c>
      <c r="H103" t="e">
        <f ca="1">SUM(H100:H102)</f>
        <v>#REF!</v>
      </c>
      <c r="I103" t="e">
        <f t="shared" ref="I103:R103" ca="1" si="135">SUM(I100:I102)</f>
        <v>#REF!</v>
      </c>
      <c r="J103" t="e">
        <f t="shared" ca="1" si="135"/>
        <v>#REF!</v>
      </c>
      <c r="K103" t="e">
        <f t="shared" ca="1" si="135"/>
        <v>#REF!</v>
      </c>
      <c r="L103" t="e">
        <f t="shared" ca="1" si="135"/>
        <v>#REF!</v>
      </c>
      <c r="M103" t="e">
        <f t="shared" ca="1" si="135"/>
        <v>#REF!</v>
      </c>
      <c r="N103" t="e">
        <f t="shared" ca="1" si="135"/>
        <v>#REF!</v>
      </c>
      <c r="O103" t="e">
        <f t="shared" ca="1" si="135"/>
        <v>#REF!</v>
      </c>
      <c r="P103" t="e">
        <f t="shared" ca="1" si="135"/>
        <v>#REF!</v>
      </c>
      <c r="Q103" t="e">
        <f t="shared" ca="1" si="135"/>
        <v>#REF!</v>
      </c>
      <c r="R103" t="e">
        <f t="shared" ca="1" si="135"/>
        <v>#REF!</v>
      </c>
    </row>
    <row r="104" spans="1:18" x14ac:dyDescent="0.2">
      <c r="A104" t="str">
        <f>IF(D104="Low","L"&amp;C104,IF(D104="Medium","M"&amp;C104,IF(D104="High","H"&amp;C104,"")))</f>
        <v>M50</v>
      </c>
      <c r="B104" t="s">
        <v>84</v>
      </c>
      <c r="C104">
        <v>50</v>
      </c>
      <c r="D104" t="s">
        <v>297</v>
      </c>
      <c r="E104" t="str">
        <f>IF(B104="D1","ouest_cd-",IF(B104="D2","sud_cd-",IF(B104="D3","est_cd-","")))</f>
        <v>est_cd-</v>
      </c>
      <c r="F104" t="str">
        <f>[1]Demand!$C$4</f>
        <v>Household</v>
      </c>
      <c r="G104" t="str">
        <f t="shared" si="132"/>
        <v>0_2_1_1_1_0</v>
      </c>
      <c r="H104" s="36" t="e" cm="1">
        <f t="array" aca="1" ref="H104" ca="1">INDIRECT("'"&amp;$H$26&amp;$E104&amp;$G104&amp;$P$26&amp;$E104&amp;$G104&amp;"'"&amp;$S$26&amp;H$22)</f>
        <v>#REF!</v>
      </c>
      <c r="I104" s="36" t="e" cm="1">
        <f t="array" aca="1" ref="I104" ca="1">INDIRECT("'"&amp;$H$26&amp;$E104&amp;$G104&amp;$P$26&amp;$E104&amp;$G104&amp;"'"&amp;$S$26&amp;I$22)</f>
        <v>#REF!</v>
      </c>
      <c r="J104" s="36" t="e" cm="1">
        <f t="array" aca="1" ref="J104" ca="1">INDIRECT("'"&amp;$H$26&amp;$E104&amp;$G104&amp;$P$26&amp;$E104&amp;$G104&amp;"'"&amp;$S$26&amp;J$22)</f>
        <v>#REF!</v>
      </c>
      <c r="K104" s="36" t="e" cm="1">
        <f t="array" aca="1" ref="K104" ca="1">INDIRECT("'"&amp;$H$26&amp;$E104&amp;$G104&amp;$P$26&amp;$E104&amp;$G104&amp;"'"&amp;$S$26&amp;K$22)</f>
        <v>#REF!</v>
      </c>
      <c r="L104" s="36" t="e" cm="1">
        <f t="array" aca="1" ref="L104" ca="1">INDIRECT("'"&amp;$H$26&amp;$E104&amp;$G104&amp;$P$26&amp;$E104&amp;$G104&amp;"'"&amp;$S$26&amp;L$22)</f>
        <v>#REF!</v>
      </c>
      <c r="M104" s="36" t="e" cm="1">
        <f t="array" aca="1" ref="M104" ca="1">INDIRECT("'"&amp;$H$26&amp;$E104&amp;$G104&amp;$P$26&amp;$E104&amp;$G104&amp;"'"&amp;$S$26&amp;M$22)</f>
        <v>#REF!</v>
      </c>
      <c r="N104" s="36" t="e" cm="1">
        <f t="array" aca="1" ref="N104" ca="1">INDIRECT("'"&amp;$H$26&amp;$E104&amp;$G104&amp;$P$26&amp;$E104&amp;$G104&amp;"'"&amp;$S$26&amp;N$22)</f>
        <v>#REF!</v>
      </c>
      <c r="O104" s="36" t="e" cm="1">
        <f t="array" aca="1" ref="O104" ca="1">INDIRECT("'"&amp;$H$26&amp;$E104&amp;$G104&amp;$P$26&amp;$E104&amp;$G104&amp;"'"&amp;$S$26&amp;O$22)</f>
        <v>#REF!</v>
      </c>
      <c r="P104" s="36" t="e" cm="1">
        <f t="array" aca="1" ref="P104" ca="1">INDIRECT("'"&amp;$H$26&amp;$E104&amp;$G104&amp;$P$26&amp;$E104&amp;$G104&amp;"'"&amp;$S$26&amp;P$22)</f>
        <v>#REF!</v>
      </c>
      <c r="Q104" s="36" t="e" cm="1">
        <f t="array" aca="1" ref="Q104" ca="1">INDIRECT("'"&amp;$H$26&amp;$E104&amp;$G104&amp;$P$26&amp;$E104&amp;$G104&amp;"'"&amp;$S$26&amp;Q$22)</f>
        <v>#REF!</v>
      </c>
      <c r="R104" s="36" t="e" cm="1">
        <f t="array" aca="1" ref="R104" ca="1">INDIRECT("'"&amp;$H$26&amp;$E104&amp;$G104&amp;$P$26&amp;$E104&amp;$G104&amp;"'"&amp;$S$26&amp;R$22)</f>
        <v>#REF!</v>
      </c>
    </row>
    <row r="105" spans="1:18" x14ac:dyDescent="0.2">
      <c r="A105" t="str">
        <f>IF(D105="Low","L"&amp;C105,IF(D105="Medium","M"&amp;C105,IF(D105="High","H"&amp;C105,"")))</f>
        <v>M50</v>
      </c>
      <c r="B105" t="s">
        <v>84</v>
      </c>
      <c r="C105">
        <v>50</v>
      </c>
      <c r="D105" t="s">
        <v>297</v>
      </c>
      <c r="E105" t="str">
        <f t="shared" ref="E105:E106" si="136">IF(B105="D1","ouest_cd-",IF(B105="D2","sud_cd-",IF(B105="D3","est_cd-","")))</f>
        <v>est_cd-</v>
      </c>
      <c r="F105" t="str">
        <f>[1]Demand!$C$5</f>
        <v>Industry</v>
      </c>
      <c r="G105" t="str">
        <f t="shared" si="132"/>
        <v>0_2_1_1_1_0</v>
      </c>
      <c r="H105" s="36" t="e" cm="1">
        <f t="array" aca="1" ref="H105" ca="1">INDIRECT("'"&amp;$H$26&amp;$E105&amp;$G105&amp;$P$26&amp;$E105&amp;$G105&amp;"'"&amp;$S$26&amp;H$23)</f>
        <v>#REF!</v>
      </c>
      <c r="I105" s="36" t="e" cm="1">
        <f t="array" aca="1" ref="I105" ca="1">INDIRECT("'"&amp;$H$26&amp;$E105&amp;$G105&amp;$P$26&amp;$E105&amp;$G105&amp;"'"&amp;$S$26&amp;I$23)</f>
        <v>#REF!</v>
      </c>
      <c r="J105" s="36" t="e" cm="1">
        <f t="array" aca="1" ref="J105" ca="1">INDIRECT("'"&amp;$H$26&amp;$E105&amp;$G105&amp;$P$26&amp;$E105&amp;$G105&amp;"'"&amp;$S$26&amp;J$23)</f>
        <v>#REF!</v>
      </c>
      <c r="K105" s="36" t="e" cm="1">
        <f t="array" aca="1" ref="K105" ca="1">INDIRECT("'"&amp;$H$26&amp;$E105&amp;$G105&amp;$P$26&amp;$E105&amp;$G105&amp;"'"&amp;$S$26&amp;K$23)</f>
        <v>#REF!</v>
      </c>
      <c r="L105" s="36" t="e" cm="1">
        <f t="array" aca="1" ref="L105" ca="1">INDIRECT("'"&amp;$H$26&amp;$E105&amp;$G105&amp;$P$26&amp;$E105&amp;$G105&amp;"'"&amp;$S$26&amp;L$23)</f>
        <v>#REF!</v>
      </c>
      <c r="M105" s="36" t="e" cm="1">
        <f t="array" aca="1" ref="M105" ca="1">INDIRECT("'"&amp;$H$26&amp;$E105&amp;$G105&amp;$P$26&amp;$E105&amp;$G105&amp;"'"&amp;$S$26&amp;M$23)</f>
        <v>#REF!</v>
      </c>
      <c r="N105" s="36" t="e" cm="1">
        <f t="array" aca="1" ref="N105" ca="1">INDIRECT("'"&amp;$H$26&amp;$E105&amp;$G105&amp;$P$26&amp;$E105&amp;$G105&amp;"'"&amp;$S$26&amp;N$23)</f>
        <v>#REF!</v>
      </c>
      <c r="O105" s="36" t="e" cm="1">
        <f t="array" aca="1" ref="O105" ca="1">INDIRECT("'"&amp;$H$26&amp;$E105&amp;$G105&amp;$P$26&amp;$E105&amp;$G105&amp;"'"&amp;$S$26&amp;O$23)</f>
        <v>#REF!</v>
      </c>
      <c r="P105" s="36" t="e" cm="1">
        <f t="array" aca="1" ref="P105" ca="1">INDIRECT("'"&amp;$H$26&amp;$E105&amp;$G105&amp;$P$26&amp;$E105&amp;$G105&amp;"'"&amp;$S$26&amp;P$23)</f>
        <v>#REF!</v>
      </c>
      <c r="Q105" s="36" t="e" cm="1">
        <f t="array" aca="1" ref="Q105" ca="1">INDIRECT("'"&amp;$H$26&amp;$E105&amp;$G105&amp;$P$26&amp;$E105&amp;$G105&amp;"'"&amp;$S$26&amp;Q$23)</f>
        <v>#REF!</v>
      </c>
      <c r="R105" s="36" t="e" cm="1">
        <f t="array" aca="1" ref="R105" ca="1">INDIRECT("'"&amp;$H$26&amp;$E105&amp;$G105&amp;$P$26&amp;$E105&amp;$G105&amp;"'"&amp;$S$26&amp;R$23)</f>
        <v>#REF!</v>
      </c>
    </row>
    <row r="106" spans="1:18" x14ac:dyDescent="0.2">
      <c r="A106" t="str">
        <f>IF(D106="Low","L"&amp;C106,IF(D106="Medium","M"&amp;C106,IF(D106="High","H"&amp;C106,"")))</f>
        <v>M50</v>
      </c>
      <c r="B106" t="s">
        <v>84</v>
      </c>
      <c r="C106">
        <v>50</v>
      </c>
      <c r="D106" t="s">
        <v>297</v>
      </c>
      <c r="E106" t="str">
        <f t="shared" si="136"/>
        <v>est_cd-</v>
      </c>
      <c r="F106" t="str">
        <f>[1]Demand!$C$6</f>
        <v>Other</v>
      </c>
      <c r="G106" t="str">
        <f t="shared" si="132"/>
        <v>0_2_1_1_1_0</v>
      </c>
      <c r="H106" s="36" t="e">
        <f ca="1">SUM(INDIRECT("'"&amp;$H$26&amp;$E106&amp;$G106&amp;$P$26&amp;$E106&amp;$G106&amp;"'"&amp;$S$26&amp;H$24))</f>
        <v>#REF!</v>
      </c>
      <c r="I106" s="36" t="e">
        <f t="shared" ref="I106:R106" ca="1" si="137">SUM(INDIRECT("'"&amp;$H$26&amp;$E106&amp;$G106&amp;$P$26&amp;$E106&amp;$G106&amp;"'"&amp;$S$26&amp;I$24))</f>
        <v>#REF!</v>
      </c>
      <c r="J106" s="36" t="e">
        <f t="shared" ca="1" si="137"/>
        <v>#REF!</v>
      </c>
      <c r="K106" s="36" t="e">
        <f t="shared" ca="1" si="137"/>
        <v>#REF!</v>
      </c>
      <c r="L106" s="36" t="e">
        <f t="shared" ca="1" si="137"/>
        <v>#REF!</v>
      </c>
      <c r="M106" s="36" t="e">
        <f t="shared" ca="1" si="137"/>
        <v>#REF!</v>
      </c>
      <c r="N106" s="36" t="e">
        <f t="shared" ca="1" si="137"/>
        <v>#REF!</v>
      </c>
      <c r="O106" s="36" t="e">
        <f t="shared" ca="1" si="137"/>
        <v>#REF!</v>
      </c>
      <c r="P106" s="36" t="e">
        <f t="shared" ca="1" si="137"/>
        <v>#REF!</v>
      </c>
      <c r="Q106" s="36" t="e">
        <f t="shared" ca="1" si="137"/>
        <v>#REF!</v>
      </c>
      <c r="R106" s="36" t="e">
        <f t="shared" ca="1" si="137"/>
        <v>#REF!</v>
      </c>
    </row>
    <row r="107" spans="1:18" x14ac:dyDescent="0.2">
      <c r="D107" t="str">
        <f t="shared" ref="D107" si="138">IF(A107="L","Low",IF(A107="M","Medium",IF(A107="H","High","")))</f>
        <v/>
      </c>
      <c r="E107" t="str">
        <f t="shared" si="23"/>
        <v/>
      </c>
      <c r="G107" t="str">
        <f t="shared" si="132"/>
        <v/>
      </c>
      <c r="H107" t="e">
        <f ca="1">SUM(H104:H106)</f>
        <v>#REF!</v>
      </c>
      <c r="I107" t="e">
        <f t="shared" ref="I107:R107" ca="1" si="139">SUM(I104:I106)</f>
        <v>#REF!</v>
      </c>
      <c r="J107" t="e">
        <f t="shared" ca="1" si="139"/>
        <v>#REF!</v>
      </c>
      <c r="K107" t="e">
        <f t="shared" ca="1" si="139"/>
        <v>#REF!</v>
      </c>
      <c r="L107" t="e">
        <f t="shared" ca="1" si="139"/>
        <v>#REF!</v>
      </c>
      <c r="M107" t="e">
        <f t="shared" ca="1" si="139"/>
        <v>#REF!</v>
      </c>
      <c r="N107" t="e">
        <f t="shared" ca="1" si="139"/>
        <v>#REF!</v>
      </c>
      <c r="O107" t="e">
        <f t="shared" ca="1" si="139"/>
        <v>#REF!</v>
      </c>
      <c r="P107" t="e">
        <f t="shared" ca="1" si="139"/>
        <v>#REF!</v>
      </c>
      <c r="Q107" t="e">
        <f t="shared" ca="1" si="139"/>
        <v>#REF!</v>
      </c>
      <c r="R107" t="e">
        <f t="shared" ca="1" si="139"/>
        <v>#REF!</v>
      </c>
    </row>
    <row r="108" spans="1:18" x14ac:dyDescent="0.2">
      <c r="A108" t="str">
        <f>IF(D108="Low","L"&amp;C108,IF(D108="Medium","M"&amp;C108,IF(D108="High","H"&amp;C108,"")))</f>
        <v>H50</v>
      </c>
      <c r="B108" t="s">
        <v>84</v>
      </c>
      <c r="C108">
        <v>50</v>
      </c>
      <c r="D108" t="s">
        <v>298</v>
      </c>
      <c r="E108" t="str">
        <f>IF(B108="D1","ouest_cd-",IF(B108="D2","sud_cd-",IF(B108="D3","est_cd-","")))</f>
        <v>est_cd-</v>
      </c>
      <c r="F108" t="str">
        <f>[1]Demand!$C$4</f>
        <v>Household</v>
      </c>
      <c r="G108" t="str">
        <f t="shared" si="132"/>
        <v>0_2_2_2_2_0</v>
      </c>
      <c r="H108" s="36" t="e" cm="1">
        <f t="array" aca="1" ref="H108" ca="1">INDIRECT("'"&amp;$H$26&amp;$E108&amp;$G108&amp;$P$26&amp;$E108&amp;$G108&amp;"'"&amp;$S$26&amp;H$22)</f>
        <v>#REF!</v>
      </c>
      <c r="I108" s="36" t="e" cm="1">
        <f t="array" aca="1" ref="I108" ca="1">INDIRECT("'"&amp;$H$26&amp;$E108&amp;$G108&amp;$P$26&amp;$E108&amp;$G108&amp;"'"&amp;$S$26&amp;I$22)</f>
        <v>#REF!</v>
      </c>
      <c r="J108" s="36" t="e" cm="1">
        <f t="array" aca="1" ref="J108" ca="1">INDIRECT("'"&amp;$H$26&amp;$E108&amp;$G108&amp;$P$26&amp;$E108&amp;$G108&amp;"'"&amp;$S$26&amp;J$22)</f>
        <v>#REF!</v>
      </c>
      <c r="K108" s="36" t="e" cm="1">
        <f t="array" aca="1" ref="K108" ca="1">INDIRECT("'"&amp;$H$26&amp;$E108&amp;$G108&amp;$P$26&amp;$E108&amp;$G108&amp;"'"&amp;$S$26&amp;K$22)</f>
        <v>#REF!</v>
      </c>
      <c r="L108" s="36" t="e" cm="1">
        <f t="array" aca="1" ref="L108" ca="1">INDIRECT("'"&amp;$H$26&amp;$E108&amp;$G108&amp;$P$26&amp;$E108&amp;$G108&amp;"'"&amp;$S$26&amp;L$22)</f>
        <v>#REF!</v>
      </c>
      <c r="M108" s="36" t="e" cm="1">
        <f t="array" aca="1" ref="M108" ca="1">INDIRECT("'"&amp;$H$26&amp;$E108&amp;$G108&amp;$P$26&amp;$E108&amp;$G108&amp;"'"&amp;$S$26&amp;M$22)</f>
        <v>#REF!</v>
      </c>
      <c r="N108" s="36" t="e" cm="1">
        <f t="array" aca="1" ref="N108" ca="1">INDIRECT("'"&amp;$H$26&amp;$E108&amp;$G108&amp;$P$26&amp;$E108&amp;$G108&amp;"'"&amp;$S$26&amp;N$22)</f>
        <v>#REF!</v>
      </c>
      <c r="O108" s="36" t="e" cm="1">
        <f t="array" aca="1" ref="O108" ca="1">INDIRECT("'"&amp;$H$26&amp;$E108&amp;$G108&amp;$P$26&amp;$E108&amp;$G108&amp;"'"&amp;$S$26&amp;O$22)</f>
        <v>#REF!</v>
      </c>
      <c r="P108" s="36" t="e" cm="1">
        <f t="array" aca="1" ref="P108" ca="1">INDIRECT("'"&amp;$H$26&amp;$E108&amp;$G108&amp;$P$26&amp;$E108&amp;$G108&amp;"'"&amp;$S$26&amp;P$22)</f>
        <v>#REF!</v>
      </c>
      <c r="Q108" s="36" t="e" cm="1">
        <f t="array" aca="1" ref="Q108" ca="1">INDIRECT("'"&amp;$H$26&amp;$E108&amp;$G108&amp;$P$26&amp;$E108&amp;$G108&amp;"'"&amp;$S$26&amp;Q$22)</f>
        <v>#REF!</v>
      </c>
      <c r="R108" s="36" t="e" cm="1">
        <f t="array" aca="1" ref="R108" ca="1">INDIRECT("'"&amp;$H$26&amp;$E108&amp;$G108&amp;$P$26&amp;$E108&amp;$G108&amp;"'"&amp;$S$26&amp;R$22)</f>
        <v>#REF!</v>
      </c>
    </row>
    <row r="109" spans="1:18" x14ac:dyDescent="0.2">
      <c r="A109" t="str">
        <f>IF(D109="Low","L"&amp;C109,IF(D109="Medium","M"&amp;C109,IF(D109="High","H"&amp;C109,"")))</f>
        <v>H50</v>
      </c>
      <c r="B109" t="s">
        <v>84</v>
      </c>
      <c r="C109">
        <v>50</v>
      </c>
      <c r="D109" t="s">
        <v>298</v>
      </c>
      <c r="E109" t="str">
        <f t="shared" ref="E109:E110" si="140">IF(B109="D1","ouest_cd-",IF(B109="D2","sud_cd-",IF(B109="D3","est_cd-","")))</f>
        <v>est_cd-</v>
      </c>
      <c r="F109" t="str">
        <f>[1]Demand!$C$5</f>
        <v>Industry</v>
      </c>
      <c r="G109" t="str">
        <f t="shared" si="132"/>
        <v>0_2_2_2_2_0</v>
      </c>
      <c r="H109" s="36" t="e" cm="1">
        <f t="array" aca="1" ref="H109" ca="1">INDIRECT("'"&amp;$H$26&amp;$E109&amp;$G109&amp;$P$26&amp;$E109&amp;$G109&amp;"'"&amp;$S$26&amp;H$23)</f>
        <v>#REF!</v>
      </c>
      <c r="I109" s="36" t="e" cm="1">
        <f t="array" aca="1" ref="I109" ca="1">INDIRECT("'"&amp;$H$26&amp;$E109&amp;$G109&amp;$P$26&amp;$E109&amp;$G109&amp;"'"&amp;$S$26&amp;I$23)</f>
        <v>#REF!</v>
      </c>
      <c r="J109" s="36" t="e" cm="1">
        <f t="array" aca="1" ref="J109" ca="1">INDIRECT("'"&amp;$H$26&amp;$E109&amp;$G109&amp;$P$26&amp;$E109&amp;$G109&amp;"'"&amp;$S$26&amp;J$23)</f>
        <v>#REF!</v>
      </c>
      <c r="K109" s="36" t="e" cm="1">
        <f t="array" aca="1" ref="K109" ca="1">INDIRECT("'"&amp;$H$26&amp;$E109&amp;$G109&amp;$P$26&amp;$E109&amp;$G109&amp;"'"&amp;$S$26&amp;K$23)</f>
        <v>#REF!</v>
      </c>
      <c r="L109" s="36" t="e" cm="1">
        <f t="array" aca="1" ref="L109" ca="1">INDIRECT("'"&amp;$H$26&amp;$E109&amp;$G109&amp;$P$26&amp;$E109&amp;$G109&amp;"'"&amp;$S$26&amp;L$23)</f>
        <v>#REF!</v>
      </c>
      <c r="M109" s="36" t="e" cm="1">
        <f t="array" aca="1" ref="M109" ca="1">INDIRECT("'"&amp;$H$26&amp;$E109&amp;$G109&amp;$P$26&amp;$E109&amp;$G109&amp;"'"&amp;$S$26&amp;M$23)</f>
        <v>#REF!</v>
      </c>
      <c r="N109" s="36" t="e" cm="1">
        <f t="array" aca="1" ref="N109" ca="1">INDIRECT("'"&amp;$H$26&amp;$E109&amp;$G109&amp;$P$26&amp;$E109&amp;$G109&amp;"'"&amp;$S$26&amp;N$23)</f>
        <v>#REF!</v>
      </c>
      <c r="O109" s="36" t="e" cm="1">
        <f t="array" aca="1" ref="O109" ca="1">INDIRECT("'"&amp;$H$26&amp;$E109&amp;$G109&amp;$P$26&amp;$E109&amp;$G109&amp;"'"&amp;$S$26&amp;O$23)</f>
        <v>#REF!</v>
      </c>
      <c r="P109" s="36" t="e" cm="1">
        <f t="array" aca="1" ref="P109" ca="1">INDIRECT("'"&amp;$H$26&amp;$E109&amp;$G109&amp;$P$26&amp;$E109&amp;$G109&amp;"'"&amp;$S$26&amp;P$23)</f>
        <v>#REF!</v>
      </c>
      <c r="Q109" s="36" t="e" cm="1">
        <f t="array" aca="1" ref="Q109" ca="1">INDIRECT("'"&amp;$H$26&amp;$E109&amp;$G109&amp;$P$26&amp;$E109&amp;$G109&amp;"'"&amp;$S$26&amp;Q$23)</f>
        <v>#REF!</v>
      </c>
      <c r="R109" s="36" t="e" cm="1">
        <f t="array" aca="1" ref="R109" ca="1">INDIRECT("'"&amp;$H$26&amp;$E109&amp;$G109&amp;$P$26&amp;$E109&amp;$G109&amp;"'"&amp;$S$26&amp;R$23)</f>
        <v>#REF!</v>
      </c>
    </row>
    <row r="110" spans="1:18" x14ac:dyDescent="0.2">
      <c r="A110" t="str">
        <f>IF(D110="Low","L"&amp;C110,IF(D110="Medium","M"&amp;C110,IF(D110="High","H"&amp;C110,"")))</f>
        <v>H50</v>
      </c>
      <c r="B110" t="s">
        <v>84</v>
      </c>
      <c r="C110">
        <v>50</v>
      </c>
      <c r="D110" t="s">
        <v>298</v>
      </c>
      <c r="E110" t="str">
        <f t="shared" si="140"/>
        <v>est_cd-</v>
      </c>
      <c r="F110" t="str">
        <f>[1]Demand!$C$6</f>
        <v>Other</v>
      </c>
      <c r="G110" t="str">
        <f t="shared" si="132"/>
        <v>0_2_2_2_2_0</v>
      </c>
      <c r="H110" s="36" t="e">
        <f ca="1">SUM(INDIRECT("'"&amp;$H$26&amp;$E110&amp;$G110&amp;$P$26&amp;$E110&amp;$G110&amp;"'"&amp;$S$26&amp;H$24))</f>
        <v>#REF!</v>
      </c>
      <c r="I110" s="36" t="e">
        <f t="shared" ref="I110:R110" ca="1" si="141">SUM(INDIRECT("'"&amp;$H$26&amp;$E110&amp;$G110&amp;$P$26&amp;$E110&amp;$G110&amp;"'"&amp;$S$26&amp;I$24))</f>
        <v>#REF!</v>
      </c>
      <c r="J110" s="36" t="e">
        <f t="shared" ca="1" si="141"/>
        <v>#REF!</v>
      </c>
      <c r="K110" s="36" t="e">
        <f t="shared" ca="1" si="141"/>
        <v>#REF!</v>
      </c>
      <c r="L110" s="36" t="e">
        <f t="shared" ca="1" si="141"/>
        <v>#REF!</v>
      </c>
      <c r="M110" s="36" t="e">
        <f t="shared" ca="1" si="141"/>
        <v>#REF!</v>
      </c>
      <c r="N110" s="36" t="e">
        <f t="shared" ca="1" si="141"/>
        <v>#REF!</v>
      </c>
      <c r="O110" s="36" t="e">
        <f t="shared" ca="1" si="141"/>
        <v>#REF!</v>
      </c>
      <c r="P110" s="36" t="e">
        <f t="shared" ca="1" si="141"/>
        <v>#REF!</v>
      </c>
      <c r="Q110" s="36" t="e">
        <f t="shared" ca="1" si="141"/>
        <v>#REF!</v>
      </c>
      <c r="R110" s="36" t="e">
        <f t="shared" ca="1" si="141"/>
        <v>#REF!</v>
      </c>
    </row>
    <row r="111" spans="1:18" x14ac:dyDescent="0.2">
      <c r="G111" t="str">
        <f t="shared" si="132"/>
        <v/>
      </c>
      <c r="H111" t="e">
        <f ca="1">SUM(H108:H110)</f>
        <v>#REF!</v>
      </c>
      <c r="I111" t="e">
        <f t="shared" ref="I111:R111" ca="1" si="142">SUM(I108:I110)</f>
        <v>#REF!</v>
      </c>
      <c r="J111" t="e">
        <f t="shared" ca="1" si="142"/>
        <v>#REF!</v>
      </c>
      <c r="K111" t="e">
        <f t="shared" ca="1" si="142"/>
        <v>#REF!</v>
      </c>
      <c r="L111" t="e">
        <f t="shared" ca="1" si="142"/>
        <v>#REF!</v>
      </c>
      <c r="M111" t="e">
        <f t="shared" ca="1" si="142"/>
        <v>#REF!</v>
      </c>
      <c r="N111" t="e">
        <f t="shared" ca="1" si="142"/>
        <v>#REF!</v>
      </c>
      <c r="O111" t="e">
        <f t="shared" ca="1" si="142"/>
        <v>#REF!</v>
      </c>
      <c r="P111" t="e">
        <f t="shared" ca="1" si="142"/>
        <v>#REF!</v>
      </c>
      <c r="Q111" t="e">
        <f t="shared" ca="1" si="142"/>
        <v>#REF!</v>
      </c>
      <c r="R111" t="e">
        <f t="shared" ca="1" si="142"/>
        <v>#REF!</v>
      </c>
    </row>
    <row r="112" spans="1:18" x14ac:dyDescent="0.2">
      <c r="A112" t="str">
        <f>IF(D112="Low","L"&amp;C112,IF(D112="Medium","M"&amp;C112,IF(D112="High","H"&amp;C112,"")))</f>
        <v>L75</v>
      </c>
      <c r="B112" t="str">
        <f>IF(B100="","",B100)</f>
        <v>D3</v>
      </c>
      <c r="C112">
        <f>IF(B112="","",$A$9)</f>
        <v>75</v>
      </c>
      <c r="D112" t="str">
        <f>IF(D100="","",D100)</f>
        <v>Low</v>
      </c>
      <c r="E112" t="str">
        <f>IF(E100="","",E100)</f>
        <v>est_cd-</v>
      </c>
      <c r="F112" t="str">
        <f>IF(F100="","",F100)</f>
        <v>Household</v>
      </c>
      <c r="G112" t="str">
        <f t="shared" si="132"/>
        <v>0_0_0_0_0_0</v>
      </c>
      <c r="H112" s="36" t="e" cm="1">
        <f t="array" aca="1" ref="H112" ca="1">INDIRECT("'"&amp;$H$26&amp;$E112&amp;$G112&amp;$P$26&amp;$E112&amp;$G112&amp;"'"&amp;$S$26&amp;H$22)</f>
        <v>#REF!</v>
      </c>
      <c r="I112" s="36" t="e" cm="1">
        <f t="array" aca="1" ref="I112" ca="1">INDIRECT("'"&amp;$H$26&amp;$E112&amp;$G112&amp;$P$26&amp;$E112&amp;$G112&amp;"'"&amp;$S$26&amp;I$22)</f>
        <v>#REF!</v>
      </c>
      <c r="J112" s="36" t="e" cm="1">
        <f t="array" aca="1" ref="J112" ca="1">INDIRECT("'"&amp;$H$26&amp;$E112&amp;$G112&amp;$P$26&amp;$E112&amp;$G112&amp;"'"&amp;$S$26&amp;J$22)</f>
        <v>#REF!</v>
      </c>
      <c r="K112" s="36" t="e" cm="1">
        <f t="array" aca="1" ref="K112" ca="1">INDIRECT("'"&amp;$H$26&amp;$E112&amp;$G112&amp;$P$26&amp;$E112&amp;$G112&amp;"'"&amp;$S$26&amp;K$22)</f>
        <v>#REF!</v>
      </c>
      <c r="L112" s="36" t="e" cm="1">
        <f t="array" aca="1" ref="L112" ca="1">INDIRECT("'"&amp;$H$26&amp;$E112&amp;$G112&amp;$P$26&amp;$E112&amp;$G112&amp;"'"&amp;$S$26&amp;L$22)</f>
        <v>#REF!</v>
      </c>
      <c r="M112" s="36" t="e" cm="1">
        <f t="array" aca="1" ref="M112" ca="1">INDIRECT("'"&amp;$H$26&amp;$E112&amp;$G112&amp;$P$26&amp;$E112&amp;$G112&amp;"'"&amp;$S$26&amp;M$22)</f>
        <v>#REF!</v>
      </c>
      <c r="N112" s="36" t="e" cm="1">
        <f t="array" aca="1" ref="N112" ca="1">INDIRECT("'"&amp;$H$26&amp;$E112&amp;$G112&amp;$P$26&amp;$E112&amp;$G112&amp;"'"&amp;$S$26&amp;N$22)</f>
        <v>#REF!</v>
      </c>
      <c r="O112" s="36" t="e" cm="1">
        <f t="array" aca="1" ref="O112" ca="1">INDIRECT("'"&amp;$H$26&amp;$E112&amp;$G112&amp;$P$26&amp;$E112&amp;$G112&amp;"'"&amp;$S$26&amp;O$22)</f>
        <v>#REF!</v>
      </c>
      <c r="P112" s="36" t="e" cm="1">
        <f t="array" aca="1" ref="P112" ca="1">INDIRECT("'"&amp;$H$26&amp;$E112&amp;$G112&amp;$P$26&amp;$E112&amp;$G112&amp;"'"&amp;$S$26&amp;P$22)</f>
        <v>#REF!</v>
      </c>
      <c r="Q112" s="36" t="e" cm="1">
        <f t="array" aca="1" ref="Q112" ca="1">INDIRECT("'"&amp;$H$26&amp;$E112&amp;$G112&amp;$P$26&amp;$E112&amp;$G112&amp;"'"&amp;$S$26&amp;Q$22)</f>
        <v>#REF!</v>
      </c>
      <c r="R112" s="36" t="e" cm="1">
        <f t="array" aca="1" ref="R112" ca="1">INDIRECT("'"&amp;$H$26&amp;$E112&amp;$G112&amp;$P$26&amp;$E112&amp;$G112&amp;"'"&amp;$S$26&amp;R$22)</f>
        <v>#REF!</v>
      </c>
    </row>
    <row r="113" spans="1:18" x14ac:dyDescent="0.2">
      <c r="A113" t="str">
        <f t="shared" ref="A113:A134" si="143">IF(D113="Low","L"&amp;C113,IF(D113="Medium","M"&amp;C113,IF(D113="High","H"&amp;C113,"")))</f>
        <v>L75</v>
      </c>
      <c r="B113" t="str">
        <f t="shared" ref="B113:B134" si="144">IF(B101="","",B101)</f>
        <v>D3</v>
      </c>
      <c r="C113">
        <f t="shared" ref="C113:C123" si="145">IF(B113="","",$A$9)</f>
        <v>75</v>
      </c>
      <c r="D113" t="str">
        <f t="shared" ref="D113:F113" si="146">IF(D101="","",D101)</f>
        <v>Low</v>
      </c>
      <c r="E113" t="str">
        <f t="shared" si="146"/>
        <v>est_cd-</v>
      </c>
      <c r="F113" t="str">
        <f t="shared" si="146"/>
        <v>Industry</v>
      </c>
      <c r="G113" t="str">
        <f t="shared" si="132"/>
        <v>0_0_0_0_0_0</v>
      </c>
      <c r="H113" s="36" t="e" cm="1">
        <f t="array" aca="1" ref="H113" ca="1">INDIRECT("'"&amp;$H$26&amp;$E113&amp;$G113&amp;$P$26&amp;$E113&amp;$G113&amp;"'"&amp;$S$26&amp;H$23)</f>
        <v>#REF!</v>
      </c>
      <c r="I113" s="36" t="e" cm="1">
        <f t="array" aca="1" ref="I113" ca="1">INDIRECT("'"&amp;$H$26&amp;$E113&amp;$G113&amp;$P$26&amp;$E113&amp;$G113&amp;"'"&amp;$S$26&amp;I$23)</f>
        <v>#REF!</v>
      </c>
      <c r="J113" s="36" t="e" cm="1">
        <f t="array" aca="1" ref="J113" ca="1">INDIRECT("'"&amp;$H$26&amp;$E113&amp;$G113&amp;$P$26&amp;$E113&amp;$G113&amp;"'"&amp;$S$26&amp;J$23)</f>
        <v>#REF!</v>
      </c>
      <c r="K113" s="36" t="e" cm="1">
        <f t="array" aca="1" ref="K113" ca="1">INDIRECT("'"&amp;$H$26&amp;$E113&amp;$G113&amp;$P$26&amp;$E113&amp;$G113&amp;"'"&amp;$S$26&amp;K$23)</f>
        <v>#REF!</v>
      </c>
      <c r="L113" s="36" t="e" cm="1">
        <f t="array" aca="1" ref="L113" ca="1">INDIRECT("'"&amp;$H$26&amp;$E113&amp;$G113&amp;$P$26&amp;$E113&amp;$G113&amp;"'"&amp;$S$26&amp;L$23)</f>
        <v>#REF!</v>
      </c>
      <c r="M113" s="36" t="e" cm="1">
        <f t="array" aca="1" ref="M113" ca="1">INDIRECT("'"&amp;$H$26&amp;$E113&amp;$G113&amp;$P$26&amp;$E113&amp;$G113&amp;"'"&amp;$S$26&amp;M$23)</f>
        <v>#REF!</v>
      </c>
      <c r="N113" s="36" t="e" cm="1">
        <f t="array" aca="1" ref="N113" ca="1">INDIRECT("'"&amp;$H$26&amp;$E113&amp;$G113&amp;$P$26&amp;$E113&amp;$G113&amp;"'"&amp;$S$26&amp;N$23)</f>
        <v>#REF!</v>
      </c>
      <c r="O113" s="36" t="e" cm="1">
        <f t="array" aca="1" ref="O113" ca="1">INDIRECT("'"&amp;$H$26&amp;$E113&amp;$G113&amp;$P$26&amp;$E113&amp;$G113&amp;"'"&amp;$S$26&amp;O$23)</f>
        <v>#REF!</v>
      </c>
      <c r="P113" s="36" t="e" cm="1">
        <f t="array" aca="1" ref="P113" ca="1">INDIRECT("'"&amp;$H$26&amp;$E113&amp;$G113&amp;$P$26&amp;$E113&amp;$G113&amp;"'"&amp;$S$26&amp;P$23)</f>
        <v>#REF!</v>
      </c>
      <c r="Q113" s="36" t="e" cm="1">
        <f t="array" aca="1" ref="Q113" ca="1">INDIRECT("'"&amp;$H$26&amp;$E113&amp;$G113&amp;$P$26&amp;$E113&amp;$G113&amp;"'"&amp;$S$26&amp;Q$23)</f>
        <v>#REF!</v>
      </c>
      <c r="R113" s="36" t="e" cm="1">
        <f t="array" aca="1" ref="R113" ca="1">INDIRECT("'"&amp;$H$26&amp;$E113&amp;$G113&amp;$P$26&amp;$E113&amp;$G113&amp;"'"&amp;$S$26&amp;R$23)</f>
        <v>#REF!</v>
      </c>
    </row>
    <row r="114" spans="1:18" x14ac:dyDescent="0.2">
      <c r="A114" t="str">
        <f t="shared" si="143"/>
        <v>L75</v>
      </c>
      <c r="B114" t="str">
        <f t="shared" si="144"/>
        <v>D3</v>
      </c>
      <c r="C114">
        <f t="shared" si="145"/>
        <v>75</v>
      </c>
      <c r="D114" t="str">
        <f t="shared" ref="D114:F114" si="147">IF(D102="","",D102)</f>
        <v>Low</v>
      </c>
      <c r="E114" t="str">
        <f t="shared" si="147"/>
        <v>est_cd-</v>
      </c>
      <c r="F114" t="str">
        <f t="shared" si="147"/>
        <v>Other</v>
      </c>
      <c r="G114" t="str">
        <f t="shared" si="132"/>
        <v>0_0_0_0_0_0</v>
      </c>
      <c r="H114" s="36" t="e">
        <f ca="1">SUM(INDIRECT("'"&amp;$H$26&amp;$E114&amp;$G114&amp;$P$26&amp;$E114&amp;$G114&amp;"'"&amp;$S$26&amp;H$24))</f>
        <v>#REF!</v>
      </c>
      <c r="I114" s="36" t="e">
        <f t="shared" ref="I114:R114" ca="1" si="148">SUM(INDIRECT("'"&amp;$H$26&amp;$E114&amp;$G114&amp;$P$26&amp;$E114&amp;$G114&amp;"'"&amp;$S$26&amp;I$24))</f>
        <v>#REF!</v>
      </c>
      <c r="J114" s="36" t="e">
        <f t="shared" ca="1" si="148"/>
        <v>#REF!</v>
      </c>
      <c r="K114" s="36" t="e">
        <f t="shared" ca="1" si="148"/>
        <v>#REF!</v>
      </c>
      <c r="L114" s="36" t="e">
        <f t="shared" ca="1" si="148"/>
        <v>#REF!</v>
      </c>
      <c r="M114" s="36" t="e">
        <f t="shared" ca="1" si="148"/>
        <v>#REF!</v>
      </c>
      <c r="N114" s="36" t="e">
        <f t="shared" ca="1" si="148"/>
        <v>#REF!</v>
      </c>
      <c r="O114" s="36" t="e">
        <f t="shared" ca="1" si="148"/>
        <v>#REF!</v>
      </c>
      <c r="P114" s="36" t="e">
        <f t="shared" ca="1" si="148"/>
        <v>#REF!</v>
      </c>
      <c r="Q114" s="36" t="e">
        <f t="shared" ca="1" si="148"/>
        <v>#REF!</v>
      </c>
      <c r="R114" s="36" t="e">
        <f t="shared" ca="1" si="148"/>
        <v>#REF!</v>
      </c>
    </row>
    <row r="115" spans="1:18" x14ac:dyDescent="0.2">
      <c r="A115" t="str">
        <f t="shared" si="143"/>
        <v/>
      </c>
      <c r="B115" t="str">
        <f t="shared" si="144"/>
        <v/>
      </c>
      <c r="C115" t="str">
        <f t="shared" si="145"/>
        <v/>
      </c>
      <c r="D115" t="str">
        <f t="shared" ref="D115:F115" si="149">IF(D103="","",D103)</f>
        <v/>
      </c>
      <c r="E115" t="str">
        <f t="shared" si="149"/>
        <v/>
      </c>
      <c r="F115" t="str">
        <f t="shared" si="149"/>
        <v/>
      </c>
      <c r="G115" t="str">
        <f t="shared" si="132"/>
        <v/>
      </c>
      <c r="H115" t="e">
        <f ca="1">SUM(H112:H114)</f>
        <v>#REF!</v>
      </c>
      <c r="I115" t="e">
        <f t="shared" ref="I115:R115" ca="1" si="150">SUM(I112:I114)</f>
        <v>#REF!</v>
      </c>
      <c r="J115" t="e">
        <f t="shared" ca="1" si="150"/>
        <v>#REF!</v>
      </c>
      <c r="K115" t="e">
        <f t="shared" ca="1" si="150"/>
        <v>#REF!</v>
      </c>
      <c r="L115" t="e">
        <f t="shared" ca="1" si="150"/>
        <v>#REF!</v>
      </c>
      <c r="M115" t="e">
        <f t="shared" ca="1" si="150"/>
        <v>#REF!</v>
      </c>
      <c r="N115" t="e">
        <f t="shared" ca="1" si="150"/>
        <v>#REF!</v>
      </c>
      <c r="O115" t="e">
        <f t="shared" ca="1" si="150"/>
        <v>#REF!</v>
      </c>
      <c r="P115" t="e">
        <f t="shared" ca="1" si="150"/>
        <v>#REF!</v>
      </c>
      <c r="Q115" t="e">
        <f t="shared" ca="1" si="150"/>
        <v>#REF!</v>
      </c>
      <c r="R115" t="e">
        <f t="shared" ca="1" si="150"/>
        <v>#REF!</v>
      </c>
    </row>
    <row r="116" spans="1:18" x14ac:dyDescent="0.2">
      <c r="A116" t="str">
        <f t="shared" si="143"/>
        <v>M75</v>
      </c>
      <c r="B116" t="str">
        <f t="shared" si="144"/>
        <v>D3</v>
      </c>
      <c r="C116">
        <f t="shared" si="145"/>
        <v>75</v>
      </c>
      <c r="D116" t="str">
        <f t="shared" ref="D116:F116" si="151">IF(D104="","",D104)</f>
        <v>Medium</v>
      </c>
      <c r="E116" t="str">
        <f t="shared" si="151"/>
        <v>est_cd-</v>
      </c>
      <c r="F116" t="str">
        <f t="shared" si="151"/>
        <v>Household</v>
      </c>
      <c r="G116" t="str">
        <f t="shared" si="132"/>
        <v>0_0_1_1_1_0</v>
      </c>
      <c r="H116" s="36" t="e" cm="1">
        <f t="array" aca="1" ref="H116" ca="1">INDIRECT("'"&amp;$H$26&amp;$E116&amp;$G116&amp;$P$26&amp;$E116&amp;$G116&amp;"'"&amp;$S$26&amp;H$22)</f>
        <v>#REF!</v>
      </c>
      <c r="I116" s="36" t="e" cm="1">
        <f t="array" aca="1" ref="I116" ca="1">INDIRECT("'"&amp;$H$26&amp;$E116&amp;$G116&amp;$P$26&amp;$E116&amp;$G116&amp;"'"&amp;$S$26&amp;I$22)</f>
        <v>#REF!</v>
      </c>
      <c r="J116" s="36" t="e" cm="1">
        <f t="array" aca="1" ref="J116" ca="1">INDIRECT("'"&amp;$H$26&amp;$E116&amp;$G116&amp;$P$26&amp;$E116&amp;$G116&amp;"'"&amp;$S$26&amp;J$22)</f>
        <v>#REF!</v>
      </c>
      <c r="K116" s="36" t="e" cm="1">
        <f t="array" aca="1" ref="K116" ca="1">INDIRECT("'"&amp;$H$26&amp;$E116&amp;$G116&amp;$P$26&amp;$E116&amp;$G116&amp;"'"&amp;$S$26&amp;K$22)</f>
        <v>#REF!</v>
      </c>
      <c r="L116" s="36" t="e" cm="1">
        <f t="array" aca="1" ref="L116" ca="1">INDIRECT("'"&amp;$H$26&amp;$E116&amp;$G116&amp;$P$26&amp;$E116&amp;$G116&amp;"'"&amp;$S$26&amp;L$22)</f>
        <v>#REF!</v>
      </c>
      <c r="M116" s="36" t="e" cm="1">
        <f t="array" aca="1" ref="M116" ca="1">INDIRECT("'"&amp;$H$26&amp;$E116&amp;$G116&amp;$P$26&amp;$E116&amp;$G116&amp;"'"&amp;$S$26&amp;M$22)</f>
        <v>#REF!</v>
      </c>
      <c r="N116" s="36" t="e" cm="1">
        <f t="array" aca="1" ref="N116" ca="1">INDIRECT("'"&amp;$H$26&amp;$E116&amp;$G116&amp;$P$26&amp;$E116&amp;$G116&amp;"'"&amp;$S$26&amp;N$22)</f>
        <v>#REF!</v>
      </c>
      <c r="O116" s="36" t="e" cm="1">
        <f t="array" aca="1" ref="O116" ca="1">INDIRECT("'"&amp;$H$26&amp;$E116&amp;$G116&amp;$P$26&amp;$E116&amp;$G116&amp;"'"&amp;$S$26&amp;O$22)</f>
        <v>#REF!</v>
      </c>
      <c r="P116" s="36" t="e" cm="1">
        <f t="array" aca="1" ref="P116" ca="1">INDIRECT("'"&amp;$H$26&amp;$E116&amp;$G116&amp;$P$26&amp;$E116&amp;$G116&amp;"'"&amp;$S$26&amp;P$22)</f>
        <v>#REF!</v>
      </c>
      <c r="Q116" s="36" t="e" cm="1">
        <f t="array" aca="1" ref="Q116" ca="1">INDIRECT("'"&amp;$H$26&amp;$E116&amp;$G116&amp;$P$26&amp;$E116&amp;$G116&amp;"'"&amp;$S$26&amp;Q$22)</f>
        <v>#REF!</v>
      </c>
      <c r="R116" s="36" t="e" cm="1">
        <f t="array" aca="1" ref="R116" ca="1">INDIRECT("'"&amp;$H$26&amp;$E116&amp;$G116&amp;$P$26&amp;$E116&amp;$G116&amp;"'"&amp;$S$26&amp;R$22)</f>
        <v>#REF!</v>
      </c>
    </row>
    <row r="117" spans="1:18" x14ac:dyDescent="0.2">
      <c r="A117" t="str">
        <f t="shared" si="143"/>
        <v>M75</v>
      </c>
      <c r="B117" t="str">
        <f t="shared" si="144"/>
        <v>D3</v>
      </c>
      <c r="C117">
        <f t="shared" si="145"/>
        <v>75</v>
      </c>
      <c r="D117" t="str">
        <f t="shared" ref="D117:F117" si="152">IF(D105="","",D105)</f>
        <v>Medium</v>
      </c>
      <c r="E117" t="str">
        <f t="shared" si="152"/>
        <v>est_cd-</v>
      </c>
      <c r="F117" t="str">
        <f t="shared" si="152"/>
        <v>Industry</v>
      </c>
      <c r="G117" t="str">
        <f t="shared" si="132"/>
        <v>0_0_1_1_1_0</v>
      </c>
      <c r="H117" s="36" t="e" cm="1">
        <f t="array" aca="1" ref="H117" ca="1">INDIRECT("'"&amp;$H$26&amp;$E117&amp;$G117&amp;$P$26&amp;$E117&amp;$G117&amp;"'"&amp;$S$26&amp;H$23)</f>
        <v>#REF!</v>
      </c>
      <c r="I117" s="36" t="e" cm="1">
        <f t="array" aca="1" ref="I117" ca="1">INDIRECT("'"&amp;$H$26&amp;$E117&amp;$G117&amp;$P$26&amp;$E117&amp;$G117&amp;"'"&amp;$S$26&amp;I$23)</f>
        <v>#REF!</v>
      </c>
      <c r="J117" s="36" t="e" cm="1">
        <f t="array" aca="1" ref="J117" ca="1">INDIRECT("'"&amp;$H$26&amp;$E117&amp;$G117&amp;$P$26&amp;$E117&amp;$G117&amp;"'"&amp;$S$26&amp;J$23)</f>
        <v>#REF!</v>
      </c>
      <c r="K117" s="36" t="e" cm="1">
        <f t="array" aca="1" ref="K117" ca="1">INDIRECT("'"&amp;$H$26&amp;$E117&amp;$G117&amp;$P$26&amp;$E117&amp;$G117&amp;"'"&amp;$S$26&amp;K$23)</f>
        <v>#REF!</v>
      </c>
      <c r="L117" s="36" t="e" cm="1">
        <f t="array" aca="1" ref="L117" ca="1">INDIRECT("'"&amp;$H$26&amp;$E117&amp;$G117&amp;$P$26&amp;$E117&amp;$G117&amp;"'"&amp;$S$26&amp;L$23)</f>
        <v>#REF!</v>
      </c>
      <c r="M117" s="36" t="e" cm="1">
        <f t="array" aca="1" ref="M117" ca="1">INDIRECT("'"&amp;$H$26&amp;$E117&amp;$G117&amp;$P$26&amp;$E117&amp;$G117&amp;"'"&amp;$S$26&amp;M$23)</f>
        <v>#REF!</v>
      </c>
      <c r="N117" s="36" t="e" cm="1">
        <f t="array" aca="1" ref="N117" ca="1">INDIRECT("'"&amp;$H$26&amp;$E117&amp;$G117&amp;$P$26&amp;$E117&amp;$G117&amp;"'"&amp;$S$26&amp;N$23)</f>
        <v>#REF!</v>
      </c>
      <c r="O117" s="36" t="e" cm="1">
        <f t="array" aca="1" ref="O117" ca="1">INDIRECT("'"&amp;$H$26&amp;$E117&amp;$G117&amp;$P$26&amp;$E117&amp;$G117&amp;"'"&amp;$S$26&amp;O$23)</f>
        <v>#REF!</v>
      </c>
      <c r="P117" s="36" t="e" cm="1">
        <f t="array" aca="1" ref="P117" ca="1">INDIRECT("'"&amp;$H$26&amp;$E117&amp;$G117&amp;$P$26&amp;$E117&amp;$G117&amp;"'"&amp;$S$26&amp;P$23)</f>
        <v>#REF!</v>
      </c>
      <c r="Q117" s="36" t="e" cm="1">
        <f t="array" aca="1" ref="Q117" ca="1">INDIRECT("'"&amp;$H$26&amp;$E117&amp;$G117&amp;$P$26&amp;$E117&amp;$G117&amp;"'"&amp;$S$26&amp;Q$23)</f>
        <v>#REF!</v>
      </c>
      <c r="R117" s="36" t="e" cm="1">
        <f t="array" aca="1" ref="R117" ca="1">INDIRECT("'"&amp;$H$26&amp;$E117&amp;$G117&amp;$P$26&amp;$E117&amp;$G117&amp;"'"&amp;$S$26&amp;R$23)</f>
        <v>#REF!</v>
      </c>
    </row>
    <row r="118" spans="1:18" x14ac:dyDescent="0.2">
      <c r="A118" t="str">
        <f t="shared" si="143"/>
        <v>M75</v>
      </c>
      <c r="B118" t="str">
        <f t="shared" si="144"/>
        <v>D3</v>
      </c>
      <c r="C118">
        <f t="shared" si="145"/>
        <v>75</v>
      </c>
      <c r="D118" t="str">
        <f t="shared" ref="D118:F118" si="153">IF(D106="","",D106)</f>
        <v>Medium</v>
      </c>
      <c r="E118" t="str">
        <f t="shared" si="153"/>
        <v>est_cd-</v>
      </c>
      <c r="F118" t="str">
        <f t="shared" si="153"/>
        <v>Other</v>
      </c>
      <c r="G118" t="str">
        <f t="shared" si="132"/>
        <v>0_0_1_1_1_0</v>
      </c>
      <c r="H118" s="36" t="e">
        <f ca="1">SUM(INDIRECT("'"&amp;$H$26&amp;$E118&amp;$G118&amp;$P$26&amp;$E118&amp;$G118&amp;"'"&amp;$S$26&amp;H$24))</f>
        <v>#REF!</v>
      </c>
      <c r="I118" s="36" t="e">
        <f t="shared" ref="I118:R118" ca="1" si="154">SUM(INDIRECT("'"&amp;$H$26&amp;$E118&amp;$G118&amp;$P$26&amp;$E118&amp;$G118&amp;"'"&amp;$S$26&amp;I$24))</f>
        <v>#REF!</v>
      </c>
      <c r="J118" s="36" t="e">
        <f t="shared" ca="1" si="154"/>
        <v>#REF!</v>
      </c>
      <c r="K118" s="36" t="e">
        <f t="shared" ca="1" si="154"/>
        <v>#REF!</v>
      </c>
      <c r="L118" s="36" t="e">
        <f t="shared" ca="1" si="154"/>
        <v>#REF!</v>
      </c>
      <c r="M118" s="36" t="e">
        <f t="shared" ca="1" si="154"/>
        <v>#REF!</v>
      </c>
      <c r="N118" s="36" t="e">
        <f t="shared" ca="1" si="154"/>
        <v>#REF!</v>
      </c>
      <c r="O118" s="36" t="e">
        <f t="shared" ca="1" si="154"/>
        <v>#REF!</v>
      </c>
      <c r="P118" s="36" t="e">
        <f t="shared" ca="1" si="154"/>
        <v>#REF!</v>
      </c>
      <c r="Q118" s="36" t="e">
        <f t="shared" ca="1" si="154"/>
        <v>#REF!</v>
      </c>
      <c r="R118" s="36" t="e">
        <f t="shared" ca="1" si="154"/>
        <v>#REF!</v>
      </c>
    </row>
    <row r="119" spans="1:18" x14ac:dyDescent="0.2">
      <c r="A119" t="str">
        <f t="shared" si="143"/>
        <v/>
      </c>
      <c r="B119" t="str">
        <f t="shared" si="144"/>
        <v/>
      </c>
      <c r="C119" t="str">
        <f t="shared" si="145"/>
        <v/>
      </c>
      <c r="D119" t="str">
        <f t="shared" ref="D119:F119" si="155">IF(D107="","",D107)</f>
        <v/>
      </c>
      <c r="E119" t="str">
        <f t="shared" si="155"/>
        <v/>
      </c>
      <c r="F119" t="str">
        <f t="shared" si="155"/>
        <v/>
      </c>
      <c r="G119" t="str">
        <f t="shared" si="132"/>
        <v/>
      </c>
      <c r="H119" t="e">
        <f ca="1">SUM(H116:H118)</f>
        <v>#REF!</v>
      </c>
      <c r="I119" t="e">
        <f t="shared" ref="I119:R119" ca="1" si="156">SUM(I116:I118)</f>
        <v>#REF!</v>
      </c>
      <c r="J119" t="e">
        <f t="shared" ca="1" si="156"/>
        <v>#REF!</v>
      </c>
      <c r="K119" t="e">
        <f t="shared" ca="1" si="156"/>
        <v>#REF!</v>
      </c>
      <c r="L119" t="e">
        <f t="shared" ca="1" si="156"/>
        <v>#REF!</v>
      </c>
      <c r="M119" t="e">
        <f t="shared" ca="1" si="156"/>
        <v>#REF!</v>
      </c>
      <c r="N119" t="e">
        <f t="shared" ca="1" si="156"/>
        <v>#REF!</v>
      </c>
      <c r="O119" t="e">
        <f t="shared" ca="1" si="156"/>
        <v>#REF!</v>
      </c>
      <c r="P119" t="e">
        <f t="shared" ca="1" si="156"/>
        <v>#REF!</v>
      </c>
      <c r="Q119" t="e">
        <f t="shared" ca="1" si="156"/>
        <v>#REF!</v>
      </c>
      <c r="R119" t="e">
        <f t="shared" ca="1" si="156"/>
        <v>#REF!</v>
      </c>
    </row>
    <row r="120" spans="1:18" x14ac:dyDescent="0.2">
      <c r="A120" t="str">
        <f t="shared" si="143"/>
        <v>H75</v>
      </c>
      <c r="B120" t="str">
        <f t="shared" si="144"/>
        <v>D3</v>
      </c>
      <c r="C120">
        <f t="shared" si="145"/>
        <v>75</v>
      </c>
      <c r="D120" t="str">
        <f t="shared" ref="D120:F120" si="157">IF(D108="","",D108)</f>
        <v>High</v>
      </c>
      <c r="E120" t="str">
        <f t="shared" si="157"/>
        <v>est_cd-</v>
      </c>
      <c r="F120" t="str">
        <f t="shared" si="157"/>
        <v>Household</v>
      </c>
      <c r="G120" t="str">
        <f t="shared" si="132"/>
        <v>0_0_2_2_2_0</v>
      </c>
      <c r="H120" s="36" t="e" cm="1">
        <f t="array" aca="1" ref="H120" ca="1">INDIRECT("'"&amp;$H$26&amp;$E120&amp;$G120&amp;$P$26&amp;$E120&amp;$G120&amp;"'"&amp;$S$26&amp;H$22)</f>
        <v>#REF!</v>
      </c>
      <c r="I120" s="36" t="e" cm="1">
        <f t="array" aca="1" ref="I120" ca="1">INDIRECT("'"&amp;$H$26&amp;$E120&amp;$G120&amp;$P$26&amp;$E120&amp;$G120&amp;"'"&amp;$S$26&amp;I$22)</f>
        <v>#REF!</v>
      </c>
      <c r="J120" s="36" t="e" cm="1">
        <f t="array" aca="1" ref="J120" ca="1">INDIRECT("'"&amp;$H$26&amp;$E120&amp;$G120&amp;$P$26&amp;$E120&amp;$G120&amp;"'"&amp;$S$26&amp;J$22)</f>
        <v>#REF!</v>
      </c>
      <c r="K120" s="36" t="e" cm="1">
        <f t="array" aca="1" ref="K120" ca="1">INDIRECT("'"&amp;$H$26&amp;$E120&amp;$G120&amp;$P$26&amp;$E120&amp;$G120&amp;"'"&amp;$S$26&amp;K$22)</f>
        <v>#REF!</v>
      </c>
      <c r="L120" s="36" t="e" cm="1">
        <f t="array" aca="1" ref="L120" ca="1">INDIRECT("'"&amp;$H$26&amp;$E120&amp;$G120&amp;$P$26&amp;$E120&amp;$G120&amp;"'"&amp;$S$26&amp;L$22)</f>
        <v>#REF!</v>
      </c>
      <c r="M120" s="36" t="e" cm="1">
        <f t="array" aca="1" ref="M120" ca="1">INDIRECT("'"&amp;$H$26&amp;$E120&amp;$G120&amp;$P$26&amp;$E120&amp;$G120&amp;"'"&amp;$S$26&amp;M$22)</f>
        <v>#REF!</v>
      </c>
      <c r="N120" s="36" t="e" cm="1">
        <f t="array" aca="1" ref="N120" ca="1">INDIRECT("'"&amp;$H$26&amp;$E120&amp;$G120&amp;$P$26&amp;$E120&amp;$G120&amp;"'"&amp;$S$26&amp;N$22)</f>
        <v>#REF!</v>
      </c>
      <c r="O120" s="36" t="e" cm="1">
        <f t="array" aca="1" ref="O120" ca="1">INDIRECT("'"&amp;$H$26&amp;$E120&amp;$G120&amp;$P$26&amp;$E120&amp;$G120&amp;"'"&amp;$S$26&amp;O$22)</f>
        <v>#REF!</v>
      </c>
      <c r="P120" s="36" t="e" cm="1">
        <f t="array" aca="1" ref="P120" ca="1">INDIRECT("'"&amp;$H$26&amp;$E120&amp;$G120&amp;$P$26&amp;$E120&amp;$G120&amp;"'"&amp;$S$26&amp;P$22)</f>
        <v>#REF!</v>
      </c>
      <c r="Q120" s="36" t="e" cm="1">
        <f t="array" aca="1" ref="Q120" ca="1">INDIRECT("'"&amp;$H$26&amp;$E120&amp;$G120&amp;$P$26&amp;$E120&amp;$G120&amp;"'"&amp;$S$26&amp;Q$22)</f>
        <v>#REF!</v>
      </c>
      <c r="R120" s="36" t="e" cm="1">
        <f t="array" aca="1" ref="R120" ca="1">INDIRECT("'"&amp;$H$26&amp;$E120&amp;$G120&amp;$P$26&amp;$E120&amp;$G120&amp;"'"&amp;$S$26&amp;R$22)</f>
        <v>#REF!</v>
      </c>
    </row>
    <row r="121" spans="1:18" x14ac:dyDescent="0.2">
      <c r="A121" t="str">
        <f t="shared" si="143"/>
        <v>H75</v>
      </c>
      <c r="B121" t="str">
        <f t="shared" si="144"/>
        <v>D3</v>
      </c>
      <c r="C121">
        <f t="shared" si="145"/>
        <v>75</v>
      </c>
      <c r="D121" t="str">
        <f t="shared" ref="D121:F121" si="158">IF(D109="","",D109)</f>
        <v>High</v>
      </c>
      <c r="E121" t="str">
        <f t="shared" si="158"/>
        <v>est_cd-</v>
      </c>
      <c r="F121" t="str">
        <f t="shared" si="158"/>
        <v>Industry</v>
      </c>
      <c r="G121" t="str">
        <f t="shared" si="132"/>
        <v>0_0_2_2_2_0</v>
      </c>
      <c r="H121" s="36" t="e" cm="1">
        <f t="array" aca="1" ref="H121" ca="1">INDIRECT("'"&amp;$H$26&amp;$E121&amp;$G121&amp;$P$26&amp;$E121&amp;$G121&amp;"'"&amp;$S$26&amp;H$23)</f>
        <v>#REF!</v>
      </c>
      <c r="I121" s="36" t="e" cm="1">
        <f t="array" aca="1" ref="I121" ca="1">INDIRECT("'"&amp;$H$26&amp;$E121&amp;$G121&amp;$P$26&amp;$E121&amp;$G121&amp;"'"&amp;$S$26&amp;I$23)</f>
        <v>#REF!</v>
      </c>
      <c r="J121" s="36" t="e" cm="1">
        <f t="array" aca="1" ref="J121" ca="1">INDIRECT("'"&amp;$H$26&amp;$E121&amp;$G121&amp;$P$26&amp;$E121&amp;$G121&amp;"'"&amp;$S$26&amp;J$23)</f>
        <v>#REF!</v>
      </c>
      <c r="K121" s="36" t="e" cm="1">
        <f t="array" aca="1" ref="K121" ca="1">INDIRECT("'"&amp;$H$26&amp;$E121&amp;$G121&amp;$P$26&amp;$E121&amp;$G121&amp;"'"&amp;$S$26&amp;K$23)</f>
        <v>#REF!</v>
      </c>
      <c r="L121" s="36" t="e" cm="1">
        <f t="array" aca="1" ref="L121" ca="1">INDIRECT("'"&amp;$H$26&amp;$E121&amp;$G121&amp;$P$26&amp;$E121&amp;$G121&amp;"'"&amp;$S$26&amp;L$23)</f>
        <v>#REF!</v>
      </c>
      <c r="M121" s="36" t="e" cm="1">
        <f t="array" aca="1" ref="M121" ca="1">INDIRECT("'"&amp;$H$26&amp;$E121&amp;$G121&amp;$P$26&amp;$E121&amp;$G121&amp;"'"&amp;$S$26&amp;M$23)</f>
        <v>#REF!</v>
      </c>
      <c r="N121" s="36" t="e" cm="1">
        <f t="array" aca="1" ref="N121" ca="1">INDIRECT("'"&amp;$H$26&amp;$E121&amp;$G121&amp;$P$26&amp;$E121&amp;$G121&amp;"'"&amp;$S$26&amp;N$23)</f>
        <v>#REF!</v>
      </c>
      <c r="O121" s="36" t="e" cm="1">
        <f t="array" aca="1" ref="O121" ca="1">INDIRECT("'"&amp;$H$26&amp;$E121&amp;$G121&amp;$P$26&amp;$E121&amp;$G121&amp;"'"&amp;$S$26&amp;O$23)</f>
        <v>#REF!</v>
      </c>
      <c r="P121" s="36" t="e" cm="1">
        <f t="array" aca="1" ref="P121" ca="1">INDIRECT("'"&amp;$H$26&amp;$E121&amp;$G121&amp;$P$26&amp;$E121&amp;$G121&amp;"'"&amp;$S$26&amp;P$23)</f>
        <v>#REF!</v>
      </c>
      <c r="Q121" s="36" t="e" cm="1">
        <f t="array" aca="1" ref="Q121" ca="1">INDIRECT("'"&amp;$H$26&amp;$E121&amp;$G121&amp;$P$26&amp;$E121&amp;$G121&amp;"'"&amp;$S$26&amp;Q$23)</f>
        <v>#REF!</v>
      </c>
      <c r="R121" s="36" t="e" cm="1">
        <f t="array" aca="1" ref="R121" ca="1">INDIRECT("'"&amp;$H$26&amp;$E121&amp;$G121&amp;$P$26&amp;$E121&amp;$G121&amp;"'"&amp;$S$26&amp;R$23)</f>
        <v>#REF!</v>
      </c>
    </row>
    <row r="122" spans="1:18" x14ac:dyDescent="0.2">
      <c r="A122" t="str">
        <f t="shared" si="143"/>
        <v>H75</v>
      </c>
      <c r="B122" t="str">
        <f t="shared" si="144"/>
        <v>D3</v>
      </c>
      <c r="C122">
        <f t="shared" si="145"/>
        <v>75</v>
      </c>
      <c r="D122" t="str">
        <f t="shared" ref="D122:F122" si="159">IF(D110="","",D110)</f>
        <v>High</v>
      </c>
      <c r="E122" t="str">
        <f t="shared" si="159"/>
        <v>est_cd-</v>
      </c>
      <c r="F122" t="str">
        <f t="shared" si="159"/>
        <v>Other</v>
      </c>
      <c r="G122" t="str">
        <f t="shared" si="132"/>
        <v>0_0_2_2_2_0</v>
      </c>
      <c r="H122" s="36" t="e">
        <f ca="1">SUM(INDIRECT("'"&amp;$H$26&amp;$E122&amp;$G122&amp;$P$26&amp;$E122&amp;$G122&amp;"'"&amp;$S$26&amp;H$24))</f>
        <v>#REF!</v>
      </c>
      <c r="I122" s="36" t="e">
        <f t="shared" ref="I122:R122" ca="1" si="160">SUM(INDIRECT("'"&amp;$H$26&amp;$E122&amp;$G122&amp;$P$26&amp;$E122&amp;$G122&amp;"'"&amp;$S$26&amp;I$24))</f>
        <v>#REF!</v>
      </c>
      <c r="J122" s="36" t="e">
        <f t="shared" ca="1" si="160"/>
        <v>#REF!</v>
      </c>
      <c r="K122" s="36" t="e">
        <f t="shared" ca="1" si="160"/>
        <v>#REF!</v>
      </c>
      <c r="L122" s="36" t="e">
        <f t="shared" ca="1" si="160"/>
        <v>#REF!</v>
      </c>
      <c r="M122" s="36" t="e">
        <f t="shared" ca="1" si="160"/>
        <v>#REF!</v>
      </c>
      <c r="N122" s="36" t="e">
        <f t="shared" ca="1" si="160"/>
        <v>#REF!</v>
      </c>
      <c r="O122" s="36" t="e">
        <f t="shared" ca="1" si="160"/>
        <v>#REF!</v>
      </c>
      <c r="P122" s="36" t="e">
        <f t="shared" ca="1" si="160"/>
        <v>#REF!</v>
      </c>
      <c r="Q122" s="36" t="e">
        <f t="shared" ca="1" si="160"/>
        <v>#REF!</v>
      </c>
      <c r="R122" s="36" t="e">
        <f t="shared" ca="1" si="160"/>
        <v>#REF!</v>
      </c>
    </row>
    <row r="123" spans="1:18" x14ac:dyDescent="0.2">
      <c r="A123" t="str">
        <f t="shared" si="143"/>
        <v/>
      </c>
      <c r="B123" t="str">
        <f t="shared" si="144"/>
        <v/>
      </c>
      <c r="C123" t="str">
        <f t="shared" si="145"/>
        <v/>
      </c>
      <c r="D123" t="str">
        <f t="shared" ref="D123:F123" si="161">IF(D111="","",D111)</f>
        <v/>
      </c>
      <c r="E123" t="str">
        <f t="shared" si="161"/>
        <v/>
      </c>
      <c r="F123" t="str">
        <f t="shared" si="161"/>
        <v/>
      </c>
      <c r="G123" t="str">
        <f t="shared" si="132"/>
        <v/>
      </c>
      <c r="H123" t="e">
        <f ca="1">SUM(H120:H122)</f>
        <v>#REF!</v>
      </c>
      <c r="I123" t="e">
        <f t="shared" ref="I123:R123" ca="1" si="162">SUM(I120:I122)</f>
        <v>#REF!</v>
      </c>
      <c r="J123" t="e">
        <f t="shared" ca="1" si="162"/>
        <v>#REF!</v>
      </c>
      <c r="K123" t="e">
        <f t="shared" ca="1" si="162"/>
        <v>#REF!</v>
      </c>
      <c r="L123" t="e">
        <f t="shared" ca="1" si="162"/>
        <v>#REF!</v>
      </c>
      <c r="M123" t="e">
        <f t="shared" ca="1" si="162"/>
        <v>#REF!</v>
      </c>
      <c r="N123" t="e">
        <f t="shared" ca="1" si="162"/>
        <v>#REF!</v>
      </c>
      <c r="O123" t="e">
        <f t="shared" ca="1" si="162"/>
        <v>#REF!</v>
      </c>
      <c r="P123" t="e">
        <f t="shared" ca="1" si="162"/>
        <v>#REF!</v>
      </c>
      <c r="Q123" t="e">
        <f t="shared" ca="1" si="162"/>
        <v>#REF!</v>
      </c>
      <c r="R123" t="e">
        <f t="shared" ca="1" si="162"/>
        <v>#REF!</v>
      </c>
    </row>
    <row r="124" spans="1:18" x14ac:dyDescent="0.2">
      <c r="A124" t="str">
        <f t="shared" si="143"/>
        <v>L100</v>
      </c>
      <c r="B124" t="str">
        <f t="shared" si="144"/>
        <v>D3</v>
      </c>
      <c r="C124">
        <f>IF(B124="","",$A$10)</f>
        <v>100</v>
      </c>
      <c r="D124" t="str">
        <f t="shared" ref="D124:F124" si="163">IF(D112="","",D112)</f>
        <v>Low</v>
      </c>
      <c r="E124" t="str">
        <f t="shared" si="163"/>
        <v>est_cd-</v>
      </c>
      <c r="F124" t="str">
        <f t="shared" si="163"/>
        <v>Household</v>
      </c>
      <c r="G124" t="str">
        <f t="shared" si="132"/>
        <v>0_1_0_0_0_0</v>
      </c>
      <c r="H124" s="36" t="e" cm="1">
        <f t="array" aca="1" ref="H124" ca="1">INDIRECT("'"&amp;$H$26&amp;$E124&amp;$G124&amp;$P$26&amp;$E124&amp;$G124&amp;"'"&amp;$S$26&amp;H$22)</f>
        <v>#REF!</v>
      </c>
      <c r="I124" s="36" t="e" cm="1">
        <f t="array" aca="1" ref="I124" ca="1">INDIRECT("'"&amp;$H$26&amp;$E124&amp;$G124&amp;$P$26&amp;$E124&amp;$G124&amp;"'"&amp;$S$26&amp;I$22)</f>
        <v>#REF!</v>
      </c>
      <c r="J124" s="36" t="e" cm="1">
        <f t="array" aca="1" ref="J124" ca="1">INDIRECT("'"&amp;$H$26&amp;$E124&amp;$G124&amp;$P$26&amp;$E124&amp;$G124&amp;"'"&amp;$S$26&amp;J$22)</f>
        <v>#REF!</v>
      </c>
      <c r="K124" s="36" t="e" cm="1">
        <f t="array" aca="1" ref="K124" ca="1">INDIRECT("'"&amp;$H$26&amp;$E124&amp;$G124&amp;$P$26&amp;$E124&amp;$G124&amp;"'"&amp;$S$26&amp;K$22)</f>
        <v>#REF!</v>
      </c>
      <c r="L124" s="36" t="e" cm="1">
        <f t="array" aca="1" ref="L124" ca="1">INDIRECT("'"&amp;$H$26&amp;$E124&amp;$G124&amp;$P$26&amp;$E124&amp;$G124&amp;"'"&amp;$S$26&amp;L$22)</f>
        <v>#REF!</v>
      </c>
      <c r="M124" s="36" t="e" cm="1">
        <f t="array" aca="1" ref="M124" ca="1">INDIRECT("'"&amp;$H$26&amp;$E124&amp;$G124&amp;$P$26&amp;$E124&amp;$G124&amp;"'"&amp;$S$26&amp;M$22)</f>
        <v>#REF!</v>
      </c>
      <c r="N124" s="36" t="e" cm="1">
        <f t="array" aca="1" ref="N124" ca="1">INDIRECT("'"&amp;$H$26&amp;$E124&amp;$G124&amp;$P$26&amp;$E124&amp;$G124&amp;"'"&amp;$S$26&amp;N$22)</f>
        <v>#REF!</v>
      </c>
      <c r="O124" s="36" t="e" cm="1">
        <f t="array" aca="1" ref="O124" ca="1">INDIRECT("'"&amp;$H$26&amp;$E124&amp;$G124&amp;$P$26&amp;$E124&amp;$G124&amp;"'"&amp;$S$26&amp;O$22)</f>
        <v>#REF!</v>
      </c>
      <c r="P124" s="36" t="e" cm="1">
        <f t="array" aca="1" ref="P124" ca="1">INDIRECT("'"&amp;$H$26&amp;$E124&amp;$G124&amp;$P$26&amp;$E124&amp;$G124&amp;"'"&amp;$S$26&amp;P$22)</f>
        <v>#REF!</v>
      </c>
      <c r="Q124" s="36" t="e" cm="1">
        <f t="array" aca="1" ref="Q124" ca="1">INDIRECT("'"&amp;$H$26&amp;$E124&amp;$G124&amp;$P$26&amp;$E124&amp;$G124&amp;"'"&amp;$S$26&amp;Q$22)</f>
        <v>#REF!</v>
      </c>
      <c r="R124" s="36" t="e" cm="1">
        <f t="array" aca="1" ref="R124" ca="1">INDIRECT("'"&amp;$H$26&amp;$E124&amp;$G124&amp;$P$26&amp;$E124&amp;$G124&amp;"'"&amp;$S$26&amp;R$22)</f>
        <v>#REF!</v>
      </c>
    </row>
    <row r="125" spans="1:18" x14ac:dyDescent="0.2">
      <c r="A125" t="str">
        <f t="shared" si="143"/>
        <v>L100</v>
      </c>
      <c r="B125" t="str">
        <f t="shared" si="144"/>
        <v>D3</v>
      </c>
      <c r="C125">
        <f t="shared" ref="C125:C134" si="164">IF(B125="","",$A$10)</f>
        <v>100</v>
      </c>
      <c r="D125" t="str">
        <f t="shared" ref="D125:F125" si="165">IF(D113="","",D113)</f>
        <v>Low</v>
      </c>
      <c r="E125" t="str">
        <f t="shared" si="165"/>
        <v>est_cd-</v>
      </c>
      <c r="F125" t="str">
        <f t="shared" si="165"/>
        <v>Industry</v>
      </c>
      <c r="G125" t="str">
        <f t="shared" si="132"/>
        <v>0_1_0_0_0_0</v>
      </c>
      <c r="H125" s="36" t="e" cm="1">
        <f t="array" aca="1" ref="H125" ca="1">INDIRECT("'"&amp;$H$26&amp;$E125&amp;$G125&amp;$P$26&amp;$E125&amp;$G125&amp;"'"&amp;$S$26&amp;H$23)</f>
        <v>#REF!</v>
      </c>
      <c r="I125" s="36" t="e" cm="1">
        <f t="array" aca="1" ref="I125" ca="1">INDIRECT("'"&amp;$H$26&amp;$E125&amp;$G125&amp;$P$26&amp;$E125&amp;$G125&amp;"'"&amp;$S$26&amp;I$23)</f>
        <v>#REF!</v>
      </c>
      <c r="J125" s="36" t="e" cm="1">
        <f t="array" aca="1" ref="J125" ca="1">INDIRECT("'"&amp;$H$26&amp;$E125&amp;$G125&amp;$P$26&amp;$E125&amp;$G125&amp;"'"&amp;$S$26&amp;J$23)</f>
        <v>#REF!</v>
      </c>
      <c r="K125" s="36" t="e" cm="1">
        <f t="array" aca="1" ref="K125" ca="1">INDIRECT("'"&amp;$H$26&amp;$E125&amp;$G125&amp;$P$26&amp;$E125&amp;$G125&amp;"'"&amp;$S$26&amp;K$23)</f>
        <v>#REF!</v>
      </c>
      <c r="L125" s="36" t="e" cm="1">
        <f t="array" aca="1" ref="L125" ca="1">INDIRECT("'"&amp;$H$26&amp;$E125&amp;$G125&amp;$P$26&amp;$E125&amp;$G125&amp;"'"&amp;$S$26&amp;L$23)</f>
        <v>#REF!</v>
      </c>
      <c r="M125" s="36" t="e" cm="1">
        <f t="array" aca="1" ref="M125" ca="1">INDIRECT("'"&amp;$H$26&amp;$E125&amp;$G125&amp;$P$26&amp;$E125&amp;$G125&amp;"'"&amp;$S$26&amp;M$23)</f>
        <v>#REF!</v>
      </c>
      <c r="N125" s="36" t="e" cm="1">
        <f t="array" aca="1" ref="N125" ca="1">INDIRECT("'"&amp;$H$26&amp;$E125&amp;$G125&amp;$P$26&amp;$E125&amp;$G125&amp;"'"&amp;$S$26&amp;N$23)</f>
        <v>#REF!</v>
      </c>
      <c r="O125" s="36" t="e" cm="1">
        <f t="array" aca="1" ref="O125" ca="1">INDIRECT("'"&amp;$H$26&amp;$E125&amp;$G125&amp;$P$26&amp;$E125&amp;$G125&amp;"'"&amp;$S$26&amp;O$23)</f>
        <v>#REF!</v>
      </c>
      <c r="P125" s="36" t="e" cm="1">
        <f t="array" aca="1" ref="P125" ca="1">INDIRECT("'"&amp;$H$26&amp;$E125&amp;$G125&amp;$P$26&amp;$E125&amp;$G125&amp;"'"&amp;$S$26&amp;P$23)</f>
        <v>#REF!</v>
      </c>
      <c r="Q125" s="36" t="e" cm="1">
        <f t="array" aca="1" ref="Q125" ca="1">INDIRECT("'"&amp;$H$26&amp;$E125&amp;$G125&amp;$P$26&amp;$E125&amp;$G125&amp;"'"&amp;$S$26&amp;Q$23)</f>
        <v>#REF!</v>
      </c>
      <c r="R125" s="36" t="e" cm="1">
        <f t="array" aca="1" ref="R125" ca="1">INDIRECT("'"&amp;$H$26&amp;$E125&amp;$G125&amp;$P$26&amp;$E125&amp;$G125&amp;"'"&amp;$S$26&amp;R$23)</f>
        <v>#REF!</v>
      </c>
    </row>
    <row r="126" spans="1:18" x14ac:dyDescent="0.2">
      <c r="A126" t="str">
        <f t="shared" si="143"/>
        <v>L100</v>
      </c>
      <c r="B126" t="str">
        <f t="shared" si="144"/>
        <v>D3</v>
      </c>
      <c r="C126">
        <f t="shared" si="164"/>
        <v>100</v>
      </c>
      <c r="D126" t="str">
        <f t="shared" ref="D126:F126" si="166">IF(D114="","",D114)</f>
        <v>Low</v>
      </c>
      <c r="E126" t="str">
        <f t="shared" si="166"/>
        <v>est_cd-</v>
      </c>
      <c r="F126" t="str">
        <f t="shared" si="166"/>
        <v>Other</v>
      </c>
      <c r="G126" t="str">
        <f t="shared" si="132"/>
        <v>0_1_0_0_0_0</v>
      </c>
      <c r="H126" s="36" t="e">
        <f ca="1">SUM(INDIRECT("'"&amp;$H$26&amp;$E126&amp;$G126&amp;$P$26&amp;$E126&amp;$G126&amp;"'"&amp;$S$26&amp;H$24))</f>
        <v>#REF!</v>
      </c>
      <c r="I126" s="36" t="e">
        <f t="shared" ref="I126:R126" ca="1" si="167">SUM(INDIRECT("'"&amp;$H$26&amp;$E126&amp;$G126&amp;$P$26&amp;$E126&amp;$G126&amp;"'"&amp;$S$26&amp;I$24))</f>
        <v>#REF!</v>
      </c>
      <c r="J126" s="36" t="e">
        <f t="shared" ca="1" si="167"/>
        <v>#REF!</v>
      </c>
      <c r="K126" s="36" t="e">
        <f t="shared" ca="1" si="167"/>
        <v>#REF!</v>
      </c>
      <c r="L126" s="36" t="e">
        <f t="shared" ca="1" si="167"/>
        <v>#REF!</v>
      </c>
      <c r="M126" s="36" t="e">
        <f t="shared" ca="1" si="167"/>
        <v>#REF!</v>
      </c>
      <c r="N126" s="36" t="e">
        <f t="shared" ca="1" si="167"/>
        <v>#REF!</v>
      </c>
      <c r="O126" s="36" t="e">
        <f t="shared" ca="1" si="167"/>
        <v>#REF!</v>
      </c>
      <c r="P126" s="36" t="e">
        <f t="shared" ca="1" si="167"/>
        <v>#REF!</v>
      </c>
      <c r="Q126" s="36" t="e">
        <f t="shared" ca="1" si="167"/>
        <v>#REF!</v>
      </c>
      <c r="R126" s="36" t="e">
        <f t="shared" ca="1" si="167"/>
        <v>#REF!</v>
      </c>
    </row>
    <row r="127" spans="1:18" x14ac:dyDescent="0.2">
      <c r="A127" t="str">
        <f t="shared" si="143"/>
        <v/>
      </c>
      <c r="B127" t="str">
        <f t="shared" si="144"/>
        <v/>
      </c>
      <c r="C127" t="str">
        <f t="shared" si="164"/>
        <v/>
      </c>
      <c r="D127" t="str">
        <f t="shared" ref="D127:F127" si="168">IF(D115="","",D115)</f>
        <v/>
      </c>
      <c r="E127" t="str">
        <f t="shared" si="168"/>
        <v/>
      </c>
      <c r="F127" t="str">
        <f t="shared" si="168"/>
        <v/>
      </c>
      <c r="G127" t="str">
        <f t="shared" si="132"/>
        <v/>
      </c>
      <c r="H127" t="e">
        <f ca="1">SUM(H124:H126)</f>
        <v>#REF!</v>
      </c>
      <c r="I127" t="e">
        <f t="shared" ref="I127:R127" ca="1" si="169">SUM(I124:I126)</f>
        <v>#REF!</v>
      </c>
      <c r="J127" t="e">
        <f t="shared" ca="1" si="169"/>
        <v>#REF!</v>
      </c>
      <c r="K127" t="e">
        <f t="shared" ca="1" si="169"/>
        <v>#REF!</v>
      </c>
      <c r="L127" t="e">
        <f t="shared" ca="1" si="169"/>
        <v>#REF!</v>
      </c>
      <c r="M127" t="e">
        <f t="shared" ca="1" si="169"/>
        <v>#REF!</v>
      </c>
      <c r="N127" t="e">
        <f t="shared" ca="1" si="169"/>
        <v>#REF!</v>
      </c>
      <c r="O127" t="e">
        <f t="shared" ca="1" si="169"/>
        <v>#REF!</v>
      </c>
      <c r="P127" t="e">
        <f t="shared" ca="1" si="169"/>
        <v>#REF!</v>
      </c>
      <c r="Q127" t="e">
        <f t="shared" ca="1" si="169"/>
        <v>#REF!</v>
      </c>
      <c r="R127" t="e">
        <f t="shared" ca="1" si="169"/>
        <v>#REF!</v>
      </c>
    </row>
    <row r="128" spans="1:18" x14ac:dyDescent="0.2">
      <c r="A128" t="str">
        <f t="shared" si="143"/>
        <v>M100</v>
      </c>
      <c r="B128" t="str">
        <f t="shared" si="144"/>
        <v>D3</v>
      </c>
      <c r="C128">
        <f t="shared" si="164"/>
        <v>100</v>
      </c>
      <c r="D128" t="str">
        <f t="shared" ref="D128:F128" si="170">IF(D116="","",D116)</f>
        <v>Medium</v>
      </c>
      <c r="E128" t="str">
        <f t="shared" si="170"/>
        <v>est_cd-</v>
      </c>
      <c r="F128" t="str">
        <f t="shared" si="170"/>
        <v>Household</v>
      </c>
      <c r="G128" t="str">
        <f t="shared" si="132"/>
        <v>0_1_1_1_1_0</v>
      </c>
      <c r="H128" s="36" t="e" cm="1">
        <f t="array" aca="1" ref="H128" ca="1">INDIRECT("'"&amp;$H$26&amp;$E128&amp;$G128&amp;$P$26&amp;$E128&amp;$G128&amp;"'"&amp;$S$26&amp;H$22)</f>
        <v>#REF!</v>
      </c>
      <c r="I128" s="36" t="e" cm="1">
        <f t="array" aca="1" ref="I128" ca="1">INDIRECT("'"&amp;$H$26&amp;$E128&amp;$G128&amp;$P$26&amp;$E128&amp;$G128&amp;"'"&amp;$S$26&amp;I$22)</f>
        <v>#REF!</v>
      </c>
      <c r="J128" s="36" t="e" cm="1">
        <f t="array" aca="1" ref="J128" ca="1">INDIRECT("'"&amp;$H$26&amp;$E128&amp;$G128&amp;$P$26&amp;$E128&amp;$G128&amp;"'"&amp;$S$26&amp;J$22)</f>
        <v>#REF!</v>
      </c>
      <c r="K128" s="36" t="e" cm="1">
        <f t="array" aca="1" ref="K128" ca="1">INDIRECT("'"&amp;$H$26&amp;$E128&amp;$G128&amp;$P$26&amp;$E128&amp;$G128&amp;"'"&amp;$S$26&amp;K$22)</f>
        <v>#REF!</v>
      </c>
      <c r="L128" s="36" t="e" cm="1">
        <f t="array" aca="1" ref="L128" ca="1">INDIRECT("'"&amp;$H$26&amp;$E128&amp;$G128&amp;$P$26&amp;$E128&amp;$G128&amp;"'"&amp;$S$26&amp;L$22)</f>
        <v>#REF!</v>
      </c>
      <c r="M128" s="36" t="e" cm="1">
        <f t="array" aca="1" ref="M128" ca="1">INDIRECT("'"&amp;$H$26&amp;$E128&amp;$G128&amp;$P$26&amp;$E128&amp;$G128&amp;"'"&amp;$S$26&amp;M$22)</f>
        <v>#REF!</v>
      </c>
      <c r="N128" s="36" t="e" cm="1">
        <f t="array" aca="1" ref="N128" ca="1">INDIRECT("'"&amp;$H$26&amp;$E128&amp;$G128&amp;$P$26&amp;$E128&amp;$G128&amp;"'"&amp;$S$26&amp;N$22)</f>
        <v>#REF!</v>
      </c>
      <c r="O128" s="36" t="e" cm="1">
        <f t="array" aca="1" ref="O128" ca="1">INDIRECT("'"&amp;$H$26&amp;$E128&amp;$G128&amp;$P$26&amp;$E128&amp;$G128&amp;"'"&amp;$S$26&amp;O$22)</f>
        <v>#REF!</v>
      </c>
      <c r="P128" s="36" t="e" cm="1">
        <f t="array" aca="1" ref="P128" ca="1">INDIRECT("'"&amp;$H$26&amp;$E128&amp;$G128&amp;$P$26&amp;$E128&amp;$G128&amp;"'"&amp;$S$26&amp;P$22)</f>
        <v>#REF!</v>
      </c>
      <c r="Q128" s="36" t="e" cm="1">
        <f t="array" aca="1" ref="Q128" ca="1">INDIRECT("'"&amp;$H$26&amp;$E128&amp;$G128&amp;$P$26&amp;$E128&amp;$G128&amp;"'"&amp;$S$26&amp;Q$22)</f>
        <v>#REF!</v>
      </c>
      <c r="R128" s="36" t="e" cm="1">
        <f t="array" aca="1" ref="R128" ca="1">INDIRECT("'"&amp;$H$26&amp;$E128&amp;$G128&amp;$P$26&amp;$E128&amp;$G128&amp;"'"&amp;$S$26&amp;R$22)</f>
        <v>#REF!</v>
      </c>
    </row>
    <row r="129" spans="1:19" x14ac:dyDescent="0.2">
      <c r="A129" t="str">
        <f t="shared" si="143"/>
        <v>M100</v>
      </c>
      <c r="B129" t="str">
        <f t="shared" si="144"/>
        <v>D3</v>
      </c>
      <c r="C129">
        <f t="shared" si="164"/>
        <v>100</v>
      </c>
      <c r="D129" t="str">
        <f t="shared" ref="D129:F129" si="171">IF(D117="","",D117)</f>
        <v>Medium</v>
      </c>
      <c r="E129" t="str">
        <f t="shared" si="171"/>
        <v>est_cd-</v>
      </c>
      <c r="F129" t="str">
        <f t="shared" si="171"/>
        <v>Industry</v>
      </c>
      <c r="G129" t="str">
        <f t="shared" si="132"/>
        <v>0_1_1_1_1_0</v>
      </c>
      <c r="H129" s="36" t="e" cm="1">
        <f t="array" aca="1" ref="H129" ca="1">INDIRECT("'"&amp;$H$26&amp;$E129&amp;$G129&amp;$P$26&amp;$E129&amp;$G129&amp;"'"&amp;$S$26&amp;H$23)</f>
        <v>#REF!</v>
      </c>
      <c r="I129" s="36" t="e" cm="1">
        <f t="array" aca="1" ref="I129" ca="1">INDIRECT("'"&amp;$H$26&amp;$E129&amp;$G129&amp;$P$26&amp;$E129&amp;$G129&amp;"'"&amp;$S$26&amp;I$23)</f>
        <v>#REF!</v>
      </c>
      <c r="J129" s="36" t="e" cm="1">
        <f t="array" aca="1" ref="J129" ca="1">INDIRECT("'"&amp;$H$26&amp;$E129&amp;$G129&amp;$P$26&amp;$E129&amp;$G129&amp;"'"&amp;$S$26&amp;J$23)</f>
        <v>#REF!</v>
      </c>
      <c r="K129" s="36" t="e" cm="1">
        <f t="array" aca="1" ref="K129" ca="1">INDIRECT("'"&amp;$H$26&amp;$E129&amp;$G129&amp;$P$26&amp;$E129&amp;$G129&amp;"'"&amp;$S$26&amp;K$23)</f>
        <v>#REF!</v>
      </c>
      <c r="L129" s="36" t="e" cm="1">
        <f t="array" aca="1" ref="L129" ca="1">INDIRECT("'"&amp;$H$26&amp;$E129&amp;$G129&amp;$P$26&amp;$E129&amp;$G129&amp;"'"&amp;$S$26&amp;L$23)</f>
        <v>#REF!</v>
      </c>
      <c r="M129" s="36" t="e" cm="1">
        <f t="array" aca="1" ref="M129" ca="1">INDIRECT("'"&amp;$H$26&amp;$E129&amp;$G129&amp;$P$26&amp;$E129&amp;$G129&amp;"'"&amp;$S$26&amp;M$23)</f>
        <v>#REF!</v>
      </c>
      <c r="N129" s="36" t="e" cm="1">
        <f t="array" aca="1" ref="N129" ca="1">INDIRECT("'"&amp;$H$26&amp;$E129&amp;$G129&amp;$P$26&amp;$E129&amp;$G129&amp;"'"&amp;$S$26&amp;N$23)</f>
        <v>#REF!</v>
      </c>
      <c r="O129" s="36" t="e" cm="1">
        <f t="array" aca="1" ref="O129" ca="1">INDIRECT("'"&amp;$H$26&amp;$E129&amp;$G129&amp;$P$26&amp;$E129&amp;$G129&amp;"'"&amp;$S$26&amp;O$23)</f>
        <v>#REF!</v>
      </c>
      <c r="P129" s="36" t="e" cm="1">
        <f t="array" aca="1" ref="P129" ca="1">INDIRECT("'"&amp;$H$26&amp;$E129&amp;$G129&amp;$P$26&amp;$E129&amp;$G129&amp;"'"&amp;$S$26&amp;P$23)</f>
        <v>#REF!</v>
      </c>
      <c r="Q129" s="36" t="e" cm="1">
        <f t="array" aca="1" ref="Q129" ca="1">INDIRECT("'"&amp;$H$26&amp;$E129&amp;$G129&amp;$P$26&amp;$E129&amp;$G129&amp;"'"&amp;$S$26&amp;Q$23)</f>
        <v>#REF!</v>
      </c>
      <c r="R129" s="36" t="e" cm="1">
        <f t="array" aca="1" ref="R129" ca="1">INDIRECT("'"&amp;$H$26&amp;$E129&amp;$G129&amp;$P$26&amp;$E129&amp;$G129&amp;"'"&amp;$S$26&amp;R$23)</f>
        <v>#REF!</v>
      </c>
    </row>
    <row r="130" spans="1:19" x14ac:dyDescent="0.2">
      <c r="A130" t="str">
        <f t="shared" si="143"/>
        <v>M100</v>
      </c>
      <c r="B130" t="str">
        <f t="shared" si="144"/>
        <v>D3</v>
      </c>
      <c r="C130">
        <f t="shared" si="164"/>
        <v>100</v>
      </c>
      <c r="D130" t="str">
        <f t="shared" ref="D130:F130" si="172">IF(D118="","",D118)</f>
        <v>Medium</v>
      </c>
      <c r="E130" t="str">
        <f t="shared" si="172"/>
        <v>est_cd-</v>
      </c>
      <c r="F130" t="str">
        <f t="shared" si="172"/>
        <v>Other</v>
      </c>
      <c r="G130" t="str">
        <f t="shared" si="132"/>
        <v>0_1_1_1_1_0</v>
      </c>
      <c r="H130" s="36" t="e">
        <f ca="1">SUM(INDIRECT("'"&amp;$H$26&amp;$E130&amp;$G130&amp;$P$26&amp;$E130&amp;$G130&amp;"'"&amp;$S$26&amp;H$24))</f>
        <v>#REF!</v>
      </c>
      <c r="I130" s="36" t="e">
        <f t="shared" ref="I130:R130" ca="1" si="173">SUM(INDIRECT("'"&amp;$H$26&amp;$E130&amp;$G130&amp;$P$26&amp;$E130&amp;$G130&amp;"'"&amp;$S$26&amp;I$24))</f>
        <v>#REF!</v>
      </c>
      <c r="J130" s="36" t="e">
        <f t="shared" ca="1" si="173"/>
        <v>#REF!</v>
      </c>
      <c r="K130" s="36" t="e">
        <f t="shared" ca="1" si="173"/>
        <v>#REF!</v>
      </c>
      <c r="L130" s="36" t="e">
        <f t="shared" ca="1" si="173"/>
        <v>#REF!</v>
      </c>
      <c r="M130" s="36" t="e">
        <f t="shared" ca="1" si="173"/>
        <v>#REF!</v>
      </c>
      <c r="N130" s="36" t="e">
        <f t="shared" ca="1" si="173"/>
        <v>#REF!</v>
      </c>
      <c r="O130" s="36" t="e">
        <f t="shared" ca="1" si="173"/>
        <v>#REF!</v>
      </c>
      <c r="P130" s="36" t="e">
        <f t="shared" ca="1" si="173"/>
        <v>#REF!</v>
      </c>
      <c r="Q130" s="36" t="e">
        <f t="shared" ca="1" si="173"/>
        <v>#REF!</v>
      </c>
      <c r="R130" s="36" t="e">
        <f t="shared" ca="1" si="173"/>
        <v>#REF!</v>
      </c>
    </row>
    <row r="131" spans="1:19" x14ac:dyDescent="0.2">
      <c r="A131" t="str">
        <f t="shared" si="143"/>
        <v/>
      </c>
      <c r="B131" t="str">
        <f t="shared" si="144"/>
        <v/>
      </c>
      <c r="C131" t="str">
        <f t="shared" si="164"/>
        <v/>
      </c>
      <c r="D131" t="str">
        <f t="shared" ref="D131:F131" si="174">IF(D119="","",D119)</f>
        <v/>
      </c>
      <c r="E131" t="str">
        <f t="shared" si="174"/>
        <v/>
      </c>
      <c r="F131" t="str">
        <f t="shared" si="174"/>
        <v/>
      </c>
      <c r="G131" t="str">
        <f t="shared" si="132"/>
        <v/>
      </c>
      <c r="H131" t="e">
        <f ca="1">SUM(H128:H130)</f>
        <v>#REF!</v>
      </c>
      <c r="I131" t="e">
        <f t="shared" ref="I131:R131" ca="1" si="175">SUM(I128:I130)</f>
        <v>#REF!</v>
      </c>
      <c r="J131" t="e">
        <f t="shared" ca="1" si="175"/>
        <v>#REF!</v>
      </c>
      <c r="K131" t="e">
        <f t="shared" ca="1" si="175"/>
        <v>#REF!</v>
      </c>
      <c r="L131" t="e">
        <f t="shared" ca="1" si="175"/>
        <v>#REF!</v>
      </c>
      <c r="M131" t="e">
        <f t="shared" ca="1" si="175"/>
        <v>#REF!</v>
      </c>
      <c r="N131" t="e">
        <f t="shared" ca="1" si="175"/>
        <v>#REF!</v>
      </c>
      <c r="O131" t="e">
        <f t="shared" ca="1" si="175"/>
        <v>#REF!</v>
      </c>
      <c r="P131" t="e">
        <f t="shared" ca="1" si="175"/>
        <v>#REF!</v>
      </c>
      <c r="Q131" t="e">
        <f t="shared" ca="1" si="175"/>
        <v>#REF!</v>
      </c>
      <c r="R131" t="e">
        <f t="shared" ca="1" si="175"/>
        <v>#REF!</v>
      </c>
    </row>
    <row r="132" spans="1:19" x14ac:dyDescent="0.2">
      <c r="A132" t="str">
        <f t="shared" si="143"/>
        <v>H100</v>
      </c>
      <c r="B132" t="str">
        <f t="shared" si="144"/>
        <v>D3</v>
      </c>
      <c r="C132">
        <f t="shared" si="164"/>
        <v>100</v>
      </c>
      <c r="D132" t="str">
        <f t="shared" ref="D132:F132" si="176">IF(D120="","",D120)</f>
        <v>High</v>
      </c>
      <c r="E132" t="str">
        <f t="shared" si="176"/>
        <v>est_cd-</v>
      </c>
      <c r="F132" t="str">
        <f t="shared" si="176"/>
        <v>Household</v>
      </c>
      <c r="G132" t="str">
        <f t="shared" si="132"/>
        <v>0_1_2_2_2_0</v>
      </c>
      <c r="H132" s="36" t="e" cm="1">
        <f t="array" aca="1" ref="H132" ca="1">INDIRECT("'"&amp;$H$26&amp;$E132&amp;$G132&amp;$P$26&amp;$E132&amp;$G132&amp;"'"&amp;$S$26&amp;H$22)</f>
        <v>#REF!</v>
      </c>
      <c r="I132" s="36" t="e" cm="1">
        <f t="array" aca="1" ref="I132" ca="1">INDIRECT("'"&amp;$H$26&amp;$E132&amp;$G132&amp;$P$26&amp;$E132&amp;$G132&amp;"'"&amp;$S$26&amp;I$22)</f>
        <v>#REF!</v>
      </c>
      <c r="J132" s="36" t="e" cm="1">
        <f t="array" aca="1" ref="J132" ca="1">INDIRECT("'"&amp;$H$26&amp;$E132&amp;$G132&amp;$P$26&amp;$E132&amp;$G132&amp;"'"&amp;$S$26&amp;J$22)</f>
        <v>#REF!</v>
      </c>
      <c r="K132" s="36" t="e" cm="1">
        <f t="array" aca="1" ref="K132" ca="1">INDIRECT("'"&amp;$H$26&amp;$E132&amp;$G132&amp;$P$26&amp;$E132&amp;$G132&amp;"'"&amp;$S$26&amp;K$22)</f>
        <v>#REF!</v>
      </c>
      <c r="L132" s="36" t="e" cm="1">
        <f t="array" aca="1" ref="L132" ca="1">INDIRECT("'"&amp;$H$26&amp;$E132&amp;$G132&amp;$P$26&amp;$E132&amp;$G132&amp;"'"&amp;$S$26&amp;L$22)</f>
        <v>#REF!</v>
      </c>
      <c r="M132" s="36" t="e" cm="1">
        <f t="array" aca="1" ref="M132" ca="1">INDIRECT("'"&amp;$H$26&amp;$E132&amp;$G132&amp;$P$26&amp;$E132&amp;$G132&amp;"'"&amp;$S$26&amp;M$22)</f>
        <v>#REF!</v>
      </c>
      <c r="N132" s="36" t="e" cm="1">
        <f t="array" aca="1" ref="N132" ca="1">INDIRECT("'"&amp;$H$26&amp;$E132&amp;$G132&amp;$P$26&amp;$E132&amp;$G132&amp;"'"&amp;$S$26&amp;N$22)</f>
        <v>#REF!</v>
      </c>
      <c r="O132" s="36" t="e" cm="1">
        <f t="array" aca="1" ref="O132" ca="1">INDIRECT("'"&amp;$H$26&amp;$E132&amp;$G132&amp;$P$26&amp;$E132&amp;$G132&amp;"'"&amp;$S$26&amp;O$22)</f>
        <v>#REF!</v>
      </c>
      <c r="P132" s="36" t="e" cm="1">
        <f t="array" aca="1" ref="P132" ca="1">INDIRECT("'"&amp;$H$26&amp;$E132&amp;$G132&amp;$P$26&amp;$E132&amp;$G132&amp;"'"&amp;$S$26&amp;P$22)</f>
        <v>#REF!</v>
      </c>
      <c r="Q132" s="36" t="e" cm="1">
        <f t="array" aca="1" ref="Q132" ca="1">INDIRECT("'"&amp;$H$26&amp;$E132&amp;$G132&amp;$P$26&amp;$E132&amp;$G132&amp;"'"&amp;$S$26&amp;Q$22)</f>
        <v>#REF!</v>
      </c>
      <c r="R132" s="36" t="e" cm="1">
        <f t="array" aca="1" ref="R132" ca="1">INDIRECT("'"&amp;$H$26&amp;$E132&amp;$G132&amp;$P$26&amp;$E132&amp;$G132&amp;"'"&amp;$S$26&amp;R$22)</f>
        <v>#REF!</v>
      </c>
    </row>
    <row r="133" spans="1:19" x14ac:dyDescent="0.2">
      <c r="A133" t="str">
        <f t="shared" si="143"/>
        <v>H100</v>
      </c>
      <c r="B133" t="str">
        <f t="shared" si="144"/>
        <v>D3</v>
      </c>
      <c r="C133">
        <f t="shared" si="164"/>
        <v>100</v>
      </c>
      <c r="D133" t="str">
        <f t="shared" ref="D133:F133" si="177">IF(D121="","",D121)</f>
        <v>High</v>
      </c>
      <c r="E133" t="str">
        <f t="shared" si="177"/>
        <v>est_cd-</v>
      </c>
      <c r="F133" t="str">
        <f t="shared" si="177"/>
        <v>Industry</v>
      </c>
      <c r="G133" t="str">
        <f t="shared" si="132"/>
        <v>0_1_2_2_2_0</v>
      </c>
      <c r="H133" s="36" t="e" cm="1">
        <f t="array" aca="1" ref="H133" ca="1">INDIRECT("'"&amp;$H$26&amp;$E133&amp;$G133&amp;$P$26&amp;$E133&amp;$G133&amp;"'"&amp;$S$26&amp;H$23)</f>
        <v>#REF!</v>
      </c>
      <c r="I133" s="36" t="e" cm="1">
        <f t="array" aca="1" ref="I133" ca="1">INDIRECT("'"&amp;$H$26&amp;$E133&amp;$G133&amp;$P$26&amp;$E133&amp;$G133&amp;"'"&amp;$S$26&amp;I$23)</f>
        <v>#REF!</v>
      </c>
      <c r="J133" s="36" t="e" cm="1">
        <f t="array" aca="1" ref="J133" ca="1">INDIRECT("'"&amp;$H$26&amp;$E133&amp;$G133&amp;$P$26&amp;$E133&amp;$G133&amp;"'"&amp;$S$26&amp;J$23)</f>
        <v>#REF!</v>
      </c>
      <c r="K133" s="36" t="e" cm="1">
        <f t="array" aca="1" ref="K133" ca="1">INDIRECT("'"&amp;$H$26&amp;$E133&amp;$G133&amp;$P$26&amp;$E133&amp;$G133&amp;"'"&amp;$S$26&amp;K$23)</f>
        <v>#REF!</v>
      </c>
      <c r="L133" s="36" t="e" cm="1">
        <f t="array" aca="1" ref="L133" ca="1">INDIRECT("'"&amp;$H$26&amp;$E133&amp;$G133&amp;$P$26&amp;$E133&amp;$G133&amp;"'"&amp;$S$26&amp;L$23)</f>
        <v>#REF!</v>
      </c>
      <c r="M133" s="36" t="e" cm="1">
        <f t="array" aca="1" ref="M133" ca="1">INDIRECT("'"&amp;$H$26&amp;$E133&amp;$G133&amp;$P$26&amp;$E133&amp;$G133&amp;"'"&amp;$S$26&amp;M$23)</f>
        <v>#REF!</v>
      </c>
      <c r="N133" s="36" t="e" cm="1">
        <f t="array" aca="1" ref="N133" ca="1">INDIRECT("'"&amp;$H$26&amp;$E133&amp;$G133&amp;$P$26&amp;$E133&amp;$G133&amp;"'"&amp;$S$26&amp;N$23)</f>
        <v>#REF!</v>
      </c>
      <c r="O133" s="36" t="e" cm="1">
        <f t="array" aca="1" ref="O133" ca="1">INDIRECT("'"&amp;$H$26&amp;$E133&amp;$G133&amp;$P$26&amp;$E133&amp;$G133&amp;"'"&amp;$S$26&amp;O$23)</f>
        <v>#REF!</v>
      </c>
      <c r="P133" s="36" t="e" cm="1">
        <f t="array" aca="1" ref="P133" ca="1">INDIRECT("'"&amp;$H$26&amp;$E133&amp;$G133&amp;$P$26&amp;$E133&amp;$G133&amp;"'"&amp;$S$26&amp;P$23)</f>
        <v>#REF!</v>
      </c>
      <c r="Q133" s="36" t="e" cm="1">
        <f t="array" aca="1" ref="Q133" ca="1">INDIRECT("'"&amp;$H$26&amp;$E133&amp;$G133&amp;$P$26&amp;$E133&amp;$G133&amp;"'"&amp;$S$26&amp;Q$23)</f>
        <v>#REF!</v>
      </c>
      <c r="R133" s="36" t="e" cm="1">
        <f t="array" aca="1" ref="R133" ca="1">INDIRECT("'"&amp;$H$26&amp;$E133&amp;$G133&amp;$P$26&amp;$E133&amp;$G133&amp;"'"&amp;$S$26&amp;R$23)</f>
        <v>#REF!</v>
      </c>
    </row>
    <row r="134" spans="1:19" x14ac:dyDescent="0.2">
      <c r="A134" t="str">
        <f t="shared" si="143"/>
        <v>H100</v>
      </c>
      <c r="B134" t="str">
        <f t="shared" si="144"/>
        <v>D3</v>
      </c>
      <c r="C134">
        <f t="shared" si="164"/>
        <v>100</v>
      </c>
      <c r="D134" t="str">
        <f t="shared" ref="D134:F134" si="178">IF(D122="","",D122)</f>
        <v>High</v>
      </c>
      <c r="E134" t="str">
        <f t="shared" si="178"/>
        <v>est_cd-</v>
      </c>
      <c r="F134" t="str">
        <f t="shared" si="178"/>
        <v>Other</v>
      </c>
      <c r="G134" t="str">
        <f t="shared" si="132"/>
        <v>0_1_2_2_2_0</v>
      </c>
      <c r="H134" s="36" t="e">
        <f ca="1">SUM(INDIRECT("'"&amp;$H$26&amp;$E134&amp;$G134&amp;$P$26&amp;$E134&amp;$G134&amp;"'"&amp;$S$26&amp;H$24))</f>
        <v>#REF!</v>
      </c>
      <c r="I134" s="36" t="e">
        <f t="shared" ref="I134:R134" ca="1" si="179">SUM(INDIRECT("'"&amp;$H$26&amp;$E134&amp;$G134&amp;$P$26&amp;$E134&amp;$G134&amp;"'"&amp;$S$26&amp;I$24))</f>
        <v>#REF!</v>
      </c>
      <c r="J134" s="36" t="e">
        <f t="shared" ca="1" si="179"/>
        <v>#REF!</v>
      </c>
      <c r="K134" s="36" t="e">
        <f t="shared" ca="1" si="179"/>
        <v>#REF!</v>
      </c>
      <c r="L134" s="36" t="e">
        <f t="shared" ca="1" si="179"/>
        <v>#REF!</v>
      </c>
      <c r="M134" s="36" t="e">
        <f t="shared" ca="1" si="179"/>
        <v>#REF!</v>
      </c>
      <c r="N134" s="36" t="e">
        <f t="shared" ca="1" si="179"/>
        <v>#REF!</v>
      </c>
      <c r="O134" s="36" t="e">
        <f t="shared" ca="1" si="179"/>
        <v>#REF!</v>
      </c>
      <c r="P134" s="36" t="e">
        <f t="shared" ca="1" si="179"/>
        <v>#REF!</v>
      </c>
      <c r="Q134" s="36" t="e">
        <f t="shared" ca="1" si="179"/>
        <v>#REF!</v>
      </c>
      <c r="R134" s="36" t="e">
        <f t="shared" ca="1" si="179"/>
        <v>#REF!</v>
      </c>
    </row>
    <row r="135" spans="1:19" x14ac:dyDescent="0.2">
      <c r="H135" t="e">
        <f ca="1">SUM(H132:H134)</f>
        <v>#REF!</v>
      </c>
      <c r="I135" t="e">
        <f t="shared" ref="I135:R135" ca="1" si="180">SUM(I132:I134)</f>
        <v>#REF!</v>
      </c>
      <c r="J135" t="e">
        <f t="shared" ca="1" si="180"/>
        <v>#REF!</v>
      </c>
      <c r="K135" t="e">
        <f t="shared" ca="1" si="180"/>
        <v>#REF!</v>
      </c>
      <c r="L135" t="e">
        <f t="shared" ca="1" si="180"/>
        <v>#REF!</v>
      </c>
      <c r="M135" t="e">
        <f t="shared" ca="1" si="180"/>
        <v>#REF!</v>
      </c>
      <c r="N135" t="e">
        <f t="shared" ca="1" si="180"/>
        <v>#REF!</v>
      </c>
      <c r="O135" t="e">
        <f t="shared" ca="1" si="180"/>
        <v>#REF!</v>
      </c>
      <c r="P135" t="e">
        <f t="shared" ca="1" si="180"/>
        <v>#REF!</v>
      </c>
      <c r="Q135" t="e">
        <f t="shared" ca="1" si="180"/>
        <v>#REF!</v>
      </c>
      <c r="R135" t="e">
        <f t="shared" ca="1" si="180"/>
        <v>#REF!</v>
      </c>
    </row>
    <row r="136" spans="1:19" x14ac:dyDescent="0.2">
      <c r="H136">
        <f>H157</f>
        <v>2020</v>
      </c>
      <c r="I136">
        <f t="shared" ref="I136:R136" si="181">I157</f>
        <v>2021</v>
      </c>
      <c r="J136">
        <f t="shared" si="181"/>
        <v>2022</v>
      </c>
      <c r="K136">
        <f t="shared" si="181"/>
        <v>2023</v>
      </c>
      <c r="L136">
        <f t="shared" si="181"/>
        <v>2024</v>
      </c>
      <c r="M136">
        <f t="shared" si="181"/>
        <v>2025</v>
      </c>
      <c r="N136">
        <f t="shared" si="181"/>
        <v>2026</v>
      </c>
      <c r="O136">
        <f t="shared" si="181"/>
        <v>2027</v>
      </c>
      <c r="P136">
        <f t="shared" si="181"/>
        <v>2028</v>
      </c>
      <c r="Q136">
        <f t="shared" si="181"/>
        <v>2029</v>
      </c>
      <c r="R136">
        <f t="shared" si="181"/>
        <v>2030</v>
      </c>
    </row>
    <row r="137" spans="1:19" x14ac:dyDescent="0.2">
      <c r="F137" t="s">
        <v>363</v>
      </c>
      <c r="G137" t="s">
        <v>296</v>
      </c>
      <c r="H137" t="e">
        <f ca="1">SUMIF($A$28:$A$134,$F137,H$28:H$134)</f>
        <v>#REF!</v>
      </c>
      <c r="I137" t="e">
        <f t="shared" ref="I137:R137" ca="1" si="182">SUMIF($A$28:$A$134,$F137,I$28:I$134)</f>
        <v>#REF!</v>
      </c>
      <c r="J137" t="e">
        <f t="shared" ca="1" si="182"/>
        <v>#REF!</v>
      </c>
      <c r="K137" t="e">
        <f t="shared" ca="1" si="182"/>
        <v>#REF!</v>
      </c>
      <c r="L137" t="e">
        <f t="shared" ca="1" si="182"/>
        <v>#REF!</v>
      </c>
      <c r="M137" t="e">
        <f t="shared" ca="1" si="182"/>
        <v>#REF!</v>
      </c>
      <c r="N137" t="e">
        <f t="shared" ca="1" si="182"/>
        <v>#REF!</v>
      </c>
      <c r="O137" t="e">
        <f t="shared" ca="1" si="182"/>
        <v>#REF!</v>
      </c>
      <c r="P137" t="e">
        <f t="shared" ca="1" si="182"/>
        <v>#REF!</v>
      </c>
      <c r="Q137" t="e">
        <f t="shared" ca="1" si="182"/>
        <v>#REF!</v>
      </c>
      <c r="R137" t="e">
        <f t="shared" ca="1" si="182"/>
        <v>#REF!</v>
      </c>
      <c r="S137" t="e">
        <f ca="1">H31+H67+H103</f>
        <v>#REF!</v>
      </c>
    </row>
    <row r="138" spans="1:19" x14ac:dyDescent="0.2">
      <c r="F138" t="s">
        <v>364</v>
      </c>
      <c r="G138" t="s">
        <v>296</v>
      </c>
      <c r="H138" t="e">
        <f t="shared" ref="H138:R145" ca="1" si="183">SUMIF($A$28:$A$134,$F138,H$28:H$134)</f>
        <v>#REF!</v>
      </c>
      <c r="I138" t="e">
        <f t="shared" ca="1" si="183"/>
        <v>#REF!</v>
      </c>
      <c r="J138" t="e">
        <f t="shared" ca="1" si="183"/>
        <v>#REF!</v>
      </c>
      <c r="K138" t="e">
        <f t="shared" ca="1" si="183"/>
        <v>#REF!</v>
      </c>
      <c r="L138" t="e">
        <f t="shared" ca="1" si="183"/>
        <v>#REF!</v>
      </c>
      <c r="M138" t="e">
        <f t="shared" ca="1" si="183"/>
        <v>#REF!</v>
      </c>
      <c r="N138" t="e">
        <f t="shared" ca="1" si="183"/>
        <v>#REF!</v>
      </c>
      <c r="O138" t="e">
        <f t="shared" ca="1" si="183"/>
        <v>#REF!</v>
      </c>
      <c r="P138" t="e">
        <f t="shared" ca="1" si="183"/>
        <v>#REF!</v>
      </c>
      <c r="Q138" t="e">
        <f t="shared" ca="1" si="183"/>
        <v>#REF!</v>
      </c>
      <c r="R138" t="e">
        <f t="shared" ca="1" si="183"/>
        <v>#REF!</v>
      </c>
      <c r="S138" t="e">
        <f ca="1">H35+H71+H107</f>
        <v>#REF!</v>
      </c>
    </row>
    <row r="139" spans="1:19" x14ac:dyDescent="0.2">
      <c r="F139" t="s">
        <v>365</v>
      </c>
      <c r="G139" t="s">
        <v>296</v>
      </c>
      <c r="H139" t="e">
        <f t="shared" ca="1" si="183"/>
        <v>#REF!</v>
      </c>
      <c r="I139" t="e">
        <f t="shared" ca="1" si="183"/>
        <v>#REF!</v>
      </c>
      <c r="J139" t="e">
        <f t="shared" ca="1" si="183"/>
        <v>#REF!</v>
      </c>
      <c r="K139" t="e">
        <f t="shared" ca="1" si="183"/>
        <v>#REF!</v>
      </c>
      <c r="L139" t="e">
        <f t="shared" ca="1" si="183"/>
        <v>#REF!</v>
      </c>
      <c r="M139" t="e">
        <f t="shared" ca="1" si="183"/>
        <v>#REF!</v>
      </c>
      <c r="N139" t="e">
        <f t="shared" ca="1" si="183"/>
        <v>#REF!</v>
      </c>
      <c r="O139" t="e">
        <f t="shared" ca="1" si="183"/>
        <v>#REF!</v>
      </c>
      <c r="P139" t="e">
        <f t="shared" ca="1" si="183"/>
        <v>#REF!</v>
      </c>
      <c r="Q139" t="e">
        <f t="shared" ca="1" si="183"/>
        <v>#REF!</v>
      </c>
      <c r="R139" t="e">
        <f t="shared" ca="1" si="183"/>
        <v>#REF!</v>
      </c>
      <c r="S139" t="e">
        <f ca="1">H39+H75+H111</f>
        <v>#REF!</v>
      </c>
    </row>
    <row r="140" spans="1:19" x14ac:dyDescent="0.2">
      <c r="F140" t="s">
        <v>366</v>
      </c>
      <c r="G140" t="s">
        <v>297</v>
      </c>
      <c r="H140" t="e">
        <f t="shared" ca="1" si="183"/>
        <v>#REF!</v>
      </c>
      <c r="I140" t="e">
        <f t="shared" ca="1" si="183"/>
        <v>#REF!</v>
      </c>
      <c r="J140" t="e">
        <f t="shared" ca="1" si="183"/>
        <v>#REF!</v>
      </c>
      <c r="K140" t="e">
        <f t="shared" ca="1" si="183"/>
        <v>#REF!</v>
      </c>
      <c r="L140" t="e">
        <f t="shared" ca="1" si="183"/>
        <v>#REF!</v>
      </c>
      <c r="M140" t="e">
        <f t="shared" ca="1" si="183"/>
        <v>#REF!</v>
      </c>
      <c r="N140" t="e">
        <f t="shared" ca="1" si="183"/>
        <v>#REF!</v>
      </c>
      <c r="O140" t="e">
        <f t="shared" ca="1" si="183"/>
        <v>#REF!</v>
      </c>
      <c r="P140" t="e">
        <f t="shared" ca="1" si="183"/>
        <v>#REF!</v>
      </c>
      <c r="Q140" t="e">
        <f t="shared" ca="1" si="183"/>
        <v>#REF!</v>
      </c>
      <c r="R140" t="e">
        <f t="shared" ca="1" si="183"/>
        <v>#REF!</v>
      </c>
    </row>
    <row r="141" spans="1:19" x14ac:dyDescent="0.2">
      <c r="F141" t="s">
        <v>368</v>
      </c>
      <c r="G141" t="s">
        <v>297</v>
      </c>
      <c r="H141" t="e">
        <f t="shared" ca="1" si="183"/>
        <v>#REF!</v>
      </c>
      <c r="I141" t="e">
        <f t="shared" ca="1" si="183"/>
        <v>#REF!</v>
      </c>
      <c r="J141" t="e">
        <f t="shared" ca="1" si="183"/>
        <v>#REF!</v>
      </c>
      <c r="K141" t="e">
        <f t="shared" ca="1" si="183"/>
        <v>#REF!</v>
      </c>
      <c r="L141" t="e">
        <f t="shared" ca="1" si="183"/>
        <v>#REF!</v>
      </c>
      <c r="M141" t="e">
        <f t="shared" ca="1" si="183"/>
        <v>#REF!</v>
      </c>
      <c r="N141" t="e">
        <f t="shared" ca="1" si="183"/>
        <v>#REF!</v>
      </c>
      <c r="O141" t="e">
        <f t="shared" ca="1" si="183"/>
        <v>#REF!</v>
      </c>
      <c r="P141" t="e">
        <f t="shared" ca="1" si="183"/>
        <v>#REF!</v>
      </c>
      <c r="Q141" t="e">
        <f t="shared" ca="1" si="183"/>
        <v>#REF!</v>
      </c>
      <c r="R141" t="e">
        <f t="shared" ca="1" si="183"/>
        <v>#REF!</v>
      </c>
    </row>
    <row r="142" spans="1:19" x14ac:dyDescent="0.2">
      <c r="F142" t="s">
        <v>369</v>
      </c>
      <c r="G142" t="s">
        <v>297</v>
      </c>
      <c r="H142" t="e">
        <f t="shared" ca="1" si="183"/>
        <v>#REF!</v>
      </c>
      <c r="I142" t="e">
        <f t="shared" ca="1" si="183"/>
        <v>#REF!</v>
      </c>
      <c r="J142" t="e">
        <f t="shared" ca="1" si="183"/>
        <v>#REF!</v>
      </c>
      <c r="K142" t="e">
        <f t="shared" ca="1" si="183"/>
        <v>#REF!</v>
      </c>
      <c r="L142" t="e">
        <f t="shared" ca="1" si="183"/>
        <v>#REF!</v>
      </c>
      <c r="M142" t="e">
        <f t="shared" ca="1" si="183"/>
        <v>#REF!</v>
      </c>
      <c r="N142" t="e">
        <f t="shared" ca="1" si="183"/>
        <v>#REF!</v>
      </c>
      <c r="O142" t="e">
        <f t="shared" ca="1" si="183"/>
        <v>#REF!</v>
      </c>
      <c r="P142" t="e">
        <f t="shared" ca="1" si="183"/>
        <v>#REF!</v>
      </c>
      <c r="Q142" t="e">
        <f t="shared" ca="1" si="183"/>
        <v>#REF!</v>
      </c>
      <c r="R142" t="e">
        <f t="shared" ca="1" si="183"/>
        <v>#REF!</v>
      </c>
    </row>
    <row r="143" spans="1:19" x14ac:dyDescent="0.2">
      <c r="F143" t="s">
        <v>367</v>
      </c>
      <c r="G143" t="s">
        <v>298</v>
      </c>
      <c r="H143" t="e">
        <f t="shared" ca="1" si="183"/>
        <v>#REF!</v>
      </c>
      <c r="I143" t="e">
        <f t="shared" ca="1" si="183"/>
        <v>#REF!</v>
      </c>
      <c r="J143" t="e">
        <f t="shared" ca="1" si="183"/>
        <v>#REF!</v>
      </c>
      <c r="K143" t="e">
        <f t="shared" ca="1" si="183"/>
        <v>#REF!</v>
      </c>
      <c r="L143" t="e">
        <f t="shared" ca="1" si="183"/>
        <v>#REF!</v>
      </c>
      <c r="M143" t="e">
        <f t="shared" ca="1" si="183"/>
        <v>#REF!</v>
      </c>
      <c r="N143" t="e">
        <f t="shared" ca="1" si="183"/>
        <v>#REF!</v>
      </c>
      <c r="O143" t="e">
        <f t="shared" ca="1" si="183"/>
        <v>#REF!</v>
      </c>
      <c r="P143" t="e">
        <f t="shared" ca="1" si="183"/>
        <v>#REF!</v>
      </c>
      <c r="Q143" t="e">
        <f t="shared" ca="1" si="183"/>
        <v>#REF!</v>
      </c>
      <c r="R143" t="e">
        <f t="shared" ca="1" si="183"/>
        <v>#REF!</v>
      </c>
    </row>
    <row r="144" spans="1:19" x14ac:dyDescent="0.2">
      <c r="F144" t="s">
        <v>370</v>
      </c>
      <c r="G144" t="s">
        <v>298</v>
      </c>
      <c r="H144" t="e">
        <f t="shared" ca="1" si="183"/>
        <v>#REF!</v>
      </c>
      <c r="I144" t="e">
        <f t="shared" ca="1" si="183"/>
        <v>#REF!</v>
      </c>
      <c r="J144" t="e">
        <f t="shared" ca="1" si="183"/>
        <v>#REF!</v>
      </c>
      <c r="K144" t="e">
        <f t="shared" ca="1" si="183"/>
        <v>#REF!</v>
      </c>
      <c r="L144" t="e">
        <f t="shared" ca="1" si="183"/>
        <v>#REF!</v>
      </c>
      <c r="M144" t="e">
        <f t="shared" ca="1" si="183"/>
        <v>#REF!</v>
      </c>
      <c r="N144" t="e">
        <f t="shared" ca="1" si="183"/>
        <v>#REF!</v>
      </c>
      <c r="O144" t="e">
        <f t="shared" ca="1" si="183"/>
        <v>#REF!</v>
      </c>
      <c r="P144" t="e">
        <f t="shared" ca="1" si="183"/>
        <v>#REF!</v>
      </c>
      <c r="Q144" t="e">
        <f t="shared" ca="1" si="183"/>
        <v>#REF!</v>
      </c>
      <c r="R144" t="e">
        <f t="shared" ca="1" si="183"/>
        <v>#REF!</v>
      </c>
    </row>
    <row r="145" spans="1:39" x14ac:dyDescent="0.2">
      <c r="F145" t="s">
        <v>371</v>
      </c>
      <c r="G145" t="s">
        <v>298</v>
      </c>
      <c r="H145" t="e">
        <f t="shared" ca="1" si="183"/>
        <v>#REF!</v>
      </c>
      <c r="I145" t="e">
        <f t="shared" ca="1" si="183"/>
        <v>#REF!</v>
      </c>
      <c r="J145" t="e">
        <f t="shared" ca="1" si="183"/>
        <v>#REF!</v>
      </c>
      <c r="K145" t="e">
        <f t="shared" ca="1" si="183"/>
        <v>#REF!</v>
      </c>
      <c r="L145" t="e">
        <f t="shared" ca="1" si="183"/>
        <v>#REF!</v>
      </c>
      <c r="M145" t="e">
        <f t="shared" ca="1" si="183"/>
        <v>#REF!</v>
      </c>
      <c r="N145" t="e">
        <f t="shared" ca="1" si="183"/>
        <v>#REF!</v>
      </c>
      <c r="O145" t="e">
        <f t="shared" ca="1" si="183"/>
        <v>#REF!</v>
      </c>
      <c r="P145" t="e">
        <f t="shared" ca="1" si="183"/>
        <v>#REF!</v>
      </c>
      <c r="Q145" t="e">
        <f t="shared" ca="1" si="183"/>
        <v>#REF!</v>
      </c>
      <c r="R145" t="e">
        <f t="shared" ca="1" si="183"/>
        <v>#REF!</v>
      </c>
    </row>
    <row r="146" spans="1:39" x14ac:dyDescent="0.2">
      <c r="G146" t="s">
        <v>56</v>
      </c>
      <c r="H146">
        <f>'[1]Demand comparison'!H19</f>
        <v>387.13625175942377</v>
      </c>
      <c r="I146">
        <f>'[1]Demand comparison'!I19</f>
        <v>695.13762658348139</v>
      </c>
      <c r="J146">
        <f>'[1]Demand comparison'!J19</f>
        <v>1003.139001407539</v>
      </c>
      <c r="K146">
        <f>'[1]Demand comparison'!K19</f>
        <v>1311.1403762315965</v>
      </c>
      <c r="L146">
        <f>'[1]Demand comparison'!L19</f>
        <v>1619.1417510556544</v>
      </c>
      <c r="M146">
        <f>'[1]Demand comparison'!M19</f>
        <v>1927.143125879712</v>
      </c>
      <c r="N146">
        <f>'[1]Demand comparison'!N19</f>
        <v>2235.1445007037696</v>
      </c>
      <c r="O146">
        <f>'[1]Demand comparison'!O19</f>
        <v>2543.1458755278272</v>
      </c>
      <c r="P146">
        <f>'[1]Demand comparison'!P19</f>
        <v>2851.1472503518853</v>
      </c>
      <c r="Q146">
        <f>'[1]Demand comparison'!Q19</f>
        <v>3159.1486251759429</v>
      </c>
      <c r="R146">
        <f>'[1]Demand comparison'!R19</f>
        <v>3467.1500000000005</v>
      </c>
    </row>
    <row r="147" spans="1:39" x14ac:dyDescent="0.2">
      <c r="G147" t="s">
        <v>299</v>
      </c>
      <c r="H147">
        <f>'[1]Demand comparison'!H$20</f>
        <v>13928.443659087461</v>
      </c>
      <c r="I147">
        <f>'[1]Demand comparison'!I$20</f>
        <v>14996.613506593849</v>
      </c>
      <c r="J147">
        <f>'[1]Demand comparison'!J$20</f>
        <v>16144.849896140733</v>
      </c>
      <c r="K147">
        <f>'[1]Demand comparison'!K$20</f>
        <v>17379.436202502948</v>
      </c>
      <c r="L147">
        <f>'[1]Demand comparison'!L$20</f>
        <v>18707.102334154937</v>
      </c>
      <c r="M147">
        <f>'[1]Demand comparison'!M$20</f>
        <v>20135.091852550308</v>
      </c>
      <c r="N147">
        <f>'[1]Demand comparison'!N$20</f>
        <v>21663.807021721615</v>
      </c>
      <c r="O147">
        <f>'[1]Demand comparison'!O$20</f>
        <v>23308.408314571479</v>
      </c>
      <c r="P147">
        <f>'[1]Demand comparison'!P$20</f>
        <v>25078.083757140346</v>
      </c>
      <c r="Q147">
        <f>'[1]Demand comparison'!Q$20</f>
        <v>26982.787943237752</v>
      </c>
      <c r="R147">
        <f>'[1]Demand comparison'!R$20</f>
        <v>29033.177313723936</v>
      </c>
    </row>
    <row r="148" spans="1:39" x14ac:dyDescent="0.2">
      <c r="A148" s="37" t="s">
        <v>291</v>
      </c>
    </row>
    <row r="149" spans="1:39" x14ac:dyDescent="0.2">
      <c r="A149" t="s">
        <v>292</v>
      </c>
    </row>
    <row r="150" spans="1:39" x14ac:dyDescent="0.2">
      <c r="A150" t="s">
        <v>293</v>
      </c>
    </row>
    <row r="151" spans="1:39" x14ac:dyDescent="0.2">
      <c r="A151" t="s">
        <v>294</v>
      </c>
    </row>
    <row r="152" spans="1:39" x14ac:dyDescent="0.2">
      <c r="A152" t="s">
        <v>295</v>
      </c>
    </row>
    <row r="154" spans="1:39" x14ac:dyDescent="0.2">
      <c r="A154" t="s">
        <v>300</v>
      </c>
      <c r="G154" t="str">
        <f>Scenarios!D1</f>
        <v>M50</v>
      </c>
      <c r="H154" t="e">
        <f ca="1">S137</f>
        <v>#REF!</v>
      </c>
    </row>
    <row r="156" spans="1:39" x14ac:dyDescent="0.2">
      <c r="A156" t="s">
        <v>304</v>
      </c>
    </row>
    <row r="157" spans="1:39" x14ac:dyDescent="0.2">
      <c r="H157" s="37">
        <f>I201</f>
        <v>2020</v>
      </c>
      <c r="I157" s="37">
        <f t="shared" ref="I157:AB157" si="184">J201</f>
        <v>2021</v>
      </c>
      <c r="J157" s="37">
        <f t="shared" si="184"/>
        <v>2022</v>
      </c>
      <c r="K157" s="37">
        <f t="shared" si="184"/>
        <v>2023</v>
      </c>
      <c r="L157" s="37">
        <f t="shared" si="184"/>
        <v>2024</v>
      </c>
      <c r="M157" s="37">
        <f t="shared" si="184"/>
        <v>2025</v>
      </c>
      <c r="N157" s="37">
        <f t="shared" si="184"/>
        <v>2026</v>
      </c>
      <c r="O157" s="37">
        <f t="shared" si="184"/>
        <v>2027</v>
      </c>
      <c r="P157" s="37">
        <f t="shared" si="184"/>
        <v>2028</v>
      </c>
      <c r="Q157" s="37">
        <f t="shared" si="184"/>
        <v>2029</v>
      </c>
      <c r="R157" s="37">
        <f t="shared" si="184"/>
        <v>2030</v>
      </c>
      <c r="S157" s="37">
        <f t="shared" si="184"/>
        <v>2031</v>
      </c>
      <c r="T157" s="37">
        <f t="shared" si="184"/>
        <v>2032</v>
      </c>
      <c r="U157" s="37">
        <f t="shared" si="184"/>
        <v>2033</v>
      </c>
      <c r="V157" s="37">
        <f t="shared" si="184"/>
        <v>2034</v>
      </c>
      <c r="W157" s="37">
        <f t="shared" si="184"/>
        <v>2035</v>
      </c>
      <c r="X157" s="37">
        <f t="shared" si="184"/>
        <v>2036</v>
      </c>
      <c r="Y157" s="37">
        <f t="shared" si="184"/>
        <v>2037</v>
      </c>
      <c r="Z157" s="37">
        <f t="shared" si="184"/>
        <v>2038</v>
      </c>
      <c r="AA157" s="37">
        <f t="shared" si="184"/>
        <v>2039</v>
      </c>
      <c r="AB157" s="37">
        <f t="shared" si="184"/>
        <v>2040</v>
      </c>
      <c r="AC157" s="37">
        <f t="shared" ref="AC157" si="185">AD201</f>
        <v>2041</v>
      </c>
      <c r="AD157" s="37">
        <f t="shared" ref="AD157" si="186">AE201</f>
        <v>2042</v>
      </c>
      <c r="AE157" s="37">
        <f t="shared" ref="AE157" si="187">AF201</f>
        <v>2043</v>
      </c>
      <c r="AF157" s="37">
        <f t="shared" ref="AF157" si="188">AG201</f>
        <v>2044</v>
      </c>
      <c r="AG157" s="37">
        <f t="shared" ref="AG157" si="189">AH201</f>
        <v>2045</v>
      </c>
      <c r="AH157" s="37">
        <f t="shared" ref="AH157" si="190">AI201</f>
        <v>2046</v>
      </c>
      <c r="AI157" s="37">
        <f t="shared" ref="AI157" si="191">AJ201</f>
        <v>2047</v>
      </c>
      <c r="AJ157" s="37">
        <f t="shared" ref="AJ157" si="192">AK201</f>
        <v>2048</v>
      </c>
      <c r="AK157" s="37">
        <f t="shared" ref="AK157" si="193">AL201</f>
        <v>2049</v>
      </c>
      <c r="AL157" s="37">
        <f t="shared" ref="AL157" si="194">AM201</f>
        <v>2050</v>
      </c>
      <c r="AM157" s="37">
        <f t="shared" ref="AM157" si="195">AN201</f>
        <v>0</v>
      </c>
    </row>
    <row r="158" spans="1:39" x14ac:dyDescent="0.2">
      <c r="F158" t="s">
        <v>52</v>
      </c>
      <c r="G158" t="s">
        <v>363</v>
      </c>
      <c r="H158" t="e">
        <f ca="1">SUMIFS(I$202:I$284,$B$202:$B$284,$F158,$A$202:$A$284,$G158)</f>
        <v>#REF!</v>
      </c>
      <c r="I158" t="e">
        <f t="shared" ref="I158:AA158" ca="1" si="196">SUMIFS(J$202:J$284,$B$202:$B$284,$F158,$A$202:$A$284,$G158)</f>
        <v>#REF!</v>
      </c>
      <c r="J158" t="e">
        <f t="shared" ca="1" si="196"/>
        <v>#REF!</v>
      </c>
      <c r="K158" t="e">
        <f t="shared" ca="1" si="196"/>
        <v>#REF!</v>
      </c>
      <c r="L158" t="e">
        <f t="shared" ca="1" si="196"/>
        <v>#REF!</v>
      </c>
      <c r="M158" t="e">
        <f t="shared" ca="1" si="196"/>
        <v>#REF!</v>
      </c>
      <c r="N158" t="e">
        <f t="shared" ca="1" si="196"/>
        <v>#REF!</v>
      </c>
      <c r="O158" t="e">
        <f t="shared" ca="1" si="196"/>
        <v>#REF!</v>
      </c>
      <c r="P158" t="e">
        <f t="shared" ca="1" si="196"/>
        <v>#REF!</v>
      </c>
      <c r="Q158" t="e">
        <f t="shared" ca="1" si="196"/>
        <v>#REF!</v>
      </c>
      <c r="R158" t="e">
        <f t="shared" ca="1" si="196"/>
        <v>#REF!</v>
      </c>
      <c r="S158" t="e">
        <f t="shared" ca="1" si="196"/>
        <v>#REF!</v>
      </c>
      <c r="T158" t="e">
        <f t="shared" ca="1" si="196"/>
        <v>#REF!</v>
      </c>
      <c r="U158" t="e">
        <f t="shared" ca="1" si="196"/>
        <v>#REF!</v>
      </c>
      <c r="V158" t="e">
        <f t="shared" ca="1" si="196"/>
        <v>#REF!</v>
      </c>
      <c r="W158" t="e">
        <f t="shared" ca="1" si="196"/>
        <v>#REF!</v>
      </c>
      <c r="X158" t="e">
        <f t="shared" ca="1" si="196"/>
        <v>#REF!</v>
      </c>
      <c r="Y158" t="e">
        <f t="shared" ca="1" si="196"/>
        <v>#REF!</v>
      </c>
      <c r="Z158" t="e">
        <f t="shared" ca="1" si="196"/>
        <v>#REF!</v>
      </c>
      <c r="AA158" t="e">
        <f t="shared" ca="1" si="196"/>
        <v>#REF!</v>
      </c>
      <c r="AB158" t="e">
        <f ca="1">SUMIFS(AC$202:AC$284,$B$202:$B$284,$F158,$A$202:$A$284,$G158)</f>
        <v>#REF!</v>
      </c>
    </row>
    <row r="159" spans="1:39" x14ac:dyDescent="0.2">
      <c r="F159" t="s">
        <v>52</v>
      </c>
      <c r="G159" t="s">
        <v>269</v>
      </c>
      <c r="H159">
        <f t="shared" ref="H159:AA159" si="197">SUMIFS(I$202:I$284,$B$202:$B$284,$F159,$A$202:$A$284,$G159)</f>
        <v>0</v>
      </c>
      <c r="I159">
        <f t="shared" si="197"/>
        <v>0</v>
      </c>
      <c r="J159">
        <f t="shared" si="197"/>
        <v>0</v>
      </c>
      <c r="K159">
        <f t="shared" si="197"/>
        <v>0</v>
      </c>
      <c r="L159">
        <f t="shared" si="197"/>
        <v>0</v>
      </c>
      <c r="M159">
        <f t="shared" si="197"/>
        <v>0</v>
      </c>
      <c r="N159">
        <f t="shared" si="197"/>
        <v>0</v>
      </c>
      <c r="O159">
        <f t="shared" si="197"/>
        <v>0</v>
      </c>
      <c r="P159">
        <f t="shared" si="197"/>
        <v>0</v>
      </c>
      <c r="Q159">
        <f t="shared" si="197"/>
        <v>0</v>
      </c>
      <c r="R159">
        <f t="shared" si="197"/>
        <v>0</v>
      </c>
      <c r="S159">
        <f t="shared" si="197"/>
        <v>0</v>
      </c>
      <c r="T159">
        <f t="shared" si="197"/>
        <v>0</v>
      </c>
      <c r="U159">
        <f t="shared" si="197"/>
        <v>0</v>
      </c>
      <c r="V159">
        <f t="shared" si="197"/>
        <v>0</v>
      </c>
      <c r="W159">
        <f t="shared" si="197"/>
        <v>0</v>
      </c>
      <c r="X159">
        <f t="shared" si="197"/>
        <v>0</v>
      </c>
      <c r="Y159">
        <f t="shared" si="197"/>
        <v>0</v>
      </c>
      <c r="Z159">
        <f t="shared" si="197"/>
        <v>0</v>
      </c>
      <c r="AA159">
        <f t="shared" si="197"/>
        <v>0</v>
      </c>
      <c r="AB159">
        <f>SUMIFS(AC$202:AC$284,$B$202:$B$284,$F159,$A$202:$A$284,$G159)</f>
        <v>0</v>
      </c>
    </row>
    <row r="160" spans="1:39" x14ac:dyDescent="0.2">
      <c r="F160" t="s">
        <v>52</v>
      </c>
      <c r="G160" t="s">
        <v>288</v>
      </c>
      <c r="H160">
        <f t="shared" ref="H160:AA160" si="198">SUMIFS(I$202:I$284,$B$202:$B$284,$F160,$A$202:$A$284,$G160)</f>
        <v>0</v>
      </c>
      <c r="I160">
        <f t="shared" si="198"/>
        <v>0</v>
      </c>
      <c r="J160">
        <f t="shared" si="198"/>
        <v>0</v>
      </c>
      <c r="K160">
        <f t="shared" si="198"/>
        <v>0</v>
      </c>
      <c r="L160">
        <f t="shared" si="198"/>
        <v>0</v>
      </c>
      <c r="M160">
        <f t="shared" si="198"/>
        <v>0</v>
      </c>
      <c r="N160">
        <f t="shared" si="198"/>
        <v>0</v>
      </c>
      <c r="O160">
        <f t="shared" si="198"/>
        <v>0</v>
      </c>
      <c r="P160">
        <f t="shared" si="198"/>
        <v>0</v>
      </c>
      <c r="Q160">
        <f t="shared" si="198"/>
        <v>0</v>
      </c>
      <c r="R160">
        <f t="shared" si="198"/>
        <v>0</v>
      </c>
      <c r="S160">
        <f t="shared" si="198"/>
        <v>0</v>
      </c>
      <c r="T160">
        <f t="shared" si="198"/>
        <v>0</v>
      </c>
      <c r="U160">
        <f t="shared" si="198"/>
        <v>0</v>
      </c>
      <c r="V160">
        <f t="shared" si="198"/>
        <v>0</v>
      </c>
      <c r="W160">
        <f t="shared" si="198"/>
        <v>0</v>
      </c>
      <c r="X160">
        <f t="shared" si="198"/>
        <v>0</v>
      </c>
      <c r="Y160">
        <f t="shared" si="198"/>
        <v>0</v>
      </c>
      <c r="Z160">
        <f t="shared" si="198"/>
        <v>0</v>
      </c>
      <c r="AA160">
        <f t="shared" si="198"/>
        <v>0</v>
      </c>
      <c r="AB160">
        <f>SUMIFS(AC$202:AC$284,$B$202:$B$284,$F160,$A$202:$A$284,$G160)</f>
        <v>0</v>
      </c>
    </row>
    <row r="168" spans="6:28" x14ac:dyDescent="0.2">
      <c r="F168" t="s">
        <v>79</v>
      </c>
      <c r="G168" t="s">
        <v>287</v>
      </c>
      <c r="H168">
        <f t="shared" ref="H168:AA168" si="199">SUMIFS(I$202:I$284,$B$202:$B$284,$F168,$A$202:$A$284,$G168)</f>
        <v>0</v>
      </c>
      <c r="I168">
        <f t="shared" si="199"/>
        <v>0</v>
      </c>
      <c r="J168">
        <f t="shared" si="199"/>
        <v>0</v>
      </c>
      <c r="K168">
        <f t="shared" si="199"/>
        <v>0</v>
      </c>
      <c r="L168">
        <f t="shared" si="199"/>
        <v>0</v>
      </c>
      <c r="M168">
        <f t="shared" si="199"/>
        <v>0</v>
      </c>
      <c r="N168">
        <f t="shared" si="199"/>
        <v>0</v>
      </c>
      <c r="O168">
        <f t="shared" si="199"/>
        <v>0</v>
      </c>
      <c r="P168">
        <f t="shared" si="199"/>
        <v>0</v>
      </c>
      <c r="Q168">
        <f t="shared" si="199"/>
        <v>0</v>
      </c>
      <c r="R168">
        <f t="shared" si="199"/>
        <v>0</v>
      </c>
      <c r="S168">
        <f t="shared" si="199"/>
        <v>0</v>
      </c>
      <c r="T168">
        <f t="shared" si="199"/>
        <v>0</v>
      </c>
      <c r="U168">
        <f t="shared" si="199"/>
        <v>0</v>
      </c>
      <c r="V168">
        <f t="shared" si="199"/>
        <v>0</v>
      </c>
      <c r="W168">
        <f t="shared" si="199"/>
        <v>0</v>
      </c>
      <c r="X168">
        <f t="shared" si="199"/>
        <v>0</v>
      </c>
      <c r="Y168">
        <f t="shared" si="199"/>
        <v>0</v>
      </c>
      <c r="Z168">
        <f t="shared" si="199"/>
        <v>0</v>
      </c>
      <c r="AA168">
        <f t="shared" si="199"/>
        <v>0</v>
      </c>
      <c r="AB168">
        <f>SUMIFS(AC$202:AC$284,$B$202:$B$284,$F168,$A$202:$A$284,$G168)</f>
        <v>0</v>
      </c>
    </row>
    <row r="169" spans="6:28" x14ac:dyDescent="0.2">
      <c r="F169" t="s">
        <v>79</v>
      </c>
      <c r="G169" t="s">
        <v>269</v>
      </c>
      <c r="H169">
        <f t="shared" ref="H169:AA169" si="200">SUMIFS(I$202:I$284,$B$202:$B$284,$F169,$A$202:$A$284,$G169)</f>
        <v>0</v>
      </c>
      <c r="I169">
        <f t="shared" si="200"/>
        <v>0</v>
      </c>
      <c r="J169">
        <f t="shared" si="200"/>
        <v>0</v>
      </c>
      <c r="K169">
        <f t="shared" si="200"/>
        <v>0</v>
      </c>
      <c r="L169">
        <f t="shared" si="200"/>
        <v>0</v>
      </c>
      <c r="M169">
        <f t="shared" si="200"/>
        <v>0</v>
      </c>
      <c r="N169">
        <f t="shared" si="200"/>
        <v>0</v>
      </c>
      <c r="O169">
        <f t="shared" si="200"/>
        <v>0</v>
      </c>
      <c r="P169">
        <f t="shared" si="200"/>
        <v>0</v>
      </c>
      <c r="Q169">
        <f t="shared" si="200"/>
        <v>0</v>
      </c>
      <c r="R169">
        <f t="shared" si="200"/>
        <v>0</v>
      </c>
      <c r="S169">
        <f t="shared" si="200"/>
        <v>0</v>
      </c>
      <c r="T169">
        <f t="shared" si="200"/>
        <v>0</v>
      </c>
      <c r="U169">
        <f t="shared" si="200"/>
        <v>0</v>
      </c>
      <c r="V169">
        <f t="shared" si="200"/>
        <v>0</v>
      </c>
      <c r="W169">
        <f t="shared" si="200"/>
        <v>0</v>
      </c>
      <c r="X169">
        <f t="shared" si="200"/>
        <v>0</v>
      </c>
      <c r="Y169">
        <f t="shared" si="200"/>
        <v>0</v>
      </c>
      <c r="Z169">
        <f t="shared" si="200"/>
        <v>0</v>
      </c>
      <c r="AA169">
        <f t="shared" si="200"/>
        <v>0</v>
      </c>
      <c r="AB169">
        <f>SUMIFS(AC$202:AC$284,$B$202:$B$284,$F169,$A$202:$A$284,$G169)</f>
        <v>0</v>
      </c>
    </row>
    <row r="170" spans="6:28" x14ac:dyDescent="0.2">
      <c r="F170" t="s">
        <v>79</v>
      </c>
      <c r="G170" t="s">
        <v>288</v>
      </c>
      <c r="H170">
        <f t="shared" ref="H170:AA170" si="201">SUMIFS(I$202:I$284,$B$202:$B$284,$F170,$A$202:$A$284,$G170)</f>
        <v>0</v>
      </c>
      <c r="I170">
        <f t="shared" si="201"/>
        <v>0</v>
      </c>
      <c r="J170">
        <f t="shared" si="201"/>
        <v>0</v>
      </c>
      <c r="K170">
        <f t="shared" si="201"/>
        <v>0</v>
      </c>
      <c r="L170">
        <f t="shared" si="201"/>
        <v>0</v>
      </c>
      <c r="M170">
        <f t="shared" si="201"/>
        <v>0</v>
      </c>
      <c r="N170">
        <f t="shared" si="201"/>
        <v>0</v>
      </c>
      <c r="O170">
        <f t="shared" si="201"/>
        <v>0</v>
      </c>
      <c r="P170">
        <f t="shared" si="201"/>
        <v>0</v>
      </c>
      <c r="Q170">
        <f t="shared" si="201"/>
        <v>0</v>
      </c>
      <c r="R170">
        <f t="shared" si="201"/>
        <v>0</v>
      </c>
      <c r="S170">
        <f t="shared" si="201"/>
        <v>0</v>
      </c>
      <c r="T170">
        <f t="shared" si="201"/>
        <v>0</v>
      </c>
      <c r="U170">
        <f t="shared" si="201"/>
        <v>0</v>
      </c>
      <c r="V170">
        <f t="shared" si="201"/>
        <v>0</v>
      </c>
      <c r="W170">
        <f t="shared" si="201"/>
        <v>0</v>
      </c>
      <c r="X170">
        <f t="shared" si="201"/>
        <v>0</v>
      </c>
      <c r="Y170">
        <f t="shared" si="201"/>
        <v>0</v>
      </c>
      <c r="Z170">
        <f t="shared" si="201"/>
        <v>0</v>
      </c>
      <c r="AA170">
        <f t="shared" si="201"/>
        <v>0</v>
      </c>
      <c r="AB170">
        <f>SUMIFS(AC$202:AC$284,$B$202:$B$284,$F170,$A$202:$A$284,$G170)</f>
        <v>0</v>
      </c>
    </row>
    <row r="178" spans="6:28" x14ac:dyDescent="0.2">
      <c r="F178" t="s">
        <v>84</v>
      </c>
      <c r="G178" t="s">
        <v>287</v>
      </c>
      <c r="H178">
        <f t="shared" ref="H178:AA178" si="202">SUMIFS(I$202:I$284,$B$202:$B$284,$F178,$A$202:$A$284,$G178)</f>
        <v>0</v>
      </c>
      <c r="I178">
        <f t="shared" si="202"/>
        <v>0</v>
      </c>
      <c r="J178">
        <f t="shared" si="202"/>
        <v>0</v>
      </c>
      <c r="K178">
        <f t="shared" si="202"/>
        <v>0</v>
      </c>
      <c r="L178">
        <f t="shared" si="202"/>
        <v>0</v>
      </c>
      <c r="M178">
        <f t="shared" si="202"/>
        <v>0</v>
      </c>
      <c r="N178">
        <f t="shared" si="202"/>
        <v>0</v>
      </c>
      <c r="O178">
        <f t="shared" si="202"/>
        <v>0</v>
      </c>
      <c r="P178">
        <f t="shared" si="202"/>
        <v>0</v>
      </c>
      <c r="Q178">
        <f t="shared" si="202"/>
        <v>0</v>
      </c>
      <c r="R178">
        <f t="shared" si="202"/>
        <v>0</v>
      </c>
      <c r="S178">
        <f t="shared" si="202"/>
        <v>0</v>
      </c>
      <c r="T178">
        <f t="shared" si="202"/>
        <v>0</v>
      </c>
      <c r="U178">
        <f t="shared" si="202"/>
        <v>0</v>
      </c>
      <c r="V178">
        <f t="shared" si="202"/>
        <v>0</v>
      </c>
      <c r="W178">
        <f t="shared" si="202"/>
        <v>0</v>
      </c>
      <c r="X178">
        <f t="shared" si="202"/>
        <v>0</v>
      </c>
      <c r="Y178">
        <f t="shared" si="202"/>
        <v>0</v>
      </c>
      <c r="Z178">
        <f t="shared" si="202"/>
        <v>0</v>
      </c>
      <c r="AA178">
        <f t="shared" si="202"/>
        <v>0</v>
      </c>
      <c r="AB178">
        <f>SUMIFS(AC$202:AC$284,$B$202:$B$284,$F178,$A$202:$A$284,$G178)</f>
        <v>0</v>
      </c>
    </row>
    <row r="179" spans="6:28" x14ac:dyDescent="0.2">
      <c r="F179" t="s">
        <v>84</v>
      </c>
      <c r="G179" t="s">
        <v>269</v>
      </c>
      <c r="H179">
        <f t="shared" ref="H179:AA179" si="203">SUMIFS(I$202:I$284,$B$202:$B$284,$F179,$A$202:$A$284,$G179)</f>
        <v>0</v>
      </c>
      <c r="I179">
        <f t="shared" si="203"/>
        <v>0</v>
      </c>
      <c r="J179">
        <f t="shared" si="203"/>
        <v>0</v>
      </c>
      <c r="K179">
        <f t="shared" si="203"/>
        <v>0</v>
      </c>
      <c r="L179">
        <f t="shared" si="203"/>
        <v>0</v>
      </c>
      <c r="M179">
        <f t="shared" si="203"/>
        <v>0</v>
      </c>
      <c r="N179">
        <f t="shared" si="203"/>
        <v>0</v>
      </c>
      <c r="O179">
        <f t="shared" si="203"/>
        <v>0</v>
      </c>
      <c r="P179">
        <f t="shared" si="203"/>
        <v>0</v>
      </c>
      <c r="Q179">
        <f t="shared" si="203"/>
        <v>0</v>
      </c>
      <c r="R179">
        <f t="shared" si="203"/>
        <v>0</v>
      </c>
      <c r="S179">
        <f t="shared" si="203"/>
        <v>0</v>
      </c>
      <c r="T179">
        <f t="shared" si="203"/>
        <v>0</v>
      </c>
      <c r="U179">
        <f t="shared" si="203"/>
        <v>0</v>
      </c>
      <c r="V179">
        <f t="shared" si="203"/>
        <v>0</v>
      </c>
      <c r="W179">
        <f t="shared" si="203"/>
        <v>0</v>
      </c>
      <c r="X179">
        <f t="shared" si="203"/>
        <v>0</v>
      </c>
      <c r="Y179">
        <f t="shared" si="203"/>
        <v>0</v>
      </c>
      <c r="Z179">
        <f t="shared" si="203"/>
        <v>0</v>
      </c>
      <c r="AA179">
        <f t="shared" si="203"/>
        <v>0</v>
      </c>
      <c r="AB179">
        <f>SUMIFS(AC$202:AC$284,$B$202:$B$284,$F179,$A$202:$A$284,$G179)</f>
        <v>0</v>
      </c>
    </row>
    <row r="180" spans="6:28" x14ac:dyDescent="0.2">
      <c r="F180" t="s">
        <v>84</v>
      </c>
      <c r="G180" t="s">
        <v>288</v>
      </c>
      <c r="H180">
        <f t="shared" ref="H180:AA180" si="204">SUMIFS(I$202:I$284,$B$202:$B$284,$F180,$A$202:$A$284,$G180)</f>
        <v>0</v>
      </c>
      <c r="I180">
        <f t="shared" si="204"/>
        <v>0</v>
      </c>
      <c r="J180">
        <f t="shared" si="204"/>
        <v>0</v>
      </c>
      <c r="K180">
        <f t="shared" si="204"/>
        <v>0</v>
      </c>
      <c r="L180">
        <f t="shared" si="204"/>
        <v>0</v>
      </c>
      <c r="M180">
        <f t="shared" si="204"/>
        <v>0</v>
      </c>
      <c r="N180">
        <f t="shared" si="204"/>
        <v>0</v>
      </c>
      <c r="O180">
        <f t="shared" si="204"/>
        <v>0</v>
      </c>
      <c r="P180">
        <f t="shared" si="204"/>
        <v>0</v>
      </c>
      <c r="Q180">
        <f t="shared" si="204"/>
        <v>0</v>
      </c>
      <c r="R180">
        <f t="shared" si="204"/>
        <v>0</v>
      </c>
      <c r="S180">
        <f t="shared" si="204"/>
        <v>0</v>
      </c>
      <c r="T180">
        <f t="shared" si="204"/>
        <v>0</v>
      </c>
      <c r="U180">
        <f t="shared" si="204"/>
        <v>0</v>
      </c>
      <c r="V180">
        <f t="shared" si="204"/>
        <v>0</v>
      </c>
      <c r="W180">
        <f t="shared" si="204"/>
        <v>0</v>
      </c>
      <c r="X180">
        <f t="shared" si="204"/>
        <v>0</v>
      </c>
      <c r="Y180">
        <f t="shared" si="204"/>
        <v>0</v>
      </c>
      <c r="Z180">
        <f t="shared" si="204"/>
        <v>0</v>
      </c>
      <c r="AA180">
        <f t="shared" si="204"/>
        <v>0</v>
      </c>
      <c r="AB180">
        <f>SUMIFS(AC$202:AC$284,$B$202:$B$284,$F180,$A$202:$A$284,$G180)</f>
        <v>0</v>
      </c>
    </row>
    <row r="189" spans="6:28" x14ac:dyDescent="0.2">
      <c r="F189" t="s">
        <v>305</v>
      </c>
      <c r="G189" t="s">
        <v>287</v>
      </c>
      <c r="H189" t="e">
        <f ca="1">H158+H168+H178</f>
        <v>#REF!</v>
      </c>
      <c r="I189" t="e">
        <f t="shared" ref="I189:R189" ca="1" si="205">I158+I168+I178</f>
        <v>#REF!</v>
      </c>
      <c r="J189" t="e">
        <f t="shared" ca="1" si="205"/>
        <v>#REF!</v>
      </c>
      <c r="K189" t="e">
        <f t="shared" ca="1" si="205"/>
        <v>#REF!</v>
      </c>
      <c r="L189" t="e">
        <f t="shared" ca="1" si="205"/>
        <v>#REF!</v>
      </c>
      <c r="M189" t="e">
        <f t="shared" ca="1" si="205"/>
        <v>#REF!</v>
      </c>
      <c r="N189" t="e">
        <f t="shared" ca="1" si="205"/>
        <v>#REF!</v>
      </c>
      <c r="O189" t="e">
        <f t="shared" ca="1" si="205"/>
        <v>#REF!</v>
      </c>
      <c r="P189" t="e">
        <f t="shared" ca="1" si="205"/>
        <v>#REF!</v>
      </c>
      <c r="Q189" t="e">
        <f t="shared" ca="1" si="205"/>
        <v>#REF!</v>
      </c>
      <c r="R189" t="e">
        <f t="shared" ca="1" si="205"/>
        <v>#REF!</v>
      </c>
      <c r="S189" t="e">
        <f t="shared" ref="S189:AB189" ca="1" si="206">S158+S168+S178</f>
        <v>#REF!</v>
      </c>
      <c r="T189" t="e">
        <f t="shared" ca="1" si="206"/>
        <v>#REF!</v>
      </c>
      <c r="U189" t="e">
        <f t="shared" ca="1" si="206"/>
        <v>#REF!</v>
      </c>
      <c r="V189" t="e">
        <f t="shared" ca="1" si="206"/>
        <v>#REF!</v>
      </c>
      <c r="W189" t="e">
        <f t="shared" ca="1" si="206"/>
        <v>#REF!</v>
      </c>
      <c r="X189" t="e">
        <f t="shared" ca="1" si="206"/>
        <v>#REF!</v>
      </c>
      <c r="Y189" t="e">
        <f t="shared" ca="1" si="206"/>
        <v>#REF!</v>
      </c>
      <c r="Z189" t="e">
        <f t="shared" ca="1" si="206"/>
        <v>#REF!</v>
      </c>
      <c r="AA189" t="e">
        <f t="shared" ca="1" si="206"/>
        <v>#REF!</v>
      </c>
      <c r="AB189" t="e">
        <f t="shared" ca="1" si="206"/>
        <v>#REF!</v>
      </c>
    </row>
    <row r="190" spans="6:28" x14ac:dyDescent="0.2">
      <c r="G190" t="s">
        <v>269</v>
      </c>
      <c r="H190">
        <f>H159+H169+H179</f>
        <v>0</v>
      </c>
      <c r="I190">
        <f t="shared" ref="I190:R190" si="207">I159+I169+I179</f>
        <v>0</v>
      </c>
      <c r="J190">
        <f t="shared" si="207"/>
        <v>0</v>
      </c>
      <c r="K190">
        <f t="shared" si="207"/>
        <v>0</v>
      </c>
      <c r="L190">
        <f t="shared" si="207"/>
        <v>0</v>
      </c>
      <c r="M190">
        <f t="shared" si="207"/>
        <v>0</v>
      </c>
      <c r="N190">
        <f t="shared" si="207"/>
        <v>0</v>
      </c>
      <c r="O190">
        <f t="shared" si="207"/>
        <v>0</v>
      </c>
      <c r="P190">
        <f t="shared" si="207"/>
        <v>0</v>
      </c>
      <c r="Q190">
        <f t="shared" si="207"/>
        <v>0</v>
      </c>
      <c r="R190">
        <f t="shared" si="207"/>
        <v>0</v>
      </c>
      <c r="S190">
        <f t="shared" ref="S190:AB190" si="208">S159+S169+S179</f>
        <v>0</v>
      </c>
      <c r="T190">
        <f t="shared" si="208"/>
        <v>0</v>
      </c>
      <c r="U190">
        <f t="shared" si="208"/>
        <v>0</v>
      </c>
      <c r="V190">
        <f t="shared" si="208"/>
        <v>0</v>
      </c>
      <c r="W190">
        <f t="shared" si="208"/>
        <v>0</v>
      </c>
      <c r="X190">
        <f t="shared" si="208"/>
        <v>0</v>
      </c>
      <c r="Y190">
        <f t="shared" si="208"/>
        <v>0</v>
      </c>
      <c r="Z190">
        <f t="shared" si="208"/>
        <v>0</v>
      </c>
      <c r="AA190">
        <f t="shared" si="208"/>
        <v>0</v>
      </c>
      <c r="AB190">
        <f t="shared" si="208"/>
        <v>0</v>
      </c>
    </row>
    <row r="191" spans="6:28" x14ac:dyDescent="0.2">
      <c r="G191" t="s">
        <v>288</v>
      </c>
      <c r="H191">
        <f>H160+H170+H180</f>
        <v>0</v>
      </c>
      <c r="I191">
        <f t="shared" ref="I191:R191" si="209">I160+I170+I180</f>
        <v>0</v>
      </c>
      <c r="J191">
        <f t="shared" si="209"/>
        <v>0</v>
      </c>
      <c r="K191">
        <f t="shared" si="209"/>
        <v>0</v>
      </c>
      <c r="L191">
        <f t="shared" si="209"/>
        <v>0</v>
      </c>
      <c r="M191">
        <f t="shared" si="209"/>
        <v>0</v>
      </c>
      <c r="N191">
        <f t="shared" si="209"/>
        <v>0</v>
      </c>
      <c r="O191">
        <f t="shared" si="209"/>
        <v>0</v>
      </c>
      <c r="P191">
        <f t="shared" si="209"/>
        <v>0</v>
      </c>
      <c r="Q191">
        <f t="shared" si="209"/>
        <v>0</v>
      </c>
      <c r="R191">
        <f t="shared" si="209"/>
        <v>0</v>
      </c>
      <c r="S191">
        <f t="shared" ref="S191:AB191" si="210">S160+S170+S180</f>
        <v>0</v>
      </c>
      <c r="T191">
        <f t="shared" si="210"/>
        <v>0</v>
      </c>
      <c r="U191">
        <f t="shared" si="210"/>
        <v>0</v>
      </c>
      <c r="V191">
        <f t="shared" si="210"/>
        <v>0</v>
      </c>
      <c r="W191">
        <f t="shared" si="210"/>
        <v>0</v>
      </c>
      <c r="X191">
        <f t="shared" si="210"/>
        <v>0</v>
      </c>
      <c r="Y191">
        <f t="shared" si="210"/>
        <v>0</v>
      </c>
      <c r="Z191">
        <f t="shared" si="210"/>
        <v>0</v>
      </c>
      <c r="AA191">
        <f t="shared" si="210"/>
        <v>0</v>
      </c>
      <c r="AB191">
        <f t="shared" si="210"/>
        <v>0</v>
      </c>
    </row>
    <row r="200" spans="1:39" x14ac:dyDescent="0.2">
      <c r="AC200" t="e">
        <f ca="1">S202*(1+$E202*$F202)^10</f>
        <v>#REF!</v>
      </c>
      <c r="AM200">
        <v>0.5</v>
      </c>
    </row>
    <row r="201" spans="1:39" x14ac:dyDescent="0.2">
      <c r="A201" s="37" t="s">
        <v>225</v>
      </c>
      <c r="B201" s="37" t="s">
        <v>303</v>
      </c>
      <c r="C201" s="37" t="s">
        <v>303</v>
      </c>
      <c r="D201" s="37" t="s">
        <v>302</v>
      </c>
      <c r="E201" s="37" t="s">
        <v>301</v>
      </c>
      <c r="F201" s="37" t="s">
        <v>311</v>
      </c>
      <c r="I201" s="37">
        <v>2020</v>
      </c>
      <c r="J201" s="37">
        <f>I201+1</f>
        <v>2021</v>
      </c>
      <c r="K201" s="37">
        <f t="shared" ref="K201:AC201" si="211">J201+1</f>
        <v>2022</v>
      </c>
      <c r="L201" s="37">
        <f t="shared" si="211"/>
        <v>2023</v>
      </c>
      <c r="M201" s="37">
        <f t="shared" si="211"/>
        <v>2024</v>
      </c>
      <c r="N201" s="37">
        <f t="shared" si="211"/>
        <v>2025</v>
      </c>
      <c r="O201" s="37">
        <f t="shared" si="211"/>
        <v>2026</v>
      </c>
      <c r="P201" s="37">
        <f t="shared" si="211"/>
        <v>2027</v>
      </c>
      <c r="Q201" s="37">
        <f t="shared" si="211"/>
        <v>2028</v>
      </c>
      <c r="R201" s="37">
        <f t="shared" si="211"/>
        <v>2029</v>
      </c>
      <c r="S201" s="37">
        <f t="shared" si="211"/>
        <v>2030</v>
      </c>
      <c r="T201" s="37">
        <f t="shared" si="211"/>
        <v>2031</v>
      </c>
      <c r="U201" s="37">
        <f t="shared" si="211"/>
        <v>2032</v>
      </c>
      <c r="V201" s="37">
        <f t="shared" si="211"/>
        <v>2033</v>
      </c>
      <c r="W201" s="37">
        <f t="shared" si="211"/>
        <v>2034</v>
      </c>
      <c r="X201" s="37">
        <f t="shared" si="211"/>
        <v>2035</v>
      </c>
      <c r="Y201" s="37">
        <f t="shared" si="211"/>
        <v>2036</v>
      </c>
      <c r="Z201" s="37">
        <f t="shared" si="211"/>
        <v>2037</v>
      </c>
      <c r="AA201" s="37">
        <f t="shared" si="211"/>
        <v>2038</v>
      </c>
      <c r="AB201" s="37">
        <f t="shared" si="211"/>
        <v>2039</v>
      </c>
      <c r="AC201" s="37">
        <f t="shared" si="211"/>
        <v>2040</v>
      </c>
      <c r="AD201" s="37">
        <f t="shared" ref="AD201" si="212">AC201+1</f>
        <v>2041</v>
      </c>
      <c r="AE201" s="37">
        <f t="shared" ref="AE201" si="213">AD201+1</f>
        <v>2042</v>
      </c>
      <c r="AF201" s="37">
        <f t="shared" ref="AF201" si="214">AE201+1</f>
        <v>2043</v>
      </c>
      <c r="AG201" s="37">
        <f t="shared" ref="AG201" si="215">AF201+1</f>
        <v>2044</v>
      </c>
      <c r="AH201" s="37">
        <f t="shared" ref="AH201" si="216">AG201+1</f>
        <v>2045</v>
      </c>
      <c r="AI201" s="37">
        <f t="shared" ref="AI201" si="217">AH201+1</f>
        <v>2046</v>
      </c>
      <c r="AJ201" s="37">
        <f t="shared" ref="AJ201" si="218">AI201+1</f>
        <v>2047</v>
      </c>
      <c r="AK201" s="37">
        <f t="shared" ref="AK201" si="219">AJ201+1</f>
        <v>2048</v>
      </c>
      <c r="AL201" s="37">
        <f t="shared" ref="AL201" si="220">AK201+1</f>
        <v>2049</v>
      </c>
      <c r="AM201" s="37">
        <f t="shared" ref="AM201" si="221">AL201+1</f>
        <v>2050</v>
      </c>
    </row>
    <row r="202" spans="1:39" x14ac:dyDescent="0.2">
      <c r="A202" t="s">
        <v>363</v>
      </c>
      <c r="B202" t="s">
        <v>52</v>
      </c>
      <c r="C202" t="str">
        <f t="shared" ref="C202:C224" si="222">IF(B202="D1","ouest_",IF(B202="D2","sud_",IF(B202="D3","est_","")))</f>
        <v>ouest_</v>
      </c>
      <c r="D202" t="str">
        <f>[1]Demand!$C$4</f>
        <v>Household</v>
      </c>
      <c r="E202" s="38">
        <f ca="1">IF(A202="","",IFERROR((S202/I202)^(1/($S$201-$I$201))-1,0))</f>
        <v>0</v>
      </c>
      <c r="F202" s="42">
        <v>1</v>
      </c>
      <c r="G202" t="str">
        <f>D202</f>
        <v>Household</v>
      </c>
      <c r="H202" t="str">
        <f>B202&amp;A202</f>
        <v>D1L50</v>
      </c>
      <c r="I202" t="e">
        <f ca="1">IF(A202="","",SUMIFS(H$28:H$134,B$28:B$134,$B202,A$28:A$134,$G$154,F$28:F$134,$D202))</f>
        <v>#REF!</v>
      </c>
      <c r="J202" t="e">
        <f ca="1">I202+($S202-$I202)/10</f>
        <v>#REF!</v>
      </c>
      <c r="K202" t="e">
        <f ca="1">J202+($S202-$I202)/10</f>
        <v>#REF!</v>
      </c>
      <c r="L202" t="e">
        <f t="shared" ref="L202:R202" ca="1" si="223">K202+($S202-$I202)/10</f>
        <v>#REF!</v>
      </c>
      <c r="M202" t="e">
        <f t="shared" ca="1" si="223"/>
        <v>#REF!</v>
      </c>
      <c r="N202" t="e">
        <f t="shared" ca="1" si="223"/>
        <v>#REF!</v>
      </c>
      <c r="O202" t="e">
        <f t="shared" ca="1" si="223"/>
        <v>#REF!</v>
      </c>
      <c r="P202" t="e">
        <f t="shared" ca="1" si="223"/>
        <v>#REF!</v>
      </c>
      <c r="Q202" t="e">
        <f t="shared" ca="1" si="223"/>
        <v>#REF!</v>
      </c>
      <c r="R202" t="e">
        <f t="shared" ca="1" si="223"/>
        <v>#REF!</v>
      </c>
      <c r="S202" t="e">
        <f t="shared" ref="S202:S212" ca="1" si="224">IF(A202="","",SUMIFS(R$28:R$134,B$28:B$134,$B202,A$28:A$134,$A202,F$28:F$134,$D202))</f>
        <v>#REF!</v>
      </c>
      <c r="T202" t="e">
        <f ca="1">S202+($AC202-$S202)/10</f>
        <v>#REF!</v>
      </c>
      <c r="U202" t="e">
        <f t="shared" ref="U202:AB202" ca="1" si="225">T202+($AC202-$S202)/10</f>
        <v>#REF!</v>
      </c>
      <c r="V202" t="e">
        <f t="shared" ca="1" si="225"/>
        <v>#REF!</v>
      </c>
      <c r="W202" t="e">
        <f t="shared" ca="1" si="225"/>
        <v>#REF!</v>
      </c>
      <c r="X202" t="e">
        <f t="shared" ca="1" si="225"/>
        <v>#REF!</v>
      </c>
      <c r="Y202" t="e">
        <f t="shared" ca="1" si="225"/>
        <v>#REF!</v>
      </c>
      <c r="Z202" t="e">
        <f t="shared" ca="1" si="225"/>
        <v>#REF!</v>
      </c>
      <c r="AA202" t="e">
        <f t="shared" ca="1" si="225"/>
        <v>#REF!</v>
      </c>
      <c r="AB202" t="e">
        <f t="shared" ca="1" si="225"/>
        <v>#REF!</v>
      </c>
      <c r="AC202" t="e">
        <f ca="1">S202*(1+$E202*$F202)^10</f>
        <v>#REF!</v>
      </c>
      <c r="AD202" t="e">
        <f ca="1">AC202+($AM202-$AC202)/10</f>
        <v>#REF!</v>
      </c>
      <c r="AE202" t="e">
        <f t="shared" ref="AE202:AL202" ca="1" si="226">AD202+($AM202-$AC202)/10</f>
        <v>#REF!</v>
      </c>
      <c r="AF202" t="e">
        <f t="shared" ca="1" si="226"/>
        <v>#REF!</v>
      </c>
      <c r="AG202" t="e">
        <f t="shared" ca="1" si="226"/>
        <v>#REF!</v>
      </c>
      <c r="AH202" t="e">
        <f t="shared" ca="1" si="226"/>
        <v>#REF!</v>
      </c>
      <c r="AI202" t="e">
        <f t="shared" ca="1" si="226"/>
        <v>#REF!</v>
      </c>
      <c r="AJ202" t="e">
        <f t="shared" ca="1" si="226"/>
        <v>#REF!</v>
      </c>
      <c r="AK202" t="e">
        <f t="shared" ca="1" si="226"/>
        <v>#REF!</v>
      </c>
      <c r="AL202" t="e">
        <f t="shared" ca="1" si="226"/>
        <v>#REF!</v>
      </c>
      <c r="AM202" t="e">
        <f ca="1">AC202*(1+$E202*$F202*$AM$200)^10</f>
        <v>#REF!</v>
      </c>
    </row>
    <row r="203" spans="1:39" x14ac:dyDescent="0.2">
      <c r="A203" t="s">
        <v>363</v>
      </c>
      <c r="B203" t="s">
        <v>52</v>
      </c>
      <c r="C203" t="str">
        <f t="shared" si="222"/>
        <v>ouest_</v>
      </c>
      <c r="D203" t="str">
        <f>[1]Demand!$C$5</f>
        <v>Industry</v>
      </c>
      <c r="E203" s="38">
        <f t="shared" ref="E203:E224" ca="1" si="227">IF(A203="","",IFERROR((S203/I203)^(1/($S$201-$I$201))-1,0))</f>
        <v>0</v>
      </c>
      <c r="F203" s="42">
        <v>1</v>
      </c>
      <c r="G203" t="str">
        <f t="shared" ref="G203:G204" si="228">D203</f>
        <v>Industry</v>
      </c>
      <c r="H203" t="str">
        <f t="shared" ref="H203:H236" si="229">B203&amp;A203</f>
        <v>D1L50</v>
      </c>
      <c r="I203" t="e">
        <f ca="1">IF(A203="","",SUMIFS(H$28:H$134,B$28:B$134,$B203,A$28:A$134,$G$154,F$28:F$134,$D203))</f>
        <v>#REF!</v>
      </c>
      <c r="J203" t="e">
        <f t="shared" ref="J203:R203" ca="1" si="230">I203+($S203-$I203)/10</f>
        <v>#REF!</v>
      </c>
      <c r="K203" t="e">
        <f t="shared" ca="1" si="230"/>
        <v>#REF!</v>
      </c>
      <c r="L203" t="e">
        <f t="shared" ca="1" si="230"/>
        <v>#REF!</v>
      </c>
      <c r="M203" t="e">
        <f t="shared" ca="1" si="230"/>
        <v>#REF!</v>
      </c>
      <c r="N203" t="e">
        <f t="shared" ca="1" si="230"/>
        <v>#REF!</v>
      </c>
      <c r="O203" t="e">
        <f t="shared" ca="1" si="230"/>
        <v>#REF!</v>
      </c>
      <c r="P203" t="e">
        <f t="shared" ca="1" si="230"/>
        <v>#REF!</v>
      </c>
      <c r="Q203" t="e">
        <f t="shared" ca="1" si="230"/>
        <v>#REF!</v>
      </c>
      <c r="R203" t="e">
        <f t="shared" ca="1" si="230"/>
        <v>#REF!</v>
      </c>
      <c r="S203" t="e">
        <f t="shared" ca="1" si="224"/>
        <v>#REF!</v>
      </c>
      <c r="T203" t="e">
        <f t="shared" ref="T203:AB204" ca="1" si="231">S203+($AC203-$S203)/10</f>
        <v>#REF!</v>
      </c>
      <c r="U203" t="e">
        <f t="shared" ca="1" si="231"/>
        <v>#REF!</v>
      </c>
      <c r="V203" t="e">
        <f t="shared" ca="1" si="231"/>
        <v>#REF!</v>
      </c>
      <c r="W203" t="e">
        <f t="shared" ca="1" si="231"/>
        <v>#REF!</v>
      </c>
      <c r="X203" t="e">
        <f t="shared" ca="1" si="231"/>
        <v>#REF!</v>
      </c>
      <c r="Y203" t="e">
        <f t="shared" ca="1" si="231"/>
        <v>#REF!</v>
      </c>
      <c r="Z203" t="e">
        <f t="shared" ca="1" si="231"/>
        <v>#REF!</v>
      </c>
      <c r="AA203" t="e">
        <f t="shared" ca="1" si="231"/>
        <v>#REF!</v>
      </c>
      <c r="AB203" t="e">
        <f t="shared" ca="1" si="231"/>
        <v>#REF!</v>
      </c>
      <c r="AC203" t="e">
        <f t="shared" ref="AC203:AC204" ca="1" si="232">S203*(1+$E203*$F203)^10</f>
        <v>#REF!</v>
      </c>
      <c r="AD203" t="e">
        <f t="shared" ref="AD203:AL203" ca="1" si="233">AC203+($AM203-$AC203)/10</f>
        <v>#REF!</v>
      </c>
      <c r="AE203" t="e">
        <f t="shared" ca="1" si="233"/>
        <v>#REF!</v>
      </c>
      <c r="AF203" t="e">
        <f t="shared" ca="1" si="233"/>
        <v>#REF!</v>
      </c>
      <c r="AG203" t="e">
        <f t="shared" ca="1" si="233"/>
        <v>#REF!</v>
      </c>
      <c r="AH203" t="e">
        <f t="shared" ca="1" si="233"/>
        <v>#REF!</v>
      </c>
      <c r="AI203" t="e">
        <f t="shared" ca="1" si="233"/>
        <v>#REF!</v>
      </c>
      <c r="AJ203" t="e">
        <f t="shared" ca="1" si="233"/>
        <v>#REF!</v>
      </c>
      <c r="AK203" t="e">
        <f t="shared" ca="1" si="233"/>
        <v>#REF!</v>
      </c>
      <c r="AL203" t="e">
        <f t="shared" ca="1" si="233"/>
        <v>#REF!</v>
      </c>
      <c r="AM203" t="e">
        <f ca="1">AC203*(1+$E203*$F203*$AM$200)^10</f>
        <v>#REF!</v>
      </c>
    </row>
    <row r="204" spans="1:39" x14ac:dyDescent="0.2">
      <c r="A204" t="s">
        <v>363</v>
      </c>
      <c r="B204" t="s">
        <v>52</v>
      </c>
      <c r="C204" t="str">
        <f t="shared" si="222"/>
        <v>ouest_</v>
      </c>
      <c r="D204" t="str">
        <f>[1]Demand!$C$6</f>
        <v>Other</v>
      </c>
      <c r="E204" s="38">
        <f t="shared" ca="1" si="227"/>
        <v>0</v>
      </c>
      <c r="F204" s="42">
        <v>1</v>
      </c>
      <c r="G204" t="str">
        <f t="shared" si="228"/>
        <v>Other</v>
      </c>
      <c r="H204" t="str">
        <f t="shared" si="229"/>
        <v>D1L50</v>
      </c>
      <c r="I204" t="e">
        <f ca="1">IF(A204="","",SUMIFS(H$28:H$134,B$28:B$134,$B204,A$28:A$134,$G$154,F$28:F$134,$D204))</f>
        <v>#REF!</v>
      </c>
      <c r="J204" t="e">
        <f t="shared" ref="J204:R204" ca="1" si="234">I204+($S204-$I204)/10</f>
        <v>#REF!</v>
      </c>
      <c r="K204" t="e">
        <f t="shared" ca="1" si="234"/>
        <v>#REF!</v>
      </c>
      <c r="L204" t="e">
        <f t="shared" ca="1" si="234"/>
        <v>#REF!</v>
      </c>
      <c r="M204" t="e">
        <f t="shared" ca="1" si="234"/>
        <v>#REF!</v>
      </c>
      <c r="N204" t="e">
        <f t="shared" ca="1" si="234"/>
        <v>#REF!</v>
      </c>
      <c r="O204" t="e">
        <f t="shared" ca="1" si="234"/>
        <v>#REF!</v>
      </c>
      <c r="P204" t="e">
        <f t="shared" ca="1" si="234"/>
        <v>#REF!</v>
      </c>
      <c r="Q204" t="e">
        <f t="shared" ca="1" si="234"/>
        <v>#REF!</v>
      </c>
      <c r="R204" t="e">
        <f t="shared" ca="1" si="234"/>
        <v>#REF!</v>
      </c>
      <c r="S204" t="e">
        <f t="shared" ca="1" si="224"/>
        <v>#REF!</v>
      </c>
      <c r="T204" t="e">
        <f t="shared" ca="1" si="231"/>
        <v>#REF!</v>
      </c>
      <c r="U204" t="e">
        <f t="shared" ca="1" si="231"/>
        <v>#REF!</v>
      </c>
      <c r="V204" t="e">
        <f t="shared" ca="1" si="231"/>
        <v>#REF!</v>
      </c>
      <c r="W204" t="e">
        <f t="shared" ca="1" si="231"/>
        <v>#REF!</v>
      </c>
      <c r="X204" t="e">
        <f t="shared" ca="1" si="231"/>
        <v>#REF!</v>
      </c>
      <c r="Y204" t="e">
        <f t="shared" ca="1" si="231"/>
        <v>#REF!</v>
      </c>
      <c r="Z204" t="e">
        <f t="shared" ca="1" si="231"/>
        <v>#REF!</v>
      </c>
      <c r="AA204" t="e">
        <f t="shared" ca="1" si="231"/>
        <v>#REF!</v>
      </c>
      <c r="AB204" t="e">
        <f t="shared" ca="1" si="231"/>
        <v>#REF!</v>
      </c>
      <c r="AC204" t="e">
        <f t="shared" ca="1" si="232"/>
        <v>#REF!</v>
      </c>
      <c r="AD204" t="e">
        <f t="shared" ref="AD204:AL204" ca="1" si="235">AC204+($AM204-$AC204)/10</f>
        <v>#REF!</v>
      </c>
      <c r="AE204" t="e">
        <f t="shared" ca="1" si="235"/>
        <v>#REF!</v>
      </c>
      <c r="AF204" t="e">
        <f t="shared" ca="1" si="235"/>
        <v>#REF!</v>
      </c>
      <c r="AG204" t="e">
        <f t="shared" ca="1" si="235"/>
        <v>#REF!</v>
      </c>
      <c r="AH204" t="e">
        <f t="shared" ca="1" si="235"/>
        <v>#REF!</v>
      </c>
      <c r="AI204" t="e">
        <f t="shared" ca="1" si="235"/>
        <v>#REF!</v>
      </c>
      <c r="AJ204" t="e">
        <f t="shared" ca="1" si="235"/>
        <v>#REF!</v>
      </c>
      <c r="AK204" t="e">
        <f t="shared" ca="1" si="235"/>
        <v>#REF!</v>
      </c>
      <c r="AL204" t="e">
        <f t="shared" ca="1" si="235"/>
        <v>#REF!</v>
      </c>
      <c r="AM204" t="e">
        <f ca="1">AC204*(1+$E204*$F204*$AM$200)^10</f>
        <v>#REF!</v>
      </c>
    </row>
    <row r="205" spans="1:39" x14ac:dyDescent="0.2">
      <c r="C205" t="str">
        <f t="shared" si="222"/>
        <v/>
      </c>
      <c r="E205" s="38" t="str">
        <f t="shared" si="227"/>
        <v/>
      </c>
      <c r="F205" s="38"/>
      <c r="H205" t="str">
        <f t="shared" si="229"/>
        <v/>
      </c>
      <c r="S205" t="str">
        <f t="shared" si="224"/>
        <v/>
      </c>
    </row>
    <row r="206" spans="1:39" x14ac:dyDescent="0.2">
      <c r="A206" t="s">
        <v>366</v>
      </c>
      <c r="B206" t="s">
        <v>52</v>
      </c>
      <c r="C206" t="str">
        <f t="shared" si="222"/>
        <v>ouest_</v>
      </c>
      <c r="D206" t="str">
        <f>[1]Demand!$C$4</f>
        <v>Household</v>
      </c>
      <c r="E206" s="38">
        <f t="shared" ca="1" si="227"/>
        <v>0</v>
      </c>
      <c r="F206" s="42">
        <v>1</v>
      </c>
      <c r="G206" t="str">
        <f>D206</f>
        <v>Household</v>
      </c>
      <c r="H206" t="str">
        <f t="shared" si="229"/>
        <v>D1M50</v>
      </c>
      <c r="I206" t="e">
        <f ca="1">IF(A206="","",SUMIFS(H$28:H$134,B$28:B$134,$B206,A$28:A$134,$G$154,F$28:F$134,$D206))</f>
        <v>#REF!</v>
      </c>
      <c r="J206" t="e">
        <f ca="1">I206+($S206-$I206)/10</f>
        <v>#REF!</v>
      </c>
      <c r="K206" t="e">
        <f ca="1">J206+($S206-$I206)/10</f>
        <v>#REF!</v>
      </c>
      <c r="L206" t="e">
        <f t="shared" ref="L206:R206" ca="1" si="236">K206+($S206-$I206)/10</f>
        <v>#REF!</v>
      </c>
      <c r="M206" t="e">
        <f t="shared" ca="1" si="236"/>
        <v>#REF!</v>
      </c>
      <c r="N206" t="e">
        <f t="shared" ca="1" si="236"/>
        <v>#REF!</v>
      </c>
      <c r="O206" t="e">
        <f t="shared" ca="1" si="236"/>
        <v>#REF!</v>
      </c>
      <c r="P206" t="e">
        <f t="shared" ca="1" si="236"/>
        <v>#REF!</v>
      </c>
      <c r="Q206" t="e">
        <f t="shared" ca="1" si="236"/>
        <v>#REF!</v>
      </c>
      <c r="R206" t="e">
        <f t="shared" ca="1" si="236"/>
        <v>#REF!</v>
      </c>
      <c r="S206" t="e">
        <f t="shared" ca="1" si="224"/>
        <v>#REF!</v>
      </c>
      <c r="T206" t="e">
        <f ca="1">S206+($AC206-$S206)/10</f>
        <v>#REF!</v>
      </c>
      <c r="U206" t="e">
        <f t="shared" ref="U206:AB206" ca="1" si="237">T206+($AC206-$S206)/10</f>
        <v>#REF!</v>
      </c>
      <c r="V206" t="e">
        <f t="shared" ca="1" si="237"/>
        <v>#REF!</v>
      </c>
      <c r="W206" t="e">
        <f t="shared" ca="1" si="237"/>
        <v>#REF!</v>
      </c>
      <c r="X206" t="e">
        <f t="shared" ca="1" si="237"/>
        <v>#REF!</v>
      </c>
      <c r="Y206" t="e">
        <f t="shared" ca="1" si="237"/>
        <v>#REF!</v>
      </c>
      <c r="Z206" t="e">
        <f t="shared" ca="1" si="237"/>
        <v>#REF!</v>
      </c>
      <c r="AA206" t="e">
        <f t="shared" ca="1" si="237"/>
        <v>#REF!</v>
      </c>
      <c r="AB206" t="e">
        <f t="shared" ca="1" si="237"/>
        <v>#REF!</v>
      </c>
      <c r="AC206" t="e">
        <f ca="1">S206*(1+$E206*$F206)^10</f>
        <v>#REF!</v>
      </c>
      <c r="AD206" t="e">
        <f ca="1">AC206+($AM206-$AC206)/10</f>
        <v>#REF!</v>
      </c>
      <c r="AE206" t="e">
        <f t="shared" ref="AE206:AL206" ca="1" si="238">AD206+($AM206-$AC206)/10</f>
        <v>#REF!</v>
      </c>
      <c r="AF206" t="e">
        <f t="shared" ca="1" si="238"/>
        <v>#REF!</v>
      </c>
      <c r="AG206" t="e">
        <f t="shared" ca="1" si="238"/>
        <v>#REF!</v>
      </c>
      <c r="AH206" t="e">
        <f t="shared" ca="1" si="238"/>
        <v>#REF!</v>
      </c>
      <c r="AI206" t="e">
        <f t="shared" ca="1" si="238"/>
        <v>#REF!</v>
      </c>
      <c r="AJ206" t="e">
        <f t="shared" ca="1" si="238"/>
        <v>#REF!</v>
      </c>
      <c r="AK206" t="e">
        <f t="shared" ca="1" si="238"/>
        <v>#REF!</v>
      </c>
      <c r="AL206" t="e">
        <f t="shared" ca="1" si="238"/>
        <v>#REF!</v>
      </c>
      <c r="AM206" t="e">
        <f ca="1">AC206*(1+$E206*$F206*$AM$200)^10</f>
        <v>#REF!</v>
      </c>
    </row>
    <row r="207" spans="1:39" x14ac:dyDescent="0.2">
      <c r="A207" t="s">
        <v>366</v>
      </c>
      <c r="B207" t="s">
        <v>52</v>
      </c>
      <c r="C207" t="str">
        <f t="shared" si="222"/>
        <v>ouest_</v>
      </c>
      <c r="D207" t="str">
        <f>[1]Demand!$C$5</f>
        <v>Industry</v>
      </c>
      <c r="E207" s="38">
        <f t="shared" ca="1" si="227"/>
        <v>0</v>
      </c>
      <c r="F207" s="42">
        <v>1</v>
      </c>
      <c r="G207" t="str">
        <f t="shared" ref="G207:G208" si="239">D207</f>
        <v>Industry</v>
      </c>
      <c r="H207" t="str">
        <f t="shared" si="229"/>
        <v>D1M50</v>
      </c>
      <c r="I207" t="e">
        <f t="shared" ref="I207:I212" ca="1" si="240">IF(A207="","",SUMIFS(H$28:H$134,B$28:B$134,$B207,A$28:A$134,$G$154,F$28:F$134,$D207))</f>
        <v>#REF!</v>
      </c>
      <c r="J207" t="e">
        <f t="shared" ref="J207:R207" ca="1" si="241">I207+($S207-$I207)/10</f>
        <v>#REF!</v>
      </c>
      <c r="K207" t="e">
        <f t="shared" ca="1" si="241"/>
        <v>#REF!</v>
      </c>
      <c r="L207" t="e">
        <f t="shared" ca="1" si="241"/>
        <v>#REF!</v>
      </c>
      <c r="M207" t="e">
        <f t="shared" ca="1" si="241"/>
        <v>#REF!</v>
      </c>
      <c r="N207" t="e">
        <f t="shared" ca="1" si="241"/>
        <v>#REF!</v>
      </c>
      <c r="O207" t="e">
        <f t="shared" ca="1" si="241"/>
        <v>#REF!</v>
      </c>
      <c r="P207" t="e">
        <f t="shared" ca="1" si="241"/>
        <v>#REF!</v>
      </c>
      <c r="Q207" t="e">
        <f t="shared" ca="1" si="241"/>
        <v>#REF!</v>
      </c>
      <c r="R207" t="e">
        <f t="shared" ca="1" si="241"/>
        <v>#REF!</v>
      </c>
      <c r="S207" t="e">
        <f t="shared" ca="1" si="224"/>
        <v>#REF!</v>
      </c>
      <c r="T207" t="e">
        <f t="shared" ref="T207:AB207" ca="1" si="242">S207+($AC207-$S207)/10</f>
        <v>#REF!</v>
      </c>
      <c r="U207" t="e">
        <f t="shared" ca="1" si="242"/>
        <v>#REF!</v>
      </c>
      <c r="V207" t="e">
        <f t="shared" ca="1" si="242"/>
        <v>#REF!</v>
      </c>
      <c r="W207" t="e">
        <f t="shared" ca="1" si="242"/>
        <v>#REF!</v>
      </c>
      <c r="X207" t="e">
        <f t="shared" ca="1" si="242"/>
        <v>#REF!</v>
      </c>
      <c r="Y207" t="e">
        <f t="shared" ca="1" si="242"/>
        <v>#REF!</v>
      </c>
      <c r="Z207" t="e">
        <f t="shared" ca="1" si="242"/>
        <v>#REF!</v>
      </c>
      <c r="AA207" t="e">
        <f t="shared" ca="1" si="242"/>
        <v>#REF!</v>
      </c>
      <c r="AB207" t="e">
        <f t="shared" ca="1" si="242"/>
        <v>#REF!</v>
      </c>
      <c r="AC207" t="e">
        <f t="shared" ref="AC207:AC208" ca="1" si="243">S207*(1+$E207*$F207)^10</f>
        <v>#REF!</v>
      </c>
      <c r="AD207" t="e">
        <f t="shared" ref="AD207:AL207" ca="1" si="244">AC207+($AM207-$AC207)/10</f>
        <v>#REF!</v>
      </c>
      <c r="AE207" t="e">
        <f t="shared" ca="1" si="244"/>
        <v>#REF!</v>
      </c>
      <c r="AF207" t="e">
        <f t="shared" ca="1" si="244"/>
        <v>#REF!</v>
      </c>
      <c r="AG207" t="e">
        <f t="shared" ca="1" si="244"/>
        <v>#REF!</v>
      </c>
      <c r="AH207" t="e">
        <f t="shared" ca="1" si="244"/>
        <v>#REF!</v>
      </c>
      <c r="AI207" t="e">
        <f t="shared" ca="1" si="244"/>
        <v>#REF!</v>
      </c>
      <c r="AJ207" t="e">
        <f t="shared" ca="1" si="244"/>
        <v>#REF!</v>
      </c>
      <c r="AK207" t="e">
        <f t="shared" ca="1" si="244"/>
        <v>#REF!</v>
      </c>
      <c r="AL207" t="e">
        <f t="shared" ca="1" si="244"/>
        <v>#REF!</v>
      </c>
      <c r="AM207" t="e">
        <f ca="1">AC207*(1+$E207*$F207*$AM$200)^10</f>
        <v>#REF!</v>
      </c>
    </row>
    <row r="208" spans="1:39" x14ac:dyDescent="0.2">
      <c r="A208" t="s">
        <v>366</v>
      </c>
      <c r="B208" t="s">
        <v>52</v>
      </c>
      <c r="C208" t="str">
        <f t="shared" si="222"/>
        <v>ouest_</v>
      </c>
      <c r="D208" t="str">
        <f>[1]Demand!$C$6</f>
        <v>Other</v>
      </c>
      <c r="E208" s="38">
        <f t="shared" ca="1" si="227"/>
        <v>0</v>
      </c>
      <c r="F208" s="42">
        <v>1</v>
      </c>
      <c r="G208" t="str">
        <f t="shared" si="239"/>
        <v>Other</v>
      </c>
      <c r="H208" t="str">
        <f t="shared" si="229"/>
        <v>D1M50</v>
      </c>
      <c r="I208" t="e">
        <f t="shared" ca="1" si="240"/>
        <v>#REF!</v>
      </c>
      <c r="J208" t="e">
        <f t="shared" ref="J208:R208" ca="1" si="245">I208+($S208-$I208)/10</f>
        <v>#REF!</v>
      </c>
      <c r="K208" t="e">
        <f t="shared" ca="1" si="245"/>
        <v>#REF!</v>
      </c>
      <c r="L208" t="e">
        <f t="shared" ca="1" si="245"/>
        <v>#REF!</v>
      </c>
      <c r="M208" t="e">
        <f t="shared" ca="1" si="245"/>
        <v>#REF!</v>
      </c>
      <c r="N208" t="e">
        <f t="shared" ca="1" si="245"/>
        <v>#REF!</v>
      </c>
      <c r="O208" t="e">
        <f t="shared" ca="1" si="245"/>
        <v>#REF!</v>
      </c>
      <c r="P208" t="e">
        <f t="shared" ca="1" si="245"/>
        <v>#REF!</v>
      </c>
      <c r="Q208" t="e">
        <f t="shared" ca="1" si="245"/>
        <v>#REF!</v>
      </c>
      <c r="R208" t="e">
        <f t="shared" ca="1" si="245"/>
        <v>#REF!</v>
      </c>
      <c r="S208" t="e">
        <f t="shared" ca="1" si="224"/>
        <v>#REF!</v>
      </c>
      <c r="T208" t="e">
        <f t="shared" ref="T208:AB208" ca="1" si="246">S208+($AC208-$S208)/10</f>
        <v>#REF!</v>
      </c>
      <c r="U208" t="e">
        <f t="shared" ca="1" si="246"/>
        <v>#REF!</v>
      </c>
      <c r="V208" t="e">
        <f t="shared" ca="1" si="246"/>
        <v>#REF!</v>
      </c>
      <c r="W208" t="e">
        <f t="shared" ca="1" si="246"/>
        <v>#REF!</v>
      </c>
      <c r="X208" t="e">
        <f t="shared" ca="1" si="246"/>
        <v>#REF!</v>
      </c>
      <c r="Y208" t="e">
        <f t="shared" ca="1" si="246"/>
        <v>#REF!</v>
      </c>
      <c r="Z208" t="e">
        <f t="shared" ca="1" si="246"/>
        <v>#REF!</v>
      </c>
      <c r="AA208" t="e">
        <f t="shared" ca="1" si="246"/>
        <v>#REF!</v>
      </c>
      <c r="AB208" t="e">
        <f t="shared" ca="1" si="246"/>
        <v>#REF!</v>
      </c>
      <c r="AC208" t="e">
        <f t="shared" ca="1" si="243"/>
        <v>#REF!</v>
      </c>
      <c r="AD208" t="e">
        <f t="shared" ref="AD208:AL208" ca="1" si="247">AC208+($AM208-$AC208)/10</f>
        <v>#REF!</v>
      </c>
      <c r="AE208" t="e">
        <f t="shared" ca="1" si="247"/>
        <v>#REF!</v>
      </c>
      <c r="AF208" t="e">
        <f t="shared" ca="1" si="247"/>
        <v>#REF!</v>
      </c>
      <c r="AG208" t="e">
        <f t="shared" ca="1" si="247"/>
        <v>#REF!</v>
      </c>
      <c r="AH208" t="e">
        <f t="shared" ca="1" si="247"/>
        <v>#REF!</v>
      </c>
      <c r="AI208" t="e">
        <f t="shared" ca="1" si="247"/>
        <v>#REF!</v>
      </c>
      <c r="AJ208" t="e">
        <f t="shared" ca="1" si="247"/>
        <v>#REF!</v>
      </c>
      <c r="AK208" t="e">
        <f t="shared" ca="1" si="247"/>
        <v>#REF!</v>
      </c>
      <c r="AL208" t="e">
        <f t="shared" ca="1" si="247"/>
        <v>#REF!</v>
      </c>
      <c r="AM208" t="e">
        <f ca="1">AC208*(1+$E208*$F208*$AM$200)^10</f>
        <v>#REF!</v>
      </c>
    </row>
    <row r="209" spans="1:39" x14ac:dyDescent="0.2">
      <c r="C209" t="str">
        <f t="shared" si="222"/>
        <v/>
      </c>
      <c r="E209" s="38" t="str">
        <f t="shared" si="227"/>
        <v/>
      </c>
      <c r="F209" s="38"/>
      <c r="H209" t="str">
        <f t="shared" si="229"/>
        <v/>
      </c>
      <c r="I209" t="str">
        <f t="shared" si="240"/>
        <v/>
      </c>
      <c r="S209" t="str">
        <f t="shared" si="224"/>
        <v/>
      </c>
    </row>
    <row r="210" spans="1:39" x14ac:dyDescent="0.2">
      <c r="A210" t="s">
        <v>367</v>
      </c>
      <c r="B210" t="s">
        <v>52</v>
      </c>
      <c r="C210" t="str">
        <f t="shared" si="222"/>
        <v>ouest_</v>
      </c>
      <c r="D210" t="str">
        <f>[1]Demand!$C$4</f>
        <v>Household</v>
      </c>
      <c r="E210" s="38">
        <f t="shared" ca="1" si="227"/>
        <v>0</v>
      </c>
      <c r="F210" s="42">
        <v>0.75</v>
      </c>
      <c r="G210" t="str">
        <f>D210</f>
        <v>Household</v>
      </c>
      <c r="H210" t="str">
        <f t="shared" si="229"/>
        <v>D1H50</v>
      </c>
      <c r="I210" t="e">
        <f t="shared" ca="1" si="240"/>
        <v>#REF!</v>
      </c>
      <c r="J210" t="e">
        <f ca="1">I210+($S210-$I210)/10</f>
        <v>#REF!</v>
      </c>
      <c r="K210" t="e">
        <f ca="1">J210+($S210-$I210)/10</f>
        <v>#REF!</v>
      </c>
      <c r="L210" t="e">
        <f t="shared" ref="L210:R210" ca="1" si="248">K210+($S210-$I210)/10</f>
        <v>#REF!</v>
      </c>
      <c r="M210" t="e">
        <f t="shared" ca="1" si="248"/>
        <v>#REF!</v>
      </c>
      <c r="N210" t="e">
        <f t="shared" ca="1" si="248"/>
        <v>#REF!</v>
      </c>
      <c r="O210" t="e">
        <f t="shared" ca="1" si="248"/>
        <v>#REF!</v>
      </c>
      <c r="P210" t="e">
        <f t="shared" ca="1" si="248"/>
        <v>#REF!</v>
      </c>
      <c r="Q210" t="e">
        <f t="shared" ca="1" si="248"/>
        <v>#REF!</v>
      </c>
      <c r="R210" t="e">
        <f t="shared" ca="1" si="248"/>
        <v>#REF!</v>
      </c>
      <c r="S210" t="e">
        <f t="shared" ca="1" si="224"/>
        <v>#REF!</v>
      </c>
      <c r="T210" t="e">
        <f ca="1">S210+($AC210-$S210)/10</f>
        <v>#REF!</v>
      </c>
      <c r="U210" t="e">
        <f t="shared" ref="U210:AB210" ca="1" si="249">T210+($AC210-$S210)/10</f>
        <v>#REF!</v>
      </c>
      <c r="V210" t="e">
        <f t="shared" ca="1" si="249"/>
        <v>#REF!</v>
      </c>
      <c r="W210" t="e">
        <f t="shared" ca="1" si="249"/>
        <v>#REF!</v>
      </c>
      <c r="X210" t="e">
        <f t="shared" ca="1" si="249"/>
        <v>#REF!</v>
      </c>
      <c r="Y210" t="e">
        <f t="shared" ca="1" si="249"/>
        <v>#REF!</v>
      </c>
      <c r="Z210" t="e">
        <f t="shared" ca="1" si="249"/>
        <v>#REF!</v>
      </c>
      <c r="AA210" t="e">
        <f t="shared" ca="1" si="249"/>
        <v>#REF!</v>
      </c>
      <c r="AB210" t="e">
        <f t="shared" ca="1" si="249"/>
        <v>#REF!</v>
      </c>
      <c r="AC210" t="e">
        <f ca="1">S210*(1+$E210*$F210)^10</f>
        <v>#REF!</v>
      </c>
      <c r="AD210" t="e">
        <f ca="1">AC210+($AM210-$AC210)/10</f>
        <v>#REF!</v>
      </c>
      <c r="AE210" t="e">
        <f t="shared" ref="AE210:AL210" ca="1" si="250">AD210+($AM210-$AC210)/10</f>
        <v>#REF!</v>
      </c>
      <c r="AF210" t="e">
        <f t="shared" ca="1" si="250"/>
        <v>#REF!</v>
      </c>
      <c r="AG210" t="e">
        <f t="shared" ca="1" si="250"/>
        <v>#REF!</v>
      </c>
      <c r="AH210" t="e">
        <f t="shared" ca="1" si="250"/>
        <v>#REF!</v>
      </c>
      <c r="AI210" t="e">
        <f t="shared" ca="1" si="250"/>
        <v>#REF!</v>
      </c>
      <c r="AJ210" t="e">
        <f t="shared" ca="1" si="250"/>
        <v>#REF!</v>
      </c>
      <c r="AK210" t="e">
        <f t="shared" ca="1" si="250"/>
        <v>#REF!</v>
      </c>
      <c r="AL210" t="e">
        <f t="shared" ca="1" si="250"/>
        <v>#REF!</v>
      </c>
      <c r="AM210" t="e">
        <f ca="1">AC210*(1+$E210*$F210*$AM$200)^10</f>
        <v>#REF!</v>
      </c>
    </row>
    <row r="211" spans="1:39" x14ac:dyDescent="0.2">
      <c r="A211" t="s">
        <v>367</v>
      </c>
      <c r="B211" t="s">
        <v>52</v>
      </c>
      <c r="C211" t="str">
        <f t="shared" si="222"/>
        <v>ouest_</v>
      </c>
      <c r="D211" t="str">
        <f>[1]Demand!$C$5</f>
        <v>Industry</v>
      </c>
      <c r="E211" s="38">
        <f t="shared" ca="1" si="227"/>
        <v>0</v>
      </c>
      <c r="F211" s="42">
        <v>0.75</v>
      </c>
      <c r="G211" t="str">
        <f t="shared" ref="G211:G212" si="251">D211</f>
        <v>Industry</v>
      </c>
      <c r="H211" t="str">
        <f t="shared" si="229"/>
        <v>D1H50</v>
      </c>
      <c r="I211" t="e">
        <f t="shared" ca="1" si="240"/>
        <v>#REF!</v>
      </c>
      <c r="J211" t="e">
        <f t="shared" ref="J211:R211" ca="1" si="252">I211+($S211-$I211)/10</f>
        <v>#REF!</v>
      </c>
      <c r="K211" t="e">
        <f t="shared" ca="1" si="252"/>
        <v>#REF!</v>
      </c>
      <c r="L211" t="e">
        <f t="shared" ca="1" si="252"/>
        <v>#REF!</v>
      </c>
      <c r="M211" t="e">
        <f t="shared" ca="1" si="252"/>
        <v>#REF!</v>
      </c>
      <c r="N211" t="e">
        <f t="shared" ca="1" si="252"/>
        <v>#REF!</v>
      </c>
      <c r="O211" t="e">
        <f t="shared" ca="1" si="252"/>
        <v>#REF!</v>
      </c>
      <c r="P211" t="e">
        <f t="shared" ca="1" si="252"/>
        <v>#REF!</v>
      </c>
      <c r="Q211" t="e">
        <f t="shared" ca="1" si="252"/>
        <v>#REF!</v>
      </c>
      <c r="R211" t="e">
        <f t="shared" ca="1" si="252"/>
        <v>#REF!</v>
      </c>
      <c r="S211" t="e">
        <f t="shared" ca="1" si="224"/>
        <v>#REF!</v>
      </c>
      <c r="T211" t="e">
        <f t="shared" ref="T211:AB211" ca="1" si="253">S211+($AC211-$S211)/10</f>
        <v>#REF!</v>
      </c>
      <c r="U211" t="e">
        <f t="shared" ca="1" si="253"/>
        <v>#REF!</v>
      </c>
      <c r="V211" t="e">
        <f t="shared" ca="1" si="253"/>
        <v>#REF!</v>
      </c>
      <c r="W211" t="e">
        <f t="shared" ca="1" si="253"/>
        <v>#REF!</v>
      </c>
      <c r="X211" t="e">
        <f t="shared" ca="1" si="253"/>
        <v>#REF!</v>
      </c>
      <c r="Y211" t="e">
        <f t="shared" ca="1" si="253"/>
        <v>#REF!</v>
      </c>
      <c r="Z211" t="e">
        <f t="shared" ca="1" si="253"/>
        <v>#REF!</v>
      </c>
      <c r="AA211" t="e">
        <f t="shared" ca="1" si="253"/>
        <v>#REF!</v>
      </c>
      <c r="AB211" t="e">
        <f t="shared" ca="1" si="253"/>
        <v>#REF!</v>
      </c>
      <c r="AC211" t="e">
        <f t="shared" ref="AC211:AC212" ca="1" si="254">S211*(1+$E211*$F211)^10</f>
        <v>#REF!</v>
      </c>
      <c r="AD211" t="e">
        <f t="shared" ref="AD211:AL211" ca="1" si="255">AC211+($AM211-$AC211)/10</f>
        <v>#REF!</v>
      </c>
      <c r="AE211" t="e">
        <f t="shared" ca="1" si="255"/>
        <v>#REF!</v>
      </c>
      <c r="AF211" t="e">
        <f t="shared" ca="1" si="255"/>
        <v>#REF!</v>
      </c>
      <c r="AG211" t="e">
        <f t="shared" ca="1" si="255"/>
        <v>#REF!</v>
      </c>
      <c r="AH211" t="e">
        <f t="shared" ca="1" si="255"/>
        <v>#REF!</v>
      </c>
      <c r="AI211" t="e">
        <f t="shared" ca="1" si="255"/>
        <v>#REF!</v>
      </c>
      <c r="AJ211" t="e">
        <f t="shared" ca="1" si="255"/>
        <v>#REF!</v>
      </c>
      <c r="AK211" t="e">
        <f t="shared" ca="1" si="255"/>
        <v>#REF!</v>
      </c>
      <c r="AL211" t="e">
        <f t="shared" ca="1" si="255"/>
        <v>#REF!</v>
      </c>
      <c r="AM211" t="e">
        <f ca="1">AC211*(1+$E211*$F211*$AM$200)^10</f>
        <v>#REF!</v>
      </c>
    </row>
    <row r="212" spans="1:39" x14ac:dyDescent="0.2">
      <c r="A212" t="s">
        <v>367</v>
      </c>
      <c r="B212" t="s">
        <v>52</v>
      </c>
      <c r="C212" t="str">
        <f t="shared" si="222"/>
        <v>ouest_</v>
      </c>
      <c r="D212" t="str">
        <f>[1]Demand!$C$6</f>
        <v>Other</v>
      </c>
      <c r="E212" s="38">
        <f t="shared" ca="1" si="227"/>
        <v>0</v>
      </c>
      <c r="F212" s="42">
        <v>0.75</v>
      </c>
      <c r="G212" t="str">
        <f t="shared" si="251"/>
        <v>Other</v>
      </c>
      <c r="H212" t="str">
        <f t="shared" si="229"/>
        <v>D1H50</v>
      </c>
      <c r="I212" t="e">
        <f t="shared" ca="1" si="240"/>
        <v>#REF!</v>
      </c>
      <c r="J212" t="e">
        <f t="shared" ref="J212:R212" ca="1" si="256">I212+($S212-$I212)/10</f>
        <v>#REF!</v>
      </c>
      <c r="K212" t="e">
        <f t="shared" ca="1" si="256"/>
        <v>#REF!</v>
      </c>
      <c r="L212" t="e">
        <f t="shared" ca="1" si="256"/>
        <v>#REF!</v>
      </c>
      <c r="M212" t="e">
        <f t="shared" ca="1" si="256"/>
        <v>#REF!</v>
      </c>
      <c r="N212" t="e">
        <f t="shared" ca="1" si="256"/>
        <v>#REF!</v>
      </c>
      <c r="O212" t="e">
        <f t="shared" ca="1" si="256"/>
        <v>#REF!</v>
      </c>
      <c r="P212" t="e">
        <f t="shared" ca="1" si="256"/>
        <v>#REF!</v>
      </c>
      <c r="Q212" t="e">
        <f t="shared" ca="1" si="256"/>
        <v>#REF!</v>
      </c>
      <c r="R212" t="e">
        <f t="shared" ca="1" si="256"/>
        <v>#REF!</v>
      </c>
      <c r="S212" t="e">
        <f t="shared" ca="1" si="224"/>
        <v>#REF!</v>
      </c>
      <c r="T212" t="e">
        <f t="shared" ref="T212:AB212" ca="1" si="257">S212+($AC212-$S212)/10</f>
        <v>#REF!</v>
      </c>
      <c r="U212" t="e">
        <f t="shared" ca="1" si="257"/>
        <v>#REF!</v>
      </c>
      <c r="V212" t="e">
        <f t="shared" ca="1" si="257"/>
        <v>#REF!</v>
      </c>
      <c r="W212" t="e">
        <f t="shared" ca="1" si="257"/>
        <v>#REF!</v>
      </c>
      <c r="X212" t="e">
        <f t="shared" ca="1" si="257"/>
        <v>#REF!</v>
      </c>
      <c r="Y212" t="e">
        <f t="shared" ca="1" si="257"/>
        <v>#REF!</v>
      </c>
      <c r="Z212" t="e">
        <f t="shared" ca="1" si="257"/>
        <v>#REF!</v>
      </c>
      <c r="AA212" t="e">
        <f t="shared" ca="1" si="257"/>
        <v>#REF!</v>
      </c>
      <c r="AB212" t="e">
        <f t="shared" ca="1" si="257"/>
        <v>#REF!</v>
      </c>
      <c r="AC212" t="e">
        <f t="shared" ca="1" si="254"/>
        <v>#REF!</v>
      </c>
      <c r="AD212" t="e">
        <f t="shared" ref="AD212:AL212" ca="1" si="258">AC212+($AM212-$AC212)/10</f>
        <v>#REF!</v>
      </c>
      <c r="AE212" t="e">
        <f t="shared" ca="1" si="258"/>
        <v>#REF!</v>
      </c>
      <c r="AF212" t="e">
        <f t="shared" ca="1" si="258"/>
        <v>#REF!</v>
      </c>
      <c r="AG212" t="e">
        <f t="shared" ca="1" si="258"/>
        <v>#REF!</v>
      </c>
      <c r="AH212" t="e">
        <f t="shared" ca="1" si="258"/>
        <v>#REF!</v>
      </c>
      <c r="AI212" t="e">
        <f t="shared" ca="1" si="258"/>
        <v>#REF!</v>
      </c>
      <c r="AJ212" t="e">
        <f t="shared" ca="1" si="258"/>
        <v>#REF!</v>
      </c>
      <c r="AK212" t="e">
        <f t="shared" ca="1" si="258"/>
        <v>#REF!</v>
      </c>
      <c r="AL212" t="e">
        <f t="shared" ca="1" si="258"/>
        <v>#REF!</v>
      </c>
      <c r="AM212" t="e">
        <f ca="1">AC212*(1+$E212*$F212*$AM$200)^10</f>
        <v>#REF!</v>
      </c>
    </row>
    <row r="213" spans="1:39" x14ac:dyDescent="0.2">
      <c r="C213" t="str">
        <f t="shared" si="222"/>
        <v/>
      </c>
      <c r="E213" s="38" t="str">
        <f t="shared" si="227"/>
        <v/>
      </c>
      <c r="F213" s="38"/>
      <c r="H213" t="str">
        <f t="shared" si="229"/>
        <v/>
      </c>
      <c r="I213" t="str">
        <f>IF(A213="","",SUMIFS(H$31:H$110,B$28:B$110,$B213,A$28:A$110,$G$154,F$28:F$110,$D213))</f>
        <v/>
      </c>
      <c r="S213" t="str">
        <f>IF(A213="","",SUMIFS(R$31:R$110,B$28:B$110,$B213,A$28:A$110,$A213,F$28:F$110,$D213))</f>
        <v/>
      </c>
    </row>
    <row r="214" spans="1:39" x14ac:dyDescent="0.2">
      <c r="A214" t="s">
        <v>364</v>
      </c>
      <c r="B214" t="s">
        <v>52</v>
      </c>
      <c r="C214" t="str">
        <f t="shared" si="222"/>
        <v>ouest_</v>
      </c>
      <c r="D214" t="str">
        <f>[1]Demand!$C$4</f>
        <v>Household</v>
      </c>
      <c r="E214" s="38">
        <f t="shared" ca="1" si="227"/>
        <v>0</v>
      </c>
      <c r="F214" s="42">
        <v>0.5</v>
      </c>
      <c r="G214" t="str">
        <f>D214</f>
        <v>Household</v>
      </c>
      <c r="H214" t="str">
        <f t="shared" si="229"/>
        <v>D1L75</v>
      </c>
      <c r="I214" t="e">
        <f ca="1">IF(A214="","",SUMIFS(H$28:H$134,B$28:B$134,$B214,A$28:A$134,$G$154,F$28:F$134,$D214))</f>
        <v>#REF!</v>
      </c>
      <c r="J214" t="e">
        <f t="shared" ref="J214:R214" ca="1" si="259">I214*(1+$E214)</f>
        <v>#REF!</v>
      </c>
      <c r="K214" t="e">
        <f t="shared" ca="1" si="259"/>
        <v>#REF!</v>
      </c>
      <c r="L214" t="e">
        <f t="shared" ca="1" si="259"/>
        <v>#REF!</v>
      </c>
      <c r="M214" t="e">
        <f t="shared" ca="1" si="259"/>
        <v>#REF!</v>
      </c>
      <c r="N214" t="e">
        <f t="shared" ca="1" si="259"/>
        <v>#REF!</v>
      </c>
      <c r="O214" t="e">
        <f t="shared" ca="1" si="259"/>
        <v>#REF!</v>
      </c>
      <c r="P214" t="e">
        <f t="shared" ca="1" si="259"/>
        <v>#REF!</v>
      </c>
      <c r="Q214" t="e">
        <f t="shared" ca="1" si="259"/>
        <v>#REF!</v>
      </c>
      <c r="R214" t="e">
        <f t="shared" ca="1" si="259"/>
        <v>#REF!</v>
      </c>
      <c r="S214" t="e">
        <f t="shared" ref="S214:S224" ca="1" si="260">IF(A214="","",SUMIFS(R$28:R$134,B$28:B$134,$B214,A$28:A$134,$A214,F$28:F$134,$D214))</f>
        <v>#REF!</v>
      </c>
      <c r="T214" t="e">
        <f t="shared" ref="T214:AC214" ca="1" si="261">S214*(1+$E214*$F214)</f>
        <v>#REF!</v>
      </c>
      <c r="U214" t="e">
        <f t="shared" ca="1" si="261"/>
        <v>#REF!</v>
      </c>
      <c r="V214" t="e">
        <f t="shared" ca="1" si="261"/>
        <v>#REF!</v>
      </c>
      <c r="W214" t="e">
        <f t="shared" ca="1" si="261"/>
        <v>#REF!</v>
      </c>
      <c r="X214" t="e">
        <f t="shared" ca="1" si="261"/>
        <v>#REF!</v>
      </c>
      <c r="Y214" t="e">
        <f t="shared" ca="1" si="261"/>
        <v>#REF!</v>
      </c>
      <c r="Z214" t="e">
        <f t="shared" ca="1" si="261"/>
        <v>#REF!</v>
      </c>
      <c r="AA214" t="e">
        <f t="shared" ca="1" si="261"/>
        <v>#REF!</v>
      </c>
      <c r="AB214" t="e">
        <f t="shared" ca="1" si="261"/>
        <v>#REF!</v>
      </c>
      <c r="AC214" t="e">
        <f t="shared" ca="1" si="261"/>
        <v>#REF!</v>
      </c>
      <c r="AD214" t="e">
        <f t="shared" ref="AD214:AD216" ca="1" si="262">AC214*(1+$E214*$F214)</f>
        <v>#REF!</v>
      </c>
      <c r="AE214" t="e">
        <f t="shared" ref="AE214:AE216" ca="1" si="263">AD214*(1+$E214*$F214)</f>
        <v>#REF!</v>
      </c>
      <c r="AF214" t="e">
        <f t="shared" ref="AF214:AF216" ca="1" si="264">AE214*(1+$E214*$F214)</f>
        <v>#REF!</v>
      </c>
      <c r="AG214" t="e">
        <f t="shared" ref="AG214:AG216" ca="1" si="265">AF214*(1+$E214*$F214)</f>
        <v>#REF!</v>
      </c>
      <c r="AH214" t="e">
        <f t="shared" ref="AH214:AH216" ca="1" si="266">AG214*(1+$E214*$F214)</f>
        <v>#REF!</v>
      </c>
      <c r="AI214" t="e">
        <f t="shared" ref="AI214:AI216" ca="1" si="267">AH214*(1+$E214*$F214)</f>
        <v>#REF!</v>
      </c>
      <c r="AJ214" t="e">
        <f t="shared" ref="AJ214:AJ216" ca="1" si="268">AI214*(1+$E214*$F214)</f>
        <v>#REF!</v>
      </c>
      <c r="AK214" t="e">
        <f t="shared" ref="AK214:AK216" ca="1" si="269">AJ214*(1+$E214*$F214)</f>
        <v>#REF!</v>
      </c>
      <c r="AL214" t="e">
        <f t="shared" ref="AL214:AL216" ca="1" si="270">AK214*(1+$E214*$F214)</f>
        <v>#REF!</v>
      </c>
      <c r="AM214" t="e">
        <f t="shared" ref="AM214:AM216" ca="1" si="271">AL214*(1+$E214*$F214)</f>
        <v>#REF!</v>
      </c>
    </row>
    <row r="215" spans="1:39" x14ac:dyDescent="0.2">
      <c r="A215" t="s">
        <v>364</v>
      </c>
      <c r="B215" t="s">
        <v>52</v>
      </c>
      <c r="C215" t="str">
        <f t="shared" si="222"/>
        <v>ouest_</v>
      </c>
      <c r="D215" t="str">
        <f>[1]Demand!$C$5</f>
        <v>Industry</v>
      </c>
      <c r="E215" s="38">
        <f t="shared" ca="1" si="227"/>
        <v>0</v>
      </c>
      <c r="F215" s="42">
        <v>0.5</v>
      </c>
      <c r="G215" t="str">
        <f t="shared" ref="G215:G216" si="272">D215</f>
        <v>Industry</v>
      </c>
      <c r="H215" t="str">
        <f t="shared" si="229"/>
        <v>D1L75</v>
      </c>
      <c r="I215" t="e">
        <f ca="1">IF(A215="","",SUMIFS(H$28:H$134,B$28:B$134,$B215,A$28:A$134,$G$154,F$28:F$134,$D215))</f>
        <v>#REF!</v>
      </c>
      <c r="J215" t="e">
        <f t="shared" ref="J215:R215" ca="1" si="273">I215*(1+$E215)</f>
        <v>#REF!</v>
      </c>
      <c r="K215" t="e">
        <f t="shared" ca="1" si="273"/>
        <v>#REF!</v>
      </c>
      <c r="L215" t="e">
        <f t="shared" ca="1" si="273"/>
        <v>#REF!</v>
      </c>
      <c r="M215" t="e">
        <f t="shared" ca="1" si="273"/>
        <v>#REF!</v>
      </c>
      <c r="N215" t="e">
        <f t="shared" ca="1" si="273"/>
        <v>#REF!</v>
      </c>
      <c r="O215" t="e">
        <f t="shared" ca="1" si="273"/>
        <v>#REF!</v>
      </c>
      <c r="P215" t="e">
        <f t="shared" ca="1" si="273"/>
        <v>#REF!</v>
      </c>
      <c r="Q215" t="e">
        <f t="shared" ca="1" si="273"/>
        <v>#REF!</v>
      </c>
      <c r="R215" t="e">
        <f t="shared" ca="1" si="273"/>
        <v>#REF!</v>
      </c>
      <c r="S215" t="e">
        <f t="shared" ca="1" si="260"/>
        <v>#REF!</v>
      </c>
      <c r="T215" t="e">
        <f t="shared" ref="T215:AC215" ca="1" si="274">S215*(1+$E215*$F215)</f>
        <v>#REF!</v>
      </c>
      <c r="U215" t="e">
        <f t="shared" ca="1" si="274"/>
        <v>#REF!</v>
      </c>
      <c r="V215" t="e">
        <f t="shared" ca="1" si="274"/>
        <v>#REF!</v>
      </c>
      <c r="W215" t="e">
        <f t="shared" ca="1" si="274"/>
        <v>#REF!</v>
      </c>
      <c r="X215" t="e">
        <f t="shared" ca="1" si="274"/>
        <v>#REF!</v>
      </c>
      <c r="Y215" t="e">
        <f t="shared" ca="1" si="274"/>
        <v>#REF!</v>
      </c>
      <c r="Z215" t="e">
        <f t="shared" ca="1" si="274"/>
        <v>#REF!</v>
      </c>
      <c r="AA215" t="e">
        <f t="shared" ca="1" si="274"/>
        <v>#REF!</v>
      </c>
      <c r="AB215" t="e">
        <f t="shared" ca="1" si="274"/>
        <v>#REF!</v>
      </c>
      <c r="AC215" t="e">
        <f t="shared" ca="1" si="274"/>
        <v>#REF!</v>
      </c>
      <c r="AD215" t="e">
        <f t="shared" ca="1" si="262"/>
        <v>#REF!</v>
      </c>
      <c r="AE215" t="e">
        <f t="shared" ca="1" si="263"/>
        <v>#REF!</v>
      </c>
      <c r="AF215" t="e">
        <f t="shared" ca="1" si="264"/>
        <v>#REF!</v>
      </c>
      <c r="AG215" t="e">
        <f t="shared" ca="1" si="265"/>
        <v>#REF!</v>
      </c>
      <c r="AH215" t="e">
        <f t="shared" ca="1" si="266"/>
        <v>#REF!</v>
      </c>
      <c r="AI215" t="e">
        <f t="shared" ca="1" si="267"/>
        <v>#REF!</v>
      </c>
      <c r="AJ215" t="e">
        <f t="shared" ca="1" si="268"/>
        <v>#REF!</v>
      </c>
      <c r="AK215" t="e">
        <f t="shared" ca="1" si="269"/>
        <v>#REF!</v>
      </c>
      <c r="AL215" t="e">
        <f t="shared" ca="1" si="270"/>
        <v>#REF!</v>
      </c>
      <c r="AM215" t="e">
        <f t="shared" ca="1" si="271"/>
        <v>#REF!</v>
      </c>
    </row>
    <row r="216" spans="1:39" x14ac:dyDescent="0.2">
      <c r="A216" t="s">
        <v>364</v>
      </c>
      <c r="B216" t="s">
        <v>52</v>
      </c>
      <c r="C216" t="str">
        <f t="shared" si="222"/>
        <v>ouest_</v>
      </c>
      <c r="D216" t="str">
        <f>[1]Demand!$C$6</f>
        <v>Other</v>
      </c>
      <c r="E216" s="38">
        <f t="shared" ca="1" si="227"/>
        <v>0</v>
      </c>
      <c r="F216" s="42">
        <v>0.5</v>
      </c>
      <c r="G216" t="str">
        <f t="shared" si="272"/>
        <v>Other</v>
      </c>
      <c r="H216" t="str">
        <f t="shared" si="229"/>
        <v>D1L75</v>
      </c>
      <c r="I216" t="e">
        <f ca="1">IF(A216="","",SUMIFS(H$28:H$134,B$28:B$134,$B216,A$28:A$134,$G$154,F$28:F$134,$D216))</f>
        <v>#REF!</v>
      </c>
      <c r="J216" t="e">
        <f t="shared" ref="J216:R216" ca="1" si="275">I216*(1+$E216)</f>
        <v>#REF!</v>
      </c>
      <c r="K216" t="e">
        <f t="shared" ca="1" si="275"/>
        <v>#REF!</v>
      </c>
      <c r="L216" t="e">
        <f t="shared" ca="1" si="275"/>
        <v>#REF!</v>
      </c>
      <c r="M216" t="e">
        <f t="shared" ca="1" si="275"/>
        <v>#REF!</v>
      </c>
      <c r="N216" t="e">
        <f t="shared" ca="1" si="275"/>
        <v>#REF!</v>
      </c>
      <c r="O216" t="e">
        <f t="shared" ca="1" si="275"/>
        <v>#REF!</v>
      </c>
      <c r="P216" t="e">
        <f t="shared" ca="1" si="275"/>
        <v>#REF!</v>
      </c>
      <c r="Q216" t="e">
        <f t="shared" ca="1" si="275"/>
        <v>#REF!</v>
      </c>
      <c r="R216" t="e">
        <f t="shared" ca="1" si="275"/>
        <v>#REF!</v>
      </c>
      <c r="S216" t="e">
        <f t="shared" ca="1" si="260"/>
        <v>#REF!</v>
      </c>
      <c r="T216" t="e">
        <f t="shared" ref="T216:AC216" ca="1" si="276">S216*(1+$E216*$F216)</f>
        <v>#REF!</v>
      </c>
      <c r="U216" t="e">
        <f t="shared" ca="1" si="276"/>
        <v>#REF!</v>
      </c>
      <c r="V216" t="e">
        <f t="shared" ca="1" si="276"/>
        <v>#REF!</v>
      </c>
      <c r="W216" t="e">
        <f t="shared" ca="1" si="276"/>
        <v>#REF!</v>
      </c>
      <c r="X216" t="e">
        <f t="shared" ca="1" si="276"/>
        <v>#REF!</v>
      </c>
      <c r="Y216" t="e">
        <f t="shared" ca="1" si="276"/>
        <v>#REF!</v>
      </c>
      <c r="Z216" t="e">
        <f t="shared" ca="1" si="276"/>
        <v>#REF!</v>
      </c>
      <c r="AA216" t="e">
        <f t="shared" ca="1" si="276"/>
        <v>#REF!</v>
      </c>
      <c r="AB216" t="e">
        <f t="shared" ca="1" si="276"/>
        <v>#REF!</v>
      </c>
      <c r="AC216" t="e">
        <f t="shared" ca="1" si="276"/>
        <v>#REF!</v>
      </c>
      <c r="AD216" t="e">
        <f t="shared" ca="1" si="262"/>
        <v>#REF!</v>
      </c>
      <c r="AE216" t="e">
        <f t="shared" ca="1" si="263"/>
        <v>#REF!</v>
      </c>
      <c r="AF216" t="e">
        <f t="shared" ca="1" si="264"/>
        <v>#REF!</v>
      </c>
      <c r="AG216" t="e">
        <f t="shared" ca="1" si="265"/>
        <v>#REF!</v>
      </c>
      <c r="AH216" t="e">
        <f t="shared" ca="1" si="266"/>
        <v>#REF!</v>
      </c>
      <c r="AI216" t="e">
        <f t="shared" ca="1" si="267"/>
        <v>#REF!</v>
      </c>
      <c r="AJ216" t="e">
        <f t="shared" ca="1" si="268"/>
        <v>#REF!</v>
      </c>
      <c r="AK216" t="e">
        <f t="shared" ca="1" si="269"/>
        <v>#REF!</v>
      </c>
      <c r="AL216" t="e">
        <f t="shared" ca="1" si="270"/>
        <v>#REF!</v>
      </c>
      <c r="AM216" t="e">
        <f t="shared" ca="1" si="271"/>
        <v>#REF!</v>
      </c>
    </row>
    <row r="217" spans="1:39" x14ac:dyDescent="0.2">
      <c r="C217" t="str">
        <f t="shared" si="222"/>
        <v/>
      </c>
      <c r="E217" s="38" t="str">
        <f t="shared" si="227"/>
        <v/>
      </c>
      <c r="F217" s="38"/>
      <c r="H217" t="str">
        <f t="shared" si="229"/>
        <v/>
      </c>
      <c r="S217" t="str">
        <f t="shared" si="260"/>
        <v/>
      </c>
    </row>
    <row r="218" spans="1:39" x14ac:dyDescent="0.2">
      <c r="A218" t="s">
        <v>368</v>
      </c>
      <c r="B218" t="s">
        <v>52</v>
      </c>
      <c r="C218" t="str">
        <f t="shared" si="222"/>
        <v>ouest_</v>
      </c>
      <c r="D218" t="str">
        <f>[1]Demand!$C$4</f>
        <v>Household</v>
      </c>
      <c r="E218" s="38">
        <f t="shared" ca="1" si="227"/>
        <v>0</v>
      </c>
      <c r="F218" s="42">
        <v>0.5</v>
      </c>
      <c r="G218" t="str">
        <f>D218</f>
        <v>Household</v>
      </c>
      <c r="H218" t="str">
        <f t="shared" si="229"/>
        <v>D1M75</v>
      </c>
      <c r="I218" t="e">
        <f t="shared" ref="I218:I224" ca="1" si="277">IF(A218="","",SUMIFS(H$28:H$134,B$28:B$134,$B218,A$28:A$134,$G$154,F$28:F$134,$D218))</f>
        <v>#REF!</v>
      </c>
      <c r="J218" t="e">
        <f t="shared" ref="J218:R218" ca="1" si="278">I218*(1+$E218)</f>
        <v>#REF!</v>
      </c>
      <c r="K218" t="e">
        <f t="shared" ca="1" si="278"/>
        <v>#REF!</v>
      </c>
      <c r="L218" t="e">
        <f t="shared" ca="1" si="278"/>
        <v>#REF!</v>
      </c>
      <c r="M218" t="e">
        <f t="shared" ca="1" si="278"/>
        <v>#REF!</v>
      </c>
      <c r="N218" t="e">
        <f t="shared" ca="1" si="278"/>
        <v>#REF!</v>
      </c>
      <c r="O218" t="e">
        <f t="shared" ca="1" si="278"/>
        <v>#REF!</v>
      </c>
      <c r="P218" t="e">
        <f t="shared" ca="1" si="278"/>
        <v>#REF!</v>
      </c>
      <c r="Q218" t="e">
        <f t="shared" ca="1" si="278"/>
        <v>#REF!</v>
      </c>
      <c r="R218" t="e">
        <f t="shared" ca="1" si="278"/>
        <v>#REF!</v>
      </c>
      <c r="S218" t="e">
        <f t="shared" ca="1" si="260"/>
        <v>#REF!</v>
      </c>
      <c r="T218" t="e">
        <f t="shared" ref="T218:AC218" ca="1" si="279">S218*(1+$E218*$F218)</f>
        <v>#REF!</v>
      </c>
      <c r="U218" t="e">
        <f t="shared" ca="1" si="279"/>
        <v>#REF!</v>
      </c>
      <c r="V218" t="e">
        <f t="shared" ca="1" si="279"/>
        <v>#REF!</v>
      </c>
      <c r="W218" t="e">
        <f t="shared" ca="1" si="279"/>
        <v>#REF!</v>
      </c>
      <c r="X218" t="e">
        <f t="shared" ca="1" si="279"/>
        <v>#REF!</v>
      </c>
      <c r="Y218" t="e">
        <f t="shared" ca="1" si="279"/>
        <v>#REF!</v>
      </c>
      <c r="Z218" t="e">
        <f t="shared" ca="1" si="279"/>
        <v>#REF!</v>
      </c>
      <c r="AA218" t="e">
        <f t="shared" ca="1" si="279"/>
        <v>#REF!</v>
      </c>
      <c r="AB218" t="e">
        <f t="shared" ca="1" si="279"/>
        <v>#REF!</v>
      </c>
      <c r="AC218" t="e">
        <f t="shared" ca="1" si="279"/>
        <v>#REF!</v>
      </c>
      <c r="AD218" t="e">
        <f t="shared" ref="AD218:AD220" ca="1" si="280">AC218*(1+$E218*$F218)</f>
        <v>#REF!</v>
      </c>
      <c r="AE218" t="e">
        <f t="shared" ref="AE218:AE220" ca="1" si="281">AD218*(1+$E218*$F218)</f>
        <v>#REF!</v>
      </c>
      <c r="AF218" t="e">
        <f t="shared" ref="AF218:AF220" ca="1" si="282">AE218*(1+$E218*$F218)</f>
        <v>#REF!</v>
      </c>
      <c r="AG218" t="e">
        <f t="shared" ref="AG218:AG220" ca="1" si="283">AF218*(1+$E218*$F218)</f>
        <v>#REF!</v>
      </c>
      <c r="AH218" t="e">
        <f t="shared" ref="AH218:AH220" ca="1" si="284">AG218*(1+$E218*$F218)</f>
        <v>#REF!</v>
      </c>
      <c r="AI218" t="e">
        <f t="shared" ref="AI218:AI220" ca="1" si="285">AH218*(1+$E218*$F218)</f>
        <v>#REF!</v>
      </c>
      <c r="AJ218" t="e">
        <f t="shared" ref="AJ218:AJ220" ca="1" si="286">AI218*(1+$E218*$F218)</f>
        <v>#REF!</v>
      </c>
      <c r="AK218" t="e">
        <f t="shared" ref="AK218:AK220" ca="1" si="287">AJ218*(1+$E218*$F218)</f>
        <v>#REF!</v>
      </c>
      <c r="AL218" t="e">
        <f t="shared" ref="AL218:AL220" ca="1" si="288">AK218*(1+$E218*$F218)</f>
        <v>#REF!</v>
      </c>
      <c r="AM218" t="e">
        <f t="shared" ref="AM218:AM220" ca="1" si="289">AL218*(1+$E218*$F218)</f>
        <v>#REF!</v>
      </c>
    </row>
    <row r="219" spans="1:39" x14ac:dyDescent="0.2">
      <c r="A219" t="s">
        <v>368</v>
      </c>
      <c r="B219" t="s">
        <v>52</v>
      </c>
      <c r="C219" t="str">
        <f t="shared" si="222"/>
        <v>ouest_</v>
      </c>
      <c r="D219" t="str">
        <f>[1]Demand!$C$5</f>
        <v>Industry</v>
      </c>
      <c r="E219" s="38">
        <f t="shared" ca="1" si="227"/>
        <v>0</v>
      </c>
      <c r="F219" s="42">
        <v>0.5</v>
      </c>
      <c r="G219" t="str">
        <f t="shared" ref="G219:G220" si="290">D219</f>
        <v>Industry</v>
      </c>
      <c r="H219" t="str">
        <f t="shared" si="229"/>
        <v>D1M75</v>
      </c>
      <c r="I219" t="e">
        <f t="shared" ca="1" si="277"/>
        <v>#REF!</v>
      </c>
      <c r="J219" t="e">
        <f t="shared" ref="J219:R219" ca="1" si="291">I219*(1+$E219)</f>
        <v>#REF!</v>
      </c>
      <c r="K219" t="e">
        <f t="shared" ca="1" si="291"/>
        <v>#REF!</v>
      </c>
      <c r="L219" t="e">
        <f t="shared" ca="1" si="291"/>
        <v>#REF!</v>
      </c>
      <c r="M219" t="e">
        <f t="shared" ca="1" si="291"/>
        <v>#REF!</v>
      </c>
      <c r="N219" t="e">
        <f t="shared" ca="1" si="291"/>
        <v>#REF!</v>
      </c>
      <c r="O219" t="e">
        <f t="shared" ca="1" si="291"/>
        <v>#REF!</v>
      </c>
      <c r="P219" t="e">
        <f t="shared" ca="1" si="291"/>
        <v>#REF!</v>
      </c>
      <c r="Q219" t="e">
        <f t="shared" ca="1" si="291"/>
        <v>#REF!</v>
      </c>
      <c r="R219" t="e">
        <f t="shared" ca="1" si="291"/>
        <v>#REF!</v>
      </c>
      <c r="S219" t="e">
        <f t="shared" ca="1" si="260"/>
        <v>#REF!</v>
      </c>
      <c r="T219" t="e">
        <f t="shared" ref="T219:AC219" ca="1" si="292">S219*(1+$E219*$F219)</f>
        <v>#REF!</v>
      </c>
      <c r="U219" t="e">
        <f t="shared" ca="1" si="292"/>
        <v>#REF!</v>
      </c>
      <c r="V219" t="e">
        <f t="shared" ca="1" si="292"/>
        <v>#REF!</v>
      </c>
      <c r="W219" t="e">
        <f t="shared" ca="1" si="292"/>
        <v>#REF!</v>
      </c>
      <c r="X219" t="e">
        <f t="shared" ca="1" si="292"/>
        <v>#REF!</v>
      </c>
      <c r="Y219" t="e">
        <f t="shared" ca="1" si="292"/>
        <v>#REF!</v>
      </c>
      <c r="Z219" t="e">
        <f t="shared" ca="1" si="292"/>
        <v>#REF!</v>
      </c>
      <c r="AA219" t="e">
        <f t="shared" ca="1" si="292"/>
        <v>#REF!</v>
      </c>
      <c r="AB219" t="e">
        <f t="shared" ca="1" si="292"/>
        <v>#REF!</v>
      </c>
      <c r="AC219" t="e">
        <f t="shared" ca="1" si="292"/>
        <v>#REF!</v>
      </c>
      <c r="AD219" t="e">
        <f t="shared" ca="1" si="280"/>
        <v>#REF!</v>
      </c>
      <c r="AE219" t="e">
        <f t="shared" ca="1" si="281"/>
        <v>#REF!</v>
      </c>
      <c r="AF219" t="e">
        <f t="shared" ca="1" si="282"/>
        <v>#REF!</v>
      </c>
      <c r="AG219" t="e">
        <f t="shared" ca="1" si="283"/>
        <v>#REF!</v>
      </c>
      <c r="AH219" t="e">
        <f t="shared" ca="1" si="284"/>
        <v>#REF!</v>
      </c>
      <c r="AI219" t="e">
        <f t="shared" ca="1" si="285"/>
        <v>#REF!</v>
      </c>
      <c r="AJ219" t="e">
        <f t="shared" ca="1" si="286"/>
        <v>#REF!</v>
      </c>
      <c r="AK219" t="e">
        <f t="shared" ca="1" si="287"/>
        <v>#REF!</v>
      </c>
      <c r="AL219" t="e">
        <f t="shared" ca="1" si="288"/>
        <v>#REF!</v>
      </c>
      <c r="AM219" t="e">
        <f t="shared" ca="1" si="289"/>
        <v>#REF!</v>
      </c>
    </row>
    <row r="220" spans="1:39" x14ac:dyDescent="0.2">
      <c r="A220" t="s">
        <v>368</v>
      </c>
      <c r="B220" t="s">
        <v>52</v>
      </c>
      <c r="C220" t="str">
        <f t="shared" si="222"/>
        <v>ouest_</v>
      </c>
      <c r="D220" t="str">
        <f>[1]Demand!$C$6</f>
        <v>Other</v>
      </c>
      <c r="E220" s="38">
        <f t="shared" ca="1" si="227"/>
        <v>0</v>
      </c>
      <c r="F220" s="42">
        <v>0.5</v>
      </c>
      <c r="G220" t="str">
        <f t="shared" si="290"/>
        <v>Other</v>
      </c>
      <c r="H220" t="str">
        <f t="shared" si="229"/>
        <v>D1M75</v>
      </c>
      <c r="I220" t="e">
        <f t="shared" ca="1" si="277"/>
        <v>#REF!</v>
      </c>
      <c r="J220" t="e">
        <f t="shared" ref="J220:R220" ca="1" si="293">I220*(1+$E220)</f>
        <v>#REF!</v>
      </c>
      <c r="K220" t="e">
        <f t="shared" ca="1" si="293"/>
        <v>#REF!</v>
      </c>
      <c r="L220" t="e">
        <f t="shared" ca="1" si="293"/>
        <v>#REF!</v>
      </c>
      <c r="M220" t="e">
        <f t="shared" ca="1" si="293"/>
        <v>#REF!</v>
      </c>
      <c r="N220" t="e">
        <f t="shared" ca="1" si="293"/>
        <v>#REF!</v>
      </c>
      <c r="O220" t="e">
        <f t="shared" ca="1" si="293"/>
        <v>#REF!</v>
      </c>
      <c r="P220" t="e">
        <f t="shared" ca="1" si="293"/>
        <v>#REF!</v>
      </c>
      <c r="Q220" t="e">
        <f t="shared" ca="1" si="293"/>
        <v>#REF!</v>
      </c>
      <c r="R220" t="e">
        <f t="shared" ca="1" si="293"/>
        <v>#REF!</v>
      </c>
      <c r="S220" t="e">
        <f t="shared" ca="1" si="260"/>
        <v>#REF!</v>
      </c>
      <c r="T220" t="e">
        <f t="shared" ref="T220:AC220" ca="1" si="294">S220*(1+$E220*$F220)</f>
        <v>#REF!</v>
      </c>
      <c r="U220" t="e">
        <f t="shared" ca="1" si="294"/>
        <v>#REF!</v>
      </c>
      <c r="V220" t="e">
        <f t="shared" ca="1" si="294"/>
        <v>#REF!</v>
      </c>
      <c r="W220" t="e">
        <f t="shared" ca="1" si="294"/>
        <v>#REF!</v>
      </c>
      <c r="X220" t="e">
        <f t="shared" ca="1" si="294"/>
        <v>#REF!</v>
      </c>
      <c r="Y220" t="e">
        <f t="shared" ca="1" si="294"/>
        <v>#REF!</v>
      </c>
      <c r="Z220" t="e">
        <f t="shared" ca="1" si="294"/>
        <v>#REF!</v>
      </c>
      <c r="AA220" t="e">
        <f t="shared" ca="1" si="294"/>
        <v>#REF!</v>
      </c>
      <c r="AB220" t="e">
        <f t="shared" ca="1" si="294"/>
        <v>#REF!</v>
      </c>
      <c r="AC220" t="e">
        <f t="shared" ca="1" si="294"/>
        <v>#REF!</v>
      </c>
      <c r="AD220" t="e">
        <f t="shared" ca="1" si="280"/>
        <v>#REF!</v>
      </c>
      <c r="AE220" t="e">
        <f t="shared" ca="1" si="281"/>
        <v>#REF!</v>
      </c>
      <c r="AF220" t="e">
        <f t="shared" ca="1" si="282"/>
        <v>#REF!</v>
      </c>
      <c r="AG220" t="e">
        <f t="shared" ca="1" si="283"/>
        <v>#REF!</v>
      </c>
      <c r="AH220" t="e">
        <f t="shared" ca="1" si="284"/>
        <v>#REF!</v>
      </c>
      <c r="AI220" t="e">
        <f t="shared" ca="1" si="285"/>
        <v>#REF!</v>
      </c>
      <c r="AJ220" t="e">
        <f t="shared" ca="1" si="286"/>
        <v>#REF!</v>
      </c>
      <c r="AK220" t="e">
        <f t="shared" ca="1" si="287"/>
        <v>#REF!</v>
      </c>
      <c r="AL220" t="e">
        <f t="shared" ca="1" si="288"/>
        <v>#REF!</v>
      </c>
      <c r="AM220" t="e">
        <f t="shared" ca="1" si="289"/>
        <v>#REF!</v>
      </c>
    </row>
    <row r="221" spans="1:39" x14ac:dyDescent="0.2">
      <c r="C221" t="str">
        <f t="shared" si="222"/>
        <v/>
      </c>
      <c r="E221" s="38" t="str">
        <f t="shared" si="227"/>
        <v/>
      </c>
      <c r="F221" s="38"/>
      <c r="H221" t="str">
        <f t="shared" si="229"/>
        <v/>
      </c>
      <c r="I221" t="str">
        <f t="shared" si="277"/>
        <v/>
      </c>
      <c r="S221" t="str">
        <f t="shared" si="260"/>
        <v/>
      </c>
    </row>
    <row r="222" spans="1:39" x14ac:dyDescent="0.2">
      <c r="A222" t="s">
        <v>370</v>
      </c>
      <c r="B222" t="s">
        <v>52</v>
      </c>
      <c r="C222" t="str">
        <f t="shared" si="222"/>
        <v>ouest_</v>
      </c>
      <c r="D222" t="str">
        <f>[1]Demand!$C$4</f>
        <v>Household</v>
      </c>
      <c r="E222" s="38">
        <f t="shared" ca="1" si="227"/>
        <v>0</v>
      </c>
      <c r="F222" s="42">
        <v>0.5</v>
      </c>
      <c r="G222" t="str">
        <f>D222</f>
        <v>Household</v>
      </c>
      <c r="H222" t="str">
        <f t="shared" si="229"/>
        <v>D1H75</v>
      </c>
      <c r="I222" t="e">
        <f t="shared" ca="1" si="277"/>
        <v>#REF!</v>
      </c>
      <c r="J222" t="e">
        <f t="shared" ref="J222:R222" ca="1" si="295">I222*(1+$E222)</f>
        <v>#REF!</v>
      </c>
      <c r="K222" t="e">
        <f t="shared" ca="1" si="295"/>
        <v>#REF!</v>
      </c>
      <c r="L222" t="e">
        <f t="shared" ca="1" si="295"/>
        <v>#REF!</v>
      </c>
      <c r="M222" t="e">
        <f t="shared" ca="1" si="295"/>
        <v>#REF!</v>
      </c>
      <c r="N222" t="e">
        <f t="shared" ca="1" si="295"/>
        <v>#REF!</v>
      </c>
      <c r="O222" t="e">
        <f t="shared" ca="1" si="295"/>
        <v>#REF!</v>
      </c>
      <c r="P222" t="e">
        <f t="shared" ca="1" si="295"/>
        <v>#REF!</v>
      </c>
      <c r="Q222" t="e">
        <f t="shared" ca="1" si="295"/>
        <v>#REF!</v>
      </c>
      <c r="R222" t="e">
        <f t="shared" ca="1" si="295"/>
        <v>#REF!</v>
      </c>
      <c r="S222" t="e">
        <f t="shared" ca="1" si="260"/>
        <v>#REF!</v>
      </c>
      <c r="T222" t="e">
        <f t="shared" ref="T222:AC222" ca="1" si="296">S222*(1+$E222*$F222)</f>
        <v>#REF!</v>
      </c>
      <c r="U222" t="e">
        <f t="shared" ca="1" si="296"/>
        <v>#REF!</v>
      </c>
      <c r="V222" t="e">
        <f t="shared" ca="1" si="296"/>
        <v>#REF!</v>
      </c>
      <c r="W222" t="e">
        <f t="shared" ca="1" si="296"/>
        <v>#REF!</v>
      </c>
      <c r="X222" t="e">
        <f t="shared" ca="1" si="296"/>
        <v>#REF!</v>
      </c>
      <c r="Y222" t="e">
        <f t="shared" ca="1" si="296"/>
        <v>#REF!</v>
      </c>
      <c r="Z222" t="e">
        <f t="shared" ca="1" si="296"/>
        <v>#REF!</v>
      </c>
      <c r="AA222" t="e">
        <f t="shared" ca="1" si="296"/>
        <v>#REF!</v>
      </c>
      <c r="AB222" t="e">
        <f t="shared" ca="1" si="296"/>
        <v>#REF!</v>
      </c>
      <c r="AC222" t="e">
        <f t="shared" ca="1" si="296"/>
        <v>#REF!</v>
      </c>
      <c r="AD222" t="e">
        <f t="shared" ref="AD222:AD224" ca="1" si="297">AC222*(1+$E222*$F222)</f>
        <v>#REF!</v>
      </c>
      <c r="AE222" t="e">
        <f t="shared" ref="AE222:AE224" ca="1" si="298">AD222*(1+$E222*$F222)</f>
        <v>#REF!</v>
      </c>
      <c r="AF222" t="e">
        <f t="shared" ref="AF222:AF224" ca="1" si="299">AE222*(1+$E222*$F222)</f>
        <v>#REF!</v>
      </c>
      <c r="AG222" t="e">
        <f t="shared" ref="AG222:AG224" ca="1" si="300">AF222*(1+$E222*$F222)</f>
        <v>#REF!</v>
      </c>
      <c r="AH222" t="e">
        <f t="shared" ref="AH222:AH224" ca="1" si="301">AG222*(1+$E222*$F222)</f>
        <v>#REF!</v>
      </c>
      <c r="AI222" t="e">
        <f t="shared" ref="AI222:AI224" ca="1" si="302">AH222*(1+$E222*$F222)</f>
        <v>#REF!</v>
      </c>
      <c r="AJ222" t="e">
        <f t="shared" ref="AJ222:AJ224" ca="1" si="303">AI222*(1+$E222*$F222)</f>
        <v>#REF!</v>
      </c>
      <c r="AK222" t="e">
        <f t="shared" ref="AK222:AK224" ca="1" si="304">AJ222*(1+$E222*$F222)</f>
        <v>#REF!</v>
      </c>
      <c r="AL222" t="e">
        <f t="shared" ref="AL222:AL224" ca="1" si="305">AK222*(1+$E222*$F222)</f>
        <v>#REF!</v>
      </c>
      <c r="AM222" t="e">
        <f t="shared" ref="AM222:AM224" ca="1" si="306">AL222*(1+$E222*$F222)</f>
        <v>#REF!</v>
      </c>
    </row>
    <row r="223" spans="1:39" x14ac:dyDescent="0.2">
      <c r="A223" t="s">
        <v>370</v>
      </c>
      <c r="B223" t="s">
        <v>52</v>
      </c>
      <c r="C223" t="str">
        <f t="shared" si="222"/>
        <v>ouest_</v>
      </c>
      <c r="D223" t="str">
        <f>[1]Demand!$C$5</f>
        <v>Industry</v>
      </c>
      <c r="E223" s="38">
        <f t="shared" ca="1" si="227"/>
        <v>0</v>
      </c>
      <c r="F223" s="42">
        <v>0.5</v>
      </c>
      <c r="G223" t="str">
        <f t="shared" ref="G223:G224" si="307">D223</f>
        <v>Industry</v>
      </c>
      <c r="H223" t="str">
        <f t="shared" si="229"/>
        <v>D1H75</v>
      </c>
      <c r="I223" t="e">
        <f t="shared" ca="1" si="277"/>
        <v>#REF!</v>
      </c>
      <c r="J223" t="e">
        <f t="shared" ref="J223:R223" ca="1" si="308">I223*(1+$E223)</f>
        <v>#REF!</v>
      </c>
      <c r="K223" t="e">
        <f t="shared" ca="1" si="308"/>
        <v>#REF!</v>
      </c>
      <c r="L223" t="e">
        <f t="shared" ca="1" si="308"/>
        <v>#REF!</v>
      </c>
      <c r="M223" t="e">
        <f t="shared" ca="1" si="308"/>
        <v>#REF!</v>
      </c>
      <c r="N223" t="e">
        <f t="shared" ca="1" si="308"/>
        <v>#REF!</v>
      </c>
      <c r="O223" t="e">
        <f t="shared" ca="1" si="308"/>
        <v>#REF!</v>
      </c>
      <c r="P223" t="e">
        <f t="shared" ca="1" si="308"/>
        <v>#REF!</v>
      </c>
      <c r="Q223" t="e">
        <f t="shared" ca="1" si="308"/>
        <v>#REF!</v>
      </c>
      <c r="R223" t="e">
        <f t="shared" ca="1" si="308"/>
        <v>#REF!</v>
      </c>
      <c r="S223" t="e">
        <f t="shared" ca="1" si="260"/>
        <v>#REF!</v>
      </c>
      <c r="T223" t="e">
        <f t="shared" ref="T223:AC223" ca="1" si="309">S223*(1+$E223*$F223)</f>
        <v>#REF!</v>
      </c>
      <c r="U223" t="e">
        <f t="shared" ca="1" si="309"/>
        <v>#REF!</v>
      </c>
      <c r="V223" t="e">
        <f t="shared" ca="1" si="309"/>
        <v>#REF!</v>
      </c>
      <c r="W223" t="e">
        <f t="shared" ca="1" si="309"/>
        <v>#REF!</v>
      </c>
      <c r="X223" t="e">
        <f t="shared" ca="1" si="309"/>
        <v>#REF!</v>
      </c>
      <c r="Y223" t="e">
        <f t="shared" ca="1" si="309"/>
        <v>#REF!</v>
      </c>
      <c r="Z223" t="e">
        <f t="shared" ca="1" si="309"/>
        <v>#REF!</v>
      </c>
      <c r="AA223" t="e">
        <f t="shared" ca="1" si="309"/>
        <v>#REF!</v>
      </c>
      <c r="AB223" t="e">
        <f t="shared" ca="1" si="309"/>
        <v>#REF!</v>
      </c>
      <c r="AC223" t="e">
        <f t="shared" ca="1" si="309"/>
        <v>#REF!</v>
      </c>
      <c r="AD223" t="e">
        <f t="shared" ca="1" si="297"/>
        <v>#REF!</v>
      </c>
      <c r="AE223" t="e">
        <f t="shared" ca="1" si="298"/>
        <v>#REF!</v>
      </c>
      <c r="AF223" t="e">
        <f t="shared" ca="1" si="299"/>
        <v>#REF!</v>
      </c>
      <c r="AG223" t="e">
        <f t="shared" ca="1" si="300"/>
        <v>#REF!</v>
      </c>
      <c r="AH223" t="e">
        <f t="shared" ca="1" si="301"/>
        <v>#REF!</v>
      </c>
      <c r="AI223" t="e">
        <f t="shared" ca="1" si="302"/>
        <v>#REF!</v>
      </c>
      <c r="AJ223" t="e">
        <f t="shared" ca="1" si="303"/>
        <v>#REF!</v>
      </c>
      <c r="AK223" t="e">
        <f t="shared" ca="1" si="304"/>
        <v>#REF!</v>
      </c>
      <c r="AL223" t="e">
        <f t="shared" ca="1" si="305"/>
        <v>#REF!</v>
      </c>
      <c r="AM223" t="e">
        <f t="shared" ca="1" si="306"/>
        <v>#REF!</v>
      </c>
    </row>
    <row r="224" spans="1:39" x14ac:dyDescent="0.2">
      <c r="A224" t="s">
        <v>370</v>
      </c>
      <c r="B224" t="s">
        <v>52</v>
      </c>
      <c r="C224" t="str">
        <f t="shared" si="222"/>
        <v>ouest_</v>
      </c>
      <c r="D224" t="str">
        <f>[1]Demand!$C$6</f>
        <v>Other</v>
      </c>
      <c r="E224" s="38">
        <f t="shared" ca="1" si="227"/>
        <v>0</v>
      </c>
      <c r="F224" s="42">
        <v>0.5</v>
      </c>
      <c r="G224" t="str">
        <f t="shared" si="307"/>
        <v>Other</v>
      </c>
      <c r="H224" t="str">
        <f t="shared" si="229"/>
        <v>D1H75</v>
      </c>
      <c r="I224" t="e">
        <f t="shared" ca="1" si="277"/>
        <v>#REF!</v>
      </c>
      <c r="J224" t="e">
        <f t="shared" ref="J224:R224" ca="1" si="310">I224*(1+$E224)</f>
        <v>#REF!</v>
      </c>
      <c r="K224" t="e">
        <f t="shared" ca="1" si="310"/>
        <v>#REF!</v>
      </c>
      <c r="L224" t="e">
        <f t="shared" ca="1" si="310"/>
        <v>#REF!</v>
      </c>
      <c r="M224" t="e">
        <f t="shared" ca="1" si="310"/>
        <v>#REF!</v>
      </c>
      <c r="N224" t="e">
        <f t="shared" ca="1" si="310"/>
        <v>#REF!</v>
      </c>
      <c r="O224" t="e">
        <f t="shared" ca="1" si="310"/>
        <v>#REF!</v>
      </c>
      <c r="P224" t="e">
        <f t="shared" ca="1" si="310"/>
        <v>#REF!</v>
      </c>
      <c r="Q224" t="e">
        <f t="shared" ca="1" si="310"/>
        <v>#REF!</v>
      </c>
      <c r="R224" t="e">
        <f t="shared" ca="1" si="310"/>
        <v>#REF!</v>
      </c>
      <c r="S224" t="e">
        <f t="shared" ca="1" si="260"/>
        <v>#REF!</v>
      </c>
      <c r="T224" t="e">
        <f t="shared" ref="T224:AC224" ca="1" si="311">S224*(1+$E224*$F224)</f>
        <v>#REF!</v>
      </c>
      <c r="U224" t="e">
        <f t="shared" ca="1" si="311"/>
        <v>#REF!</v>
      </c>
      <c r="V224" t="e">
        <f t="shared" ca="1" si="311"/>
        <v>#REF!</v>
      </c>
      <c r="W224" t="e">
        <f t="shared" ca="1" si="311"/>
        <v>#REF!</v>
      </c>
      <c r="X224" t="e">
        <f t="shared" ca="1" si="311"/>
        <v>#REF!</v>
      </c>
      <c r="Y224" t="e">
        <f t="shared" ca="1" si="311"/>
        <v>#REF!</v>
      </c>
      <c r="Z224" t="e">
        <f t="shared" ca="1" si="311"/>
        <v>#REF!</v>
      </c>
      <c r="AA224" t="e">
        <f t="shared" ca="1" si="311"/>
        <v>#REF!</v>
      </c>
      <c r="AB224" t="e">
        <f t="shared" ca="1" si="311"/>
        <v>#REF!</v>
      </c>
      <c r="AC224" t="e">
        <f t="shared" ca="1" si="311"/>
        <v>#REF!</v>
      </c>
      <c r="AD224" t="e">
        <f t="shared" ca="1" si="297"/>
        <v>#REF!</v>
      </c>
      <c r="AE224" t="e">
        <f t="shared" ca="1" si="298"/>
        <v>#REF!</v>
      </c>
      <c r="AF224" t="e">
        <f t="shared" ca="1" si="299"/>
        <v>#REF!</v>
      </c>
      <c r="AG224" t="e">
        <f t="shared" ca="1" si="300"/>
        <v>#REF!</v>
      </c>
      <c r="AH224" t="e">
        <f t="shared" ca="1" si="301"/>
        <v>#REF!</v>
      </c>
      <c r="AI224" t="e">
        <f t="shared" ca="1" si="302"/>
        <v>#REF!</v>
      </c>
      <c r="AJ224" t="e">
        <f t="shared" ca="1" si="303"/>
        <v>#REF!</v>
      </c>
      <c r="AK224" t="e">
        <f t="shared" ca="1" si="304"/>
        <v>#REF!</v>
      </c>
      <c r="AL224" t="e">
        <f t="shared" ca="1" si="305"/>
        <v>#REF!</v>
      </c>
      <c r="AM224" t="e">
        <f t="shared" ca="1" si="306"/>
        <v>#REF!</v>
      </c>
    </row>
    <row r="225" spans="1:39" x14ac:dyDescent="0.2">
      <c r="E225" s="38"/>
      <c r="F225" s="38"/>
      <c r="H225" t="str">
        <f t="shared" si="229"/>
        <v/>
      </c>
    </row>
    <row r="226" spans="1:39" x14ac:dyDescent="0.2">
      <c r="A226" t="s">
        <v>365</v>
      </c>
      <c r="B226" t="s">
        <v>52</v>
      </c>
      <c r="C226" t="str">
        <f t="shared" ref="C226:C236" si="312">IF(B226="D1","ouest_",IF(B226="D2","sud_",IF(B226="D3","est_","")))</f>
        <v>ouest_</v>
      </c>
      <c r="D226" t="str">
        <f>[1]Demand!$C$4</f>
        <v>Household</v>
      </c>
      <c r="E226" s="38">
        <f t="shared" ref="E226:E236" ca="1" si="313">IF(A226="","",IFERROR((S226/I226)^(1/($S$201-$I$201))-1,0))</f>
        <v>0</v>
      </c>
      <c r="F226" s="42">
        <v>0.5</v>
      </c>
      <c r="G226" t="str">
        <f>D226</f>
        <v>Household</v>
      </c>
      <c r="H226" t="str">
        <f t="shared" si="229"/>
        <v>D1L100</v>
      </c>
      <c r="I226" t="e">
        <f ca="1">IF(A226="","",SUMIFS(H$28:H$134,B$28:B$134,$B226,A$28:A$134,$G$154,F$28:F$134,$D226))</f>
        <v>#REF!</v>
      </c>
      <c r="J226" t="e">
        <f t="shared" ref="J226:R226" ca="1" si="314">I226*(1+$E226)</f>
        <v>#REF!</v>
      </c>
      <c r="K226" t="e">
        <f t="shared" ca="1" si="314"/>
        <v>#REF!</v>
      </c>
      <c r="L226" t="e">
        <f t="shared" ca="1" si="314"/>
        <v>#REF!</v>
      </c>
      <c r="M226" t="e">
        <f t="shared" ca="1" si="314"/>
        <v>#REF!</v>
      </c>
      <c r="N226" t="e">
        <f t="shared" ca="1" si="314"/>
        <v>#REF!</v>
      </c>
      <c r="O226" t="e">
        <f t="shared" ca="1" si="314"/>
        <v>#REF!</v>
      </c>
      <c r="P226" t="e">
        <f t="shared" ca="1" si="314"/>
        <v>#REF!</v>
      </c>
      <c r="Q226" t="e">
        <f t="shared" ca="1" si="314"/>
        <v>#REF!</v>
      </c>
      <c r="R226" t="e">
        <f t="shared" ca="1" si="314"/>
        <v>#REF!</v>
      </c>
      <c r="S226" t="e">
        <f t="shared" ref="S226:S236" ca="1" si="315">IF(A226="","",SUMIFS(R$28:R$134,B$28:B$134,$B226,A$28:A$134,$A226,F$28:F$134,$D226))</f>
        <v>#REF!</v>
      </c>
      <c r="T226" t="e">
        <f t="shared" ref="T226:AC226" ca="1" si="316">S226*(1+$E226*$F226)</f>
        <v>#REF!</v>
      </c>
      <c r="U226" t="e">
        <f t="shared" ca="1" si="316"/>
        <v>#REF!</v>
      </c>
      <c r="V226" t="e">
        <f t="shared" ca="1" si="316"/>
        <v>#REF!</v>
      </c>
      <c r="W226" t="e">
        <f t="shared" ca="1" si="316"/>
        <v>#REF!</v>
      </c>
      <c r="X226" t="e">
        <f t="shared" ca="1" si="316"/>
        <v>#REF!</v>
      </c>
      <c r="Y226" t="e">
        <f t="shared" ca="1" si="316"/>
        <v>#REF!</v>
      </c>
      <c r="Z226" t="e">
        <f t="shared" ca="1" si="316"/>
        <v>#REF!</v>
      </c>
      <c r="AA226" t="e">
        <f t="shared" ca="1" si="316"/>
        <v>#REF!</v>
      </c>
      <c r="AB226" t="e">
        <f t="shared" ca="1" si="316"/>
        <v>#REF!</v>
      </c>
      <c r="AC226" t="e">
        <f t="shared" ca="1" si="316"/>
        <v>#REF!</v>
      </c>
      <c r="AD226" t="e">
        <f t="shared" ref="AD226:AD228" ca="1" si="317">AC226*(1+$E226*$F226)</f>
        <v>#REF!</v>
      </c>
      <c r="AE226" t="e">
        <f t="shared" ref="AE226:AE228" ca="1" si="318">AD226*(1+$E226*$F226)</f>
        <v>#REF!</v>
      </c>
      <c r="AF226" t="e">
        <f t="shared" ref="AF226:AF228" ca="1" si="319">AE226*(1+$E226*$F226)</f>
        <v>#REF!</v>
      </c>
      <c r="AG226" t="e">
        <f t="shared" ref="AG226:AG228" ca="1" si="320">AF226*(1+$E226*$F226)</f>
        <v>#REF!</v>
      </c>
      <c r="AH226" t="e">
        <f t="shared" ref="AH226:AH228" ca="1" si="321">AG226*(1+$E226*$F226)</f>
        <v>#REF!</v>
      </c>
      <c r="AI226" t="e">
        <f t="shared" ref="AI226:AI228" ca="1" si="322">AH226*(1+$E226*$F226)</f>
        <v>#REF!</v>
      </c>
      <c r="AJ226" t="e">
        <f t="shared" ref="AJ226:AJ228" ca="1" si="323">AI226*(1+$E226*$F226)</f>
        <v>#REF!</v>
      </c>
      <c r="AK226" t="e">
        <f t="shared" ref="AK226:AK228" ca="1" si="324">AJ226*(1+$E226*$F226)</f>
        <v>#REF!</v>
      </c>
      <c r="AL226" t="e">
        <f t="shared" ref="AL226:AL228" ca="1" si="325">AK226*(1+$E226*$F226)</f>
        <v>#REF!</v>
      </c>
      <c r="AM226" t="e">
        <f t="shared" ref="AM226:AM228" ca="1" si="326">AL226*(1+$E226*$F226)</f>
        <v>#REF!</v>
      </c>
    </row>
    <row r="227" spans="1:39" x14ac:dyDescent="0.2">
      <c r="A227" t="s">
        <v>365</v>
      </c>
      <c r="B227" t="s">
        <v>52</v>
      </c>
      <c r="C227" t="str">
        <f t="shared" si="312"/>
        <v>ouest_</v>
      </c>
      <c r="D227" t="str">
        <f>[1]Demand!$C$5</f>
        <v>Industry</v>
      </c>
      <c r="E227" s="38">
        <f t="shared" ca="1" si="313"/>
        <v>0</v>
      </c>
      <c r="F227" s="42">
        <v>0.5</v>
      </c>
      <c r="G227" t="str">
        <f t="shared" ref="G227:G228" si="327">D227</f>
        <v>Industry</v>
      </c>
      <c r="H227" t="str">
        <f t="shared" si="229"/>
        <v>D1L100</v>
      </c>
      <c r="I227" t="e">
        <f ca="1">IF(A227="","",SUMIFS(H$28:H$134,B$28:B$134,$B227,A$28:A$134,$G$154,F$28:F$134,$D227))</f>
        <v>#REF!</v>
      </c>
      <c r="J227" t="e">
        <f t="shared" ref="J227:R227" ca="1" si="328">I227*(1+$E227)</f>
        <v>#REF!</v>
      </c>
      <c r="K227" t="e">
        <f t="shared" ca="1" si="328"/>
        <v>#REF!</v>
      </c>
      <c r="L227" t="e">
        <f t="shared" ca="1" si="328"/>
        <v>#REF!</v>
      </c>
      <c r="M227" t="e">
        <f t="shared" ca="1" si="328"/>
        <v>#REF!</v>
      </c>
      <c r="N227" t="e">
        <f t="shared" ca="1" si="328"/>
        <v>#REF!</v>
      </c>
      <c r="O227" t="e">
        <f t="shared" ca="1" si="328"/>
        <v>#REF!</v>
      </c>
      <c r="P227" t="e">
        <f t="shared" ca="1" si="328"/>
        <v>#REF!</v>
      </c>
      <c r="Q227" t="e">
        <f t="shared" ca="1" si="328"/>
        <v>#REF!</v>
      </c>
      <c r="R227" t="e">
        <f t="shared" ca="1" si="328"/>
        <v>#REF!</v>
      </c>
      <c r="S227" t="e">
        <f t="shared" ca="1" si="315"/>
        <v>#REF!</v>
      </c>
      <c r="T227" t="e">
        <f t="shared" ref="T227:AC227" ca="1" si="329">S227*(1+$E227*$F227)</f>
        <v>#REF!</v>
      </c>
      <c r="U227" t="e">
        <f t="shared" ca="1" si="329"/>
        <v>#REF!</v>
      </c>
      <c r="V227" t="e">
        <f t="shared" ca="1" si="329"/>
        <v>#REF!</v>
      </c>
      <c r="W227" t="e">
        <f t="shared" ca="1" si="329"/>
        <v>#REF!</v>
      </c>
      <c r="X227" t="e">
        <f t="shared" ca="1" si="329"/>
        <v>#REF!</v>
      </c>
      <c r="Y227" t="e">
        <f t="shared" ca="1" si="329"/>
        <v>#REF!</v>
      </c>
      <c r="Z227" t="e">
        <f t="shared" ca="1" si="329"/>
        <v>#REF!</v>
      </c>
      <c r="AA227" t="e">
        <f t="shared" ca="1" si="329"/>
        <v>#REF!</v>
      </c>
      <c r="AB227" t="e">
        <f t="shared" ca="1" si="329"/>
        <v>#REF!</v>
      </c>
      <c r="AC227" t="e">
        <f t="shared" ca="1" si="329"/>
        <v>#REF!</v>
      </c>
      <c r="AD227" t="e">
        <f t="shared" ca="1" si="317"/>
        <v>#REF!</v>
      </c>
      <c r="AE227" t="e">
        <f t="shared" ca="1" si="318"/>
        <v>#REF!</v>
      </c>
      <c r="AF227" t="e">
        <f t="shared" ca="1" si="319"/>
        <v>#REF!</v>
      </c>
      <c r="AG227" t="e">
        <f t="shared" ca="1" si="320"/>
        <v>#REF!</v>
      </c>
      <c r="AH227" t="e">
        <f t="shared" ca="1" si="321"/>
        <v>#REF!</v>
      </c>
      <c r="AI227" t="e">
        <f t="shared" ca="1" si="322"/>
        <v>#REF!</v>
      </c>
      <c r="AJ227" t="e">
        <f t="shared" ca="1" si="323"/>
        <v>#REF!</v>
      </c>
      <c r="AK227" t="e">
        <f t="shared" ca="1" si="324"/>
        <v>#REF!</v>
      </c>
      <c r="AL227" t="e">
        <f t="shared" ca="1" si="325"/>
        <v>#REF!</v>
      </c>
      <c r="AM227" t="e">
        <f t="shared" ca="1" si="326"/>
        <v>#REF!</v>
      </c>
    </row>
    <row r="228" spans="1:39" x14ac:dyDescent="0.2">
      <c r="A228" t="s">
        <v>365</v>
      </c>
      <c r="B228" t="s">
        <v>52</v>
      </c>
      <c r="C228" t="str">
        <f t="shared" si="312"/>
        <v>ouest_</v>
      </c>
      <c r="D228" t="str">
        <f>[1]Demand!$C$6</f>
        <v>Other</v>
      </c>
      <c r="E228" s="38">
        <f t="shared" ca="1" si="313"/>
        <v>0</v>
      </c>
      <c r="F228" s="42">
        <v>0.5</v>
      </c>
      <c r="G228" t="str">
        <f t="shared" si="327"/>
        <v>Other</v>
      </c>
      <c r="H228" t="str">
        <f t="shared" si="229"/>
        <v>D1L100</v>
      </c>
      <c r="I228" t="e">
        <f ca="1">IF(A228="","",SUMIFS(H$28:H$134,B$28:B$134,$B228,A$28:A$134,$G$154,F$28:F$134,$D228))</f>
        <v>#REF!</v>
      </c>
      <c r="J228" t="e">
        <f t="shared" ref="J228:R228" ca="1" si="330">I228*(1+$E228)</f>
        <v>#REF!</v>
      </c>
      <c r="K228" t="e">
        <f t="shared" ca="1" si="330"/>
        <v>#REF!</v>
      </c>
      <c r="L228" t="e">
        <f t="shared" ca="1" si="330"/>
        <v>#REF!</v>
      </c>
      <c r="M228" t="e">
        <f t="shared" ca="1" si="330"/>
        <v>#REF!</v>
      </c>
      <c r="N228" t="e">
        <f t="shared" ca="1" si="330"/>
        <v>#REF!</v>
      </c>
      <c r="O228" t="e">
        <f t="shared" ca="1" si="330"/>
        <v>#REF!</v>
      </c>
      <c r="P228" t="e">
        <f t="shared" ca="1" si="330"/>
        <v>#REF!</v>
      </c>
      <c r="Q228" t="e">
        <f t="shared" ca="1" si="330"/>
        <v>#REF!</v>
      </c>
      <c r="R228" t="e">
        <f t="shared" ca="1" si="330"/>
        <v>#REF!</v>
      </c>
      <c r="S228" t="e">
        <f t="shared" ca="1" si="315"/>
        <v>#REF!</v>
      </c>
      <c r="T228" t="e">
        <f t="shared" ref="T228:AC228" ca="1" si="331">S228*(1+$E228*$F228)</f>
        <v>#REF!</v>
      </c>
      <c r="U228" t="e">
        <f t="shared" ca="1" si="331"/>
        <v>#REF!</v>
      </c>
      <c r="V228" t="e">
        <f t="shared" ca="1" si="331"/>
        <v>#REF!</v>
      </c>
      <c r="W228" t="e">
        <f t="shared" ca="1" si="331"/>
        <v>#REF!</v>
      </c>
      <c r="X228" t="e">
        <f t="shared" ca="1" si="331"/>
        <v>#REF!</v>
      </c>
      <c r="Y228" t="e">
        <f t="shared" ca="1" si="331"/>
        <v>#REF!</v>
      </c>
      <c r="Z228" t="e">
        <f t="shared" ca="1" si="331"/>
        <v>#REF!</v>
      </c>
      <c r="AA228" t="e">
        <f t="shared" ca="1" si="331"/>
        <v>#REF!</v>
      </c>
      <c r="AB228" t="e">
        <f t="shared" ca="1" si="331"/>
        <v>#REF!</v>
      </c>
      <c r="AC228" t="e">
        <f t="shared" ca="1" si="331"/>
        <v>#REF!</v>
      </c>
      <c r="AD228" t="e">
        <f t="shared" ca="1" si="317"/>
        <v>#REF!</v>
      </c>
      <c r="AE228" t="e">
        <f t="shared" ca="1" si="318"/>
        <v>#REF!</v>
      </c>
      <c r="AF228" t="e">
        <f t="shared" ca="1" si="319"/>
        <v>#REF!</v>
      </c>
      <c r="AG228" t="e">
        <f t="shared" ca="1" si="320"/>
        <v>#REF!</v>
      </c>
      <c r="AH228" t="e">
        <f t="shared" ca="1" si="321"/>
        <v>#REF!</v>
      </c>
      <c r="AI228" t="e">
        <f t="shared" ca="1" si="322"/>
        <v>#REF!</v>
      </c>
      <c r="AJ228" t="e">
        <f t="shared" ca="1" si="323"/>
        <v>#REF!</v>
      </c>
      <c r="AK228" t="e">
        <f t="shared" ca="1" si="324"/>
        <v>#REF!</v>
      </c>
      <c r="AL228" t="e">
        <f t="shared" ca="1" si="325"/>
        <v>#REF!</v>
      </c>
      <c r="AM228" t="e">
        <f t="shared" ca="1" si="326"/>
        <v>#REF!</v>
      </c>
    </row>
    <row r="229" spans="1:39" x14ac:dyDescent="0.2">
      <c r="C229" t="str">
        <f t="shared" si="312"/>
        <v/>
      </c>
      <c r="E229" s="38" t="str">
        <f t="shared" si="313"/>
        <v/>
      </c>
      <c r="F229" s="38"/>
      <c r="H229" t="str">
        <f t="shared" si="229"/>
        <v/>
      </c>
      <c r="S229" t="str">
        <f t="shared" si="315"/>
        <v/>
      </c>
    </row>
    <row r="230" spans="1:39" x14ac:dyDescent="0.2">
      <c r="A230" t="s">
        <v>369</v>
      </c>
      <c r="B230" t="s">
        <v>52</v>
      </c>
      <c r="C230" t="str">
        <f t="shared" si="312"/>
        <v>ouest_</v>
      </c>
      <c r="D230" t="str">
        <f>[1]Demand!$C$4</f>
        <v>Household</v>
      </c>
      <c r="E230" s="38">
        <f t="shared" ca="1" si="313"/>
        <v>0</v>
      </c>
      <c r="F230" s="42">
        <v>0.5</v>
      </c>
      <c r="G230" t="str">
        <f>D230</f>
        <v>Household</v>
      </c>
      <c r="H230" t="str">
        <f t="shared" si="229"/>
        <v>D1M100</v>
      </c>
      <c r="I230" t="e">
        <f t="shared" ref="I230:I236" ca="1" si="332">IF(A230="","",SUMIFS(H$28:H$134,B$28:B$134,$B230,A$28:A$134,$G$154,F$28:F$134,$D230))</f>
        <v>#REF!</v>
      </c>
      <c r="J230" t="e">
        <f t="shared" ref="J230:R230" ca="1" si="333">I230*(1+$E230)</f>
        <v>#REF!</v>
      </c>
      <c r="K230" t="e">
        <f t="shared" ca="1" si="333"/>
        <v>#REF!</v>
      </c>
      <c r="L230" t="e">
        <f t="shared" ca="1" si="333"/>
        <v>#REF!</v>
      </c>
      <c r="M230" t="e">
        <f t="shared" ca="1" si="333"/>
        <v>#REF!</v>
      </c>
      <c r="N230" t="e">
        <f t="shared" ca="1" si="333"/>
        <v>#REF!</v>
      </c>
      <c r="O230" t="e">
        <f t="shared" ca="1" si="333"/>
        <v>#REF!</v>
      </c>
      <c r="P230" t="e">
        <f t="shared" ca="1" si="333"/>
        <v>#REF!</v>
      </c>
      <c r="Q230" t="e">
        <f t="shared" ca="1" si="333"/>
        <v>#REF!</v>
      </c>
      <c r="R230" t="e">
        <f t="shared" ca="1" si="333"/>
        <v>#REF!</v>
      </c>
      <c r="S230" t="e">
        <f t="shared" ca="1" si="315"/>
        <v>#REF!</v>
      </c>
      <c r="T230" t="e">
        <f t="shared" ref="T230:AC230" ca="1" si="334">S230*(1+$E230*$F230)</f>
        <v>#REF!</v>
      </c>
      <c r="U230" t="e">
        <f t="shared" ca="1" si="334"/>
        <v>#REF!</v>
      </c>
      <c r="V230" t="e">
        <f t="shared" ca="1" si="334"/>
        <v>#REF!</v>
      </c>
      <c r="W230" t="e">
        <f t="shared" ca="1" si="334"/>
        <v>#REF!</v>
      </c>
      <c r="X230" t="e">
        <f t="shared" ca="1" si="334"/>
        <v>#REF!</v>
      </c>
      <c r="Y230" t="e">
        <f t="shared" ca="1" si="334"/>
        <v>#REF!</v>
      </c>
      <c r="Z230" t="e">
        <f t="shared" ca="1" si="334"/>
        <v>#REF!</v>
      </c>
      <c r="AA230" t="e">
        <f t="shared" ca="1" si="334"/>
        <v>#REF!</v>
      </c>
      <c r="AB230" t="e">
        <f t="shared" ca="1" si="334"/>
        <v>#REF!</v>
      </c>
      <c r="AC230" t="e">
        <f t="shared" ca="1" si="334"/>
        <v>#REF!</v>
      </c>
      <c r="AD230" t="e">
        <f t="shared" ref="AD230:AD232" ca="1" si="335">AC230*(1+$E230*$F230)</f>
        <v>#REF!</v>
      </c>
      <c r="AE230" t="e">
        <f t="shared" ref="AE230:AE232" ca="1" si="336">AD230*(1+$E230*$F230)</f>
        <v>#REF!</v>
      </c>
      <c r="AF230" t="e">
        <f t="shared" ref="AF230:AF232" ca="1" si="337">AE230*(1+$E230*$F230)</f>
        <v>#REF!</v>
      </c>
      <c r="AG230" t="e">
        <f t="shared" ref="AG230:AG232" ca="1" si="338">AF230*(1+$E230*$F230)</f>
        <v>#REF!</v>
      </c>
      <c r="AH230" t="e">
        <f t="shared" ref="AH230:AH232" ca="1" si="339">AG230*(1+$E230*$F230)</f>
        <v>#REF!</v>
      </c>
      <c r="AI230" t="e">
        <f t="shared" ref="AI230:AI232" ca="1" si="340">AH230*(1+$E230*$F230)</f>
        <v>#REF!</v>
      </c>
      <c r="AJ230" t="e">
        <f t="shared" ref="AJ230:AJ232" ca="1" si="341">AI230*(1+$E230*$F230)</f>
        <v>#REF!</v>
      </c>
      <c r="AK230" t="e">
        <f t="shared" ref="AK230:AK232" ca="1" si="342">AJ230*(1+$E230*$F230)</f>
        <v>#REF!</v>
      </c>
      <c r="AL230" t="e">
        <f t="shared" ref="AL230:AL232" ca="1" si="343">AK230*(1+$E230*$F230)</f>
        <v>#REF!</v>
      </c>
      <c r="AM230" t="e">
        <f t="shared" ref="AM230:AM232" ca="1" si="344">AL230*(1+$E230*$F230)</f>
        <v>#REF!</v>
      </c>
    </row>
    <row r="231" spans="1:39" x14ac:dyDescent="0.2">
      <c r="A231" t="s">
        <v>369</v>
      </c>
      <c r="B231" t="s">
        <v>52</v>
      </c>
      <c r="C231" t="str">
        <f t="shared" si="312"/>
        <v>ouest_</v>
      </c>
      <c r="D231" t="str">
        <f>[1]Demand!$C$5</f>
        <v>Industry</v>
      </c>
      <c r="E231" s="38">
        <f t="shared" ca="1" si="313"/>
        <v>0</v>
      </c>
      <c r="F231" s="42">
        <v>0.5</v>
      </c>
      <c r="G231" t="str">
        <f t="shared" ref="G231:G232" si="345">D231</f>
        <v>Industry</v>
      </c>
      <c r="H231" t="str">
        <f t="shared" si="229"/>
        <v>D1M100</v>
      </c>
      <c r="I231" t="e">
        <f t="shared" ca="1" si="332"/>
        <v>#REF!</v>
      </c>
      <c r="J231" t="e">
        <f t="shared" ref="J231:R231" ca="1" si="346">I231*(1+$E231)</f>
        <v>#REF!</v>
      </c>
      <c r="K231" t="e">
        <f t="shared" ca="1" si="346"/>
        <v>#REF!</v>
      </c>
      <c r="L231" t="e">
        <f t="shared" ca="1" si="346"/>
        <v>#REF!</v>
      </c>
      <c r="M231" t="e">
        <f t="shared" ca="1" si="346"/>
        <v>#REF!</v>
      </c>
      <c r="N231" t="e">
        <f t="shared" ca="1" si="346"/>
        <v>#REF!</v>
      </c>
      <c r="O231" t="e">
        <f t="shared" ca="1" si="346"/>
        <v>#REF!</v>
      </c>
      <c r="P231" t="e">
        <f t="shared" ca="1" si="346"/>
        <v>#REF!</v>
      </c>
      <c r="Q231" t="e">
        <f t="shared" ca="1" si="346"/>
        <v>#REF!</v>
      </c>
      <c r="R231" t="e">
        <f t="shared" ca="1" si="346"/>
        <v>#REF!</v>
      </c>
      <c r="S231" t="e">
        <f t="shared" ca="1" si="315"/>
        <v>#REF!</v>
      </c>
      <c r="T231" t="e">
        <f t="shared" ref="T231:AC231" ca="1" si="347">S231*(1+$E231*$F231)</f>
        <v>#REF!</v>
      </c>
      <c r="U231" t="e">
        <f t="shared" ca="1" si="347"/>
        <v>#REF!</v>
      </c>
      <c r="V231" t="e">
        <f t="shared" ca="1" si="347"/>
        <v>#REF!</v>
      </c>
      <c r="W231" t="e">
        <f t="shared" ca="1" si="347"/>
        <v>#REF!</v>
      </c>
      <c r="X231" t="e">
        <f t="shared" ca="1" si="347"/>
        <v>#REF!</v>
      </c>
      <c r="Y231" t="e">
        <f t="shared" ca="1" si="347"/>
        <v>#REF!</v>
      </c>
      <c r="Z231" t="e">
        <f t="shared" ca="1" si="347"/>
        <v>#REF!</v>
      </c>
      <c r="AA231" t="e">
        <f t="shared" ca="1" si="347"/>
        <v>#REF!</v>
      </c>
      <c r="AB231" t="e">
        <f t="shared" ca="1" si="347"/>
        <v>#REF!</v>
      </c>
      <c r="AC231" t="e">
        <f t="shared" ca="1" si="347"/>
        <v>#REF!</v>
      </c>
      <c r="AD231" t="e">
        <f t="shared" ca="1" si="335"/>
        <v>#REF!</v>
      </c>
      <c r="AE231" t="e">
        <f t="shared" ca="1" si="336"/>
        <v>#REF!</v>
      </c>
      <c r="AF231" t="e">
        <f t="shared" ca="1" si="337"/>
        <v>#REF!</v>
      </c>
      <c r="AG231" t="e">
        <f t="shared" ca="1" si="338"/>
        <v>#REF!</v>
      </c>
      <c r="AH231" t="e">
        <f t="shared" ca="1" si="339"/>
        <v>#REF!</v>
      </c>
      <c r="AI231" t="e">
        <f t="shared" ca="1" si="340"/>
        <v>#REF!</v>
      </c>
      <c r="AJ231" t="e">
        <f t="shared" ca="1" si="341"/>
        <v>#REF!</v>
      </c>
      <c r="AK231" t="e">
        <f t="shared" ca="1" si="342"/>
        <v>#REF!</v>
      </c>
      <c r="AL231" t="e">
        <f t="shared" ca="1" si="343"/>
        <v>#REF!</v>
      </c>
      <c r="AM231" t="e">
        <f t="shared" ca="1" si="344"/>
        <v>#REF!</v>
      </c>
    </row>
    <row r="232" spans="1:39" x14ac:dyDescent="0.2">
      <c r="A232" t="s">
        <v>369</v>
      </c>
      <c r="B232" t="s">
        <v>52</v>
      </c>
      <c r="C232" t="str">
        <f t="shared" si="312"/>
        <v>ouest_</v>
      </c>
      <c r="D232" t="str">
        <f>[1]Demand!$C$6</f>
        <v>Other</v>
      </c>
      <c r="E232" s="38">
        <f t="shared" ca="1" si="313"/>
        <v>0</v>
      </c>
      <c r="F232" s="42">
        <v>0.5</v>
      </c>
      <c r="G232" t="str">
        <f t="shared" si="345"/>
        <v>Other</v>
      </c>
      <c r="H232" t="str">
        <f t="shared" si="229"/>
        <v>D1M100</v>
      </c>
      <c r="I232" t="e">
        <f t="shared" ca="1" si="332"/>
        <v>#REF!</v>
      </c>
      <c r="J232" t="e">
        <f t="shared" ref="J232:R232" ca="1" si="348">I232*(1+$E232)</f>
        <v>#REF!</v>
      </c>
      <c r="K232" t="e">
        <f t="shared" ca="1" si="348"/>
        <v>#REF!</v>
      </c>
      <c r="L232" t="e">
        <f t="shared" ca="1" si="348"/>
        <v>#REF!</v>
      </c>
      <c r="M232" t="e">
        <f t="shared" ca="1" si="348"/>
        <v>#REF!</v>
      </c>
      <c r="N232" t="e">
        <f t="shared" ca="1" si="348"/>
        <v>#REF!</v>
      </c>
      <c r="O232" t="e">
        <f t="shared" ca="1" si="348"/>
        <v>#REF!</v>
      </c>
      <c r="P232" t="e">
        <f t="shared" ca="1" si="348"/>
        <v>#REF!</v>
      </c>
      <c r="Q232" t="e">
        <f t="shared" ca="1" si="348"/>
        <v>#REF!</v>
      </c>
      <c r="R232" t="e">
        <f t="shared" ca="1" si="348"/>
        <v>#REF!</v>
      </c>
      <c r="S232" t="e">
        <f t="shared" ca="1" si="315"/>
        <v>#REF!</v>
      </c>
      <c r="T232" t="e">
        <f t="shared" ref="T232:AC232" ca="1" si="349">S232*(1+$E232*$F232)</f>
        <v>#REF!</v>
      </c>
      <c r="U232" t="e">
        <f t="shared" ca="1" si="349"/>
        <v>#REF!</v>
      </c>
      <c r="V232" t="e">
        <f t="shared" ca="1" si="349"/>
        <v>#REF!</v>
      </c>
      <c r="W232" t="e">
        <f t="shared" ca="1" si="349"/>
        <v>#REF!</v>
      </c>
      <c r="X232" t="e">
        <f t="shared" ca="1" si="349"/>
        <v>#REF!</v>
      </c>
      <c r="Y232" t="e">
        <f t="shared" ca="1" si="349"/>
        <v>#REF!</v>
      </c>
      <c r="Z232" t="e">
        <f t="shared" ca="1" si="349"/>
        <v>#REF!</v>
      </c>
      <c r="AA232" t="e">
        <f t="shared" ca="1" si="349"/>
        <v>#REF!</v>
      </c>
      <c r="AB232" t="e">
        <f t="shared" ca="1" si="349"/>
        <v>#REF!</v>
      </c>
      <c r="AC232" t="e">
        <f t="shared" ca="1" si="349"/>
        <v>#REF!</v>
      </c>
      <c r="AD232" t="e">
        <f t="shared" ca="1" si="335"/>
        <v>#REF!</v>
      </c>
      <c r="AE232" t="e">
        <f t="shared" ca="1" si="336"/>
        <v>#REF!</v>
      </c>
      <c r="AF232" t="e">
        <f t="shared" ca="1" si="337"/>
        <v>#REF!</v>
      </c>
      <c r="AG232" t="e">
        <f t="shared" ca="1" si="338"/>
        <v>#REF!</v>
      </c>
      <c r="AH232" t="e">
        <f t="shared" ca="1" si="339"/>
        <v>#REF!</v>
      </c>
      <c r="AI232" t="e">
        <f t="shared" ca="1" si="340"/>
        <v>#REF!</v>
      </c>
      <c r="AJ232" t="e">
        <f t="shared" ca="1" si="341"/>
        <v>#REF!</v>
      </c>
      <c r="AK232" t="e">
        <f t="shared" ca="1" si="342"/>
        <v>#REF!</v>
      </c>
      <c r="AL232" t="e">
        <f t="shared" ca="1" si="343"/>
        <v>#REF!</v>
      </c>
      <c r="AM232" t="e">
        <f t="shared" ca="1" si="344"/>
        <v>#REF!</v>
      </c>
    </row>
    <row r="233" spans="1:39" x14ac:dyDescent="0.2">
      <c r="C233" t="str">
        <f t="shared" si="312"/>
        <v/>
      </c>
      <c r="E233" s="38" t="str">
        <f t="shared" si="313"/>
        <v/>
      </c>
      <c r="F233" s="38"/>
      <c r="H233" t="str">
        <f t="shared" si="229"/>
        <v/>
      </c>
      <c r="I233" t="str">
        <f t="shared" si="332"/>
        <v/>
      </c>
      <c r="S233" t="str">
        <f t="shared" si="315"/>
        <v/>
      </c>
    </row>
    <row r="234" spans="1:39" x14ac:dyDescent="0.2">
      <c r="A234" t="s">
        <v>371</v>
      </c>
      <c r="B234" t="s">
        <v>52</v>
      </c>
      <c r="C234" t="str">
        <f t="shared" si="312"/>
        <v>ouest_</v>
      </c>
      <c r="D234" t="str">
        <f>[1]Demand!$C$4</f>
        <v>Household</v>
      </c>
      <c r="E234" s="38">
        <f t="shared" ca="1" si="313"/>
        <v>0</v>
      </c>
      <c r="F234" s="42">
        <v>0.5</v>
      </c>
      <c r="G234" t="str">
        <f>D234</f>
        <v>Household</v>
      </c>
      <c r="H234" t="str">
        <f t="shared" si="229"/>
        <v>D1H100</v>
      </c>
      <c r="I234" t="e">
        <f t="shared" ca="1" si="332"/>
        <v>#REF!</v>
      </c>
      <c r="J234" t="e">
        <f t="shared" ref="J234:R234" ca="1" si="350">I234*(1+$E234)</f>
        <v>#REF!</v>
      </c>
      <c r="K234" t="e">
        <f t="shared" ca="1" si="350"/>
        <v>#REF!</v>
      </c>
      <c r="L234" t="e">
        <f t="shared" ca="1" si="350"/>
        <v>#REF!</v>
      </c>
      <c r="M234" t="e">
        <f t="shared" ca="1" si="350"/>
        <v>#REF!</v>
      </c>
      <c r="N234" t="e">
        <f t="shared" ca="1" si="350"/>
        <v>#REF!</v>
      </c>
      <c r="O234" t="e">
        <f t="shared" ca="1" si="350"/>
        <v>#REF!</v>
      </c>
      <c r="P234" t="e">
        <f t="shared" ca="1" si="350"/>
        <v>#REF!</v>
      </c>
      <c r="Q234" t="e">
        <f t="shared" ca="1" si="350"/>
        <v>#REF!</v>
      </c>
      <c r="R234" t="e">
        <f t="shared" ca="1" si="350"/>
        <v>#REF!</v>
      </c>
      <c r="S234" t="e">
        <f t="shared" ca="1" si="315"/>
        <v>#REF!</v>
      </c>
      <c r="T234" t="e">
        <f t="shared" ref="T234:AC234" ca="1" si="351">S234*(1+$E234*$F234)</f>
        <v>#REF!</v>
      </c>
      <c r="U234" t="e">
        <f t="shared" ca="1" si="351"/>
        <v>#REF!</v>
      </c>
      <c r="V234" t="e">
        <f t="shared" ca="1" si="351"/>
        <v>#REF!</v>
      </c>
      <c r="W234" t="e">
        <f t="shared" ca="1" si="351"/>
        <v>#REF!</v>
      </c>
      <c r="X234" t="e">
        <f t="shared" ca="1" si="351"/>
        <v>#REF!</v>
      </c>
      <c r="Y234" t="e">
        <f t="shared" ca="1" si="351"/>
        <v>#REF!</v>
      </c>
      <c r="Z234" t="e">
        <f t="shared" ca="1" si="351"/>
        <v>#REF!</v>
      </c>
      <c r="AA234" t="e">
        <f t="shared" ca="1" si="351"/>
        <v>#REF!</v>
      </c>
      <c r="AB234" t="e">
        <f t="shared" ca="1" si="351"/>
        <v>#REF!</v>
      </c>
      <c r="AC234" t="e">
        <f t="shared" ca="1" si="351"/>
        <v>#REF!</v>
      </c>
      <c r="AD234" t="e">
        <f t="shared" ref="AD234:AD236" ca="1" si="352">AC234*(1+$E234*$F234)</f>
        <v>#REF!</v>
      </c>
      <c r="AE234" t="e">
        <f t="shared" ref="AE234:AE236" ca="1" si="353">AD234*(1+$E234*$F234)</f>
        <v>#REF!</v>
      </c>
      <c r="AF234" t="e">
        <f t="shared" ref="AF234:AF236" ca="1" si="354">AE234*(1+$E234*$F234)</f>
        <v>#REF!</v>
      </c>
      <c r="AG234" t="e">
        <f t="shared" ref="AG234:AG236" ca="1" si="355">AF234*(1+$E234*$F234)</f>
        <v>#REF!</v>
      </c>
      <c r="AH234" t="e">
        <f t="shared" ref="AH234:AH236" ca="1" si="356">AG234*(1+$E234*$F234)</f>
        <v>#REF!</v>
      </c>
      <c r="AI234" t="e">
        <f t="shared" ref="AI234:AI236" ca="1" si="357">AH234*(1+$E234*$F234)</f>
        <v>#REF!</v>
      </c>
      <c r="AJ234" t="e">
        <f t="shared" ref="AJ234:AJ236" ca="1" si="358">AI234*(1+$E234*$F234)</f>
        <v>#REF!</v>
      </c>
      <c r="AK234" t="e">
        <f t="shared" ref="AK234:AK236" ca="1" si="359">AJ234*(1+$E234*$F234)</f>
        <v>#REF!</v>
      </c>
      <c r="AL234" t="e">
        <f t="shared" ref="AL234:AL236" ca="1" si="360">AK234*(1+$E234*$F234)</f>
        <v>#REF!</v>
      </c>
      <c r="AM234" t="e">
        <f t="shared" ref="AM234:AM236" ca="1" si="361">AL234*(1+$E234*$F234)</f>
        <v>#REF!</v>
      </c>
    </row>
    <row r="235" spans="1:39" x14ac:dyDescent="0.2">
      <c r="A235" t="s">
        <v>371</v>
      </c>
      <c r="B235" t="s">
        <v>52</v>
      </c>
      <c r="C235" t="str">
        <f t="shared" si="312"/>
        <v>ouest_</v>
      </c>
      <c r="D235" t="str">
        <f>[1]Demand!$C$5</f>
        <v>Industry</v>
      </c>
      <c r="E235" s="38">
        <f t="shared" ca="1" si="313"/>
        <v>0</v>
      </c>
      <c r="F235" s="42">
        <v>0.5</v>
      </c>
      <c r="G235" t="str">
        <f t="shared" ref="G235:G236" si="362">D235</f>
        <v>Industry</v>
      </c>
      <c r="H235" t="str">
        <f t="shared" si="229"/>
        <v>D1H100</v>
      </c>
      <c r="I235" t="e">
        <f t="shared" ca="1" si="332"/>
        <v>#REF!</v>
      </c>
      <c r="J235" t="e">
        <f t="shared" ref="J235:R235" ca="1" si="363">I235*(1+$E235)</f>
        <v>#REF!</v>
      </c>
      <c r="K235" t="e">
        <f t="shared" ca="1" si="363"/>
        <v>#REF!</v>
      </c>
      <c r="L235" t="e">
        <f t="shared" ca="1" si="363"/>
        <v>#REF!</v>
      </c>
      <c r="M235" t="e">
        <f t="shared" ca="1" si="363"/>
        <v>#REF!</v>
      </c>
      <c r="N235" t="e">
        <f t="shared" ca="1" si="363"/>
        <v>#REF!</v>
      </c>
      <c r="O235" t="e">
        <f t="shared" ca="1" si="363"/>
        <v>#REF!</v>
      </c>
      <c r="P235" t="e">
        <f t="shared" ca="1" si="363"/>
        <v>#REF!</v>
      </c>
      <c r="Q235" t="e">
        <f t="shared" ca="1" si="363"/>
        <v>#REF!</v>
      </c>
      <c r="R235" t="e">
        <f t="shared" ca="1" si="363"/>
        <v>#REF!</v>
      </c>
      <c r="S235" t="e">
        <f t="shared" ca="1" si="315"/>
        <v>#REF!</v>
      </c>
      <c r="T235" t="e">
        <f t="shared" ref="T235:AC235" ca="1" si="364">S235*(1+$E235*$F235)</f>
        <v>#REF!</v>
      </c>
      <c r="U235" t="e">
        <f t="shared" ca="1" si="364"/>
        <v>#REF!</v>
      </c>
      <c r="V235" t="e">
        <f t="shared" ca="1" si="364"/>
        <v>#REF!</v>
      </c>
      <c r="W235" t="e">
        <f t="shared" ca="1" si="364"/>
        <v>#REF!</v>
      </c>
      <c r="X235" t="e">
        <f t="shared" ca="1" si="364"/>
        <v>#REF!</v>
      </c>
      <c r="Y235" t="e">
        <f t="shared" ca="1" si="364"/>
        <v>#REF!</v>
      </c>
      <c r="Z235" t="e">
        <f t="shared" ca="1" si="364"/>
        <v>#REF!</v>
      </c>
      <c r="AA235" t="e">
        <f t="shared" ca="1" si="364"/>
        <v>#REF!</v>
      </c>
      <c r="AB235" t="e">
        <f t="shared" ca="1" si="364"/>
        <v>#REF!</v>
      </c>
      <c r="AC235" t="e">
        <f t="shared" ca="1" si="364"/>
        <v>#REF!</v>
      </c>
      <c r="AD235" t="e">
        <f t="shared" ca="1" si="352"/>
        <v>#REF!</v>
      </c>
      <c r="AE235" t="e">
        <f t="shared" ca="1" si="353"/>
        <v>#REF!</v>
      </c>
      <c r="AF235" t="e">
        <f t="shared" ca="1" si="354"/>
        <v>#REF!</v>
      </c>
      <c r="AG235" t="e">
        <f t="shared" ca="1" si="355"/>
        <v>#REF!</v>
      </c>
      <c r="AH235" t="e">
        <f t="shared" ca="1" si="356"/>
        <v>#REF!</v>
      </c>
      <c r="AI235" t="e">
        <f t="shared" ca="1" si="357"/>
        <v>#REF!</v>
      </c>
      <c r="AJ235" t="e">
        <f t="shared" ca="1" si="358"/>
        <v>#REF!</v>
      </c>
      <c r="AK235" t="e">
        <f t="shared" ca="1" si="359"/>
        <v>#REF!</v>
      </c>
      <c r="AL235" t="e">
        <f t="shared" ca="1" si="360"/>
        <v>#REF!</v>
      </c>
      <c r="AM235" t="e">
        <f t="shared" ca="1" si="361"/>
        <v>#REF!</v>
      </c>
    </row>
    <row r="236" spans="1:39" x14ac:dyDescent="0.2">
      <c r="A236" t="s">
        <v>371</v>
      </c>
      <c r="B236" t="s">
        <v>52</v>
      </c>
      <c r="C236" t="str">
        <f t="shared" si="312"/>
        <v>ouest_</v>
      </c>
      <c r="D236" t="str">
        <f>[1]Demand!$C$6</f>
        <v>Other</v>
      </c>
      <c r="E236" s="38">
        <f t="shared" ca="1" si="313"/>
        <v>0</v>
      </c>
      <c r="F236" s="42">
        <v>0.5</v>
      </c>
      <c r="G236" t="str">
        <f t="shared" si="362"/>
        <v>Other</v>
      </c>
      <c r="H236" t="str">
        <f t="shared" si="229"/>
        <v>D1H100</v>
      </c>
      <c r="I236" t="e">
        <f t="shared" ca="1" si="332"/>
        <v>#REF!</v>
      </c>
      <c r="J236" t="e">
        <f t="shared" ref="J236:R236" ca="1" si="365">I236*(1+$E236)</f>
        <v>#REF!</v>
      </c>
      <c r="K236" t="e">
        <f t="shared" ca="1" si="365"/>
        <v>#REF!</v>
      </c>
      <c r="L236" t="e">
        <f t="shared" ca="1" si="365"/>
        <v>#REF!</v>
      </c>
      <c r="M236" t="e">
        <f t="shared" ca="1" si="365"/>
        <v>#REF!</v>
      </c>
      <c r="N236" t="e">
        <f t="shared" ca="1" si="365"/>
        <v>#REF!</v>
      </c>
      <c r="O236" t="e">
        <f t="shared" ca="1" si="365"/>
        <v>#REF!</v>
      </c>
      <c r="P236" t="e">
        <f t="shared" ca="1" si="365"/>
        <v>#REF!</v>
      </c>
      <c r="Q236" t="e">
        <f t="shared" ca="1" si="365"/>
        <v>#REF!</v>
      </c>
      <c r="R236" t="e">
        <f t="shared" ca="1" si="365"/>
        <v>#REF!</v>
      </c>
      <c r="S236" t="e">
        <f t="shared" ca="1" si="315"/>
        <v>#REF!</v>
      </c>
      <c r="T236" t="e">
        <f t="shared" ref="T236:AC236" ca="1" si="366">S236*(1+$E236*$F236)</f>
        <v>#REF!</v>
      </c>
      <c r="U236" t="e">
        <f t="shared" ca="1" si="366"/>
        <v>#REF!</v>
      </c>
      <c r="V236" t="e">
        <f t="shared" ca="1" si="366"/>
        <v>#REF!</v>
      </c>
      <c r="W236" t="e">
        <f t="shared" ca="1" si="366"/>
        <v>#REF!</v>
      </c>
      <c r="X236" t="e">
        <f t="shared" ca="1" si="366"/>
        <v>#REF!</v>
      </c>
      <c r="Y236" t="e">
        <f t="shared" ca="1" si="366"/>
        <v>#REF!</v>
      </c>
      <c r="Z236" t="e">
        <f t="shared" ca="1" si="366"/>
        <v>#REF!</v>
      </c>
      <c r="AA236" t="e">
        <f t="shared" ca="1" si="366"/>
        <v>#REF!</v>
      </c>
      <c r="AB236" t="e">
        <f t="shared" ca="1" si="366"/>
        <v>#REF!</v>
      </c>
      <c r="AC236" t="e">
        <f t="shared" ca="1" si="366"/>
        <v>#REF!</v>
      </c>
      <c r="AD236" t="e">
        <f t="shared" ca="1" si="352"/>
        <v>#REF!</v>
      </c>
      <c r="AE236" t="e">
        <f t="shared" ca="1" si="353"/>
        <v>#REF!</v>
      </c>
      <c r="AF236" t="e">
        <f t="shared" ca="1" si="354"/>
        <v>#REF!</v>
      </c>
      <c r="AG236" t="e">
        <f t="shared" ca="1" si="355"/>
        <v>#REF!</v>
      </c>
      <c r="AH236" t="e">
        <f t="shared" ca="1" si="356"/>
        <v>#REF!</v>
      </c>
      <c r="AI236" t="e">
        <f t="shared" ca="1" si="357"/>
        <v>#REF!</v>
      </c>
      <c r="AJ236" t="e">
        <f t="shared" ca="1" si="358"/>
        <v>#REF!</v>
      </c>
      <c r="AK236" t="e">
        <f t="shared" ca="1" si="359"/>
        <v>#REF!</v>
      </c>
      <c r="AL236" t="e">
        <f t="shared" ca="1" si="360"/>
        <v>#REF!</v>
      </c>
      <c r="AM236" t="e">
        <f t="shared" ca="1" si="361"/>
        <v>#REF!</v>
      </c>
    </row>
    <row r="237" spans="1:39" x14ac:dyDescent="0.2">
      <c r="G237" s="38"/>
      <c r="H237" s="38"/>
      <c r="AD237">
        <v>0.5</v>
      </c>
      <c r="AE237">
        <v>0.5</v>
      </c>
      <c r="AF237">
        <v>0.5</v>
      </c>
      <c r="AG237">
        <v>0.5</v>
      </c>
      <c r="AH237">
        <v>0.5</v>
      </c>
      <c r="AI237">
        <v>0.5</v>
      </c>
      <c r="AJ237">
        <v>0.5</v>
      </c>
      <c r="AK237">
        <v>0.5</v>
      </c>
      <c r="AL237">
        <v>0.5</v>
      </c>
      <c r="AM237">
        <v>0.5</v>
      </c>
    </row>
    <row r="238" spans="1:39" x14ac:dyDescent="0.2">
      <c r="A238" t="s">
        <v>363</v>
      </c>
      <c r="B238" t="s">
        <v>79</v>
      </c>
      <c r="C238" t="str">
        <f t="shared" ref="C238:C248" si="367">IF(B238="D1","ouest_",IF(B238="D2","sud_",IF(B238="D3","est_","")))</f>
        <v>sud_</v>
      </c>
      <c r="D238" t="str">
        <f>[1]Demand!$C$4</f>
        <v>Household</v>
      </c>
      <c r="E238" s="38">
        <f t="shared" ref="E238:E248" ca="1" si="368">IF(A238="","",IFERROR((S238/I238)^(1/($S$201-$I$201))-1,0))</f>
        <v>0</v>
      </c>
      <c r="F238" s="42">
        <v>1</v>
      </c>
      <c r="G238" t="str">
        <f>D238</f>
        <v>Household</v>
      </c>
      <c r="H238" t="str">
        <f>B238&amp;A238</f>
        <v>D2L50</v>
      </c>
      <c r="I238" t="e">
        <f ca="1">IF(A238="","",SUMIFS(H$28:H$134,B$28:B$134,$B238,A$28:A$134,$G$154,F$28:F$134,$D238))</f>
        <v>#REF!</v>
      </c>
      <c r="J238" t="e">
        <f ca="1">I238+($S238-$I238)/10</f>
        <v>#REF!</v>
      </c>
      <c r="K238" t="e">
        <f ca="1">J238+($S238-$I238)/10</f>
        <v>#REF!</v>
      </c>
      <c r="L238" t="e">
        <f t="shared" ref="L238:R238" ca="1" si="369">K238+($S238-$I238)/10</f>
        <v>#REF!</v>
      </c>
      <c r="M238" t="e">
        <f t="shared" ca="1" si="369"/>
        <v>#REF!</v>
      </c>
      <c r="N238" t="e">
        <f t="shared" ca="1" si="369"/>
        <v>#REF!</v>
      </c>
      <c r="O238" t="e">
        <f t="shared" ca="1" si="369"/>
        <v>#REF!</v>
      </c>
      <c r="P238" t="e">
        <f t="shared" ca="1" si="369"/>
        <v>#REF!</v>
      </c>
      <c r="Q238" t="e">
        <f t="shared" ca="1" si="369"/>
        <v>#REF!</v>
      </c>
      <c r="R238" t="e">
        <f t="shared" ca="1" si="369"/>
        <v>#REF!</v>
      </c>
      <c r="S238" t="e">
        <f t="shared" ref="S238:S248" ca="1" si="370">IF(A238="","",SUMIFS(R$28:R$134,B$28:B$134,$B238,A$28:A$134,$A238,F$28:F$134,$D238))</f>
        <v>#REF!</v>
      </c>
      <c r="T238" t="e">
        <f ca="1">S238+($AC238-$S238)/10</f>
        <v>#REF!</v>
      </c>
      <c r="U238" t="e">
        <f t="shared" ref="U238:AB238" ca="1" si="371">T238+($AC238-$S238)/10</f>
        <v>#REF!</v>
      </c>
      <c r="V238" t="e">
        <f t="shared" ca="1" si="371"/>
        <v>#REF!</v>
      </c>
      <c r="W238" t="e">
        <f t="shared" ca="1" si="371"/>
        <v>#REF!</v>
      </c>
      <c r="X238" t="e">
        <f t="shared" ca="1" si="371"/>
        <v>#REF!</v>
      </c>
      <c r="Y238" t="e">
        <f t="shared" ca="1" si="371"/>
        <v>#REF!</v>
      </c>
      <c r="Z238" t="e">
        <f t="shared" ca="1" si="371"/>
        <v>#REF!</v>
      </c>
      <c r="AA238" t="e">
        <f t="shared" ca="1" si="371"/>
        <v>#REF!</v>
      </c>
      <c r="AB238" t="e">
        <f t="shared" ca="1" si="371"/>
        <v>#REF!</v>
      </c>
      <c r="AC238" t="e">
        <f ca="1">S238*(1+$E238*$F238)^10</f>
        <v>#REF!</v>
      </c>
      <c r="AD238" t="e">
        <f ca="1">AC238+($AM238-$AC238)/10</f>
        <v>#REF!</v>
      </c>
      <c r="AE238" t="e">
        <f t="shared" ref="AE238:AL238" ca="1" si="372">AD238+($AM238-$AC238)/10</f>
        <v>#REF!</v>
      </c>
      <c r="AF238" t="e">
        <f t="shared" ca="1" si="372"/>
        <v>#REF!</v>
      </c>
      <c r="AG238" t="e">
        <f t="shared" ca="1" si="372"/>
        <v>#REF!</v>
      </c>
      <c r="AH238" t="e">
        <f t="shared" ca="1" si="372"/>
        <v>#REF!</v>
      </c>
      <c r="AI238" t="e">
        <f t="shared" ca="1" si="372"/>
        <v>#REF!</v>
      </c>
      <c r="AJ238" t="e">
        <f t="shared" ca="1" si="372"/>
        <v>#REF!</v>
      </c>
      <c r="AK238" t="e">
        <f t="shared" ca="1" si="372"/>
        <v>#REF!</v>
      </c>
      <c r="AL238" t="e">
        <f t="shared" ca="1" si="372"/>
        <v>#REF!</v>
      </c>
      <c r="AM238" t="e">
        <f ca="1">AC238*(1+$E238*$F238*AM$237)^10</f>
        <v>#REF!</v>
      </c>
    </row>
    <row r="239" spans="1:39" x14ac:dyDescent="0.2">
      <c r="A239" t="s">
        <v>363</v>
      </c>
      <c r="B239" t="s">
        <v>79</v>
      </c>
      <c r="C239" t="str">
        <f t="shared" si="367"/>
        <v>sud_</v>
      </c>
      <c r="D239" t="str">
        <f>[1]Demand!$C$5</f>
        <v>Industry</v>
      </c>
      <c r="E239" s="38">
        <f t="shared" ca="1" si="368"/>
        <v>0</v>
      </c>
      <c r="F239" s="42">
        <v>1</v>
      </c>
      <c r="G239" t="str">
        <f t="shared" ref="G239:G240" si="373">D239</f>
        <v>Industry</v>
      </c>
      <c r="H239" t="str">
        <f t="shared" ref="H239:H272" si="374">B239&amp;A239</f>
        <v>D2L50</v>
      </c>
      <c r="I239" t="e">
        <f ca="1">IF(A239="","",SUMIFS(H$28:H$134,B$28:B$134,$B239,A$28:A$134,$G$154,F$28:F$134,$D239))</f>
        <v>#REF!</v>
      </c>
      <c r="J239" t="e">
        <f t="shared" ref="J239:R239" ca="1" si="375">I239+($S239-$I239)/10</f>
        <v>#REF!</v>
      </c>
      <c r="K239" t="e">
        <f t="shared" ca="1" si="375"/>
        <v>#REF!</v>
      </c>
      <c r="L239" t="e">
        <f t="shared" ca="1" si="375"/>
        <v>#REF!</v>
      </c>
      <c r="M239" t="e">
        <f t="shared" ca="1" si="375"/>
        <v>#REF!</v>
      </c>
      <c r="N239" t="e">
        <f t="shared" ca="1" si="375"/>
        <v>#REF!</v>
      </c>
      <c r="O239" t="e">
        <f t="shared" ca="1" si="375"/>
        <v>#REF!</v>
      </c>
      <c r="P239" t="e">
        <f t="shared" ca="1" si="375"/>
        <v>#REF!</v>
      </c>
      <c r="Q239" t="e">
        <f t="shared" ca="1" si="375"/>
        <v>#REF!</v>
      </c>
      <c r="R239" t="e">
        <f t="shared" ca="1" si="375"/>
        <v>#REF!</v>
      </c>
      <c r="S239" t="e">
        <f t="shared" ca="1" si="370"/>
        <v>#REF!</v>
      </c>
      <c r="T239" t="e">
        <f t="shared" ref="T239:AB239" ca="1" si="376">S239+($AC239-$S239)/10</f>
        <v>#REF!</v>
      </c>
      <c r="U239" t="e">
        <f t="shared" ca="1" si="376"/>
        <v>#REF!</v>
      </c>
      <c r="V239" t="e">
        <f t="shared" ca="1" si="376"/>
        <v>#REF!</v>
      </c>
      <c r="W239" t="e">
        <f t="shared" ca="1" si="376"/>
        <v>#REF!</v>
      </c>
      <c r="X239" t="e">
        <f t="shared" ca="1" si="376"/>
        <v>#REF!</v>
      </c>
      <c r="Y239" t="e">
        <f t="shared" ca="1" si="376"/>
        <v>#REF!</v>
      </c>
      <c r="Z239" t="e">
        <f t="shared" ca="1" si="376"/>
        <v>#REF!</v>
      </c>
      <c r="AA239" t="e">
        <f t="shared" ca="1" si="376"/>
        <v>#REF!</v>
      </c>
      <c r="AB239" t="e">
        <f t="shared" ca="1" si="376"/>
        <v>#REF!</v>
      </c>
      <c r="AC239" t="e">
        <f t="shared" ref="AC239:AC240" ca="1" si="377">S239*(1+$E239*$F239)^10</f>
        <v>#REF!</v>
      </c>
      <c r="AD239" t="e">
        <f t="shared" ref="AD239:AL239" ca="1" si="378">AC239+($AM239-$AC239)/10</f>
        <v>#REF!</v>
      </c>
      <c r="AE239" t="e">
        <f t="shared" ca="1" si="378"/>
        <v>#REF!</v>
      </c>
      <c r="AF239" t="e">
        <f t="shared" ca="1" si="378"/>
        <v>#REF!</v>
      </c>
      <c r="AG239" t="e">
        <f t="shared" ca="1" si="378"/>
        <v>#REF!</v>
      </c>
      <c r="AH239" t="e">
        <f t="shared" ca="1" si="378"/>
        <v>#REF!</v>
      </c>
      <c r="AI239" t="e">
        <f t="shared" ca="1" si="378"/>
        <v>#REF!</v>
      </c>
      <c r="AJ239" t="e">
        <f t="shared" ca="1" si="378"/>
        <v>#REF!</v>
      </c>
      <c r="AK239" t="e">
        <f t="shared" ca="1" si="378"/>
        <v>#REF!</v>
      </c>
      <c r="AL239" t="e">
        <f t="shared" ca="1" si="378"/>
        <v>#REF!</v>
      </c>
      <c r="AM239" t="e">
        <f ca="1">AC239*(1+$E239*$F239*AM$237)^10</f>
        <v>#REF!</v>
      </c>
    </row>
    <row r="240" spans="1:39" x14ac:dyDescent="0.2">
      <c r="A240" t="s">
        <v>363</v>
      </c>
      <c r="B240" t="s">
        <v>79</v>
      </c>
      <c r="C240" t="str">
        <f t="shared" si="367"/>
        <v>sud_</v>
      </c>
      <c r="D240" t="str">
        <f>[1]Demand!$C$6</f>
        <v>Other</v>
      </c>
      <c r="E240" s="38">
        <f t="shared" ca="1" si="368"/>
        <v>0</v>
      </c>
      <c r="F240" s="42">
        <v>1</v>
      </c>
      <c r="G240" t="str">
        <f t="shared" si="373"/>
        <v>Other</v>
      </c>
      <c r="H240" t="str">
        <f t="shared" si="374"/>
        <v>D2L50</v>
      </c>
      <c r="I240" t="e">
        <f ca="1">IF(A240="","",SUMIFS(H$28:H$134,B$28:B$134,$B240,A$28:A$134,$G$154,F$28:F$134,$D240))</f>
        <v>#REF!</v>
      </c>
      <c r="J240" t="e">
        <f t="shared" ref="J240:R240" ca="1" si="379">I240+($S240-$I240)/10</f>
        <v>#REF!</v>
      </c>
      <c r="K240" t="e">
        <f t="shared" ca="1" si="379"/>
        <v>#REF!</v>
      </c>
      <c r="L240" t="e">
        <f t="shared" ca="1" si="379"/>
        <v>#REF!</v>
      </c>
      <c r="M240" t="e">
        <f t="shared" ca="1" si="379"/>
        <v>#REF!</v>
      </c>
      <c r="N240" t="e">
        <f t="shared" ca="1" si="379"/>
        <v>#REF!</v>
      </c>
      <c r="O240" t="e">
        <f t="shared" ca="1" si="379"/>
        <v>#REF!</v>
      </c>
      <c r="P240" t="e">
        <f t="shared" ca="1" si="379"/>
        <v>#REF!</v>
      </c>
      <c r="Q240" t="e">
        <f t="shared" ca="1" si="379"/>
        <v>#REF!</v>
      </c>
      <c r="R240" t="e">
        <f t="shared" ca="1" si="379"/>
        <v>#REF!</v>
      </c>
      <c r="S240" t="e">
        <f t="shared" ca="1" si="370"/>
        <v>#REF!</v>
      </c>
      <c r="T240" t="e">
        <f t="shared" ref="T240:AB240" ca="1" si="380">S240+($AC240-$S240)/10</f>
        <v>#REF!</v>
      </c>
      <c r="U240" t="e">
        <f t="shared" ca="1" si="380"/>
        <v>#REF!</v>
      </c>
      <c r="V240" t="e">
        <f t="shared" ca="1" si="380"/>
        <v>#REF!</v>
      </c>
      <c r="W240" t="e">
        <f t="shared" ca="1" si="380"/>
        <v>#REF!</v>
      </c>
      <c r="X240" t="e">
        <f t="shared" ca="1" si="380"/>
        <v>#REF!</v>
      </c>
      <c r="Y240" t="e">
        <f t="shared" ca="1" si="380"/>
        <v>#REF!</v>
      </c>
      <c r="Z240" t="e">
        <f t="shared" ca="1" si="380"/>
        <v>#REF!</v>
      </c>
      <c r="AA240" t="e">
        <f t="shared" ca="1" si="380"/>
        <v>#REF!</v>
      </c>
      <c r="AB240" t="e">
        <f t="shared" ca="1" si="380"/>
        <v>#REF!</v>
      </c>
      <c r="AC240" t="e">
        <f t="shared" ca="1" si="377"/>
        <v>#REF!</v>
      </c>
      <c r="AD240" t="e">
        <f t="shared" ref="AD240:AL240" ca="1" si="381">AC240+($AM240-$AC240)/10</f>
        <v>#REF!</v>
      </c>
      <c r="AE240" t="e">
        <f t="shared" ca="1" si="381"/>
        <v>#REF!</v>
      </c>
      <c r="AF240" t="e">
        <f t="shared" ca="1" si="381"/>
        <v>#REF!</v>
      </c>
      <c r="AG240" t="e">
        <f t="shared" ca="1" si="381"/>
        <v>#REF!</v>
      </c>
      <c r="AH240" t="e">
        <f t="shared" ca="1" si="381"/>
        <v>#REF!</v>
      </c>
      <c r="AI240" t="e">
        <f t="shared" ca="1" si="381"/>
        <v>#REF!</v>
      </c>
      <c r="AJ240" t="e">
        <f t="shared" ca="1" si="381"/>
        <v>#REF!</v>
      </c>
      <c r="AK240" t="e">
        <f t="shared" ca="1" si="381"/>
        <v>#REF!</v>
      </c>
      <c r="AL240" t="e">
        <f t="shared" ca="1" si="381"/>
        <v>#REF!</v>
      </c>
      <c r="AM240" t="e">
        <f ca="1">AC240*(1+$E240*$F240*AM$237)^10</f>
        <v>#REF!</v>
      </c>
    </row>
    <row r="241" spans="1:39" x14ac:dyDescent="0.2">
      <c r="C241" t="str">
        <f t="shared" si="367"/>
        <v/>
      </c>
      <c r="E241" s="38" t="str">
        <f t="shared" si="368"/>
        <v/>
      </c>
      <c r="F241" s="38"/>
      <c r="H241" t="str">
        <f t="shared" si="374"/>
        <v/>
      </c>
      <c r="S241" t="str">
        <f t="shared" si="370"/>
        <v/>
      </c>
    </row>
    <row r="242" spans="1:39" x14ac:dyDescent="0.2">
      <c r="A242" t="s">
        <v>366</v>
      </c>
      <c r="B242" t="s">
        <v>79</v>
      </c>
      <c r="C242" t="str">
        <f t="shared" si="367"/>
        <v>sud_</v>
      </c>
      <c r="D242" t="str">
        <f>[1]Demand!$C$4</f>
        <v>Household</v>
      </c>
      <c r="E242" s="38">
        <f t="shared" ca="1" si="368"/>
        <v>0</v>
      </c>
      <c r="F242" s="42">
        <v>1</v>
      </c>
      <c r="G242" t="str">
        <f>D242</f>
        <v>Household</v>
      </c>
      <c r="H242" t="str">
        <f t="shared" si="374"/>
        <v>D2M50</v>
      </c>
      <c r="I242" t="e">
        <f t="shared" ref="I242:I248" ca="1" si="382">IF(A242="","",SUMIFS(H$28:H$134,B$28:B$134,$B242,A$28:A$134,$G$154,F$28:F$134,$D242))</f>
        <v>#REF!</v>
      </c>
      <c r="J242" t="e">
        <f ca="1">I242+($S242-$I242)/10</f>
        <v>#REF!</v>
      </c>
      <c r="K242" t="e">
        <f ca="1">J242+($S242-$I242)/10</f>
        <v>#REF!</v>
      </c>
      <c r="L242" t="e">
        <f t="shared" ref="L242:R242" ca="1" si="383">K242+($S242-$I242)/10</f>
        <v>#REF!</v>
      </c>
      <c r="M242" t="e">
        <f t="shared" ca="1" si="383"/>
        <v>#REF!</v>
      </c>
      <c r="N242" t="e">
        <f t="shared" ca="1" si="383"/>
        <v>#REF!</v>
      </c>
      <c r="O242" t="e">
        <f t="shared" ca="1" si="383"/>
        <v>#REF!</v>
      </c>
      <c r="P242" t="e">
        <f t="shared" ca="1" si="383"/>
        <v>#REF!</v>
      </c>
      <c r="Q242" t="e">
        <f t="shared" ca="1" si="383"/>
        <v>#REF!</v>
      </c>
      <c r="R242" t="e">
        <f t="shared" ca="1" si="383"/>
        <v>#REF!</v>
      </c>
      <c r="S242" t="e">
        <f t="shared" ca="1" si="370"/>
        <v>#REF!</v>
      </c>
      <c r="T242" t="e">
        <f ca="1">S242+($AC242-$S242)/10</f>
        <v>#REF!</v>
      </c>
      <c r="U242" t="e">
        <f t="shared" ref="U242:AB242" ca="1" si="384">T242+($AC242-$S242)/10</f>
        <v>#REF!</v>
      </c>
      <c r="V242" t="e">
        <f t="shared" ca="1" si="384"/>
        <v>#REF!</v>
      </c>
      <c r="W242" t="e">
        <f t="shared" ca="1" si="384"/>
        <v>#REF!</v>
      </c>
      <c r="X242" t="e">
        <f t="shared" ca="1" si="384"/>
        <v>#REF!</v>
      </c>
      <c r="Y242" t="e">
        <f t="shared" ca="1" si="384"/>
        <v>#REF!</v>
      </c>
      <c r="Z242" t="e">
        <f t="shared" ca="1" si="384"/>
        <v>#REF!</v>
      </c>
      <c r="AA242" t="e">
        <f t="shared" ca="1" si="384"/>
        <v>#REF!</v>
      </c>
      <c r="AB242" t="e">
        <f t="shared" ca="1" si="384"/>
        <v>#REF!</v>
      </c>
      <c r="AC242" t="e">
        <f ca="1">S242*(1+$E242*$F242)^10</f>
        <v>#REF!</v>
      </c>
      <c r="AD242" t="e">
        <f ca="1">AC242+($AM242-$AC242)/10</f>
        <v>#REF!</v>
      </c>
      <c r="AE242" t="e">
        <f t="shared" ref="AE242:AL242" ca="1" si="385">AD242+($AM242-$AC242)/10</f>
        <v>#REF!</v>
      </c>
      <c r="AF242" t="e">
        <f t="shared" ca="1" si="385"/>
        <v>#REF!</v>
      </c>
      <c r="AG242" t="e">
        <f t="shared" ca="1" si="385"/>
        <v>#REF!</v>
      </c>
      <c r="AH242" t="e">
        <f t="shared" ca="1" si="385"/>
        <v>#REF!</v>
      </c>
      <c r="AI242" t="e">
        <f t="shared" ca="1" si="385"/>
        <v>#REF!</v>
      </c>
      <c r="AJ242" t="e">
        <f t="shared" ca="1" si="385"/>
        <v>#REF!</v>
      </c>
      <c r="AK242" t="e">
        <f t="shared" ca="1" si="385"/>
        <v>#REF!</v>
      </c>
      <c r="AL242" t="e">
        <f t="shared" ca="1" si="385"/>
        <v>#REF!</v>
      </c>
      <c r="AM242" t="e">
        <f ca="1">AC242*(1+$E242*$F242*AM$237)^10</f>
        <v>#REF!</v>
      </c>
    </row>
    <row r="243" spans="1:39" x14ac:dyDescent="0.2">
      <c r="A243" t="s">
        <v>366</v>
      </c>
      <c r="B243" t="s">
        <v>79</v>
      </c>
      <c r="C243" t="str">
        <f t="shared" si="367"/>
        <v>sud_</v>
      </c>
      <c r="D243" t="str">
        <f>[1]Demand!$C$5</f>
        <v>Industry</v>
      </c>
      <c r="E243" s="38">
        <f t="shared" ca="1" si="368"/>
        <v>0</v>
      </c>
      <c r="F243" s="42">
        <v>1</v>
      </c>
      <c r="G243" t="str">
        <f t="shared" ref="G243:G244" si="386">D243</f>
        <v>Industry</v>
      </c>
      <c r="H243" t="str">
        <f t="shared" si="374"/>
        <v>D2M50</v>
      </c>
      <c r="I243" t="e">
        <f t="shared" ca="1" si="382"/>
        <v>#REF!</v>
      </c>
      <c r="J243" t="e">
        <f t="shared" ref="J243:R243" ca="1" si="387">I243+($S243-$I243)/10</f>
        <v>#REF!</v>
      </c>
      <c r="K243" t="e">
        <f t="shared" ca="1" si="387"/>
        <v>#REF!</v>
      </c>
      <c r="L243" t="e">
        <f t="shared" ca="1" si="387"/>
        <v>#REF!</v>
      </c>
      <c r="M243" t="e">
        <f t="shared" ca="1" si="387"/>
        <v>#REF!</v>
      </c>
      <c r="N243" t="e">
        <f t="shared" ca="1" si="387"/>
        <v>#REF!</v>
      </c>
      <c r="O243" t="e">
        <f t="shared" ca="1" si="387"/>
        <v>#REF!</v>
      </c>
      <c r="P243" t="e">
        <f t="shared" ca="1" si="387"/>
        <v>#REF!</v>
      </c>
      <c r="Q243" t="e">
        <f t="shared" ca="1" si="387"/>
        <v>#REF!</v>
      </c>
      <c r="R243" t="e">
        <f t="shared" ca="1" si="387"/>
        <v>#REF!</v>
      </c>
      <c r="S243" t="e">
        <f t="shared" ca="1" si="370"/>
        <v>#REF!</v>
      </c>
      <c r="T243" t="e">
        <f t="shared" ref="T243:AB243" ca="1" si="388">S243+($AC243-$S243)/10</f>
        <v>#REF!</v>
      </c>
      <c r="U243" t="e">
        <f t="shared" ca="1" si="388"/>
        <v>#REF!</v>
      </c>
      <c r="V243" t="e">
        <f t="shared" ca="1" si="388"/>
        <v>#REF!</v>
      </c>
      <c r="W243" t="e">
        <f t="shared" ca="1" si="388"/>
        <v>#REF!</v>
      </c>
      <c r="X243" t="e">
        <f t="shared" ca="1" si="388"/>
        <v>#REF!</v>
      </c>
      <c r="Y243" t="e">
        <f t="shared" ca="1" si="388"/>
        <v>#REF!</v>
      </c>
      <c r="Z243" t="e">
        <f t="shared" ca="1" si="388"/>
        <v>#REF!</v>
      </c>
      <c r="AA243" t="e">
        <f t="shared" ca="1" si="388"/>
        <v>#REF!</v>
      </c>
      <c r="AB243" t="e">
        <f t="shared" ca="1" si="388"/>
        <v>#REF!</v>
      </c>
      <c r="AC243" t="e">
        <f t="shared" ref="AC243:AC244" ca="1" si="389">S243*(1+$E243*$F243)^10</f>
        <v>#REF!</v>
      </c>
      <c r="AD243" t="e">
        <f t="shared" ref="AD243:AL243" ca="1" si="390">AC243+($AM243-$AC243)/10</f>
        <v>#REF!</v>
      </c>
      <c r="AE243" t="e">
        <f t="shared" ca="1" si="390"/>
        <v>#REF!</v>
      </c>
      <c r="AF243" t="e">
        <f t="shared" ca="1" si="390"/>
        <v>#REF!</v>
      </c>
      <c r="AG243" t="e">
        <f t="shared" ca="1" si="390"/>
        <v>#REF!</v>
      </c>
      <c r="AH243" t="e">
        <f t="shared" ca="1" si="390"/>
        <v>#REF!</v>
      </c>
      <c r="AI243" t="e">
        <f t="shared" ca="1" si="390"/>
        <v>#REF!</v>
      </c>
      <c r="AJ243" t="e">
        <f t="shared" ca="1" si="390"/>
        <v>#REF!</v>
      </c>
      <c r="AK243" t="e">
        <f t="shared" ca="1" si="390"/>
        <v>#REF!</v>
      </c>
      <c r="AL243" t="e">
        <f t="shared" ca="1" si="390"/>
        <v>#REF!</v>
      </c>
      <c r="AM243" t="e">
        <f ca="1">AC243*(1+$E243*$F243*AM$237)^10</f>
        <v>#REF!</v>
      </c>
    </row>
    <row r="244" spans="1:39" x14ac:dyDescent="0.2">
      <c r="A244" t="s">
        <v>366</v>
      </c>
      <c r="B244" t="s">
        <v>79</v>
      </c>
      <c r="C244" t="str">
        <f t="shared" si="367"/>
        <v>sud_</v>
      </c>
      <c r="D244" t="str">
        <f>[1]Demand!$C$6</f>
        <v>Other</v>
      </c>
      <c r="E244" s="38">
        <f t="shared" ca="1" si="368"/>
        <v>0</v>
      </c>
      <c r="F244" s="42">
        <v>1</v>
      </c>
      <c r="G244" t="str">
        <f t="shared" si="386"/>
        <v>Other</v>
      </c>
      <c r="H244" t="str">
        <f t="shared" si="374"/>
        <v>D2M50</v>
      </c>
      <c r="I244" t="e">
        <f t="shared" ca="1" si="382"/>
        <v>#REF!</v>
      </c>
      <c r="J244" t="e">
        <f t="shared" ref="J244:R244" ca="1" si="391">I244+($S244-$I244)/10</f>
        <v>#REF!</v>
      </c>
      <c r="K244" t="e">
        <f t="shared" ca="1" si="391"/>
        <v>#REF!</v>
      </c>
      <c r="L244" t="e">
        <f t="shared" ca="1" si="391"/>
        <v>#REF!</v>
      </c>
      <c r="M244" t="e">
        <f t="shared" ca="1" si="391"/>
        <v>#REF!</v>
      </c>
      <c r="N244" t="e">
        <f t="shared" ca="1" si="391"/>
        <v>#REF!</v>
      </c>
      <c r="O244" t="e">
        <f t="shared" ca="1" si="391"/>
        <v>#REF!</v>
      </c>
      <c r="P244" t="e">
        <f t="shared" ca="1" si="391"/>
        <v>#REF!</v>
      </c>
      <c r="Q244" t="e">
        <f t="shared" ca="1" si="391"/>
        <v>#REF!</v>
      </c>
      <c r="R244" t="e">
        <f t="shared" ca="1" si="391"/>
        <v>#REF!</v>
      </c>
      <c r="S244" t="e">
        <f t="shared" ca="1" si="370"/>
        <v>#REF!</v>
      </c>
      <c r="T244" t="e">
        <f t="shared" ref="T244:AB244" ca="1" si="392">S244+($AC244-$S244)/10</f>
        <v>#REF!</v>
      </c>
      <c r="U244" t="e">
        <f t="shared" ca="1" si="392"/>
        <v>#REF!</v>
      </c>
      <c r="V244" t="e">
        <f t="shared" ca="1" si="392"/>
        <v>#REF!</v>
      </c>
      <c r="W244" t="e">
        <f t="shared" ca="1" si="392"/>
        <v>#REF!</v>
      </c>
      <c r="X244" t="e">
        <f t="shared" ca="1" si="392"/>
        <v>#REF!</v>
      </c>
      <c r="Y244" t="e">
        <f t="shared" ca="1" si="392"/>
        <v>#REF!</v>
      </c>
      <c r="Z244" t="e">
        <f t="shared" ca="1" si="392"/>
        <v>#REF!</v>
      </c>
      <c r="AA244" t="e">
        <f t="shared" ca="1" si="392"/>
        <v>#REF!</v>
      </c>
      <c r="AB244" t="e">
        <f t="shared" ca="1" si="392"/>
        <v>#REF!</v>
      </c>
      <c r="AC244" t="e">
        <f t="shared" ca="1" si="389"/>
        <v>#REF!</v>
      </c>
      <c r="AD244" t="e">
        <f t="shared" ref="AD244:AL244" ca="1" si="393">AC244+($AM244-$AC244)/10</f>
        <v>#REF!</v>
      </c>
      <c r="AE244" t="e">
        <f t="shared" ca="1" si="393"/>
        <v>#REF!</v>
      </c>
      <c r="AF244" t="e">
        <f t="shared" ca="1" si="393"/>
        <v>#REF!</v>
      </c>
      <c r="AG244" t="e">
        <f t="shared" ca="1" si="393"/>
        <v>#REF!</v>
      </c>
      <c r="AH244" t="e">
        <f t="shared" ca="1" si="393"/>
        <v>#REF!</v>
      </c>
      <c r="AI244" t="e">
        <f t="shared" ca="1" si="393"/>
        <v>#REF!</v>
      </c>
      <c r="AJ244" t="e">
        <f t="shared" ca="1" si="393"/>
        <v>#REF!</v>
      </c>
      <c r="AK244" t="e">
        <f t="shared" ca="1" si="393"/>
        <v>#REF!</v>
      </c>
      <c r="AL244" t="e">
        <f t="shared" ca="1" si="393"/>
        <v>#REF!</v>
      </c>
      <c r="AM244" t="e">
        <f ca="1">AC244*(1+$E244*$F244*AM$237)^10</f>
        <v>#REF!</v>
      </c>
    </row>
    <row r="245" spans="1:39" x14ac:dyDescent="0.2">
      <c r="C245" t="str">
        <f t="shared" si="367"/>
        <v/>
      </c>
      <c r="E245" s="38" t="str">
        <f t="shared" si="368"/>
        <v/>
      </c>
      <c r="F245" s="38"/>
      <c r="H245" t="str">
        <f t="shared" si="374"/>
        <v/>
      </c>
      <c r="I245" t="str">
        <f t="shared" si="382"/>
        <v/>
      </c>
      <c r="S245" t="str">
        <f t="shared" si="370"/>
        <v/>
      </c>
    </row>
    <row r="246" spans="1:39" x14ac:dyDescent="0.2">
      <c r="A246" t="s">
        <v>367</v>
      </c>
      <c r="B246" t="s">
        <v>79</v>
      </c>
      <c r="C246" t="str">
        <f t="shared" si="367"/>
        <v>sud_</v>
      </c>
      <c r="D246" t="str">
        <f>[1]Demand!$C$4</f>
        <v>Household</v>
      </c>
      <c r="E246" s="38">
        <f t="shared" ca="1" si="368"/>
        <v>0</v>
      </c>
      <c r="F246" s="42">
        <v>0.75</v>
      </c>
      <c r="G246" t="str">
        <f>D246</f>
        <v>Household</v>
      </c>
      <c r="H246" t="str">
        <f t="shared" si="374"/>
        <v>D2H50</v>
      </c>
      <c r="I246" t="e">
        <f t="shared" ca="1" si="382"/>
        <v>#REF!</v>
      </c>
      <c r="J246" t="e">
        <f ca="1">I246+($S246-$I246)/10</f>
        <v>#REF!</v>
      </c>
      <c r="K246" t="e">
        <f ca="1">J246+($S246-$I246)/10</f>
        <v>#REF!</v>
      </c>
      <c r="L246" t="e">
        <f t="shared" ref="L246:R246" ca="1" si="394">K246+($S246-$I246)/10</f>
        <v>#REF!</v>
      </c>
      <c r="M246" t="e">
        <f t="shared" ca="1" si="394"/>
        <v>#REF!</v>
      </c>
      <c r="N246" t="e">
        <f t="shared" ca="1" si="394"/>
        <v>#REF!</v>
      </c>
      <c r="O246" t="e">
        <f t="shared" ca="1" si="394"/>
        <v>#REF!</v>
      </c>
      <c r="P246" t="e">
        <f t="shared" ca="1" si="394"/>
        <v>#REF!</v>
      </c>
      <c r="Q246" t="e">
        <f t="shared" ca="1" si="394"/>
        <v>#REF!</v>
      </c>
      <c r="R246" t="e">
        <f t="shared" ca="1" si="394"/>
        <v>#REF!</v>
      </c>
      <c r="S246" t="e">
        <f t="shared" ca="1" si="370"/>
        <v>#REF!</v>
      </c>
      <c r="T246" t="e">
        <f ca="1">S246+($AC246-$S246)/10</f>
        <v>#REF!</v>
      </c>
      <c r="U246" t="e">
        <f t="shared" ref="U246:AB246" ca="1" si="395">T246+($AC246-$S246)/10</f>
        <v>#REF!</v>
      </c>
      <c r="V246" t="e">
        <f t="shared" ca="1" si="395"/>
        <v>#REF!</v>
      </c>
      <c r="W246" t="e">
        <f t="shared" ca="1" si="395"/>
        <v>#REF!</v>
      </c>
      <c r="X246" t="e">
        <f t="shared" ca="1" si="395"/>
        <v>#REF!</v>
      </c>
      <c r="Y246" t="e">
        <f t="shared" ca="1" si="395"/>
        <v>#REF!</v>
      </c>
      <c r="Z246" t="e">
        <f t="shared" ca="1" si="395"/>
        <v>#REF!</v>
      </c>
      <c r="AA246" t="e">
        <f t="shared" ca="1" si="395"/>
        <v>#REF!</v>
      </c>
      <c r="AB246" t="e">
        <f t="shared" ca="1" si="395"/>
        <v>#REF!</v>
      </c>
      <c r="AC246" t="e">
        <f ca="1">S246*(1+$E246*$F246)^10</f>
        <v>#REF!</v>
      </c>
      <c r="AD246" t="e">
        <f ca="1">AC246+($AM246-$AC246)/10</f>
        <v>#REF!</v>
      </c>
      <c r="AE246" t="e">
        <f t="shared" ref="AE246:AL246" ca="1" si="396">AD246+($AM246-$AC246)/10</f>
        <v>#REF!</v>
      </c>
      <c r="AF246" t="e">
        <f t="shared" ca="1" si="396"/>
        <v>#REF!</v>
      </c>
      <c r="AG246" t="e">
        <f t="shared" ca="1" si="396"/>
        <v>#REF!</v>
      </c>
      <c r="AH246" t="e">
        <f t="shared" ca="1" si="396"/>
        <v>#REF!</v>
      </c>
      <c r="AI246" t="e">
        <f t="shared" ca="1" si="396"/>
        <v>#REF!</v>
      </c>
      <c r="AJ246" t="e">
        <f t="shared" ca="1" si="396"/>
        <v>#REF!</v>
      </c>
      <c r="AK246" t="e">
        <f t="shared" ca="1" si="396"/>
        <v>#REF!</v>
      </c>
      <c r="AL246" t="e">
        <f t="shared" ca="1" si="396"/>
        <v>#REF!</v>
      </c>
      <c r="AM246" t="e">
        <f ca="1">AC246*(1+$E246*$F246*AM$237)^10</f>
        <v>#REF!</v>
      </c>
    </row>
    <row r="247" spans="1:39" x14ac:dyDescent="0.2">
      <c r="A247" t="s">
        <v>367</v>
      </c>
      <c r="B247" t="s">
        <v>79</v>
      </c>
      <c r="C247" t="str">
        <f t="shared" si="367"/>
        <v>sud_</v>
      </c>
      <c r="D247" t="str">
        <f>[1]Demand!$C$5</f>
        <v>Industry</v>
      </c>
      <c r="E247" s="38">
        <f t="shared" ca="1" si="368"/>
        <v>0</v>
      </c>
      <c r="F247" s="42">
        <v>0.75</v>
      </c>
      <c r="G247" t="str">
        <f t="shared" ref="G247:G248" si="397">D247</f>
        <v>Industry</v>
      </c>
      <c r="H247" t="str">
        <f t="shared" si="374"/>
        <v>D2H50</v>
      </c>
      <c r="I247" t="e">
        <f t="shared" ca="1" si="382"/>
        <v>#REF!</v>
      </c>
      <c r="J247" t="e">
        <f t="shared" ref="J247:R247" ca="1" si="398">I247+($S247-$I247)/10</f>
        <v>#REF!</v>
      </c>
      <c r="K247" t="e">
        <f t="shared" ca="1" si="398"/>
        <v>#REF!</v>
      </c>
      <c r="L247" t="e">
        <f t="shared" ca="1" si="398"/>
        <v>#REF!</v>
      </c>
      <c r="M247" t="e">
        <f t="shared" ca="1" si="398"/>
        <v>#REF!</v>
      </c>
      <c r="N247" t="e">
        <f t="shared" ca="1" si="398"/>
        <v>#REF!</v>
      </c>
      <c r="O247" t="e">
        <f t="shared" ca="1" si="398"/>
        <v>#REF!</v>
      </c>
      <c r="P247" t="e">
        <f t="shared" ca="1" si="398"/>
        <v>#REF!</v>
      </c>
      <c r="Q247" t="e">
        <f t="shared" ca="1" si="398"/>
        <v>#REF!</v>
      </c>
      <c r="R247" t="e">
        <f t="shared" ca="1" si="398"/>
        <v>#REF!</v>
      </c>
      <c r="S247" t="e">
        <f t="shared" ca="1" si="370"/>
        <v>#REF!</v>
      </c>
      <c r="T247" t="e">
        <f t="shared" ref="T247:AB247" ca="1" si="399">S247+($AC247-$S247)/10</f>
        <v>#REF!</v>
      </c>
      <c r="U247" t="e">
        <f t="shared" ca="1" si="399"/>
        <v>#REF!</v>
      </c>
      <c r="V247" t="e">
        <f t="shared" ca="1" si="399"/>
        <v>#REF!</v>
      </c>
      <c r="W247" t="e">
        <f t="shared" ca="1" si="399"/>
        <v>#REF!</v>
      </c>
      <c r="X247" t="e">
        <f t="shared" ca="1" si="399"/>
        <v>#REF!</v>
      </c>
      <c r="Y247" t="e">
        <f t="shared" ca="1" si="399"/>
        <v>#REF!</v>
      </c>
      <c r="Z247" t="e">
        <f t="shared" ca="1" si="399"/>
        <v>#REF!</v>
      </c>
      <c r="AA247" t="e">
        <f t="shared" ca="1" si="399"/>
        <v>#REF!</v>
      </c>
      <c r="AB247" t="e">
        <f t="shared" ca="1" si="399"/>
        <v>#REF!</v>
      </c>
      <c r="AC247" t="e">
        <f t="shared" ref="AC247:AC248" ca="1" si="400">S247*(1+$E247*$F247)^10</f>
        <v>#REF!</v>
      </c>
      <c r="AD247" t="e">
        <f t="shared" ref="AD247:AL247" ca="1" si="401">AC247+($AM247-$AC247)/10</f>
        <v>#REF!</v>
      </c>
      <c r="AE247" t="e">
        <f t="shared" ca="1" si="401"/>
        <v>#REF!</v>
      </c>
      <c r="AF247" t="e">
        <f t="shared" ca="1" si="401"/>
        <v>#REF!</v>
      </c>
      <c r="AG247" t="e">
        <f t="shared" ca="1" si="401"/>
        <v>#REF!</v>
      </c>
      <c r="AH247" t="e">
        <f t="shared" ca="1" si="401"/>
        <v>#REF!</v>
      </c>
      <c r="AI247" t="e">
        <f t="shared" ca="1" si="401"/>
        <v>#REF!</v>
      </c>
      <c r="AJ247" t="e">
        <f t="shared" ca="1" si="401"/>
        <v>#REF!</v>
      </c>
      <c r="AK247" t="e">
        <f t="shared" ca="1" si="401"/>
        <v>#REF!</v>
      </c>
      <c r="AL247" t="e">
        <f t="shared" ca="1" si="401"/>
        <v>#REF!</v>
      </c>
      <c r="AM247" t="e">
        <f ca="1">AC247*(1+$E247*$F247*AM$237)^10</f>
        <v>#REF!</v>
      </c>
    </row>
    <row r="248" spans="1:39" x14ac:dyDescent="0.2">
      <c r="A248" t="s">
        <v>367</v>
      </c>
      <c r="B248" t="s">
        <v>79</v>
      </c>
      <c r="C248" t="str">
        <f t="shared" si="367"/>
        <v>sud_</v>
      </c>
      <c r="D248" t="str">
        <f>[1]Demand!$C$6</f>
        <v>Other</v>
      </c>
      <c r="E248" s="38">
        <f t="shared" ca="1" si="368"/>
        <v>0</v>
      </c>
      <c r="F248" s="42">
        <v>0.75</v>
      </c>
      <c r="G248" t="str">
        <f t="shared" si="397"/>
        <v>Other</v>
      </c>
      <c r="H248" t="str">
        <f t="shared" si="374"/>
        <v>D2H50</v>
      </c>
      <c r="I248" t="e">
        <f t="shared" ca="1" si="382"/>
        <v>#REF!</v>
      </c>
      <c r="J248" t="e">
        <f t="shared" ref="J248:R248" ca="1" si="402">I248+($S248-$I248)/10</f>
        <v>#REF!</v>
      </c>
      <c r="K248" t="e">
        <f t="shared" ca="1" si="402"/>
        <v>#REF!</v>
      </c>
      <c r="L248" t="e">
        <f t="shared" ca="1" si="402"/>
        <v>#REF!</v>
      </c>
      <c r="M248" t="e">
        <f t="shared" ca="1" si="402"/>
        <v>#REF!</v>
      </c>
      <c r="N248" t="e">
        <f t="shared" ca="1" si="402"/>
        <v>#REF!</v>
      </c>
      <c r="O248" t="e">
        <f t="shared" ca="1" si="402"/>
        <v>#REF!</v>
      </c>
      <c r="P248" t="e">
        <f t="shared" ca="1" si="402"/>
        <v>#REF!</v>
      </c>
      <c r="Q248" t="e">
        <f t="shared" ca="1" si="402"/>
        <v>#REF!</v>
      </c>
      <c r="R248" t="e">
        <f t="shared" ca="1" si="402"/>
        <v>#REF!</v>
      </c>
      <c r="S248" t="e">
        <f t="shared" ca="1" si="370"/>
        <v>#REF!</v>
      </c>
      <c r="T248" t="e">
        <f t="shared" ref="T248:AB248" ca="1" si="403">S248+($AC248-$S248)/10</f>
        <v>#REF!</v>
      </c>
      <c r="U248" t="e">
        <f t="shared" ca="1" si="403"/>
        <v>#REF!</v>
      </c>
      <c r="V248" t="e">
        <f t="shared" ca="1" si="403"/>
        <v>#REF!</v>
      </c>
      <c r="W248" t="e">
        <f t="shared" ca="1" si="403"/>
        <v>#REF!</v>
      </c>
      <c r="X248" t="e">
        <f t="shared" ca="1" si="403"/>
        <v>#REF!</v>
      </c>
      <c r="Y248" t="e">
        <f t="shared" ca="1" si="403"/>
        <v>#REF!</v>
      </c>
      <c r="Z248" t="e">
        <f t="shared" ca="1" si="403"/>
        <v>#REF!</v>
      </c>
      <c r="AA248" t="e">
        <f t="shared" ca="1" si="403"/>
        <v>#REF!</v>
      </c>
      <c r="AB248" t="e">
        <f t="shared" ca="1" si="403"/>
        <v>#REF!</v>
      </c>
      <c r="AC248" t="e">
        <f t="shared" ca="1" si="400"/>
        <v>#REF!</v>
      </c>
      <c r="AD248" t="e">
        <f t="shared" ref="AD248:AL248" ca="1" si="404">AC248+($AM248-$AC248)/10</f>
        <v>#REF!</v>
      </c>
      <c r="AE248" t="e">
        <f t="shared" ca="1" si="404"/>
        <v>#REF!</v>
      </c>
      <c r="AF248" t="e">
        <f t="shared" ca="1" si="404"/>
        <v>#REF!</v>
      </c>
      <c r="AG248" t="e">
        <f t="shared" ca="1" si="404"/>
        <v>#REF!</v>
      </c>
      <c r="AH248" t="e">
        <f t="shared" ca="1" si="404"/>
        <v>#REF!</v>
      </c>
      <c r="AI248" t="e">
        <f t="shared" ca="1" si="404"/>
        <v>#REF!</v>
      </c>
      <c r="AJ248" t="e">
        <f t="shared" ca="1" si="404"/>
        <v>#REF!</v>
      </c>
      <c r="AK248" t="e">
        <f t="shared" ca="1" si="404"/>
        <v>#REF!</v>
      </c>
      <c r="AL248" t="e">
        <f t="shared" ca="1" si="404"/>
        <v>#REF!</v>
      </c>
      <c r="AM248" t="e">
        <f ca="1">AC248*(1+$E248*$F248*AM$237)^10</f>
        <v>#REF!</v>
      </c>
    </row>
    <row r="249" spans="1:39" x14ac:dyDescent="0.2">
      <c r="D249" t="str">
        <f t="shared" ref="D249" si="405">IF(A249="L","Low",IF(A249="M","Medium",IF(A249="H","High","")))</f>
        <v/>
      </c>
      <c r="E249" t="str">
        <f t="shared" ref="E249" si="406">IF(B249="D1","ouest_",IF(B249="D2","sud_",IF(B249="D3","est_","")))</f>
        <v/>
      </c>
      <c r="G249" s="38" t="str">
        <f t="shared" ref="G249" si="407">IF(A249="","",IFERROR((S249/I249)^(1/($S$201-$I$201))-1,0))</f>
        <v/>
      </c>
      <c r="H249" t="str">
        <f t="shared" si="374"/>
        <v/>
      </c>
      <c r="I249" t="str">
        <f>IF(A249="","",SUMIFS(H$31:H$110,B$28:B$110,$B249,A$28:A$110,$G$154,F$28:F$110,$D249))</f>
        <v/>
      </c>
      <c r="S249" t="str">
        <f>IF(A249="","",SUMIFS(R$31:R$110,B$28:B$110,$B249,A$28:A$110,$A249,F$28:F$110,$D249))</f>
        <v/>
      </c>
    </row>
    <row r="250" spans="1:39" x14ac:dyDescent="0.2">
      <c r="A250" t="s">
        <v>364</v>
      </c>
      <c r="B250" t="s">
        <v>79</v>
      </c>
      <c r="C250" t="str">
        <f t="shared" ref="C250:C260" si="408">IF(B250="D1","ouest_",IF(B250="D2","sud_",IF(B250="D3","est_","")))</f>
        <v>sud_</v>
      </c>
      <c r="D250" t="str">
        <f>[1]Demand!$C$4</f>
        <v>Household</v>
      </c>
      <c r="E250" s="38">
        <f t="shared" ref="E250:E260" ca="1" si="409">IF(A250="","",IFERROR((S250/I250)^(1/($S$201-$I$201))-1,0))</f>
        <v>0</v>
      </c>
      <c r="F250" s="42">
        <v>0.75</v>
      </c>
      <c r="G250" t="str">
        <f>D250</f>
        <v>Household</v>
      </c>
      <c r="H250" t="str">
        <f t="shared" si="374"/>
        <v>D2L75</v>
      </c>
      <c r="I250" t="e">
        <f ca="1">IF(A250="","",SUMIFS(H$28:H$134,B$28:B$134,$B250,A$28:A$134,$G$154,F$28:F$134,$D250))</f>
        <v>#REF!</v>
      </c>
      <c r="J250" t="e">
        <f t="shared" ref="J250:R250" ca="1" si="410">I250*(1+$E250)</f>
        <v>#REF!</v>
      </c>
      <c r="K250" t="e">
        <f t="shared" ca="1" si="410"/>
        <v>#REF!</v>
      </c>
      <c r="L250" t="e">
        <f t="shared" ca="1" si="410"/>
        <v>#REF!</v>
      </c>
      <c r="M250" t="e">
        <f t="shared" ca="1" si="410"/>
        <v>#REF!</v>
      </c>
      <c r="N250" t="e">
        <f t="shared" ca="1" si="410"/>
        <v>#REF!</v>
      </c>
      <c r="O250" t="e">
        <f t="shared" ca="1" si="410"/>
        <v>#REF!</v>
      </c>
      <c r="P250" t="e">
        <f t="shared" ca="1" si="410"/>
        <v>#REF!</v>
      </c>
      <c r="Q250" t="e">
        <f t="shared" ca="1" si="410"/>
        <v>#REF!</v>
      </c>
      <c r="R250" t="e">
        <f t="shared" ca="1" si="410"/>
        <v>#REF!</v>
      </c>
      <c r="S250" t="e">
        <f t="shared" ref="S250:S260" ca="1" si="411">IF(A250="","",SUMIFS(R$28:R$134,B$28:B$134,$B250,A$28:A$134,$A250,F$28:F$134,$D250))</f>
        <v>#REF!</v>
      </c>
      <c r="T250" t="e">
        <f t="shared" ref="T250:AC250" ca="1" si="412">S250*(1+$E250*$F250)</f>
        <v>#REF!</v>
      </c>
      <c r="U250" t="e">
        <f t="shared" ca="1" si="412"/>
        <v>#REF!</v>
      </c>
      <c r="V250" t="e">
        <f t="shared" ca="1" si="412"/>
        <v>#REF!</v>
      </c>
      <c r="W250" t="e">
        <f t="shared" ca="1" si="412"/>
        <v>#REF!</v>
      </c>
      <c r="X250" t="e">
        <f t="shared" ca="1" si="412"/>
        <v>#REF!</v>
      </c>
      <c r="Y250" t="e">
        <f t="shared" ca="1" si="412"/>
        <v>#REF!</v>
      </c>
      <c r="Z250" t="e">
        <f t="shared" ca="1" si="412"/>
        <v>#REF!</v>
      </c>
      <c r="AA250" t="e">
        <f t="shared" ca="1" si="412"/>
        <v>#REF!</v>
      </c>
      <c r="AB250" t="e">
        <f t="shared" ca="1" si="412"/>
        <v>#REF!</v>
      </c>
      <c r="AC250" t="e">
        <f t="shared" ca="1" si="412"/>
        <v>#REF!</v>
      </c>
      <c r="AD250" t="e">
        <f t="shared" ref="AD250:AD252" ca="1" si="413">AC250*(1+$E250*$F250)</f>
        <v>#REF!</v>
      </c>
      <c r="AE250" t="e">
        <f t="shared" ref="AE250:AE252" ca="1" si="414">AD250*(1+$E250*$F250)</f>
        <v>#REF!</v>
      </c>
      <c r="AF250" t="e">
        <f t="shared" ref="AF250:AF252" ca="1" si="415">AE250*(1+$E250*$F250)</f>
        <v>#REF!</v>
      </c>
      <c r="AG250" t="e">
        <f t="shared" ref="AG250:AG252" ca="1" si="416">AF250*(1+$E250*$F250)</f>
        <v>#REF!</v>
      </c>
      <c r="AH250" t="e">
        <f t="shared" ref="AH250:AH252" ca="1" si="417">AG250*(1+$E250*$F250)</f>
        <v>#REF!</v>
      </c>
      <c r="AI250" t="e">
        <f t="shared" ref="AI250:AI252" ca="1" si="418">AH250*(1+$E250*$F250)</f>
        <v>#REF!</v>
      </c>
      <c r="AJ250" t="e">
        <f t="shared" ref="AJ250:AJ252" ca="1" si="419">AI250*(1+$E250*$F250)</f>
        <v>#REF!</v>
      </c>
      <c r="AK250" t="e">
        <f t="shared" ref="AK250:AK252" ca="1" si="420">AJ250*(1+$E250*$F250)</f>
        <v>#REF!</v>
      </c>
      <c r="AL250" t="e">
        <f t="shared" ref="AL250:AL252" ca="1" si="421">AK250*(1+$E250*$F250)</f>
        <v>#REF!</v>
      </c>
      <c r="AM250" t="e">
        <f t="shared" ref="AM250:AM252" ca="1" si="422">AL250*(1+$E250*$F250)</f>
        <v>#REF!</v>
      </c>
    </row>
    <row r="251" spans="1:39" x14ac:dyDescent="0.2">
      <c r="A251" t="s">
        <v>364</v>
      </c>
      <c r="B251" t="s">
        <v>79</v>
      </c>
      <c r="C251" t="str">
        <f t="shared" si="408"/>
        <v>sud_</v>
      </c>
      <c r="D251" t="str">
        <f>[1]Demand!$C$5</f>
        <v>Industry</v>
      </c>
      <c r="E251" s="38">
        <f t="shared" ca="1" si="409"/>
        <v>0</v>
      </c>
      <c r="F251" s="42">
        <v>0.75</v>
      </c>
      <c r="G251" t="str">
        <f t="shared" ref="G251:G252" si="423">D251</f>
        <v>Industry</v>
      </c>
      <c r="H251" t="str">
        <f t="shared" si="374"/>
        <v>D2L75</v>
      </c>
      <c r="I251" t="e">
        <f ca="1">IF(A251="","",SUMIFS(H$28:H$134,B$28:B$134,$B251,A$28:A$134,$G$154,F$28:F$134,$D251))</f>
        <v>#REF!</v>
      </c>
      <c r="J251" t="e">
        <f t="shared" ref="J251:R251" ca="1" si="424">I251*(1+$E251)</f>
        <v>#REF!</v>
      </c>
      <c r="K251" t="e">
        <f t="shared" ca="1" si="424"/>
        <v>#REF!</v>
      </c>
      <c r="L251" t="e">
        <f t="shared" ca="1" si="424"/>
        <v>#REF!</v>
      </c>
      <c r="M251" t="e">
        <f t="shared" ca="1" si="424"/>
        <v>#REF!</v>
      </c>
      <c r="N251" t="e">
        <f t="shared" ca="1" si="424"/>
        <v>#REF!</v>
      </c>
      <c r="O251" t="e">
        <f t="shared" ca="1" si="424"/>
        <v>#REF!</v>
      </c>
      <c r="P251" t="e">
        <f t="shared" ca="1" si="424"/>
        <v>#REF!</v>
      </c>
      <c r="Q251" t="e">
        <f t="shared" ca="1" si="424"/>
        <v>#REF!</v>
      </c>
      <c r="R251" t="e">
        <f t="shared" ca="1" si="424"/>
        <v>#REF!</v>
      </c>
      <c r="S251" t="e">
        <f t="shared" ca="1" si="411"/>
        <v>#REF!</v>
      </c>
      <c r="T251" t="e">
        <f t="shared" ref="T251:AC251" ca="1" si="425">S251*(1+$E251*$F251)</f>
        <v>#REF!</v>
      </c>
      <c r="U251" t="e">
        <f t="shared" ca="1" si="425"/>
        <v>#REF!</v>
      </c>
      <c r="V251" t="e">
        <f t="shared" ca="1" si="425"/>
        <v>#REF!</v>
      </c>
      <c r="W251" t="e">
        <f t="shared" ca="1" si="425"/>
        <v>#REF!</v>
      </c>
      <c r="X251" t="e">
        <f t="shared" ca="1" si="425"/>
        <v>#REF!</v>
      </c>
      <c r="Y251" t="e">
        <f t="shared" ca="1" si="425"/>
        <v>#REF!</v>
      </c>
      <c r="Z251" t="e">
        <f t="shared" ca="1" si="425"/>
        <v>#REF!</v>
      </c>
      <c r="AA251" t="e">
        <f t="shared" ca="1" si="425"/>
        <v>#REF!</v>
      </c>
      <c r="AB251" t="e">
        <f t="shared" ca="1" si="425"/>
        <v>#REF!</v>
      </c>
      <c r="AC251" t="e">
        <f t="shared" ca="1" si="425"/>
        <v>#REF!</v>
      </c>
      <c r="AD251" t="e">
        <f t="shared" ca="1" si="413"/>
        <v>#REF!</v>
      </c>
      <c r="AE251" t="e">
        <f t="shared" ca="1" si="414"/>
        <v>#REF!</v>
      </c>
      <c r="AF251" t="e">
        <f t="shared" ca="1" si="415"/>
        <v>#REF!</v>
      </c>
      <c r="AG251" t="e">
        <f t="shared" ca="1" si="416"/>
        <v>#REF!</v>
      </c>
      <c r="AH251" t="e">
        <f t="shared" ca="1" si="417"/>
        <v>#REF!</v>
      </c>
      <c r="AI251" t="e">
        <f t="shared" ca="1" si="418"/>
        <v>#REF!</v>
      </c>
      <c r="AJ251" t="e">
        <f t="shared" ca="1" si="419"/>
        <v>#REF!</v>
      </c>
      <c r="AK251" t="e">
        <f t="shared" ca="1" si="420"/>
        <v>#REF!</v>
      </c>
      <c r="AL251" t="e">
        <f t="shared" ca="1" si="421"/>
        <v>#REF!</v>
      </c>
      <c r="AM251" t="e">
        <f t="shared" ca="1" si="422"/>
        <v>#REF!</v>
      </c>
    </row>
    <row r="252" spans="1:39" x14ac:dyDescent="0.2">
      <c r="A252" t="s">
        <v>364</v>
      </c>
      <c r="B252" t="s">
        <v>79</v>
      </c>
      <c r="C252" t="str">
        <f t="shared" si="408"/>
        <v>sud_</v>
      </c>
      <c r="D252" t="str">
        <f>[1]Demand!$C$6</f>
        <v>Other</v>
      </c>
      <c r="E252" s="38">
        <f t="shared" ca="1" si="409"/>
        <v>0</v>
      </c>
      <c r="F252" s="42">
        <v>0.75</v>
      </c>
      <c r="G252" t="str">
        <f t="shared" si="423"/>
        <v>Other</v>
      </c>
      <c r="H252" t="str">
        <f t="shared" si="374"/>
        <v>D2L75</v>
      </c>
      <c r="I252" t="e">
        <f ca="1">IF(A252="","",SUMIFS(H$28:H$134,B$28:B$134,$B252,A$28:A$134,$G$154,F$28:F$134,$D252))</f>
        <v>#REF!</v>
      </c>
      <c r="J252" t="e">
        <f t="shared" ref="J252:R252" ca="1" si="426">I252*(1+$E252)</f>
        <v>#REF!</v>
      </c>
      <c r="K252" t="e">
        <f t="shared" ca="1" si="426"/>
        <v>#REF!</v>
      </c>
      <c r="L252" t="e">
        <f t="shared" ca="1" si="426"/>
        <v>#REF!</v>
      </c>
      <c r="M252" t="e">
        <f t="shared" ca="1" si="426"/>
        <v>#REF!</v>
      </c>
      <c r="N252" t="e">
        <f t="shared" ca="1" si="426"/>
        <v>#REF!</v>
      </c>
      <c r="O252" t="e">
        <f t="shared" ca="1" si="426"/>
        <v>#REF!</v>
      </c>
      <c r="P252" t="e">
        <f t="shared" ca="1" si="426"/>
        <v>#REF!</v>
      </c>
      <c r="Q252" t="e">
        <f t="shared" ca="1" si="426"/>
        <v>#REF!</v>
      </c>
      <c r="R252" t="e">
        <f t="shared" ca="1" si="426"/>
        <v>#REF!</v>
      </c>
      <c r="S252" t="e">
        <f t="shared" ca="1" si="411"/>
        <v>#REF!</v>
      </c>
      <c r="T252" t="e">
        <f t="shared" ref="T252:AC252" ca="1" si="427">S252*(1+$E252*$F252)</f>
        <v>#REF!</v>
      </c>
      <c r="U252" t="e">
        <f t="shared" ca="1" si="427"/>
        <v>#REF!</v>
      </c>
      <c r="V252" t="e">
        <f t="shared" ca="1" si="427"/>
        <v>#REF!</v>
      </c>
      <c r="W252" t="e">
        <f t="shared" ca="1" si="427"/>
        <v>#REF!</v>
      </c>
      <c r="X252" t="e">
        <f t="shared" ca="1" si="427"/>
        <v>#REF!</v>
      </c>
      <c r="Y252" t="e">
        <f t="shared" ca="1" si="427"/>
        <v>#REF!</v>
      </c>
      <c r="Z252" t="e">
        <f t="shared" ca="1" si="427"/>
        <v>#REF!</v>
      </c>
      <c r="AA252" t="e">
        <f t="shared" ca="1" si="427"/>
        <v>#REF!</v>
      </c>
      <c r="AB252" t="e">
        <f t="shared" ca="1" si="427"/>
        <v>#REF!</v>
      </c>
      <c r="AC252" t="e">
        <f t="shared" ca="1" si="427"/>
        <v>#REF!</v>
      </c>
      <c r="AD252" t="e">
        <f t="shared" ca="1" si="413"/>
        <v>#REF!</v>
      </c>
      <c r="AE252" t="e">
        <f t="shared" ca="1" si="414"/>
        <v>#REF!</v>
      </c>
      <c r="AF252" t="e">
        <f t="shared" ca="1" si="415"/>
        <v>#REF!</v>
      </c>
      <c r="AG252" t="e">
        <f t="shared" ca="1" si="416"/>
        <v>#REF!</v>
      </c>
      <c r="AH252" t="e">
        <f t="shared" ca="1" si="417"/>
        <v>#REF!</v>
      </c>
      <c r="AI252" t="e">
        <f t="shared" ca="1" si="418"/>
        <v>#REF!</v>
      </c>
      <c r="AJ252" t="e">
        <f t="shared" ca="1" si="419"/>
        <v>#REF!</v>
      </c>
      <c r="AK252" t="e">
        <f t="shared" ca="1" si="420"/>
        <v>#REF!</v>
      </c>
      <c r="AL252" t="e">
        <f t="shared" ca="1" si="421"/>
        <v>#REF!</v>
      </c>
      <c r="AM252" t="e">
        <f t="shared" ca="1" si="422"/>
        <v>#REF!</v>
      </c>
    </row>
    <row r="253" spans="1:39" x14ac:dyDescent="0.2">
      <c r="C253" t="str">
        <f t="shared" si="408"/>
        <v/>
      </c>
      <c r="E253" s="38" t="str">
        <f t="shared" si="409"/>
        <v/>
      </c>
      <c r="F253" s="38"/>
      <c r="G253" s="38"/>
      <c r="H253" t="str">
        <f t="shared" si="374"/>
        <v/>
      </c>
      <c r="S253" t="str">
        <f t="shared" si="411"/>
        <v/>
      </c>
    </row>
    <row r="254" spans="1:39" x14ac:dyDescent="0.2">
      <c r="A254" t="s">
        <v>368</v>
      </c>
      <c r="B254" t="s">
        <v>79</v>
      </c>
      <c r="C254" t="str">
        <f t="shared" si="408"/>
        <v>sud_</v>
      </c>
      <c r="D254" t="str">
        <f>[1]Demand!$C$4</f>
        <v>Household</v>
      </c>
      <c r="E254" s="38">
        <f t="shared" ca="1" si="409"/>
        <v>0</v>
      </c>
      <c r="F254" s="42">
        <v>0.75</v>
      </c>
      <c r="G254" t="str">
        <f>D254</f>
        <v>Household</v>
      </c>
      <c r="H254" t="str">
        <f t="shared" si="374"/>
        <v>D2M75</v>
      </c>
      <c r="I254" t="e">
        <f t="shared" ref="I254:I260" ca="1" si="428">IF(A254="","",SUMIFS(H$28:H$134,B$28:B$134,$B254,A$28:A$134,$G$154,F$28:F$134,$D254))</f>
        <v>#REF!</v>
      </c>
      <c r="J254" t="e">
        <f t="shared" ref="J254:R254" ca="1" si="429">I254*(1+$E254)</f>
        <v>#REF!</v>
      </c>
      <c r="K254" t="e">
        <f t="shared" ca="1" si="429"/>
        <v>#REF!</v>
      </c>
      <c r="L254" t="e">
        <f t="shared" ca="1" si="429"/>
        <v>#REF!</v>
      </c>
      <c r="M254" t="e">
        <f t="shared" ca="1" si="429"/>
        <v>#REF!</v>
      </c>
      <c r="N254" t="e">
        <f t="shared" ca="1" si="429"/>
        <v>#REF!</v>
      </c>
      <c r="O254" t="e">
        <f t="shared" ca="1" si="429"/>
        <v>#REF!</v>
      </c>
      <c r="P254" t="e">
        <f t="shared" ca="1" si="429"/>
        <v>#REF!</v>
      </c>
      <c r="Q254" t="e">
        <f t="shared" ca="1" si="429"/>
        <v>#REF!</v>
      </c>
      <c r="R254" t="e">
        <f t="shared" ca="1" si="429"/>
        <v>#REF!</v>
      </c>
      <c r="S254" t="e">
        <f t="shared" ca="1" si="411"/>
        <v>#REF!</v>
      </c>
      <c r="T254" t="e">
        <f t="shared" ref="T254:AC254" ca="1" si="430">S254*(1+$E254*$F254)</f>
        <v>#REF!</v>
      </c>
      <c r="U254" t="e">
        <f t="shared" ca="1" si="430"/>
        <v>#REF!</v>
      </c>
      <c r="V254" t="e">
        <f t="shared" ca="1" si="430"/>
        <v>#REF!</v>
      </c>
      <c r="W254" t="e">
        <f t="shared" ca="1" si="430"/>
        <v>#REF!</v>
      </c>
      <c r="X254" t="e">
        <f t="shared" ca="1" si="430"/>
        <v>#REF!</v>
      </c>
      <c r="Y254" t="e">
        <f t="shared" ca="1" si="430"/>
        <v>#REF!</v>
      </c>
      <c r="Z254" t="e">
        <f t="shared" ca="1" si="430"/>
        <v>#REF!</v>
      </c>
      <c r="AA254" t="e">
        <f t="shared" ca="1" si="430"/>
        <v>#REF!</v>
      </c>
      <c r="AB254" t="e">
        <f t="shared" ca="1" si="430"/>
        <v>#REF!</v>
      </c>
      <c r="AC254" t="e">
        <f t="shared" ca="1" si="430"/>
        <v>#REF!</v>
      </c>
      <c r="AD254" t="e">
        <f t="shared" ref="AD254:AD256" ca="1" si="431">AC254*(1+$E254*$F254)</f>
        <v>#REF!</v>
      </c>
      <c r="AE254" t="e">
        <f t="shared" ref="AE254:AE256" ca="1" si="432">AD254*(1+$E254*$F254)</f>
        <v>#REF!</v>
      </c>
      <c r="AF254" t="e">
        <f t="shared" ref="AF254:AF256" ca="1" si="433">AE254*(1+$E254*$F254)</f>
        <v>#REF!</v>
      </c>
      <c r="AG254" t="e">
        <f t="shared" ref="AG254:AG256" ca="1" si="434">AF254*(1+$E254*$F254)</f>
        <v>#REF!</v>
      </c>
      <c r="AH254" t="e">
        <f t="shared" ref="AH254:AH256" ca="1" si="435">AG254*(1+$E254*$F254)</f>
        <v>#REF!</v>
      </c>
      <c r="AI254" t="e">
        <f t="shared" ref="AI254:AI256" ca="1" si="436">AH254*(1+$E254*$F254)</f>
        <v>#REF!</v>
      </c>
      <c r="AJ254" t="e">
        <f t="shared" ref="AJ254:AJ256" ca="1" si="437">AI254*(1+$E254*$F254)</f>
        <v>#REF!</v>
      </c>
      <c r="AK254" t="e">
        <f t="shared" ref="AK254:AK256" ca="1" si="438">AJ254*(1+$E254*$F254)</f>
        <v>#REF!</v>
      </c>
      <c r="AL254" t="e">
        <f t="shared" ref="AL254:AL256" ca="1" si="439">AK254*(1+$E254*$F254)</f>
        <v>#REF!</v>
      </c>
      <c r="AM254" t="e">
        <f t="shared" ref="AM254:AM256" ca="1" si="440">AL254*(1+$E254*$F254)</f>
        <v>#REF!</v>
      </c>
    </row>
    <row r="255" spans="1:39" x14ac:dyDescent="0.2">
      <c r="A255" t="s">
        <v>368</v>
      </c>
      <c r="B255" t="s">
        <v>79</v>
      </c>
      <c r="C255" t="str">
        <f t="shared" si="408"/>
        <v>sud_</v>
      </c>
      <c r="D255" t="str">
        <f>[1]Demand!$C$5</f>
        <v>Industry</v>
      </c>
      <c r="E255" s="38">
        <f t="shared" ca="1" si="409"/>
        <v>0</v>
      </c>
      <c r="F255" s="42">
        <v>0.75</v>
      </c>
      <c r="G255" t="str">
        <f t="shared" ref="G255:G256" si="441">D255</f>
        <v>Industry</v>
      </c>
      <c r="H255" t="str">
        <f t="shared" si="374"/>
        <v>D2M75</v>
      </c>
      <c r="I255" t="e">
        <f t="shared" ca="1" si="428"/>
        <v>#REF!</v>
      </c>
      <c r="J255" t="e">
        <f t="shared" ref="J255:R255" ca="1" si="442">I255*(1+$E255)</f>
        <v>#REF!</v>
      </c>
      <c r="K255" t="e">
        <f t="shared" ca="1" si="442"/>
        <v>#REF!</v>
      </c>
      <c r="L255" t="e">
        <f t="shared" ca="1" si="442"/>
        <v>#REF!</v>
      </c>
      <c r="M255" t="e">
        <f t="shared" ca="1" si="442"/>
        <v>#REF!</v>
      </c>
      <c r="N255" t="e">
        <f t="shared" ca="1" si="442"/>
        <v>#REF!</v>
      </c>
      <c r="O255" t="e">
        <f t="shared" ca="1" si="442"/>
        <v>#REF!</v>
      </c>
      <c r="P255" t="e">
        <f t="shared" ca="1" si="442"/>
        <v>#REF!</v>
      </c>
      <c r="Q255" t="e">
        <f t="shared" ca="1" si="442"/>
        <v>#REF!</v>
      </c>
      <c r="R255" t="e">
        <f t="shared" ca="1" si="442"/>
        <v>#REF!</v>
      </c>
      <c r="S255" t="e">
        <f t="shared" ca="1" si="411"/>
        <v>#REF!</v>
      </c>
      <c r="T255" t="e">
        <f t="shared" ref="T255:AC255" ca="1" si="443">S255*(1+$E255*$F255)</f>
        <v>#REF!</v>
      </c>
      <c r="U255" t="e">
        <f t="shared" ca="1" si="443"/>
        <v>#REF!</v>
      </c>
      <c r="V255" t="e">
        <f t="shared" ca="1" si="443"/>
        <v>#REF!</v>
      </c>
      <c r="W255" t="e">
        <f t="shared" ca="1" si="443"/>
        <v>#REF!</v>
      </c>
      <c r="X255" t="e">
        <f t="shared" ca="1" si="443"/>
        <v>#REF!</v>
      </c>
      <c r="Y255" t="e">
        <f t="shared" ca="1" si="443"/>
        <v>#REF!</v>
      </c>
      <c r="Z255" t="e">
        <f t="shared" ca="1" si="443"/>
        <v>#REF!</v>
      </c>
      <c r="AA255" t="e">
        <f t="shared" ca="1" si="443"/>
        <v>#REF!</v>
      </c>
      <c r="AB255" t="e">
        <f t="shared" ca="1" si="443"/>
        <v>#REF!</v>
      </c>
      <c r="AC255" t="e">
        <f t="shared" ca="1" si="443"/>
        <v>#REF!</v>
      </c>
      <c r="AD255" t="e">
        <f t="shared" ca="1" si="431"/>
        <v>#REF!</v>
      </c>
      <c r="AE255" t="e">
        <f t="shared" ca="1" si="432"/>
        <v>#REF!</v>
      </c>
      <c r="AF255" t="e">
        <f t="shared" ca="1" si="433"/>
        <v>#REF!</v>
      </c>
      <c r="AG255" t="e">
        <f t="shared" ca="1" si="434"/>
        <v>#REF!</v>
      </c>
      <c r="AH255" t="e">
        <f t="shared" ca="1" si="435"/>
        <v>#REF!</v>
      </c>
      <c r="AI255" t="e">
        <f t="shared" ca="1" si="436"/>
        <v>#REF!</v>
      </c>
      <c r="AJ255" t="e">
        <f t="shared" ca="1" si="437"/>
        <v>#REF!</v>
      </c>
      <c r="AK255" t="e">
        <f t="shared" ca="1" si="438"/>
        <v>#REF!</v>
      </c>
      <c r="AL255" t="e">
        <f t="shared" ca="1" si="439"/>
        <v>#REF!</v>
      </c>
      <c r="AM255" t="e">
        <f t="shared" ca="1" si="440"/>
        <v>#REF!</v>
      </c>
    </row>
    <row r="256" spans="1:39" x14ac:dyDescent="0.2">
      <c r="A256" t="s">
        <v>368</v>
      </c>
      <c r="B256" t="s">
        <v>79</v>
      </c>
      <c r="C256" t="str">
        <f t="shared" si="408"/>
        <v>sud_</v>
      </c>
      <c r="D256" t="str">
        <f>[1]Demand!$C$6</f>
        <v>Other</v>
      </c>
      <c r="E256" s="38">
        <f t="shared" ca="1" si="409"/>
        <v>0</v>
      </c>
      <c r="F256" s="42">
        <v>0.75</v>
      </c>
      <c r="G256" t="str">
        <f t="shared" si="441"/>
        <v>Other</v>
      </c>
      <c r="H256" t="str">
        <f t="shared" si="374"/>
        <v>D2M75</v>
      </c>
      <c r="I256" t="e">
        <f t="shared" ca="1" si="428"/>
        <v>#REF!</v>
      </c>
      <c r="J256" t="e">
        <f t="shared" ref="J256:R256" ca="1" si="444">I256*(1+$E256)</f>
        <v>#REF!</v>
      </c>
      <c r="K256" t="e">
        <f t="shared" ca="1" si="444"/>
        <v>#REF!</v>
      </c>
      <c r="L256" t="e">
        <f t="shared" ca="1" si="444"/>
        <v>#REF!</v>
      </c>
      <c r="M256" t="e">
        <f t="shared" ca="1" si="444"/>
        <v>#REF!</v>
      </c>
      <c r="N256" t="e">
        <f t="shared" ca="1" si="444"/>
        <v>#REF!</v>
      </c>
      <c r="O256" t="e">
        <f t="shared" ca="1" si="444"/>
        <v>#REF!</v>
      </c>
      <c r="P256" t="e">
        <f t="shared" ca="1" si="444"/>
        <v>#REF!</v>
      </c>
      <c r="Q256" t="e">
        <f t="shared" ca="1" si="444"/>
        <v>#REF!</v>
      </c>
      <c r="R256" t="e">
        <f t="shared" ca="1" si="444"/>
        <v>#REF!</v>
      </c>
      <c r="S256" t="e">
        <f t="shared" ca="1" si="411"/>
        <v>#REF!</v>
      </c>
      <c r="T256" t="e">
        <f t="shared" ref="T256:AC256" ca="1" si="445">S256*(1+$E256*$F256)</f>
        <v>#REF!</v>
      </c>
      <c r="U256" t="e">
        <f t="shared" ca="1" si="445"/>
        <v>#REF!</v>
      </c>
      <c r="V256" t="e">
        <f t="shared" ca="1" si="445"/>
        <v>#REF!</v>
      </c>
      <c r="W256" t="e">
        <f t="shared" ca="1" si="445"/>
        <v>#REF!</v>
      </c>
      <c r="X256" t="e">
        <f t="shared" ca="1" si="445"/>
        <v>#REF!</v>
      </c>
      <c r="Y256" t="e">
        <f t="shared" ca="1" si="445"/>
        <v>#REF!</v>
      </c>
      <c r="Z256" t="e">
        <f t="shared" ca="1" si="445"/>
        <v>#REF!</v>
      </c>
      <c r="AA256" t="e">
        <f t="shared" ca="1" si="445"/>
        <v>#REF!</v>
      </c>
      <c r="AB256" t="e">
        <f t="shared" ca="1" si="445"/>
        <v>#REF!</v>
      </c>
      <c r="AC256" t="e">
        <f t="shared" ca="1" si="445"/>
        <v>#REF!</v>
      </c>
      <c r="AD256" t="e">
        <f t="shared" ca="1" si="431"/>
        <v>#REF!</v>
      </c>
      <c r="AE256" t="e">
        <f t="shared" ca="1" si="432"/>
        <v>#REF!</v>
      </c>
      <c r="AF256" t="e">
        <f t="shared" ca="1" si="433"/>
        <v>#REF!</v>
      </c>
      <c r="AG256" t="e">
        <f t="shared" ca="1" si="434"/>
        <v>#REF!</v>
      </c>
      <c r="AH256" t="e">
        <f t="shared" ca="1" si="435"/>
        <v>#REF!</v>
      </c>
      <c r="AI256" t="e">
        <f t="shared" ca="1" si="436"/>
        <v>#REF!</v>
      </c>
      <c r="AJ256" t="e">
        <f t="shared" ca="1" si="437"/>
        <v>#REF!</v>
      </c>
      <c r="AK256" t="e">
        <f t="shared" ca="1" si="438"/>
        <v>#REF!</v>
      </c>
      <c r="AL256" t="e">
        <f t="shared" ca="1" si="439"/>
        <v>#REF!</v>
      </c>
      <c r="AM256" t="e">
        <f t="shared" ca="1" si="440"/>
        <v>#REF!</v>
      </c>
    </row>
    <row r="257" spans="1:39" x14ac:dyDescent="0.2">
      <c r="C257" t="str">
        <f t="shared" si="408"/>
        <v/>
      </c>
      <c r="E257" s="38" t="str">
        <f t="shared" si="409"/>
        <v/>
      </c>
      <c r="F257" s="38"/>
      <c r="G257" s="38"/>
      <c r="H257" t="str">
        <f t="shared" si="374"/>
        <v/>
      </c>
      <c r="I257" t="str">
        <f t="shared" si="428"/>
        <v/>
      </c>
      <c r="S257" t="str">
        <f t="shared" si="411"/>
        <v/>
      </c>
    </row>
    <row r="258" spans="1:39" x14ac:dyDescent="0.2">
      <c r="A258" t="s">
        <v>370</v>
      </c>
      <c r="B258" t="s">
        <v>79</v>
      </c>
      <c r="C258" t="str">
        <f t="shared" si="408"/>
        <v>sud_</v>
      </c>
      <c r="D258" t="str">
        <f>[1]Demand!$C$4</f>
        <v>Household</v>
      </c>
      <c r="E258" s="38">
        <f t="shared" ca="1" si="409"/>
        <v>0</v>
      </c>
      <c r="F258" s="42">
        <v>0.75</v>
      </c>
      <c r="G258" t="str">
        <f>D258</f>
        <v>Household</v>
      </c>
      <c r="H258" t="str">
        <f t="shared" si="374"/>
        <v>D2H75</v>
      </c>
      <c r="I258" t="e">
        <f t="shared" ca="1" si="428"/>
        <v>#REF!</v>
      </c>
      <c r="J258" t="e">
        <f t="shared" ref="J258:R258" ca="1" si="446">I258*(1+$E258)</f>
        <v>#REF!</v>
      </c>
      <c r="K258" t="e">
        <f t="shared" ca="1" si="446"/>
        <v>#REF!</v>
      </c>
      <c r="L258" t="e">
        <f t="shared" ca="1" si="446"/>
        <v>#REF!</v>
      </c>
      <c r="M258" t="e">
        <f t="shared" ca="1" si="446"/>
        <v>#REF!</v>
      </c>
      <c r="N258" t="e">
        <f t="shared" ca="1" si="446"/>
        <v>#REF!</v>
      </c>
      <c r="O258" t="e">
        <f t="shared" ca="1" si="446"/>
        <v>#REF!</v>
      </c>
      <c r="P258" t="e">
        <f t="shared" ca="1" si="446"/>
        <v>#REF!</v>
      </c>
      <c r="Q258" t="e">
        <f t="shared" ca="1" si="446"/>
        <v>#REF!</v>
      </c>
      <c r="R258" t="e">
        <f t="shared" ca="1" si="446"/>
        <v>#REF!</v>
      </c>
      <c r="S258" t="e">
        <f t="shared" ca="1" si="411"/>
        <v>#REF!</v>
      </c>
      <c r="T258" t="e">
        <f t="shared" ref="T258:AC258" ca="1" si="447">S258*(1+$E258*$F258)</f>
        <v>#REF!</v>
      </c>
      <c r="U258" t="e">
        <f t="shared" ca="1" si="447"/>
        <v>#REF!</v>
      </c>
      <c r="V258" t="e">
        <f t="shared" ca="1" si="447"/>
        <v>#REF!</v>
      </c>
      <c r="W258" t="e">
        <f t="shared" ca="1" si="447"/>
        <v>#REF!</v>
      </c>
      <c r="X258" t="e">
        <f t="shared" ca="1" si="447"/>
        <v>#REF!</v>
      </c>
      <c r="Y258" t="e">
        <f t="shared" ca="1" si="447"/>
        <v>#REF!</v>
      </c>
      <c r="Z258" t="e">
        <f t="shared" ca="1" si="447"/>
        <v>#REF!</v>
      </c>
      <c r="AA258" t="e">
        <f t="shared" ca="1" si="447"/>
        <v>#REF!</v>
      </c>
      <c r="AB258" t="e">
        <f t="shared" ca="1" si="447"/>
        <v>#REF!</v>
      </c>
      <c r="AC258" t="e">
        <f t="shared" ca="1" si="447"/>
        <v>#REF!</v>
      </c>
      <c r="AD258" t="e">
        <f t="shared" ref="AD258:AD260" ca="1" si="448">AC258*(1+$E258*$F258)</f>
        <v>#REF!</v>
      </c>
      <c r="AE258" t="e">
        <f t="shared" ref="AE258:AE260" ca="1" si="449">AD258*(1+$E258*$F258)</f>
        <v>#REF!</v>
      </c>
      <c r="AF258" t="e">
        <f t="shared" ref="AF258:AF260" ca="1" si="450">AE258*(1+$E258*$F258)</f>
        <v>#REF!</v>
      </c>
      <c r="AG258" t="e">
        <f t="shared" ref="AG258:AG260" ca="1" si="451">AF258*(1+$E258*$F258)</f>
        <v>#REF!</v>
      </c>
      <c r="AH258" t="e">
        <f t="shared" ref="AH258:AH260" ca="1" si="452">AG258*(1+$E258*$F258)</f>
        <v>#REF!</v>
      </c>
      <c r="AI258" t="e">
        <f t="shared" ref="AI258:AI260" ca="1" si="453">AH258*(1+$E258*$F258)</f>
        <v>#REF!</v>
      </c>
      <c r="AJ258" t="e">
        <f t="shared" ref="AJ258:AJ260" ca="1" si="454">AI258*(1+$E258*$F258)</f>
        <v>#REF!</v>
      </c>
      <c r="AK258" t="e">
        <f t="shared" ref="AK258:AK260" ca="1" si="455">AJ258*(1+$E258*$F258)</f>
        <v>#REF!</v>
      </c>
      <c r="AL258" t="e">
        <f t="shared" ref="AL258:AL260" ca="1" si="456">AK258*(1+$E258*$F258)</f>
        <v>#REF!</v>
      </c>
      <c r="AM258" t="e">
        <f t="shared" ref="AM258:AM260" ca="1" si="457">AL258*(1+$E258*$F258)</f>
        <v>#REF!</v>
      </c>
    </row>
    <row r="259" spans="1:39" x14ac:dyDescent="0.2">
      <c r="A259" t="s">
        <v>370</v>
      </c>
      <c r="B259" t="s">
        <v>79</v>
      </c>
      <c r="C259" t="str">
        <f t="shared" si="408"/>
        <v>sud_</v>
      </c>
      <c r="D259" t="str">
        <f>[1]Demand!$C$5</f>
        <v>Industry</v>
      </c>
      <c r="E259" s="38">
        <f t="shared" ca="1" si="409"/>
        <v>0</v>
      </c>
      <c r="F259" s="42">
        <v>0.75</v>
      </c>
      <c r="G259" t="str">
        <f t="shared" ref="G259:G260" si="458">D259</f>
        <v>Industry</v>
      </c>
      <c r="H259" t="str">
        <f t="shared" si="374"/>
        <v>D2H75</v>
      </c>
      <c r="I259" t="e">
        <f t="shared" ca="1" si="428"/>
        <v>#REF!</v>
      </c>
      <c r="J259" t="e">
        <f t="shared" ref="J259:R259" ca="1" si="459">I259*(1+$E259)</f>
        <v>#REF!</v>
      </c>
      <c r="K259" t="e">
        <f t="shared" ca="1" si="459"/>
        <v>#REF!</v>
      </c>
      <c r="L259" t="e">
        <f t="shared" ca="1" si="459"/>
        <v>#REF!</v>
      </c>
      <c r="M259" t="e">
        <f t="shared" ca="1" si="459"/>
        <v>#REF!</v>
      </c>
      <c r="N259" t="e">
        <f t="shared" ca="1" si="459"/>
        <v>#REF!</v>
      </c>
      <c r="O259" t="e">
        <f t="shared" ca="1" si="459"/>
        <v>#REF!</v>
      </c>
      <c r="P259" t="e">
        <f t="shared" ca="1" si="459"/>
        <v>#REF!</v>
      </c>
      <c r="Q259" t="e">
        <f t="shared" ca="1" si="459"/>
        <v>#REF!</v>
      </c>
      <c r="R259" t="e">
        <f t="shared" ca="1" si="459"/>
        <v>#REF!</v>
      </c>
      <c r="S259" t="e">
        <f t="shared" ca="1" si="411"/>
        <v>#REF!</v>
      </c>
      <c r="T259" t="e">
        <f t="shared" ref="T259:AC259" ca="1" si="460">S259*(1+$E259*$F259)</f>
        <v>#REF!</v>
      </c>
      <c r="U259" t="e">
        <f t="shared" ca="1" si="460"/>
        <v>#REF!</v>
      </c>
      <c r="V259" t="e">
        <f t="shared" ca="1" si="460"/>
        <v>#REF!</v>
      </c>
      <c r="W259" t="e">
        <f t="shared" ca="1" si="460"/>
        <v>#REF!</v>
      </c>
      <c r="X259" t="e">
        <f t="shared" ca="1" si="460"/>
        <v>#REF!</v>
      </c>
      <c r="Y259" t="e">
        <f t="shared" ca="1" si="460"/>
        <v>#REF!</v>
      </c>
      <c r="Z259" t="e">
        <f t="shared" ca="1" si="460"/>
        <v>#REF!</v>
      </c>
      <c r="AA259" t="e">
        <f t="shared" ca="1" si="460"/>
        <v>#REF!</v>
      </c>
      <c r="AB259" t="e">
        <f t="shared" ca="1" si="460"/>
        <v>#REF!</v>
      </c>
      <c r="AC259" t="e">
        <f t="shared" ca="1" si="460"/>
        <v>#REF!</v>
      </c>
      <c r="AD259" t="e">
        <f t="shared" ca="1" si="448"/>
        <v>#REF!</v>
      </c>
      <c r="AE259" t="e">
        <f t="shared" ca="1" si="449"/>
        <v>#REF!</v>
      </c>
      <c r="AF259" t="e">
        <f t="shared" ca="1" si="450"/>
        <v>#REF!</v>
      </c>
      <c r="AG259" t="e">
        <f t="shared" ca="1" si="451"/>
        <v>#REF!</v>
      </c>
      <c r="AH259" t="e">
        <f t="shared" ca="1" si="452"/>
        <v>#REF!</v>
      </c>
      <c r="AI259" t="e">
        <f t="shared" ca="1" si="453"/>
        <v>#REF!</v>
      </c>
      <c r="AJ259" t="e">
        <f t="shared" ca="1" si="454"/>
        <v>#REF!</v>
      </c>
      <c r="AK259" t="e">
        <f t="shared" ca="1" si="455"/>
        <v>#REF!</v>
      </c>
      <c r="AL259" t="e">
        <f t="shared" ca="1" si="456"/>
        <v>#REF!</v>
      </c>
      <c r="AM259" t="e">
        <f t="shared" ca="1" si="457"/>
        <v>#REF!</v>
      </c>
    </row>
    <row r="260" spans="1:39" x14ac:dyDescent="0.2">
      <c r="A260" t="s">
        <v>370</v>
      </c>
      <c r="B260" t="s">
        <v>79</v>
      </c>
      <c r="C260" t="str">
        <f t="shared" si="408"/>
        <v>sud_</v>
      </c>
      <c r="D260" t="str">
        <f>[1]Demand!$C$6</f>
        <v>Other</v>
      </c>
      <c r="E260" s="38">
        <f t="shared" ca="1" si="409"/>
        <v>0</v>
      </c>
      <c r="F260" s="42">
        <v>0.75</v>
      </c>
      <c r="G260" t="str">
        <f t="shared" si="458"/>
        <v>Other</v>
      </c>
      <c r="H260" t="str">
        <f t="shared" si="374"/>
        <v>D2H75</v>
      </c>
      <c r="I260" t="e">
        <f t="shared" ca="1" si="428"/>
        <v>#REF!</v>
      </c>
      <c r="J260" t="e">
        <f t="shared" ref="J260:R260" ca="1" si="461">I260*(1+$E260)</f>
        <v>#REF!</v>
      </c>
      <c r="K260" t="e">
        <f t="shared" ca="1" si="461"/>
        <v>#REF!</v>
      </c>
      <c r="L260" t="e">
        <f t="shared" ca="1" si="461"/>
        <v>#REF!</v>
      </c>
      <c r="M260" t="e">
        <f t="shared" ca="1" si="461"/>
        <v>#REF!</v>
      </c>
      <c r="N260" t="e">
        <f t="shared" ca="1" si="461"/>
        <v>#REF!</v>
      </c>
      <c r="O260" t="e">
        <f t="shared" ca="1" si="461"/>
        <v>#REF!</v>
      </c>
      <c r="P260" t="e">
        <f t="shared" ca="1" si="461"/>
        <v>#REF!</v>
      </c>
      <c r="Q260" t="e">
        <f t="shared" ca="1" si="461"/>
        <v>#REF!</v>
      </c>
      <c r="R260" t="e">
        <f t="shared" ca="1" si="461"/>
        <v>#REF!</v>
      </c>
      <c r="S260" t="e">
        <f t="shared" ca="1" si="411"/>
        <v>#REF!</v>
      </c>
      <c r="T260" t="e">
        <f t="shared" ref="T260:AC260" ca="1" si="462">S260*(1+$E260*$F260)</f>
        <v>#REF!</v>
      </c>
      <c r="U260" t="e">
        <f t="shared" ca="1" si="462"/>
        <v>#REF!</v>
      </c>
      <c r="V260" t="e">
        <f t="shared" ca="1" si="462"/>
        <v>#REF!</v>
      </c>
      <c r="W260" t="e">
        <f t="shared" ca="1" si="462"/>
        <v>#REF!</v>
      </c>
      <c r="X260" t="e">
        <f t="shared" ca="1" si="462"/>
        <v>#REF!</v>
      </c>
      <c r="Y260" t="e">
        <f t="shared" ca="1" si="462"/>
        <v>#REF!</v>
      </c>
      <c r="Z260" t="e">
        <f t="shared" ca="1" si="462"/>
        <v>#REF!</v>
      </c>
      <c r="AA260" t="e">
        <f t="shared" ca="1" si="462"/>
        <v>#REF!</v>
      </c>
      <c r="AB260" t="e">
        <f t="shared" ca="1" si="462"/>
        <v>#REF!</v>
      </c>
      <c r="AC260" t="e">
        <f t="shared" ca="1" si="462"/>
        <v>#REF!</v>
      </c>
      <c r="AD260" t="e">
        <f t="shared" ca="1" si="448"/>
        <v>#REF!</v>
      </c>
      <c r="AE260" t="e">
        <f t="shared" ca="1" si="449"/>
        <v>#REF!</v>
      </c>
      <c r="AF260" t="e">
        <f t="shared" ca="1" si="450"/>
        <v>#REF!</v>
      </c>
      <c r="AG260" t="e">
        <f t="shared" ca="1" si="451"/>
        <v>#REF!</v>
      </c>
      <c r="AH260" t="e">
        <f t="shared" ca="1" si="452"/>
        <v>#REF!</v>
      </c>
      <c r="AI260" t="e">
        <f t="shared" ca="1" si="453"/>
        <v>#REF!</v>
      </c>
      <c r="AJ260" t="e">
        <f t="shared" ca="1" si="454"/>
        <v>#REF!</v>
      </c>
      <c r="AK260" t="e">
        <f t="shared" ca="1" si="455"/>
        <v>#REF!</v>
      </c>
      <c r="AL260" t="e">
        <f t="shared" ca="1" si="456"/>
        <v>#REF!</v>
      </c>
      <c r="AM260" t="e">
        <f t="shared" ca="1" si="457"/>
        <v>#REF!</v>
      </c>
    </row>
    <row r="261" spans="1:39" x14ac:dyDescent="0.2">
      <c r="G261" s="38"/>
      <c r="H261" t="str">
        <f t="shared" si="374"/>
        <v/>
      </c>
    </row>
    <row r="262" spans="1:39" x14ac:dyDescent="0.2">
      <c r="A262" t="s">
        <v>365</v>
      </c>
      <c r="B262" t="s">
        <v>79</v>
      </c>
      <c r="C262" t="str">
        <f t="shared" ref="C262:C272" si="463">IF(B262="D1","ouest_",IF(B262="D2","sud_",IF(B262="D3","est_","")))</f>
        <v>sud_</v>
      </c>
      <c r="D262" t="str">
        <f>[1]Demand!$C$4</f>
        <v>Household</v>
      </c>
      <c r="E262" s="38">
        <f t="shared" ref="E262:E272" ca="1" si="464">IF(A262="","",IFERROR((S262/I262)^(1/($S$201-$I$201))-1,0))</f>
        <v>0</v>
      </c>
      <c r="F262" s="42">
        <v>0.5</v>
      </c>
      <c r="G262" t="str">
        <f>D262</f>
        <v>Household</v>
      </c>
      <c r="H262" t="str">
        <f t="shared" si="374"/>
        <v>D2L100</v>
      </c>
      <c r="I262" t="e">
        <f ca="1">IF(A262="","",SUMIFS(H$28:H$134,B$28:B$134,$B262,A$28:A$134,$G$154,F$28:F$134,$D262))</f>
        <v>#REF!</v>
      </c>
      <c r="J262" t="e">
        <f t="shared" ref="J262:R262" ca="1" si="465">I262*(1+$E262)</f>
        <v>#REF!</v>
      </c>
      <c r="K262" t="e">
        <f t="shared" ca="1" si="465"/>
        <v>#REF!</v>
      </c>
      <c r="L262" t="e">
        <f t="shared" ca="1" si="465"/>
        <v>#REF!</v>
      </c>
      <c r="M262" t="e">
        <f t="shared" ca="1" si="465"/>
        <v>#REF!</v>
      </c>
      <c r="N262" t="e">
        <f t="shared" ca="1" si="465"/>
        <v>#REF!</v>
      </c>
      <c r="O262" t="e">
        <f t="shared" ca="1" si="465"/>
        <v>#REF!</v>
      </c>
      <c r="P262" t="e">
        <f t="shared" ca="1" si="465"/>
        <v>#REF!</v>
      </c>
      <c r="Q262" t="e">
        <f t="shared" ca="1" si="465"/>
        <v>#REF!</v>
      </c>
      <c r="R262" t="e">
        <f t="shared" ca="1" si="465"/>
        <v>#REF!</v>
      </c>
      <c r="S262" t="e">
        <f t="shared" ref="S262:S272" ca="1" si="466">IF(A262="","",SUMIFS(R$28:R$134,B$28:B$134,$B262,A$28:A$134,$A262,F$28:F$134,$D262))</f>
        <v>#REF!</v>
      </c>
      <c r="T262" t="e">
        <f t="shared" ref="T262:AC262" ca="1" si="467">S262*(1+$E262*$F262)</f>
        <v>#REF!</v>
      </c>
      <c r="U262" t="e">
        <f t="shared" ca="1" si="467"/>
        <v>#REF!</v>
      </c>
      <c r="V262" t="e">
        <f t="shared" ca="1" si="467"/>
        <v>#REF!</v>
      </c>
      <c r="W262" t="e">
        <f t="shared" ca="1" si="467"/>
        <v>#REF!</v>
      </c>
      <c r="X262" t="e">
        <f t="shared" ca="1" si="467"/>
        <v>#REF!</v>
      </c>
      <c r="Y262" t="e">
        <f t="shared" ca="1" si="467"/>
        <v>#REF!</v>
      </c>
      <c r="Z262" t="e">
        <f t="shared" ca="1" si="467"/>
        <v>#REF!</v>
      </c>
      <c r="AA262" t="e">
        <f t="shared" ca="1" si="467"/>
        <v>#REF!</v>
      </c>
      <c r="AB262" t="e">
        <f t="shared" ca="1" si="467"/>
        <v>#REF!</v>
      </c>
      <c r="AC262" t="e">
        <f t="shared" ca="1" si="467"/>
        <v>#REF!</v>
      </c>
      <c r="AD262" t="e">
        <f t="shared" ref="AD262:AD264" ca="1" si="468">AC262*(1+$E262*$F262)</f>
        <v>#REF!</v>
      </c>
      <c r="AE262" t="e">
        <f t="shared" ref="AE262:AE264" ca="1" si="469">AD262*(1+$E262*$F262)</f>
        <v>#REF!</v>
      </c>
      <c r="AF262" t="e">
        <f t="shared" ref="AF262:AF264" ca="1" si="470">AE262*(1+$E262*$F262)</f>
        <v>#REF!</v>
      </c>
      <c r="AG262" t="e">
        <f t="shared" ref="AG262:AG264" ca="1" si="471">AF262*(1+$E262*$F262)</f>
        <v>#REF!</v>
      </c>
      <c r="AH262" t="e">
        <f t="shared" ref="AH262:AH264" ca="1" si="472">AG262*(1+$E262*$F262)</f>
        <v>#REF!</v>
      </c>
      <c r="AI262" t="e">
        <f t="shared" ref="AI262:AI264" ca="1" si="473">AH262*(1+$E262*$F262)</f>
        <v>#REF!</v>
      </c>
      <c r="AJ262" t="e">
        <f t="shared" ref="AJ262:AJ264" ca="1" si="474">AI262*(1+$E262*$F262)</f>
        <v>#REF!</v>
      </c>
      <c r="AK262" t="e">
        <f t="shared" ref="AK262:AK264" ca="1" si="475">AJ262*(1+$E262*$F262)</f>
        <v>#REF!</v>
      </c>
      <c r="AL262" t="e">
        <f t="shared" ref="AL262:AL264" ca="1" si="476">AK262*(1+$E262*$F262)</f>
        <v>#REF!</v>
      </c>
      <c r="AM262" t="e">
        <f t="shared" ref="AM262:AM264" ca="1" si="477">AL262*(1+$E262*$F262)</f>
        <v>#REF!</v>
      </c>
    </row>
    <row r="263" spans="1:39" x14ac:dyDescent="0.2">
      <c r="A263" t="s">
        <v>365</v>
      </c>
      <c r="B263" t="s">
        <v>79</v>
      </c>
      <c r="C263" t="str">
        <f t="shared" si="463"/>
        <v>sud_</v>
      </c>
      <c r="D263" t="str">
        <f>[1]Demand!$C$5</f>
        <v>Industry</v>
      </c>
      <c r="E263" s="38">
        <f t="shared" ca="1" si="464"/>
        <v>0</v>
      </c>
      <c r="F263" s="42">
        <v>0.5</v>
      </c>
      <c r="G263" t="str">
        <f t="shared" ref="G263:G264" si="478">D263</f>
        <v>Industry</v>
      </c>
      <c r="H263" t="str">
        <f t="shared" si="374"/>
        <v>D2L100</v>
      </c>
      <c r="I263" t="e">
        <f ca="1">IF(A263="","",SUMIFS(H$28:H$134,B$28:B$134,$B263,A$28:A$134,$G$154,F$28:F$134,$D263))</f>
        <v>#REF!</v>
      </c>
      <c r="J263" t="e">
        <f t="shared" ref="J263:R263" ca="1" si="479">I263*(1+$E263)</f>
        <v>#REF!</v>
      </c>
      <c r="K263" t="e">
        <f t="shared" ca="1" si="479"/>
        <v>#REF!</v>
      </c>
      <c r="L263" t="e">
        <f t="shared" ca="1" si="479"/>
        <v>#REF!</v>
      </c>
      <c r="M263" t="e">
        <f t="shared" ca="1" si="479"/>
        <v>#REF!</v>
      </c>
      <c r="N263" t="e">
        <f t="shared" ca="1" si="479"/>
        <v>#REF!</v>
      </c>
      <c r="O263" t="e">
        <f t="shared" ca="1" si="479"/>
        <v>#REF!</v>
      </c>
      <c r="P263" t="e">
        <f t="shared" ca="1" si="479"/>
        <v>#REF!</v>
      </c>
      <c r="Q263" t="e">
        <f t="shared" ca="1" si="479"/>
        <v>#REF!</v>
      </c>
      <c r="R263" t="e">
        <f t="shared" ca="1" si="479"/>
        <v>#REF!</v>
      </c>
      <c r="S263" t="e">
        <f t="shared" ca="1" si="466"/>
        <v>#REF!</v>
      </c>
      <c r="T263" t="e">
        <f t="shared" ref="T263:AC263" ca="1" si="480">S263*(1+$E263*$F263)</f>
        <v>#REF!</v>
      </c>
      <c r="U263" t="e">
        <f t="shared" ca="1" si="480"/>
        <v>#REF!</v>
      </c>
      <c r="V263" t="e">
        <f t="shared" ca="1" si="480"/>
        <v>#REF!</v>
      </c>
      <c r="W263" t="e">
        <f t="shared" ca="1" si="480"/>
        <v>#REF!</v>
      </c>
      <c r="X263" t="e">
        <f t="shared" ca="1" si="480"/>
        <v>#REF!</v>
      </c>
      <c r="Y263" t="e">
        <f t="shared" ca="1" si="480"/>
        <v>#REF!</v>
      </c>
      <c r="Z263" t="e">
        <f t="shared" ca="1" si="480"/>
        <v>#REF!</v>
      </c>
      <c r="AA263" t="e">
        <f t="shared" ca="1" si="480"/>
        <v>#REF!</v>
      </c>
      <c r="AB263" t="e">
        <f t="shared" ca="1" si="480"/>
        <v>#REF!</v>
      </c>
      <c r="AC263" t="e">
        <f t="shared" ca="1" si="480"/>
        <v>#REF!</v>
      </c>
      <c r="AD263" t="e">
        <f t="shared" ca="1" si="468"/>
        <v>#REF!</v>
      </c>
      <c r="AE263" t="e">
        <f t="shared" ca="1" si="469"/>
        <v>#REF!</v>
      </c>
      <c r="AF263" t="e">
        <f t="shared" ca="1" si="470"/>
        <v>#REF!</v>
      </c>
      <c r="AG263" t="e">
        <f t="shared" ca="1" si="471"/>
        <v>#REF!</v>
      </c>
      <c r="AH263" t="e">
        <f t="shared" ca="1" si="472"/>
        <v>#REF!</v>
      </c>
      <c r="AI263" t="e">
        <f t="shared" ca="1" si="473"/>
        <v>#REF!</v>
      </c>
      <c r="AJ263" t="e">
        <f t="shared" ca="1" si="474"/>
        <v>#REF!</v>
      </c>
      <c r="AK263" t="e">
        <f t="shared" ca="1" si="475"/>
        <v>#REF!</v>
      </c>
      <c r="AL263" t="e">
        <f t="shared" ca="1" si="476"/>
        <v>#REF!</v>
      </c>
      <c r="AM263" t="e">
        <f t="shared" ca="1" si="477"/>
        <v>#REF!</v>
      </c>
    </row>
    <row r="264" spans="1:39" x14ac:dyDescent="0.2">
      <c r="A264" t="s">
        <v>365</v>
      </c>
      <c r="B264" t="s">
        <v>79</v>
      </c>
      <c r="C264" t="str">
        <f t="shared" si="463"/>
        <v>sud_</v>
      </c>
      <c r="D264" t="str">
        <f>[1]Demand!$C$6</f>
        <v>Other</v>
      </c>
      <c r="E264" s="38">
        <f t="shared" ca="1" si="464"/>
        <v>0</v>
      </c>
      <c r="F264" s="42">
        <v>0.5</v>
      </c>
      <c r="G264" t="str">
        <f t="shared" si="478"/>
        <v>Other</v>
      </c>
      <c r="H264" t="str">
        <f t="shared" si="374"/>
        <v>D2L100</v>
      </c>
      <c r="I264" t="e">
        <f ca="1">IF(A264="","",SUMIFS(H$28:H$134,B$28:B$134,$B264,A$28:A$134,$G$154,F$28:F$134,$D264))</f>
        <v>#REF!</v>
      </c>
      <c r="J264" t="e">
        <f t="shared" ref="J264:R264" ca="1" si="481">I264*(1+$E264)</f>
        <v>#REF!</v>
      </c>
      <c r="K264" t="e">
        <f t="shared" ca="1" si="481"/>
        <v>#REF!</v>
      </c>
      <c r="L264" t="e">
        <f t="shared" ca="1" si="481"/>
        <v>#REF!</v>
      </c>
      <c r="M264" t="e">
        <f t="shared" ca="1" si="481"/>
        <v>#REF!</v>
      </c>
      <c r="N264" t="e">
        <f t="shared" ca="1" si="481"/>
        <v>#REF!</v>
      </c>
      <c r="O264" t="e">
        <f t="shared" ca="1" si="481"/>
        <v>#REF!</v>
      </c>
      <c r="P264" t="e">
        <f t="shared" ca="1" si="481"/>
        <v>#REF!</v>
      </c>
      <c r="Q264" t="e">
        <f t="shared" ca="1" si="481"/>
        <v>#REF!</v>
      </c>
      <c r="R264" t="e">
        <f t="shared" ca="1" si="481"/>
        <v>#REF!</v>
      </c>
      <c r="S264" t="e">
        <f t="shared" ca="1" si="466"/>
        <v>#REF!</v>
      </c>
      <c r="T264" t="e">
        <f t="shared" ref="T264:AC264" ca="1" si="482">S264*(1+$E264*$F264)</f>
        <v>#REF!</v>
      </c>
      <c r="U264" t="e">
        <f t="shared" ca="1" si="482"/>
        <v>#REF!</v>
      </c>
      <c r="V264" t="e">
        <f t="shared" ca="1" si="482"/>
        <v>#REF!</v>
      </c>
      <c r="W264" t="e">
        <f t="shared" ca="1" si="482"/>
        <v>#REF!</v>
      </c>
      <c r="X264" t="e">
        <f t="shared" ca="1" si="482"/>
        <v>#REF!</v>
      </c>
      <c r="Y264" t="e">
        <f t="shared" ca="1" si="482"/>
        <v>#REF!</v>
      </c>
      <c r="Z264" t="e">
        <f t="shared" ca="1" si="482"/>
        <v>#REF!</v>
      </c>
      <c r="AA264" t="e">
        <f t="shared" ca="1" si="482"/>
        <v>#REF!</v>
      </c>
      <c r="AB264" t="e">
        <f t="shared" ca="1" si="482"/>
        <v>#REF!</v>
      </c>
      <c r="AC264" t="e">
        <f t="shared" ca="1" si="482"/>
        <v>#REF!</v>
      </c>
      <c r="AD264" t="e">
        <f t="shared" ca="1" si="468"/>
        <v>#REF!</v>
      </c>
      <c r="AE264" t="e">
        <f t="shared" ca="1" si="469"/>
        <v>#REF!</v>
      </c>
      <c r="AF264" t="e">
        <f t="shared" ca="1" si="470"/>
        <v>#REF!</v>
      </c>
      <c r="AG264" t="e">
        <f t="shared" ca="1" si="471"/>
        <v>#REF!</v>
      </c>
      <c r="AH264" t="e">
        <f t="shared" ca="1" si="472"/>
        <v>#REF!</v>
      </c>
      <c r="AI264" t="e">
        <f t="shared" ca="1" si="473"/>
        <v>#REF!</v>
      </c>
      <c r="AJ264" t="e">
        <f t="shared" ca="1" si="474"/>
        <v>#REF!</v>
      </c>
      <c r="AK264" t="e">
        <f t="shared" ca="1" si="475"/>
        <v>#REF!</v>
      </c>
      <c r="AL264" t="e">
        <f t="shared" ca="1" si="476"/>
        <v>#REF!</v>
      </c>
      <c r="AM264" t="e">
        <f t="shared" ca="1" si="477"/>
        <v>#REF!</v>
      </c>
    </row>
    <row r="265" spans="1:39" x14ac:dyDescent="0.2">
      <c r="C265" t="str">
        <f t="shared" si="463"/>
        <v/>
      </c>
      <c r="E265" s="38" t="str">
        <f t="shared" si="464"/>
        <v/>
      </c>
      <c r="F265" s="38"/>
      <c r="G265" s="38"/>
      <c r="H265" t="str">
        <f t="shared" si="374"/>
        <v/>
      </c>
      <c r="S265" t="str">
        <f t="shared" si="466"/>
        <v/>
      </c>
    </row>
    <row r="266" spans="1:39" x14ac:dyDescent="0.2">
      <c r="A266" t="s">
        <v>369</v>
      </c>
      <c r="B266" t="s">
        <v>79</v>
      </c>
      <c r="C266" t="str">
        <f t="shared" si="463"/>
        <v>sud_</v>
      </c>
      <c r="D266" t="str">
        <f>[1]Demand!$C$4</f>
        <v>Household</v>
      </c>
      <c r="E266" s="38">
        <f t="shared" ca="1" si="464"/>
        <v>0</v>
      </c>
      <c r="F266" s="42">
        <v>0.5</v>
      </c>
      <c r="G266" t="str">
        <f>D266</f>
        <v>Household</v>
      </c>
      <c r="H266" t="str">
        <f t="shared" si="374"/>
        <v>D2M100</v>
      </c>
      <c r="I266" t="e">
        <f t="shared" ref="I266:I272" ca="1" si="483">IF(A266="","",SUMIFS(H$28:H$134,B$28:B$134,$B266,A$28:A$134,$G$154,F$28:F$134,$D266))</f>
        <v>#REF!</v>
      </c>
      <c r="J266" t="e">
        <f t="shared" ref="J266:R266" ca="1" si="484">I266*(1+$E266)</f>
        <v>#REF!</v>
      </c>
      <c r="K266" t="e">
        <f t="shared" ca="1" si="484"/>
        <v>#REF!</v>
      </c>
      <c r="L266" t="e">
        <f t="shared" ca="1" si="484"/>
        <v>#REF!</v>
      </c>
      <c r="M266" t="e">
        <f t="shared" ca="1" si="484"/>
        <v>#REF!</v>
      </c>
      <c r="N266" t="e">
        <f t="shared" ca="1" si="484"/>
        <v>#REF!</v>
      </c>
      <c r="O266" t="e">
        <f t="shared" ca="1" si="484"/>
        <v>#REF!</v>
      </c>
      <c r="P266" t="e">
        <f t="shared" ca="1" si="484"/>
        <v>#REF!</v>
      </c>
      <c r="Q266" t="e">
        <f t="shared" ca="1" si="484"/>
        <v>#REF!</v>
      </c>
      <c r="R266" t="e">
        <f t="shared" ca="1" si="484"/>
        <v>#REF!</v>
      </c>
      <c r="S266" t="e">
        <f t="shared" ca="1" si="466"/>
        <v>#REF!</v>
      </c>
      <c r="T266" t="e">
        <f t="shared" ref="T266:AC266" ca="1" si="485">S266*(1+$E266*$F266)</f>
        <v>#REF!</v>
      </c>
      <c r="U266" t="e">
        <f t="shared" ca="1" si="485"/>
        <v>#REF!</v>
      </c>
      <c r="V266" t="e">
        <f t="shared" ca="1" si="485"/>
        <v>#REF!</v>
      </c>
      <c r="W266" t="e">
        <f t="shared" ca="1" si="485"/>
        <v>#REF!</v>
      </c>
      <c r="X266" t="e">
        <f t="shared" ca="1" si="485"/>
        <v>#REF!</v>
      </c>
      <c r="Y266" t="e">
        <f t="shared" ca="1" si="485"/>
        <v>#REF!</v>
      </c>
      <c r="Z266" t="e">
        <f t="shared" ca="1" si="485"/>
        <v>#REF!</v>
      </c>
      <c r="AA266" t="e">
        <f t="shared" ca="1" si="485"/>
        <v>#REF!</v>
      </c>
      <c r="AB266" t="e">
        <f t="shared" ca="1" si="485"/>
        <v>#REF!</v>
      </c>
      <c r="AC266" t="e">
        <f t="shared" ca="1" si="485"/>
        <v>#REF!</v>
      </c>
      <c r="AD266" t="e">
        <f t="shared" ref="AD266:AD268" ca="1" si="486">AC266*(1+$E266*$F266)</f>
        <v>#REF!</v>
      </c>
      <c r="AE266" t="e">
        <f t="shared" ref="AE266:AE268" ca="1" si="487">AD266*(1+$E266*$F266)</f>
        <v>#REF!</v>
      </c>
      <c r="AF266" t="e">
        <f t="shared" ref="AF266:AF268" ca="1" si="488">AE266*(1+$E266*$F266)</f>
        <v>#REF!</v>
      </c>
      <c r="AG266" t="e">
        <f t="shared" ref="AG266:AG268" ca="1" si="489">AF266*(1+$E266*$F266)</f>
        <v>#REF!</v>
      </c>
      <c r="AH266" t="e">
        <f t="shared" ref="AH266:AH268" ca="1" si="490">AG266*(1+$E266*$F266)</f>
        <v>#REF!</v>
      </c>
      <c r="AI266" t="e">
        <f t="shared" ref="AI266:AI268" ca="1" si="491">AH266*(1+$E266*$F266)</f>
        <v>#REF!</v>
      </c>
      <c r="AJ266" t="e">
        <f t="shared" ref="AJ266:AJ268" ca="1" si="492">AI266*(1+$E266*$F266)</f>
        <v>#REF!</v>
      </c>
      <c r="AK266" t="e">
        <f t="shared" ref="AK266:AK268" ca="1" si="493">AJ266*(1+$E266*$F266)</f>
        <v>#REF!</v>
      </c>
      <c r="AL266" t="e">
        <f t="shared" ref="AL266:AL268" ca="1" si="494">AK266*(1+$E266*$F266)</f>
        <v>#REF!</v>
      </c>
      <c r="AM266" t="e">
        <f t="shared" ref="AM266:AM268" ca="1" si="495">AL266*(1+$E266*$F266)</f>
        <v>#REF!</v>
      </c>
    </row>
    <row r="267" spans="1:39" x14ac:dyDescent="0.2">
      <c r="A267" t="s">
        <v>369</v>
      </c>
      <c r="B267" t="s">
        <v>79</v>
      </c>
      <c r="C267" t="str">
        <f t="shared" si="463"/>
        <v>sud_</v>
      </c>
      <c r="D267" t="str">
        <f>[1]Demand!$C$5</f>
        <v>Industry</v>
      </c>
      <c r="E267" s="38">
        <f t="shared" ca="1" si="464"/>
        <v>0</v>
      </c>
      <c r="F267" s="42">
        <v>0.5</v>
      </c>
      <c r="G267" t="str">
        <f t="shared" ref="G267:G268" si="496">D267</f>
        <v>Industry</v>
      </c>
      <c r="H267" t="str">
        <f t="shared" si="374"/>
        <v>D2M100</v>
      </c>
      <c r="I267" t="e">
        <f t="shared" ca="1" si="483"/>
        <v>#REF!</v>
      </c>
      <c r="J267" t="e">
        <f t="shared" ref="J267:R267" ca="1" si="497">I267*(1+$E267)</f>
        <v>#REF!</v>
      </c>
      <c r="K267" t="e">
        <f t="shared" ca="1" si="497"/>
        <v>#REF!</v>
      </c>
      <c r="L267" t="e">
        <f t="shared" ca="1" si="497"/>
        <v>#REF!</v>
      </c>
      <c r="M267" t="e">
        <f t="shared" ca="1" si="497"/>
        <v>#REF!</v>
      </c>
      <c r="N267" t="e">
        <f t="shared" ca="1" si="497"/>
        <v>#REF!</v>
      </c>
      <c r="O267" t="e">
        <f t="shared" ca="1" si="497"/>
        <v>#REF!</v>
      </c>
      <c r="P267" t="e">
        <f t="shared" ca="1" si="497"/>
        <v>#REF!</v>
      </c>
      <c r="Q267" t="e">
        <f t="shared" ca="1" si="497"/>
        <v>#REF!</v>
      </c>
      <c r="R267" t="e">
        <f t="shared" ca="1" si="497"/>
        <v>#REF!</v>
      </c>
      <c r="S267" t="e">
        <f t="shared" ca="1" si="466"/>
        <v>#REF!</v>
      </c>
      <c r="T267" t="e">
        <f t="shared" ref="T267:AC267" ca="1" si="498">S267*(1+$E267*$F267)</f>
        <v>#REF!</v>
      </c>
      <c r="U267" t="e">
        <f t="shared" ca="1" si="498"/>
        <v>#REF!</v>
      </c>
      <c r="V267" t="e">
        <f t="shared" ca="1" si="498"/>
        <v>#REF!</v>
      </c>
      <c r="W267" t="e">
        <f t="shared" ca="1" si="498"/>
        <v>#REF!</v>
      </c>
      <c r="X267" t="e">
        <f t="shared" ca="1" si="498"/>
        <v>#REF!</v>
      </c>
      <c r="Y267" t="e">
        <f t="shared" ca="1" si="498"/>
        <v>#REF!</v>
      </c>
      <c r="Z267" t="e">
        <f t="shared" ca="1" si="498"/>
        <v>#REF!</v>
      </c>
      <c r="AA267" t="e">
        <f t="shared" ca="1" si="498"/>
        <v>#REF!</v>
      </c>
      <c r="AB267" t="e">
        <f t="shared" ca="1" si="498"/>
        <v>#REF!</v>
      </c>
      <c r="AC267" t="e">
        <f t="shared" ca="1" si="498"/>
        <v>#REF!</v>
      </c>
      <c r="AD267" t="e">
        <f t="shared" ca="1" si="486"/>
        <v>#REF!</v>
      </c>
      <c r="AE267" t="e">
        <f t="shared" ca="1" si="487"/>
        <v>#REF!</v>
      </c>
      <c r="AF267" t="e">
        <f t="shared" ca="1" si="488"/>
        <v>#REF!</v>
      </c>
      <c r="AG267" t="e">
        <f t="shared" ca="1" si="489"/>
        <v>#REF!</v>
      </c>
      <c r="AH267" t="e">
        <f t="shared" ca="1" si="490"/>
        <v>#REF!</v>
      </c>
      <c r="AI267" t="e">
        <f t="shared" ca="1" si="491"/>
        <v>#REF!</v>
      </c>
      <c r="AJ267" t="e">
        <f t="shared" ca="1" si="492"/>
        <v>#REF!</v>
      </c>
      <c r="AK267" t="e">
        <f t="shared" ca="1" si="493"/>
        <v>#REF!</v>
      </c>
      <c r="AL267" t="e">
        <f t="shared" ca="1" si="494"/>
        <v>#REF!</v>
      </c>
      <c r="AM267" t="e">
        <f t="shared" ca="1" si="495"/>
        <v>#REF!</v>
      </c>
    </row>
    <row r="268" spans="1:39" x14ac:dyDescent="0.2">
      <c r="A268" t="s">
        <v>369</v>
      </c>
      <c r="B268" t="s">
        <v>79</v>
      </c>
      <c r="C268" t="str">
        <f t="shared" si="463"/>
        <v>sud_</v>
      </c>
      <c r="D268" t="str">
        <f>[1]Demand!$C$6</f>
        <v>Other</v>
      </c>
      <c r="E268" s="38">
        <f t="shared" ca="1" si="464"/>
        <v>0</v>
      </c>
      <c r="F268" s="42">
        <v>0.5</v>
      </c>
      <c r="G268" t="str">
        <f t="shared" si="496"/>
        <v>Other</v>
      </c>
      <c r="H268" t="str">
        <f t="shared" si="374"/>
        <v>D2M100</v>
      </c>
      <c r="I268" t="e">
        <f t="shared" ca="1" si="483"/>
        <v>#REF!</v>
      </c>
      <c r="J268" t="e">
        <f t="shared" ref="J268:R268" ca="1" si="499">I268*(1+$E268)</f>
        <v>#REF!</v>
      </c>
      <c r="K268" t="e">
        <f t="shared" ca="1" si="499"/>
        <v>#REF!</v>
      </c>
      <c r="L268" t="e">
        <f t="shared" ca="1" si="499"/>
        <v>#REF!</v>
      </c>
      <c r="M268" t="e">
        <f t="shared" ca="1" si="499"/>
        <v>#REF!</v>
      </c>
      <c r="N268" t="e">
        <f t="shared" ca="1" si="499"/>
        <v>#REF!</v>
      </c>
      <c r="O268" t="e">
        <f t="shared" ca="1" si="499"/>
        <v>#REF!</v>
      </c>
      <c r="P268" t="e">
        <f t="shared" ca="1" si="499"/>
        <v>#REF!</v>
      </c>
      <c r="Q268" t="e">
        <f t="shared" ca="1" si="499"/>
        <v>#REF!</v>
      </c>
      <c r="R268" t="e">
        <f t="shared" ca="1" si="499"/>
        <v>#REF!</v>
      </c>
      <c r="S268" t="e">
        <f t="shared" ca="1" si="466"/>
        <v>#REF!</v>
      </c>
      <c r="T268" t="e">
        <f t="shared" ref="T268:AC268" ca="1" si="500">S268*(1+$E268*$F268)</f>
        <v>#REF!</v>
      </c>
      <c r="U268" t="e">
        <f t="shared" ca="1" si="500"/>
        <v>#REF!</v>
      </c>
      <c r="V268" t="e">
        <f t="shared" ca="1" si="500"/>
        <v>#REF!</v>
      </c>
      <c r="W268" t="e">
        <f t="shared" ca="1" si="500"/>
        <v>#REF!</v>
      </c>
      <c r="X268" t="e">
        <f t="shared" ca="1" si="500"/>
        <v>#REF!</v>
      </c>
      <c r="Y268" t="e">
        <f t="shared" ca="1" si="500"/>
        <v>#REF!</v>
      </c>
      <c r="Z268" t="e">
        <f t="shared" ca="1" si="500"/>
        <v>#REF!</v>
      </c>
      <c r="AA268" t="e">
        <f t="shared" ca="1" si="500"/>
        <v>#REF!</v>
      </c>
      <c r="AB268" t="e">
        <f t="shared" ca="1" si="500"/>
        <v>#REF!</v>
      </c>
      <c r="AC268" t="e">
        <f t="shared" ca="1" si="500"/>
        <v>#REF!</v>
      </c>
      <c r="AD268" t="e">
        <f t="shared" ca="1" si="486"/>
        <v>#REF!</v>
      </c>
      <c r="AE268" t="e">
        <f t="shared" ca="1" si="487"/>
        <v>#REF!</v>
      </c>
      <c r="AF268" t="e">
        <f t="shared" ca="1" si="488"/>
        <v>#REF!</v>
      </c>
      <c r="AG268" t="e">
        <f t="shared" ca="1" si="489"/>
        <v>#REF!</v>
      </c>
      <c r="AH268" t="e">
        <f t="shared" ca="1" si="490"/>
        <v>#REF!</v>
      </c>
      <c r="AI268" t="e">
        <f t="shared" ca="1" si="491"/>
        <v>#REF!</v>
      </c>
      <c r="AJ268" t="e">
        <f t="shared" ca="1" si="492"/>
        <v>#REF!</v>
      </c>
      <c r="AK268" t="e">
        <f t="shared" ca="1" si="493"/>
        <v>#REF!</v>
      </c>
      <c r="AL268" t="e">
        <f t="shared" ca="1" si="494"/>
        <v>#REF!</v>
      </c>
      <c r="AM268" t="e">
        <f t="shared" ca="1" si="495"/>
        <v>#REF!</v>
      </c>
    </row>
    <row r="269" spans="1:39" x14ac:dyDescent="0.2">
      <c r="C269" t="str">
        <f t="shared" si="463"/>
        <v/>
      </c>
      <c r="E269" s="38" t="str">
        <f t="shared" si="464"/>
        <v/>
      </c>
      <c r="F269" s="38"/>
      <c r="G269" s="38"/>
      <c r="H269" t="str">
        <f t="shared" si="374"/>
        <v/>
      </c>
      <c r="I269" t="str">
        <f t="shared" si="483"/>
        <v/>
      </c>
      <c r="S269" t="str">
        <f t="shared" si="466"/>
        <v/>
      </c>
    </row>
    <row r="270" spans="1:39" x14ac:dyDescent="0.2">
      <c r="A270" t="s">
        <v>371</v>
      </c>
      <c r="B270" t="s">
        <v>79</v>
      </c>
      <c r="C270" t="str">
        <f t="shared" si="463"/>
        <v>sud_</v>
      </c>
      <c r="D270" t="str">
        <f>[1]Demand!$C$4</f>
        <v>Household</v>
      </c>
      <c r="E270" s="38">
        <f t="shared" ca="1" si="464"/>
        <v>0</v>
      </c>
      <c r="F270" s="42">
        <v>0.5</v>
      </c>
      <c r="G270" t="str">
        <f>D270</f>
        <v>Household</v>
      </c>
      <c r="H270" t="str">
        <f t="shared" si="374"/>
        <v>D2H100</v>
      </c>
      <c r="I270" t="e">
        <f t="shared" ca="1" si="483"/>
        <v>#REF!</v>
      </c>
      <c r="J270" t="e">
        <f t="shared" ref="J270:R270" ca="1" si="501">I270*(1+$E270)</f>
        <v>#REF!</v>
      </c>
      <c r="K270" t="e">
        <f t="shared" ca="1" si="501"/>
        <v>#REF!</v>
      </c>
      <c r="L270" t="e">
        <f t="shared" ca="1" si="501"/>
        <v>#REF!</v>
      </c>
      <c r="M270" t="e">
        <f t="shared" ca="1" si="501"/>
        <v>#REF!</v>
      </c>
      <c r="N270" t="e">
        <f t="shared" ca="1" si="501"/>
        <v>#REF!</v>
      </c>
      <c r="O270" t="e">
        <f t="shared" ca="1" si="501"/>
        <v>#REF!</v>
      </c>
      <c r="P270" t="e">
        <f t="shared" ca="1" si="501"/>
        <v>#REF!</v>
      </c>
      <c r="Q270" t="e">
        <f t="shared" ca="1" si="501"/>
        <v>#REF!</v>
      </c>
      <c r="R270" t="e">
        <f t="shared" ca="1" si="501"/>
        <v>#REF!</v>
      </c>
      <c r="S270" t="e">
        <f t="shared" ca="1" si="466"/>
        <v>#REF!</v>
      </c>
      <c r="T270" t="e">
        <f t="shared" ref="T270:AC270" ca="1" si="502">S270*(1+$E270*$F270)</f>
        <v>#REF!</v>
      </c>
      <c r="U270" t="e">
        <f t="shared" ca="1" si="502"/>
        <v>#REF!</v>
      </c>
      <c r="V270" t="e">
        <f t="shared" ca="1" si="502"/>
        <v>#REF!</v>
      </c>
      <c r="W270" t="e">
        <f t="shared" ca="1" si="502"/>
        <v>#REF!</v>
      </c>
      <c r="X270" t="e">
        <f t="shared" ca="1" si="502"/>
        <v>#REF!</v>
      </c>
      <c r="Y270" t="e">
        <f t="shared" ca="1" si="502"/>
        <v>#REF!</v>
      </c>
      <c r="Z270" t="e">
        <f t="shared" ca="1" si="502"/>
        <v>#REF!</v>
      </c>
      <c r="AA270" t="e">
        <f t="shared" ca="1" si="502"/>
        <v>#REF!</v>
      </c>
      <c r="AB270" t="e">
        <f t="shared" ca="1" si="502"/>
        <v>#REF!</v>
      </c>
      <c r="AC270" t="e">
        <f t="shared" ca="1" si="502"/>
        <v>#REF!</v>
      </c>
      <c r="AD270" t="e">
        <f t="shared" ref="AD270:AD272" ca="1" si="503">AC270*(1+$E270*$F270)</f>
        <v>#REF!</v>
      </c>
      <c r="AE270" t="e">
        <f t="shared" ref="AE270:AE272" ca="1" si="504">AD270*(1+$E270*$F270)</f>
        <v>#REF!</v>
      </c>
      <c r="AF270" t="e">
        <f t="shared" ref="AF270:AF272" ca="1" si="505">AE270*(1+$E270*$F270)</f>
        <v>#REF!</v>
      </c>
      <c r="AG270" t="e">
        <f t="shared" ref="AG270:AG272" ca="1" si="506">AF270*(1+$E270*$F270)</f>
        <v>#REF!</v>
      </c>
      <c r="AH270" t="e">
        <f t="shared" ref="AH270:AH272" ca="1" si="507">AG270*(1+$E270*$F270)</f>
        <v>#REF!</v>
      </c>
      <c r="AI270" t="e">
        <f t="shared" ref="AI270:AI272" ca="1" si="508">AH270*(1+$E270*$F270)</f>
        <v>#REF!</v>
      </c>
      <c r="AJ270" t="e">
        <f t="shared" ref="AJ270:AJ272" ca="1" si="509">AI270*(1+$E270*$F270)</f>
        <v>#REF!</v>
      </c>
      <c r="AK270" t="e">
        <f t="shared" ref="AK270:AK272" ca="1" si="510">AJ270*(1+$E270*$F270)</f>
        <v>#REF!</v>
      </c>
      <c r="AL270" t="e">
        <f t="shared" ref="AL270:AL272" ca="1" si="511">AK270*(1+$E270*$F270)</f>
        <v>#REF!</v>
      </c>
      <c r="AM270" t="e">
        <f t="shared" ref="AM270:AM272" ca="1" si="512">AL270*(1+$E270*$F270)</f>
        <v>#REF!</v>
      </c>
    </row>
    <row r="271" spans="1:39" x14ac:dyDescent="0.2">
      <c r="A271" t="s">
        <v>371</v>
      </c>
      <c r="B271" t="s">
        <v>79</v>
      </c>
      <c r="C271" t="str">
        <f t="shared" si="463"/>
        <v>sud_</v>
      </c>
      <c r="D271" t="str">
        <f>[1]Demand!$C$5</f>
        <v>Industry</v>
      </c>
      <c r="E271" s="38">
        <f t="shared" ca="1" si="464"/>
        <v>0</v>
      </c>
      <c r="F271" s="42">
        <v>0.5</v>
      </c>
      <c r="G271" t="str">
        <f t="shared" ref="G271:G272" si="513">D271</f>
        <v>Industry</v>
      </c>
      <c r="H271" t="str">
        <f t="shared" si="374"/>
        <v>D2H100</v>
      </c>
      <c r="I271" t="e">
        <f t="shared" ca="1" si="483"/>
        <v>#REF!</v>
      </c>
      <c r="J271" t="e">
        <f t="shared" ref="J271:R271" ca="1" si="514">I271*(1+$E271)</f>
        <v>#REF!</v>
      </c>
      <c r="K271" t="e">
        <f t="shared" ca="1" si="514"/>
        <v>#REF!</v>
      </c>
      <c r="L271" t="e">
        <f t="shared" ca="1" si="514"/>
        <v>#REF!</v>
      </c>
      <c r="M271" t="e">
        <f t="shared" ca="1" si="514"/>
        <v>#REF!</v>
      </c>
      <c r="N271" t="e">
        <f t="shared" ca="1" si="514"/>
        <v>#REF!</v>
      </c>
      <c r="O271" t="e">
        <f t="shared" ca="1" si="514"/>
        <v>#REF!</v>
      </c>
      <c r="P271" t="e">
        <f t="shared" ca="1" si="514"/>
        <v>#REF!</v>
      </c>
      <c r="Q271" t="e">
        <f t="shared" ca="1" si="514"/>
        <v>#REF!</v>
      </c>
      <c r="R271" t="e">
        <f t="shared" ca="1" si="514"/>
        <v>#REF!</v>
      </c>
      <c r="S271" t="e">
        <f t="shared" ca="1" si="466"/>
        <v>#REF!</v>
      </c>
      <c r="T271" t="e">
        <f t="shared" ref="T271:AC271" ca="1" si="515">S271*(1+$E271*$F271)</f>
        <v>#REF!</v>
      </c>
      <c r="U271" t="e">
        <f t="shared" ca="1" si="515"/>
        <v>#REF!</v>
      </c>
      <c r="V271" t="e">
        <f t="shared" ca="1" si="515"/>
        <v>#REF!</v>
      </c>
      <c r="W271" t="e">
        <f t="shared" ca="1" si="515"/>
        <v>#REF!</v>
      </c>
      <c r="X271" t="e">
        <f t="shared" ca="1" si="515"/>
        <v>#REF!</v>
      </c>
      <c r="Y271" t="e">
        <f t="shared" ca="1" si="515"/>
        <v>#REF!</v>
      </c>
      <c r="Z271" t="e">
        <f t="shared" ca="1" si="515"/>
        <v>#REF!</v>
      </c>
      <c r="AA271" t="e">
        <f t="shared" ca="1" si="515"/>
        <v>#REF!</v>
      </c>
      <c r="AB271" t="e">
        <f t="shared" ca="1" si="515"/>
        <v>#REF!</v>
      </c>
      <c r="AC271" t="e">
        <f t="shared" ca="1" si="515"/>
        <v>#REF!</v>
      </c>
      <c r="AD271" t="e">
        <f t="shared" ca="1" si="503"/>
        <v>#REF!</v>
      </c>
      <c r="AE271" t="e">
        <f t="shared" ca="1" si="504"/>
        <v>#REF!</v>
      </c>
      <c r="AF271" t="e">
        <f t="shared" ca="1" si="505"/>
        <v>#REF!</v>
      </c>
      <c r="AG271" t="e">
        <f t="shared" ca="1" si="506"/>
        <v>#REF!</v>
      </c>
      <c r="AH271" t="e">
        <f t="shared" ca="1" si="507"/>
        <v>#REF!</v>
      </c>
      <c r="AI271" t="e">
        <f t="shared" ca="1" si="508"/>
        <v>#REF!</v>
      </c>
      <c r="AJ271" t="e">
        <f t="shared" ca="1" si="509"/>
        <v>#REF!</v>
      </c>
      <c r="AK271" t="e">
        <f t="shared" ca="1" si="510"/>
        <v>#REF!</v>
      </c>
      <c r="AL271" t="e">
        <f t="shared" ca="1" si="511"/>
        <v>#REF!</v>
      </c>
      <c r="AM271" t="e">
        <f t="shared" ca="1" si="512"/>
        <v>#REF!</v>
      </c>
    </row>
    <row r="272" spans="1:39" x14ac:dyDescent="0.2">
      <c r="A272" t="s">
        <v>371</v>
      </c>
      <c r="B272" t="s">
        <v>79</v>
      </c>
      <c r="C272" t="str">
        <f t="shared" si="463"/>
        <v>sud_</v>
      </c>
      <c r="D272" t="str">
        <f>[1]Demand!$C$6</f>
        <v>Other</v>
      </c>
      <c r="E272" s="38">
        <f t="shared" ca="1" si="464"/>
        <v>0</v>
      </c>
      <c r="F272" s="42">
        <v>0.5</v>
      </c>
      <c r="G272" t="str">
        <f t="shared" si="513"/>
        <v>Other</v>
      </c>
      <c r="H272" t="str">
        <f t="shared" si="374"/>
        <v>D2H100</v>
      </c>
      <c r="I272" t="e">
        <f t="shared" ca="1" si="483"/>
        <v>#REF!</v>
      </c>
      <c r="J272" t="e">
        <f t="shared" ref="J272:R272" ca="1" si="516">I272*(1+$E272)</f>
        <v>#REF!</v>
      </c>
      <c r="K272" t="e">
        <f t="shared" ca="1" si="516"/>
        <v>#REF!</v>
      </c>
      <c r="L272" t="e">
        <f t="shared" ca="1" si="516"/>
        <v>#REF!</v>
      </c>
      <c r="M272" t="e">
        <f t="shared" ca="1" si="516"/>
        <v>#REF!</v>
      </c>
      <c r="N272" t="e">
        <f t="shared" ca="1" si="516"/>
        <v>#REF!</v>
      </c>
      <c r="O272" t="e">
        <f t="shared" ca="1" si="516"/>
        <v>#REF!</v>
      </c>
      <c r="P272" t="e">
        <f t="shared" ca="1" si="516"/>
        <v>#REF!</v>
      </c>
      <c r="Q272" t="e">
        <f t="shared" ca="1" si="516"/>
        <v>#REF!</v>
      </c>
      <c r="R272" t="e">
        <f t="shared" ca="1" si="516"/>
        <v>#REF!</v>
      </c>
      <c r="S272" t="e">
        <f t="shared" ca="1" si="466"/>
        <v>#REF!</v>
      </c>
      <c r="T272" t="e">
        <f t="shared" ref="T272:AC272" ca="1" si="517">S272*(1+$E272*$F272)</f>
        <v>#REF!</v>
      </c>
      <c r="U272" t="e">
        <f t="shared" ca="1" si="517"/>
        <v>#REF!</v>
      </c>
      <c r="V272" t="e">
        <f t="shared" ca="1" si="517"/>
        <v>#REF!</v>
      </c>
      <c r="W272" t="e">
        <f t="shared" ca="1" si="517"/>
        <v>#REF!</v>
      </c>
      <c r="X272" t="e">
        <f t="shared" ca="1" si="517"/>
        <v>#REF!</v>
      </c>
      <c r="Y272" t="e">
        <f t="shared" ca="1" si="517"/>
        <v>#REF!</v>
      </c>
      <c r="Z272" t="e">
        <f t="shared" ca="1" si="517"/>
        <v>#REF!</v>
      </c>
      <c r="AA272" t="e">
        <f t="shared" ca="1" si="517"/>
        <v>#REF!</v>
      </c>
      <c r="AB272" t="e">
        <f t="shared" ca="1" si="517"/>
        <v>#REF!</v>
      </c>
      <c r="AC272" t="e">
        <f t="shared" ca="1" si="517"/>
        <v>#REF!</v>
      </c>
      <c r="AD272" t="e">
        <f t="shared" ca="1" si="503"/>
        <v>#REF!</v>
      </c>
      <c r="AE272" t="e">
        <f t="shared" ca="1" si="504"/>
        <v>#REF!</v>
      </c>
      <c r="AF272" t="e">
        <f t="shared" ca="1" si="505"/>
        <v>#REF!</v>
      </c>
      <c r="AG272" t="e">
        <f t="shared" ca="1" si="506"/>
        <v>#REF!</v>
      </c>
      <c r="AH272" t="e">
        <f t="shared" ca="1" si="507"/>
        <v>#REF!</v>
      </c>
      <c r="AI272" t="e">
        <f t="shared" ca="1" si="508"/>
        <v>#REF!</v>
      </c>
      <c r="AJ272" t="e">
        <f t="shared" ca="1" si="509"/>
        <v>#REF!</v>
      </c>
      <c r="AK272" t="e">
        <f t="shared" ca="1" si="510"/>
        <v>#REF!</v>
      </c>
      <c r="AL272" t="e">
        <f t="shared" ca="1" si="511"/>
        <v>#REF!</v>
      </c>
      <c r="AM272" t="e">
        <f t="shared" ca="1" si="512"/>
        <v>#REF!</v>
      </c>
    </row>
    <row r="273" spans="1:39" x14ac:dyDescent="0.2">
      <c r="G273" s="38"/>
      <c r="H273" s="38"/>
      <c r="AC273">
        <v>1</v>
      </c>
      <c r="AD273">
        <v>0.5</v>
      </c>
      <c r="AE273">
        <v>0.5</v>
      </c>
      <c r="AF273">
        <v>0.5</v>
      </c>
      <c r="AG273">
        <v>0.5</v>
      </c>
      <c r="AH273">
        <v>0.5</v>
      </c>
      <c r="AI273">
        <v>0.5</v>
      </c>
      <c r="AJ273">
        <v>0.5</v>
      </c>
      <c r="AK273">
        <v>0.5</v>
      </c>
      <c r="AL273">
        <v>0.5</v>
      </c>
      <c r="AM273">
        <v>0.5</v>
      </c>
    </row>
    <row r="274" spans="1:39" x14ac:dyDescent="0.2">
      <c r="A274" t="s">
        <v>363</v>
      </c>
      <c r="B274" t="s">
        <v>84</v>
      </c>
      <c r="C274" t="str">
        <f t="shared" ref="C274:C284" si="518">IF(B274="D1","ouest_",IF(B274="D2","sud_",IF(B274="D3","est_","")))</f>
        <v>est_</v>
      </c>
      <c r="D274" t="str">
        <f>[1]Demand!$C$4</f>
        <v>Household</v>
      </c>
      <c r="E274" s="38">
        <f t="shared" ref="E274:E284" ca="1" si="519">IF(A274="","",IFERROR((S274/I274)^(1/($S$201-$I$201))-1,0))</f>
        <v>0</v>
      </c>
      <c r="F274" s="42">
        <v>0.5</v>
      </c>
      <c r="G274" t="str">
        <f>D274</f>
        <v>Household</v>
      </c>
      <c r="H274" t="str">
        <f>B274&amp;A274</f>
        <v>D3L50</v>
      </c>
      <c r="I274" t="e">
        <f ca="1">IF(A274="","",SUMIFS(H$28:H$134,B$28:B$134,$B274,A$28:A$134,$G$154,F$28:F$134,$D274))</f>
        <v>#REF!</v>
      </c>
      <c r="J274" t="e">
        <f ca="1">I274+($S274-$I274)/10</f>
        <v>#REF!</v>
      </c>
      <c r="K274" t="e">
        <f ca="1">J274+($S274-$I274)/10</f>
        <v>#REF!</v>
      </c>
      <c r="L274" t="e">
        <f t="shared" ref="L274:R274" ca="1" si="520">K274+($S274-$I274)/10</f>
        <v>#REF!</v>
      </c>
      <c r="M274" t="e">
        <f t="shared" ca="1" si="520"/>
        <v>#REF!</v>
      </c>
      <c r="N274" t="e">
        <f t="shared" ca="1" si="520"/>
        <v>#REF!</v>
      </c>
      <c r="O274" t="e">
        <f t="shared" ca="1" si="520"/>
        <v>#REF!</v>
      </c>
      <c r="P274" t="e">
        <f t="shared" ca="1" si="520"/>
        <v>#REF!</v>
      </c>
      <c r="Q274" t="e">
        <f t="shared" ca="1" si="520"/>
        <v>#REF!</v>
      </c>
      <c r="R274" t="e">
        <f t="shared" ca="1" si="520"/>
        <v>#REF!</v>
      </c>
      <c r="S274" t="e">
        <f t="shared" ref="S274:S284" ca="1" si="521">IF(A274="","",SUMIFS(R$28:R$134,B$28:B$134,$B274,A$28:A$134,$A274,F$28:F$134,$D274))</f>
        <v>#REF!</v>
      </c>
      <c r="T274" t="e">
        <f ca="1">S274+($AC274-$S274)/10</f>
        <v>#REF!</v>
      </c>
      <c r="U274" t="e">
        <f t="shared" ref="U274:AB274" ca="1" si="522">T274+($AC274-$S274)/10</f>
        <v>#REF!</v>
      </c>
      <c r="V274" t="e">
        <f t="shared" ca="1" si="522"/>
        <v>#REF!</v>
      </c>
      <c r="W274" t="e">
        <f t="shared" ca="1" si="522"/>
        <v>#REF!</v>
      </c>
      <c r="X274" t="e">
        <f t="shared" ca="1" si="522"/>
        <v>#REF!</v>
      </c>
      <c r="Y274" t="e">
        <f t="shared" ca="1" si="522"/>
        <v>#REF!</v>
      </c>
      <c r="Z274" t="e">
        <f t="shared" ca="1" si="522"/>
        <v>#REF!</v>
      </c>
      <c r="AA274" t="e">
        <f t="shared" ca="1" si="522"/>
        <v>#REF!</v>
      </c>
      <c r="AB274" t="e">
        <f t="shared" ca="1" si="522"/>
        <v>#REF!</v>
      </c>
      <c r="AC274" t="e">
        <f ca="1">S274*(1+$E274*$F274)^10</f>
        <v>#REF!</v>
      </c>
      <c r="AD274" t="e">
        <f ca="1">AC274+($AM274-$AC274)/10</f>
        <v>#REF!</v>
      </c>
      <c r="AE274" t="e">
        <f t="shared" ref="AE274:AL274" ca="1" si="523">AD274+($AM274-$AC274)/10</f>
        <v>#REF!</v>
      </c>
      <c r="AF274" t="e">
        <f t="shared" ca="1" si="523"/>
        <v>#REF!</v>
      </c>
      <c r="AG274" t="e">
        <f t="shared" ca="1" si="523"/>
        <v>#REF!</v>
      </c>
      <c r="AH274" t="e">
        <f t="shared" ca="1" si="523"/>
        <v>#REF!</v>
      </c>
      <c r="AI274" t="e">
        <f t="shared" ca="1" si="523"/>
        <v>#REF!</v>
      </c>
      <c r="AJ274" t="e">
        <f t="shared" ca="1" si="523"/>
        <v>#REF!</v>
      </c>
      <c r="AK274" t="e">
        <f t="shared" ca="1" si="523"/>
        <v>#REF!</v>
      </c>
      <c r="AL274" t="e">
        <f t="shared" ca="1" si="523"/>
        <v>#REF!</v>
      </c>
      <c r="AM274" t="e">
        <f ca="1">AC274*(1+$E274*$F274*AM$273)^10</f>
        <v>#REF!</v>
      </c>
    </row>
    <row r="275" spans="1:39" x14ac:dyDescent="0.2">
      <c r="A275" t="s">
        <v>363</v>
      </c>
      <c r="B275" t="s">
        <v>84</v>
      </c>
      <c r="C275" t="str">
        <f t="shared" si="518"/>
        <v>est_</v>
      </c>
      <c r="D275" t="str">
        <f>[1]Demand!$C$5</f>
        <v>Industry</v>
      </c>
      <c r="E275" s="38">
        <f t="shared" ca="1" si="519"/>
        <v>0</v>
      </c>
      <c r="F275" s="42">
        <v>0.5</v>
      </c>
      <c r="G275" t="str">
        <f t="shared" ref="G275:G276" si="524">D275</f>
        <v>Industry</v>
      </c>
      <c r="H275" t="str">
        <f t="shared" ref="H275:H308" si="525">B275&amp;A275</f>
        <v>D3L50</v>
      </c>
      <c r="I275" t="e">
        <f ca="1">IF(A275="","",SUMIFS(H$28:H$134,B$28:B$134,$B275,A$28:A$134,$G$154,F$28:F$134,$D275))</f>
        <v>#REF!</v>
      </c>
      <c r="J275" t="e">
        <f t="shared" ref="J275:R275" ca="1" si="526">I275+($S275-$I275)/10</f>
        <v>#REF!</v>
      </c>
      <c r="K275" t="e">
        <f t="shared" ca="1" si="526"/>
        <v>#REF!</v>
      </c>
      <c r="L275" t="e">
        <f t="shared" ca="1" si="526"/>
        <v>#REF!</v>
      </c>
      <c r="M275" t="e">
        <f t="shared" ca="1" si="526"/>
        <v>#REF!</v>
      </c>
      <c r="N275" t="e">
        <f t="shared" ca="1" si="526"/>
        <v>#REF!</v>
      </c>
      <c r="O275" t="e">
        <f t="shared" ca="1" si="526"/>
        <v>#REF!</v>
      </c>
      <c r="P275" t="e">
        <f t="shared" ca="1" si="526"/>
        <v>#REF!</v>
      </c>
      <c r="Q275" t="e">
        <f t="shared" ca="1" si="526"/>
        <v>#REF!</v>
      </c>
      <c r="R275" t="e">
        <f t="shared" ca="1" si="526"/>
        <v>#REF!</v>
      </c>
      <c r="S275" t="e">
        <f t="shared" ca="1" si="521"/>
        <v>#REF!</v>
      </c>
      <c r="T275" t="e">
        <f t="shared" ref="T275:AB275" ca="1" si="527">S275+($AC275-$S275)/10</f>
        <v>#REF!</v>
      </c>
      <c r="U275" t="e">
        <f t="shared" ca="1" si="527"/>
        <v>#REF!</v>
      </c>
      <c r="V275" t="e">
        <f t="shared" ca="1" si="527"/>
        <v>#REF!</v>
      </c>
      <c r="W275" t="e">
        <f t="shared" ca="1" si="527"/>
        <v>#REF!</v>
      </c>
      <c r="X275" t="e">
        <f t="shared" ca="1" si="527"/>
        <v>#REF!</v>
      </c>
      <c r="Y275" t="e">
        <f t="shared" ca="1" si="527"/>
        <v>#REF!</v>
      </c>
      <c r="Z275" t="e">
        <f t="shared" ca="1" si="527"/>
        <v>#REF!</v>
      </c>
      <c r="AA275" t="e">
        <f t="shared" ca="1" si="527"/>
        <v>#REF!</v>
      </c>
      <c r="AB275" t="e">
        <f t="shared" ca="1" si="527"/>
        <v>#REF!</v>
      </c>
      <c r="AC275" t="e">
        <f t="shared" ref="AC275:AC276" ca="1" si="528">S275*(1+$E275*$F275)^10</f>
        <v>#REF!</v>
      </c>
      <c r="AD275" t="e">
        <f t="shared" ref="AD275:AL275" ca="1" si="529">AC275+($AM275-$AC275)/10</f>
        <v>#REF!</v>
      </c>
      <c r="AE275" t="e">
        <f t="shared" ca="1" si="529"/>
        <v>#REF!</v>
      </c>
      <c r="AF275" t="e">
        <f t="shared" ca="1" si="529"/>
        <v>#REF!</v>
      </c>
      <c r="AG275" t="e">
        <f t="shared" ca="1" si="529"/>
        <v>#REF!</v>
      </c>
      <c r="AH275" t="e">
        <f t="shared" ca="1" si="529"/>
        <v>#REF!</v>
      </c>
      <c r="AI275" t="e">
        <f t="shared" ca="1" si="529"/>
        <v>#REF!</v>
      </c>
      <c r="AJ275" t="e">
        <f t="shared" ca="1" si="529"/>
        <v>#REF!</v>
      </c>
      <c r="AK275" t="e">
        <f t="shared" ca="1" si="529"/>
        <v>#REF!</v>
      </c>
      <c r="AL275" t="e">
        <f t="shared" ca="1" si="529"/>
        <v>#REF!</v>
      </c>
      <c r="AM275" t="e">
        <f t="shared" ref="AM275:AM276" ca="1" si="530">AC275*(1+$E275*$F275*AM$273)^10</f>
        <v>#REF!</v>
      </c>
    </row>
    <row r="276" spans="1:39" x14ac:dyDescent="0.2">
      <c r="A276" t="s">
        <v>363</v>
      </c>
      <c r="B276" t="s">
        <v>84</v>
      </c>
      <c r="C276" t="str">
        <f t="shared" si="518"/>
        <v>est_</v>
      </c>
      <c r="D276" t="str">
        <f>[1]Demand!$C$6</f>
        <v>Other</v>
      </c>
      <c r="E276" s="38">
        <f t="shared" ca="1" si="519"/>
        <v>0</v>
      </c>
      <c r="F276" s="42">
        <v>0.5</v>
      </c>
      <c r="G276" t="str">
        <f t="shared" si="524"/>
        <v>Other</v>
      </c>
      <c r="H276" t="str">
        <f t="shared" si="525"/>
        <v>D3L50</v>
      </c>
      <c r="I276" t="e">
        <f ca="1">IF(A276="","",SUMIFS(H$28:H$134,B$28:B$134,$B276,A$28:A$134,$G$154,F$28:F$134,$D276))</f>
        <v>#REF!</v>
      </c>
      <c r="J276" t="e">
        <f t="shared" ref="J276:R276" ca="1" si="531">I276+($S276-$I276)/10</f>
        <v>#REF!</v>
      </c>
      <c r="K276" t="e">
        <f t="shared" ca="1" si="531"/>
        <v>#REF!</v>
      </c>
      <c r="L276" t="e">
        <f t="shared" ca="1" si="531"/>
        <v>#REF!</v>
      </c>
      <c r="M276" t="e">
        <f t="shared" ca="1" si="531"/>
        <v>#REF!</v>
      </c>
      <c r="N276" t="e">
        <f t="shared" ca="1" si="531"/>
        <v>#REF!</v>
      </c>
      <c r="O276" t="e">
        <f t="shared" ca="1" si="531"/>
        <v>#REF!</v>
      </c>
      <c r="P276" t="e">
        <f t="shared" ca="1" si="531"/>
        <v>#REF!</v>
      </c>
      <c r="Q276" t="e">
        <f t="shared" ca="1" si="531"/>
        <v>#REF!</v>
      </c>
      <c r="R276" t="e">
        <f t="shared" ca="1" si="531"/>
        <v>#REF!</v>
      </c>
      <c r="S276" t="e">
        <f t="shared" ca="1" si="521"/>
        <v>#REF!</v>
      </c>
      <c r="T276" t="e">
        <f t="shared" ref="T276:AB276" ca="1" si="532">S276+($AC276-$S276)/10</f>
        <v>#REF!</v>
      </c>
      <c r="U276" t="e">
        <f t="shared" ca="1" si="532"/>
        <v>#REF!</v>
      </c>
      <c r="V276" t="e">
        <f t="shared" ca="1" si="532"/>
        <v>#REF!</v>
      </c>
      <c r="W276" t="e">
        <f t="shared" ca="1" si="532"/>
        <v>#REF!</v>
      </c>
      <c r="X276" t="e">
        <f t="shared" ca="1" si="532"/>
        <v>#REF!</v>
      </c>
      <c r="Y276" t="e">
        <f t="shared" ca="1" si="532"/>
        <v>#REF!</v>
      </c>
      <c r="Z276" t="e">
        <f t="shared" ca="1" si="532"/>
        <v>#REF!</v>
      </c>
      <c r="AA276" t="e">
        <f t="shared" ca="1" si="532"/>
        <v>#REF!</v>
      </c>
      <c r="AB276" t="e">
        <f t="shared" ca="1" si="532"/>
        <v>#REF!</v>
      </c>
      <c r="AC276" t="e">
        <f t="shared" ca="1" si="528"/>
        <v>#REF!</v>
      </c>
      <c r="AD276" t="e">
        <f t="shared" ref="AD276:AL276" ca="1" si="533">AC276+($AM276-$AC276)/10</f>
        <v>#REF!</v>
      </c>
      <c r="AE276" t="e">
        <f t="shared" ca="1" si="533"/>
        <v>#REF!</v>
      </c>
      <c r="AF276" t="e">
        <f t="shared" ca="1" si="533"/>
        <v>#REF!</v>
      </c>
      <c r="AG276" t="e">
        <f t="shared" ca="1" si="533"/>
        <v>#REF!</v>
      </c>
      <c r="AH276" t="e">
        <f t="shared" ca="1" si="533"/>
        <v>#REF!</v>
      </c>
      <c r="AI276" t="e">
        <f t="shared" ca="1" si="533"/>
        <v>#REF!</v>
      </c>
      <c r="AJ276" t="e">
        <f t="shared" ca="1" si="533"/>
        <v>#REF!</v>
      </c>
      <c r="AK276" t="e">
        <f t="shared" ca="1" si="533"/>
        <v>#REF!</v>
      </c>
      <c r="AL276" t="e">
        <f t="shared" ca="1" si="533"/>
        <v>#REF!</v>
      </c>
      <c r="AM276" t="e">
        <f t="shared" ca="1" si="530"/>
        <v>#REF!</v>
      </c>
    </row>
    <row r="277" spans="1:39" x14ac:dyDescent="0.2">
      <c r="C277" t="str">
        <f t="shared" si="518"/>
        <v/>
      </c>
      <c r="E277" s="38" t="str">
        <f t="shared" si="519"/>
        <v/>
      </c>
      <c r="F277" s="38"/>
      <c r="H277" t="str">
        <f t="shared" si="525"/>
        <v/>
      </c>
      <c r="S277" t="str">
        <f t="shared" si="521"/>
        <v/>
      </c>
    </row>
    <row r="278" spans="1:39" x14ac:dyDescent="0.2">
      <c r="A278" t="s">
        <v>366</v>
      </c>
      <c r="B278" t="s">
        <v>84</v>
      </c>
      <c r="C278" t="str">
        <f t="shared" si="518"/>
        <v>est_</v>
      </c>
      <c r="D278" t="str">
        <f>[1]Demand!$C$4</f>
        <v>Household</v>
      </c>
      <c r="E278" s="38">
        <f t="shared" ca="1" si="519"/>
        <v>0</v>
      </c>
      <c r="F278" s="42">
        <v>0.5</v>
      </c>
      <c r="G278" t="str">
        <f>D278</f>
        <v>Household</v>
      </c>
      <c r="H278" t="str">
        <f t="shared" si="525"/>
        <v>D3M50</v>
      </c>
      <c r="I278" t="e">
        <f t="shared" ref="I278:I284" ca="1" si="534">IF(A278="","",SUMIFS(H$28:H$134,B$28:B$134,$B278,A$28:A$134,$G$154,F$28:F$134,$D278))</f>
        <v>#REF!</v>
      </c>
      <c r="J278" t="e">
        <f ca="1">I278+($S278-$I278)/10</f>
        <v>#REF!</v>
      </c>
      <c r="K278" t="e">
        <f ca="1">J278+($S278-$I278)/10</f>
        <v>#REF!</v>
      </c>
      <c r="L278" t="e">
        <f t="shared" ref="L278:R278" ca="1" si="535">K278+($S278-$I278)/10</f>
        <v>#REF!</v>
      </c>
      <c r="M278" t="e">
        <f t="shared" ca="1" si="535"/>
        <v>#REF!</v>
      </c>
      <c r="N278" t="e">
        <f t="shared" ca="1" si="535"/>
        <v>#REF!</v>
      </c>
      <c r="O278" t="e">
        <f t="shared" ca="1" si="535"/>
        <v>#REF!</v>
      </c>
      <c r="P278" t="e">
        <f t="shared" ca="1" si="535"/>
        <v>#REF!</v>
      </c>
      <c r="Q278" t="e">
        <f t="shared" ca="1" si="535"/>
        <v>#REF!</v>
      </c>
      <c r="R278" t="e">
        <f t="shared" ca="1" si="535"/>
        <v>#REF!</v>
      </c>
      <c r="S278" t="e">
        <f t="shared" ca="1" si="521"/>
        <v>#REF!</v>
      </c>
      <c r="T278" t="e">
        <f ca="1">S278+($AC278-$S278)/10</f>
        <v>#REF!</v>
      </c>
      <c r="U278" t="e">
        <f t="shared" ref="U278:AB278" ca="1" si="536">T278+($AC278-$S278)/10</f>
        <v>#REF!</v>
      </c>
      <c r="V278" t="e">
        <f t="shared" ca="1" si="536"/>
        <v>#REF!</v>
      </c>
      <c r="W278" t="e">
        <f t="shared" ca="1" si="536"/>
        <v>#REF!</v>
      </c>
      <c r="X278" t="e">
        <f t="shared" ca="1" si="536"/>
        <v>#REF!</v>
      </c>
      <c r="Y278" t="e">
        <f t="shared" ca="1" si="536"/>
        <v>#REF!</v>
      </c>
      <c r="Z278" t="e">
        <f t="shared" ca="1" si="536"/>
        <v>#REF!</v>
      </c>
      <c r="AA278" t="e">
        <f t="shared" ca="1" si="536"/>
        <v>#REF!</v>
      </c>
      <c r="AB278" t="e">
        <f t="shared" ca="1" si="536"/>
        <v>#REF!</v>
      </c>
      <c r="AC278" t="e">
        <f ca="1">S278*(1+$E278*$F278)^10</f>
        <v>#REF!</v>
      </c>
      <c r="AD278" t="e">
        <f ca="1">AC278+($AM278-$AC278)/10</f>
        <v>#REF!</v>
      </c>
      <c r="AE278" t="e">
        <f t="shared" ref="AE278:AL278" ca="1" si="537">AD278+($AM278-$AC278)/10</f>
        <v>#REF!</v>
      </c>
      <c r="AF278" t="e">
        <f t="shared" ca="1" si="537"/>
        <v>#REF!</v>
      </c>
      <c r="AG278" t="e">
        <f t="shared" ca="1" si="537"/>
        <v>#REF!</v>
      </c>
      <c r="AH278" t="e">
        <f t="shared" ca="1" si="537"/>
        <v>#REF!</v>
      </c>
      <c r="AI278" t="e">
        <f t="shared" ca="1" si="537"/>
        <v>#REF!</v>
      </c>
      <c r="AJ278" t="e">
        <f t="shared" ca="1" si="537"/>
        <v>#REF!</v>
      </c>
      <c r="AK278" t="e">
        <f t="shared" ca="1" si="537"/>
        <v>#REF!</v>
      </c>
      <c r="AL278" t="e">
        <f t="shared" ca="1" si="537"/>
        <v>#REF!</v>
      </c>
      <c r="AM278" t="e">
        <f ca="1">AC278*(1+$E278*$F278*AM$273)^10</f>
        <v>#REF!</v>
      </c>
    </row>
    <row r="279" spans="1:39" x14ac:dyDescent="0.2">
      <c r="A279" t="s">
        <v>366</v>
      </c>
      <c r="B279" t="s">
        <v>84</v>
      </c>
      <c r="C279" t="str">
        <f t="shared" si="518"/>
        <v>est_</v>
      </c>
      <c r="D279" t="str">
        <f>[1]Demand!$C$5</f>
        <v>Industry</v>
      </c>
      <c r="E279" s="38">
        <f t="shared" ca="1" si="519"/>
        <v>0</v>
      </c>
      <c r="F279" s="42">
        <v>0.5</v>
      </c>
      <c r="G279" t="str">
        <f t="shared" ref="G279:G280" si="538">D279</f>
        <v>Industry</v>
      </c>
      <c r="H279" t="str">
        <f t="shared" si="525"/>
        <v>D3M50</v>
      </c>
      <c r="I279" t="e">
        <f t="shared" ca="1" si="534"/>
        <v>#REF!</v>
      </c>
      <c r="J279" t="e">
        <f t="shared" ref="J279:R279" ca="1" si="539">I279+($S279-$I279)/10</f>
        <v>#REF!</v>
      </c>
      <c r="K279" t="e">
        <f t="shared" ca="1" si="539"/>
        <v>#REF!</v>
      </c>
      <c r="L279" t="e">
        <f t="shared" ca="1" si="539"/>
        <v>#REF!</v>
      </c>
      <c r="M279" t="e">
        <f t="shared" ca="1" si="539"/>
        <v>#REF!</v>
      </c>
      <c r="N279" t="e">
        <f t="shared" ca="1" si="539"/>
        <v>#REF!</v>
      </c>
      <c r="O279" t="e">
        <f t="shared" ca="1" si="539"/>
        <v>#REF!</v>
      </c>
      <c r="P279" t="e">
        <f t="shared" ca="1" si="539"/>
        <v>#REF!</v>
      </c>
      <c r="Q279" t="e">
        <f t="shared" ca="1" si="539"/>
        <v>#REF!</v>
      </c>
      <c r="R279" t="e">
        <f t="shared" ca="1" si="539"/>
        <v>#REF!</v>
      </c>
      <c r="S279" t="e">
        <f t="shared" ca="1" si="521"/>
        <v>#REF!</v>
      </c>
      <c r="T279" t="e">
        <f t="shared" ref="T279:AB279" ca="1" si="540">S279+($AC279-$S279)/10</f>
        <v>#REF!</v>
      </c>
      <c r="U279" t="e">
        <f t="shared" ca="1" si="540"/>
        <v>#REF!</v>
      </c>
      <c r="V279" t="e">
        <f t="shared" ca="1" si="540"/>
        <v>#REF!</v>
      </c>
      <c r="W279" t="e">
        <f t="shared" ca="1" si="540"/>
        <v>#REF!</v>
      </c>
      <c r="X279" t="e">
        <f t="shared" ca="1" si="540"/>
        <v>#REF!</v>
      </c>
      <c r="Y279" t="e">
        <f t="shared" ca="1" si="540"/>
        <v>#REF!</v>
      </c>
      <c r="Z279" t="e">
        <f t="shared" ca="1" si="540"/>
        <v>#REF!</v>
      </c>
      <c r="AA279" t="e">
        <f t="shared" ca="1" si="540"/>
        <v>#REF!</v>
      </c>
      <c r="AB279" t="e">
        <f t="shared" ca="1" si="540"/>
        <v>#REF!</v>
      </c>
      <c r="AC279" t="e">
        <f t="shared" ref="AC279:AC280" ca="1" si="541">S279*(1+$E279*$F279)^10</f>
        <v>#REF!</v>
      </c>
      <c r="AD279" t="e">
        <f t="shared" ref="AD279:AL279" ca="1" si="542">AC279+($AM279-$AC279)/10</f>
        <v>#REF!</v>
      </c>
      <c r="AE279" t="e">
        <f t="shared" ca="1" si="542"/>
        <v>#REF!</v>
      </c>
      <c r="AF279" t="e">
        <f t="shared" ca="1" si="542"/>
        <v>#REF!</v>
      </c>
      <c r="AG279" t="e">
        <f t="shared" ca="1" si="542"/>
        <v>#REF!</v>
      </c>
      <c r="AH279" t="e">
        <f t="shared" ca="1" si="542"/>
        <v>#REF!</v>
      </c>
      <c r="AI279" t="e">
        <f t="shared" ca="1" si="542"/>
        <v>#REF!</v>
      </c>
      <c r="AJ279" t="e">
        <f t="shared" ca="1" si="542"/>
        <v>#REF!</v>
      </c>
      <c r="AK279" t="e">
        <f t="shared" ca="1" si="542"/>
        <v>#REF!</v>
      </c>
      <c r="AL279" t="e">
        <f t="shared" ca="1" si="542"/>
        <v>#REF!</v>
      </c>
      <c r="AM279" t="e">
        <f t="shared" ref="AM279:AM280" ca="1" si="543">AC279*(1+$E279*$F279*AM$273)^10</f>
        <v>#REF!</v>
      </c>
    </row>
    <row r="280" spans="1:39" x14ac:dyDescent="0.2">
      <c r="A280" t="s">
        <v>366</v>
      </c>
      <c r="B280" t="s">
        <v>84</v>
      </c>
      <c r="C280" t="str">
        <f t="shared" si="518"/>
        <v>est_</v>
      </c>
      <c r="D280" t="str">
        <f>[1]Demand!$C$6</f>
        <v>Other</v>
      </c>
      <c r="E280" s="38">
        <f t="shared" ca="1" si="519"/>
        <v>0</v>
      </c>
      <c r="F280" s="42">
        <v>0.5</v>
      </c>
      <c r="G280" t="str">
        <f t="shared" si="538"/>
        <v>Other</v>
      </c>
      <c r="H280" t="str">
        <f t="shared" si="525"/>
        <v>D3M50</v>
      </c>
      <c r="I280" t="e">
        <f t="shared" ca="1" si="534"/>
        <v>#REF!</v>
      </c>
      <c r="J280" t="e">
        <f t="shared" ref="J280:R280" ca="1" si="544">I280+($S280-$I280)/10</f>
        <v>#REF!</v>
      </c>
      <c r="K280" t="e">
        <f t="shared" ca="1" si="544"/>
        <v>#REF!</v>
      </c>
      <c r="L280" t="e">
        <f t="shared" ca="1" si="544"/>
        <v>#REF!</v>
      </c>
      <c r="M280" t="e">
        <f t="shared" ca="1" si="544"/>
        <v>#REF!</v>
      </c>
      <c r="N280" t="e">
        <f t="shared" ca="1" si="544"/>
        <v>#REF!</v>
      </c>
      <c r="O280" t="e">
        <f t="shared" ca="1" si="544"/>
        <v>#REF!</v>
      </c>
      <c r="P280" t="e">
        <f t="shared" ca="1" si="544"/>
        <v>#REF!</v>
      </c>
      <c r="Q280" t="e">
        <f t="shared" ca="1" si="544"/>
        <v>#REF!</v>
      </c>
      <c r="R280" t="e">
        <f t="shared" ca="1" si="544"/>
        <v>#REF!</v>
      </c>
      <c r="S280" t="e">
        <f t="shared" ca="1" si="521"/>
        <v>#REF!</v>
      </c>
      <c r="T280" t="e">
        <f t="shared" ref="T280:AB280" ca="1" si="545">S280+($AC280-$S280)/10</f>
        <v>#REF!</v>
      </c>
      <c r="U280" t="e">
        <f t="shared" ca="1" si="545"/>
        <v>#REF!</v>
      </c>
      <c r="V280" t="e">
        <f t="shared" ca="1" si="545"/>
        <v>#REF!</v>
      </c>
      <c r="W280" t="e">
        <f t="shared" ca="1" si="545"/>
        <v>#REF!</v>
      </c>
      <c r="X280" t="e">
        <f t="shared" ca="1" si="545"/>
        <v>#REF!</v>
      </c>
      <c r="Y280" t="e">
        <f t="shared" ca="1" si="545"/>
        <v>#REF!</v>
      </c>
      <c r="Z280" t="e">
        <f t="shared" ca="1" si="545"/>
        <v>#REF!</v>
      </c>
      <c r="AA280" t="e">
        <f t="shared" ca="1" si="545"/>
        <v>#REF!</v>
      </c>
      <c r="AB280" t="e">
        <f t="shared" ca="1" si="545"/>
        <v>#REF!</v>
      </c>
      <c r="AC280" t="e">
        <f t="shared" ca="1" si="541"/>
        <v>#REF!</v>
      </c>
      <c r="AD280" t="e">
        <f t="shared" ref="AD280:AL280" ca="1" si="546">AC280+($AM280-$AC280)/10</f>
        <v>#REF!</v>
      </c>
      <c r="AE280" t="e">
        <f t="shared" ca="1" si="546"/>
        <v>#REF!</v>
      </c>
      <c r="AF280" t="e">
        <f t="shared" ca="1" si="546"/>
        <v>#REF!</v>
      </c>
      <c r="AG280" t="e">
        <f t="shared" ca="1" si="546"/>
        <v>#REF!</v>
      </c>
      <c r="AH280" t="e">
        <f t="shared" ca="1" si="546"/>
        <v>#REF!</v>
      </c>
      <c r="AI280" t="e">
        <f t="shared" ca="1" si="546"/>
        <v>#REF!</v>
      </c>
      <c r="AJ280" t="e">
        <f t="shared" ca="1" si="546"/>
        <v>#REF!</v>
      </c>
      <c r="AK280" t="e">
        <f t="shared" ca="1" si="546"/>
        <v>#REF!</v>
      </c>
      <c r="AL280" t="e">
        <f t="shared" ca="1" si="546"/>
        <v>#REF!</v>
      </c>
      <c r="AM280" t="e">
        <f t="shared" ca="1" si="543"/>
        <v>#REF!</v>
      </c>
    </row>
    <row r="281" spans="1:39" x14ac:dyDescent="0.2">
      <c r="C281" t="str">
        <f t="shared" si="518"/>
        <v/>
      </c>
      <c r="E281" s="38" t="str">
        <f t="shared" si="519"/>
        <v/>
      </c>
      <c r="F281" s="38"/>
      <c r="H281" t="str">
        <f t="shared" si="525"/>
        <v/>
      </c>
      <c r="I281" t="str">
        <f t="shared" si="534"/>
        <v/>
      </c>
      <c r="S281" t="str">
        <f t="shared" si="521"/>
        <v/>
      </c>
    </row>
    <row r="282" spans="1:39" x14ac:dyDescent="0.2">
      <c r="A282" t="s">
        <v>367</v>
      </c>
      <c r="B282" t="s">
        <v>84</v>
      </c>
      <c r="C282" t="str">
        <f t="shared" si="518"/>
        <v>est_</v>
      </c>
      <c r="D282" t="str">
        <f>[1]Demand!$C$4</f>
        <v>Household</v>
      </c>
      <c r="E282" s="38">
        <f t="shared" ca="1" si="519"/>
        <v>0</v>
      </c>
      <c r="F282" s="42">
        <v>0.5</v>
      </c>
      <c r="G282" t="str">
        <f>D282</f>
        <v>Household</v>
      </c>
      <c r="H282" t="str">
        <f t="shared" si="525"/>
        <v>D3H50</v>
      </c>
      <c r="I282" t="e">
        <f t="shared" ca="1" si="534"/>
        <v>#REF!</v>
      </c>
      <c r="J282" t="e">
        <f ca="1">I282+($S282-$I282)/10</f>
        <v>#REF!</v>
      </c>
      <c r="K282" t="e">
        <f ca="1">J282+($S282-$I282)/10</f>
        <v>#REF!</v>
      </c>
      <c r="L282" t="e">
        <f t="shared" ref="L282:R282" ca="1" si="547">K282+($S282-$I282)/10</f>
        <v>#REF!</v>
      </c>
      <c r="M282" t="e">
        <f t="shared" ca="1" si="547"/>
        <v>#REF!</v>
      </c>
      <c r="N282" t="e">
        <f t="shared" ca="1" si="547"/>
        <v>#REF!</v>
      </c>
      <c r="O282" t="e">
        <f t="shared" ca="1" si="547"/>
        <v>#REF!</v>
      </c>
      <c r="P282" t="e">
        <f t="shared" ca="1" si="547"/>
        <v>#REF!</v>
      </c>
      <c r="Q282" t="e">
        <f t="shared" ca="1" si="547"/>
        <v>#REF!</v>
      </c>
      <c r="R282" t="e">
        <f t="shared" ca="1" si="547"/>
        <v>#REF!</v>
      </c>
      <c r="S282" t="e">
        <f t="shared" ca="1" si="521"/>
        <v>#REF!</v>
      </c>
      <c r="T282" t="e">
        <f ca="1">S282+($AC282-$S282)/10</f>
        <v>#REF!</v>
      </c>
      <c r="U282" t="e">
        <f t="shared" ref="U282:AB282" ca="1" si="548">T282+($AC282-$S282)/10</f>
        <v>#REF!</v>
      </c>
      <c r="V282" t="e">
        <f t="shared" ca="1" si="548"/>
        <v>#REF!</v>
      </c>
      <c r="W282" t="e">
        <f t="shared" ca="1" si="548"/>
        <v>#REF!</v>
      </c>
      <c r="X282" t="e">
        <f t="shared" ca="1" si="548"/>
        <v>#REF!</v>
      </c>
      <c r="Y282" t="e">
        <f t="shared" ca="1" si="548"/>
        <v>#REF!</v>
      </c>
      <c r="Z282" t="e">
        <f t="shared" ca="1" si="548"/>
        <v>#REF!</v>
      </c>
      <c r="AA282" t="e">
        <f t="shared" ca="1" si="548"/>
        <v>#REF!</v>
      </c>
      <c r="AB282" t="e">
        <f t="shared" ca="1" si="548"/>
        <v>#REF!</v>
      </c>
      <c r="AC282" t="e">
        <f ca="1">S282*(1+$E282*$F282)^10</f>
        <v>#REF!</v>
      </c>
      <c r="AD282" t="e">
        <f ca="1">AC282+($AM282-$AC282)/10</f>
        <v>#REF!</v>
      </c>
      <c r="AE282" t="e">
        <f t="shared" ref="AE282:AL282" ca="1" si="549">AD282+($AM282-$AC282)/10</f>
        <v>#REF!</v>
      </c>
      <c r="AF282" t="e">
        <f t="shared" ca="1" si="549"/>
        <v>#REF!</v>
      </c>
      <c r="AG282" t="e">
        <f t="shared" ca="1" si="549"/>
        <v>#REF!</v>
      </c>
      <c r="AH282" t="e">
        <f t="shared" ca="1" si="549"/>
        <v>#REF!</v>
      </c>
      <c r="AI282" t="e">
        <f t="shared" ca="1" si="549"/>
        <v>#REF!</v>
      </c>
      <c r="AJ282" t="e">
        <f t="shared" ca="1" si="549"/>
        <v>#REF!</v>
      </c>
      <c r="AK282" t="e">
        <f t="shared" ca="1" si="549"/>
        <v>#REF!</v>
      </c>
      <c r="AL282" t="e">
        <f t="shared" ca="1" si="549"/>
        <v>#REF!</v>
      </c>
      <c r="AM282" t="e">
        <f ca="1">AC282*(1+$E282*$F282*AM$273)^10</f>
        <v>#REF!</v>
      </c>
    </row>
    <row r="283" spans="1:39" x14ac:dyDescent="0.2">
      <c r="A283" t="s">
        <v>367</v>
      </c>
      <c r="B283" t="s">
        <v>84</v>
      </c>
      <c r="C283" t="str">
        <f t="shared" si="518"/>
        <v>est_</v>
      </c>
      <c r="D283" t="str">
        <f>[1]Demand!$C$5</f>
        <v>Industry</v>
      </c>
      <c r="E283" s="38">
        <f t="shared" ca="1" si="519"/>
        <v>0</v>
      </c>
      <c r="F283" s="42">
        <v>0.5</v>
      </c>
      <c r="G283" t="str">
        <f t="shared" ref="G283:G284" si="550">D283</f>
        <v>Industry</v>
      </c>
      <c r="H283" t="str">
        <f t="shared" si="525"/>
        <v>D3H50</v>
      </c>
      <c r="I283" t="e">
        <f t="shared" ca="1" si="534"/>
        <v>#REF!</v>
      </c>
      <c r="J283" t="e">
        <f t="shared" ref="J283:R283" ca="1" si="551">I283+($S283-$I283)/10</f>
        <v>#REF!</v>
      </c>
      <c r="K283" t="e">
        <f t="shared" ca="1" si="551"/>
        <v>#REF!</v>
      </c>
      <c r="L283" t="e">
        <f t="shared" ca="1" si="551"/>
        <v>#REF!</v>
      </c>
      <c r="M283" t="e">
        <f t="shared" ca="1" si="551"/>
        <v>#REF!</v>
      </c>
      <c r="N283" t="e">
        <f t="shared" ca="1" si="551"/>
        <v>#REF!</v>
      </c>
      <c r="O283" t="e">
        <f t="shared" ca="1" si="551"/>
        <v>#REF!</v>
      </c>
      <c r="P283" t="e">
        <f t="shared" ca="1" si="551"/>
        <v>#REF!</v>
      </c>
      <c r="Q283" t="e">
        <f t="shared" ca="1" si="551"/>
        <v>#REF!</v>
      </c>
      <c r="R283" t="e">
        <f t="shared" ca="1" si="551"/>
        <v>#REF!</v>
      </c>
      <c r="S283" t="e">
        <f t="shared" ca="1" si="521"/>
        <v>#REF!</v>
      </c>
      <c r="T283" t="e">
        <f t="shared" ref="T283:AB283" ca="1" si="552">S283+($AC283-$S283)/10</f>
        <v>#REF!</v>
      </c>
      <c r="U283" t="e">
        <f t="shared" ca="1" si="552"/>
        <v>#REF!</v>
      </c>
      <c r="V283" t="e">
        <f t="shared" ca="1" si="552"/>
        <v>#REF!</v>
      </c>
      <c r="W283" t="e">
        <f t="shared" ca="1" si="552"/>
        <v>#REF!</v>
      </c>
      <c r="X283" t="e">
        <f t="shared" ca="1" si="552"/>
        <v>#REF!</v>
      </c>
      <c r="Y283" t="e">
        <f t="shared" ca="1" si="552"/>
        <v>#REF!</v>
      </c>
      <c r="Z283" t="e">
        <f t="shared" ca="1" si="552"/>
        <v>#REF!</v>
      </c>
      <c r="AA283" t="e">
        <f t="shared" ca="1" si="552"/>
        <v>#REF!</v>
      </c>
      <c r="AB283" t="e">
        <f t="shared" ca="1" si="552"/>
        <v>#REF!</v>
      </c>
      <c r="AC283" t="e">
        <f t="shared" ref="AC283:AC284" ca="1" si="553">S283*(1+$E283*$F283)^10</f>
        <v>#REF!</v>
      </c>
      <c r="AD283" t="e">
        <f t="shared" ref="AD283:AL283" ca="1" si="554">AC283+($AM283-$AC283)/10</f>
        <v>#REF!</v>
      </c>
      <c r="AE283" t="e">
        <f t="shared" ca="1" si="554"/>
        <v>#REF!</v>
      </c>
      <c r="AF283" t="e">
        <f t="shared" ca="1" si="554"/>
        <v>#REF!</v>
      </c>
      <c r="AG283" t="e">
        <f t="shared" ca="1" si="554"/>
        <v>#REF!</v>
      </c>
      <c r="AH283" t="e">
        <f t="shared" ca="1" si="554"/>
        <v>#REF!</v>
      </c>
      <c r="AI283" t="e">
        <f t="shared" ca="1" si="554"/>
        <v>#REF!</v>
      </c>
      <c r="AJ283" t="e">
        <f t="shared" ca="1" si="554"/>
        <v>#REF!</v>
      </c>
      <c r="AK283" t="e">
        <f t="shared" ca="1" si="554"/>
        <v>#REF!</v>
      </c>
      <c r="AL283" t="e">
        <f t="shared" ca="1" si="554"/>
        <v>#REF!</v>
      </c>
      <c r="AM283" t="e">
        <f t="shared" ref="AM283:AM284" ca="1" si="555">AC283*(1+$E283*$F283*AM$273)^10</f>
        <v>#REF!</v>
      </c>
    </row>
    <row r="284" spans="1:39" x14ac:dyDescent="0.2">
      <c r="A284" t="s">
        <v>367</v>
      </c>
      <c r="B284" t="s">
        <v>84</v>
      </c>
      <c r="C284" t="str">
        <f t="shared" si="518"/>
        <v>est_</v>
      </c>
      <c r="D284" t="str">
        <f>[1]Demand!$C$6</f>
        <v>Other</v>
      </c>
      <c r="E284" s="38">
        <f t="shared" ca="1" si="519"/>
        <v>0</v>
      </c>
      <c r="F284" s="42">
        <v>0.5</v>
      </c>
      <c r="G284" t="str">
        <f t="shared" si="550"/>
        <v>Other</v>
      </c>
      <c r="H284" t="str">
        <f t="shared" si="525"/>
        <v>D3H50</v>
      </c>
      <c r="I284" t="e">
        <f t="shared" ca="1" si="534"/>
        <v>#REF!</v>
      </c>
      <c r="J284" t="e">
        <f t="shared" ref="J284:R284" ca="1" si="556">I284+($S284-$I284)/10</f>
        <v>#REF!</v>
      </c>
      <c r="K284" t="e">
        <f t="shared" ca="1" si="556"/>
        <v>#REF!</v>
      </c>
      <c r="L284" t="e">
        <f t="shared" ca="1" si="556"/>
        <v>#REF!</v>
      </c>
      <c r="M284" t="e">
        <f t="shared" ca="1" si="556"/>
        <v>#REF!</v>
      </c>
      <c r="N284" t="e">
        <f t="shared" ca="1" si="556"/>
        <v>#REF!</v>
      </c>
      <c r="O284" t="e">
        <f t="shared" ca="1" si="556"/>
        <v>#REF!</v>
      </c>
      <c r="P284" t="e">
        <f t="shared" ca="1" si="556"/>
        <v>#REF!</v>
      </c>
      <c r="Q284" t="e">
        <f t="shared" ca="1" si="556"/>
        <v>#REF!</v>
      </c>
      <c r="R284" t="e">
        <f t="shared" ca="1" si="556"/>
        <v>#REF!</v>
      </c>
      <c r="S284" t="e">
        <f t="shared" ca="1" si="521"/>
        <v>#REF!</v>
      </c>
      <c r="T284" t="e">
        <f t="shared" ref="T284:AB284" ca="1" si="557">S284+($AC284-$S284)/10</f>
        <v>#REF!</v>
      </c>
      <c r="U284" t="e">
        <f t="shared" ca="1" si="557"/>
        <v>#REF!</v>
      </c>
      <c r="V284" t="e">
        <f t="shared" ca="1" si="557"/>
        <v>#REF!</v>
      </c>
      <c r="W284" t="e">
        <f t="shared" ca="1" si="557"/>
        <v>#REF!</v>
      </c>
      <c r="X284" t="e">
        <f t="shared" ca="1" si="557"/>
        <v>#REF!</v>
      </c>
      <c r="Y284" t="e">
        <f t="shared" ca="1" si="557"/>
        <v>#REF!</v>
      </c>
      <c r="Z284" t="e">
        <f t="shared" ca="1" si="557"/>
        <v>#REF!</v>
      </c>
      <c r="AA284" t="e">
        <f t="shared" ca="1" si="557"/>
        <v>#REF!</v>
      </c>
      <c r="AB284" t="e">
        <f t="shared" ca="1" si="557"/>
        <v>#REF!</v>
      </c>
      <c r="AC284" t="e">
        <f t="shared" ca="1" si="553"/>
        <v>#REF!</v>
      </c>
      <c r="AD284" t="e">
        <f t="shared" ref="AD284:AL284" ca="1" si="558">AC284+($AM284-$AC284)/10</f>
        <v>#REF!</v>
      </c>
      <c r="AE284" t="e">
        <f t="shared" ca="1" si="558"/>
        <v>#REF!</v>
      </c>
      <c r="AF284" t="e">
        <f t="shared" ca="1" si="558"/>
        <v>#REF!</v>
      </c>
      <c r="AG284" t="e">
        <f t="shared" ca="1" si="558"/>
        <v>#REF!</v>
      </c>
      <c r="AH284" t="e">
        <f t="shared" ca="1" si="558"/>
        <v>#REF!</v>
      </c>
      <c r="AI284" t="e">
        <f t="shared" ca="1" si="558"/>
        <v>#REF!</v>
      </c>
      <c r="AJ284" t="e">
        <f t="shared" ca="1" si="558"/>
        <v>#REF!</v>
      </c>
      <c r="AK284" t="e">
        <f t="shared" ca="1" si="558"/>
        <v>#REF!</v>
      </c>
      <c r="AL284" t="e">
        <f t="shared" ca="1" si="558"/>
        <v>#REF!</v>
      </c>
      <c r="AM284" t="e">
        <f t="shared" ca="1" si="555"/>
        <v>#REF!</v>
      </c>
    </row>
    <row r="285" spans="1:39" x14ac:dyDescent="0.2">
      <c r="H285" t="str">
        <f t="shared" si="525"/>
        <v/>
      </c>
      <c r="I285" t="str">
        <f>IF(A285="","",SUMIFS(H$31:H$110,B$28:B$110,$B285,A$28:A$110,$G$154,F$28:F$110,$D285))</f>
        <v/>
      </c>
      <c r="S285" t="str">
        <f>IF(A285="","",SUMIFS(R$31:R$110,B$28:B$110,$B285,A$28:A$110,$A285,F$28:F$110,$D285))</f>
        <v/>
      </c>
    </row>
    <row r="286" spans="1:39" x14ac:dyDescent="0.2">
      <c r="A286" t="s">
        <v>364</v>
      </c>
      <c r="B286" t="s">
        <v>84</v>
      </c>
      <c r="C286" t="str">
        <f t="shared" ref="C286:C296" si="559">IF(B286="D1","ouest_",IF(B286="D2","sud_",IF(B286="D3","est_","")))</f>
        <v>est_</v>
      </c>
      <c r="D286" t="str">
        <f>[1]Demand!$C$4</f>
        <v>Household</v>
      </c>
      <c r="E286" s="38">
        <f t="shared" ref="E286:E296" ca="1" si="560">IF(A286="","",IFERROR((S286/I286)^(1/($S$201-$I$201))-1,0))</f>
        <v>0</v>
      </c>
      <c r="F286" s="42">
        <v>0.25</v>
      </c>
      <c r="G286" t="str">
        <f>D286</f>
        <v>Household</v>
      </c>
      <c r="H286" t="str">
        <f t="shared" si="525"/>
        <v>D3L75</v>
      </c>
      <c r="I286" t="e">
        <f ca="1">IF(A286="","",SUMIFS(H$28:H$134,B$28:B$134,$B286,A$28:A$134,$G$154,F$28:F$134,$D286))</f>
        <v>#REF!</v>
      </c>
      <c r="J286" t="e">
        <f t="shared" ref="J286:R286" ca="1" si="561">I286*(1+$E286)</f>
        <v>#REF!</v>
      </c>
      <c r="K286" t="e">
        <f t="shared" ca="1" si="561"/>
        <v>#REF!</v>
      </c>
      <c r="L286" t="e">
        <f t="shared" ca="1" si="561"/>
        <v>#REF!</v>
      </c>
      <c r="M286" t="e">
        <f t="shared" ca="1" si="561"/>
        <v>#REF!</v>
      </c>
      <c r="N286" t="e">
        <f t="shared" ca="1" si="561"/>
        <v>#REF!</v>
      </c>
      <c r="O286" t="e">
        <f t="shared" ca="1" si="561"/>
        <v>#REF!</v>
      </c>
      <c r="P286" t="e">
        <f t="shared" ca="1" si="561"/>
        <v>#REF!</v>
      </c>
      <c r="Q286" t="e">
        <f t="shared" ca="1" si="561"/>
        <v>#REF!</v>
      </c>
      <c r="R286" t="e">
        <f t="shared" ca="1" si="561"/>
        <v>#REF!</v>
      </c>
      <c r="S286" t="e">
        <f t="shared" ref="S286:S296" ca="1" si="562">IF(A286="","",SUMIFS(R$28:R$134,B$28:B$134,$B286,A$28:A$134,$A286,F$28:F$134,$D286))</f>
        <v>#REF!</v>
      </c>
      <c r="T286" t="e">
        <f t="shared" ref="T286:AC286" ca="1" si="563">S286*(1+$E286*$F286)</f>
        <v>#REF!</v>
      </c>
      <c r="U286" t="e">
        <f t="shared" ca="1" si="563"/>
        <v>#REF!</v>
      </c>
      <c r="V286" t="e">
        <f t="shared" ca="1" si="563"/>
        <v>#REF!</v>
      </c>
      <c r="W286" t="e">
        <f t="shared" ca="1" si="563"/>
        <v>#REF!</v>
      </c>
      <c r="X286" t="e">
        <f t="shared" ca="1" si="563"/>
        <v>#REF!</v>
      </c>
      <c r="Y286" t="e">
        <f t="shared" ca="1" si="563"/>
        <v>#REF!</v>
      </c>
      <c r="Z286" t="e">
        <f t="shared" ca="1" si="563"/>
        <v>#REF!</v>
      </c>
      <c r="AA286" t="e">
        <f t="shared" ca="1" si="563"/>
        <v>#REF!</v>
      </c>
      <c r="AB286" t="e">
        <f t="shared" ca="1" si="563"/>
        <v>#REF!</v>
      </c>
      <c r="AC286" t="e">
        <f t="shared" ca="1" si="563"/>
        <v>#REF!</v>
      </c>
      <c r="AD286" t="e">
        <f t="shared" ref="AD286:AD288" ca="1" si="564">AC286*(1+$E286*$F286)</f>
        <v>#REF!</v>
      </c>
      <c r="AE286" t="e">
        <f t="shared" ref="AE286:AE288" ca="1" si="565">AD286*(1+$E286*$F286)</f>
        <v>#REF!</v>
      </c>
      <c r="AF286" t="e">
        <f t="shared" ref="AF286:AF288" ca="1" si="566">AE286*(1+$E286*$F286)</f>
        <v>#REF!</v>
      </c>
      <c r="AG286" t="e">
        <f t="shared" ref="AG286:AG288" ca="1" si="567">AF286*(1+$E286*$F286)</f>
        <v>#REF!</v>
      </c>
      <c r="AH286" t="e">
        <f t="shared" ref="AH286:AH288" ca="1" si="568">AG286*(1+$E286*$F286)</f>
        <v>#REF!</v>
      </c>
      <c r="AI286" t="e">
        <f t="shared" ref="AI286:AI288" ca="1" si="569">AH286*(1+$E286*$F286)</f>
        <v>#REF!</v>
      </c>
      <c r="AJ286" t="e">
        <f t="shared" ref="AJ286:AJ288" ca="1" si="570">AI286*(1+$E286*$F286)</f>
        <v>#REF!</v>
      </c>
      <c r="AK286" t="e">
        <f t="shared" ref="AK286:AK288" ca="1" si="571">AJ286*(1+$E286*$F286)</f>
        <v>#REF!</v>
      </c>
      <c r="AL286" t="e">
        <f t="shared" ref="AL286:AL288" ca="1" si="572">AK286*(1+$E286*$F286)</f>
        <v>#REF!</v>
      </c>
      <c r="AM286" t="e">
        <f t="shared" ref="AM286:AM288" ca="1" si="573">AL286*(1+$E286*$F286)</f>
        <v>#REF!</v>
      </c>
    </row>
    <row r="287" spans="1:39" x14ac:dyDescent="0.2">
      <c r="A287" t="s">
        <v>364</v>
      </c>
      <c r="B287" t="s">
        <v>84</v>
      </c>
      <c r="C287" t="str">
        <f t="shared" si="559"/>
        <v>est_</v>
      </c>
      <c r="D287" t="str">
        <f>[1]Demand!$C$5</f>
        <v>Industry</v>
      </c>
      <c r="E287" s="38">
        <f t="shared" ca="1" si="560"/>
        <v>0</v>
      </c>
      <c r="F287" s="42">
        <v>0.25</v>
      </c>
      <c r="G287" t="str">
        <f t="shared" ref="G287:G288" si="574">D287</f>
        <v>Industry</v>
      </c>
      <c r="H287" t="str">
        <f t="shared" si="525"/>
        <v>D3L75</v>
      </c>
      <c r="I287" t="e">
        <f ca="1">IF(A287="","",SUMIFS(H$28:H$134,B$28:B$134,$B287,A$28:A$134,$G$154,F$28:F$134,$D287))</f>
        <v>#REF!</v>
      </c>
      <c r="J287" t="e">
        <f t="shared" ref="J287:R287" ca="1" si="575">I287*(1+$E287)</f>
        <v>#REF!</v>
      </c>
      <c r="K287" t="e">
        <f t="shared" ca="1" si="575"/>
        <v>#REF!</v>
      </c>
      <c r="L287" t="e">
        <f t="shared" ca="1" si="575"/>
        <v>#REF!</v>
      </c>
      <c r="M287" t="e">
        <f t="shared" ca="1" si="575"/>
        <v>#REF!</v>
      </c>
      <c r="N287" t="e">
        <f t="shared" ca="1" si="575"/>
        <v>#REF!</v>
      </c>
      <c r="O287" t="e">
        <f t="shared" ca="1" si="575"/>
        <v>#REF!</v>
      </c>
      <c r="P287" t="e">
        <f t="shared" ca="1" si="575"/>
        <v>#REF!</v>
      </c>
      <c r="Q287" t="e">
        <f t="shared" ca="1" si="575"/>
        <v>#REF!</v>
      </c>
      <c r="R287" t="e">
        <f t="shared" ca="1" si="575"/>
        <v>#REF!</v>
      </c>
      <c r="S287" t="e">
        <f t="shared" ca="1" si="562"/>
        <v>#REF!</v>
      </c>
      <c r="T287" t="e">
        <f t="shared" ref="T287:AC287" ca="1" si="576">S287*(1+$E287*$F287)</f>
        <v>#REF!</v>
      </c>
      <c r="U287" t="e">
        <f t="shared" ca="1" si="576"/>
        <v>#REF!</v>
      </c>
      <c r="V287" t="e">
        <f t="shared" ca="1" si="576"/>
        <v>#REF!</v>
      </c>
      <c r="W287" t="e">
        <f t="shared" ca="1" si="576"/>
        <v>#REF!</v>
      </c>
      <c r="X287" t="e">
        <f t="shared" ca="1" si="576"/>
        <v>#REF!</v>
      </c>
      <c r="Y287" t="e">
        <f t="shared" ca="1" si="576"/>
        <v>#REF!</v>
      </c>
      <c r="Z287" t="e">
        <f t="shared" ca="1" si="576"/>
        <v>#REF!</v>
      </c>
      <c r="AA287" t="e">
        <f t="shared" ca="1" si="576"/>
        <v>#REF!</v>
      </c>
      <c r="AB287" t="e">
        <f t="shared" ca="1" si="576"/>
        <v>#REF!</v>
      </c>
      <c r="AC287" t="e">
        <f t="shared" ca="1" si="576"/>
        <v>#REF!</v>
      </c>
      <c r="AD287" t="e">
        <f t="shared" ca="1" si="564"/>
        <v>#REF!</v>
      </c>
      <c r="AE287" t="e">
        <f t="shared" ca="1" si="565"/>
        <v>#REF!</v>
      </c>
      <c r="AF287" t="e">
        <f t="shared" ca="1" si="566"/>
        <v>#REF!</v>
      </c>
      <c r="AG287" t="e">
        <f t="shared" ca="1" si="567"/>
        <v>#REF!</v>
      </c>
      <c r="AH287" t="e">
        <f t="shared" ca="1" si="568"/>
        <v>#REF!</v>
      </c>
      <c r="AI287" t="e">
        <f t="shared" ca="1" si="569"/>
        <v>#REF!</v>
      </c>
      <c r="AJ287" t="e">
        <f t="shared" ca="1" si="570"/>
        <v>#REF!</v>
      </c>
      <c r="AK287" t="e">
        <f t="shared" ca="1" si="571"/>
        <v>#REF!</v>
      </c>
      <c r="AL287" t="e">
        <f t="shared" ca="1" si="572"/>
        <v>#REF!</v>
      </c>
      <c r="AM287" t="e">
        <f t="shared" ca="1" si="573"/>
        <v>#REF!</v>
      </c>
    </row>
    <row r="288" spans="1:39" x14ac:dyDescent="0.2">
      <c r="A288" t="s">
        <v>364</v>
      </c>
      <c r="B288" t="s">
        <v>84</v>
      </c>
      <c r="C288" t="str">
        <f t="shared" si="559"/>
        <v>est_</v>
      </c>
      <c r="D288" t="str">
        <f>[1]Demand!$C$6</f>
        <v>Other</v>
      </c>
      <c r="E288" s="38">
        <f t="shared" ca="1" si="560"/>
        <v>0</v>
      </c>
      <c r="F288" s="42">
        <v>0.25</v>
      </c>
      <c r="G288" t="str">
        <f t="shared" si="574"/>
        <v>Other</v>
      </c>
      <c r="H288" t="str">
        <f t="shared" si="525"/>
        <v>D3L75</v>
      </c>
      <c r="I288" t="e">
        <f ca="1">IF(A288="","",SUMIFS(H$28:H$134,B$28:B$134,$B288,A$28:A$134,$G$154,F$28:F$134,$D288))</f>
        <v>#REF!</v>
      </c>
      <c r="J288" t="e">
        <f t="shared" ref="J288:R288" ca="1" si="577">I288*(1+$E288)</f>
        <v>#REF!</v>
      </c>
      <c r="K288" t="e">
        <f t="shared" ca="1" si="577"/>
        <v>#REF!</v>
      </c>
      <c r="L288" t="e">
        <f t="shared" ca="1" si="577"/>
        <v>#REF!</v>
      </c>
      <c r="M288" t="e">
        <f t="shared" ca="1" si="577"/>
        <v>#REF!</v>
      </c>
      <c r="N288" t="e">
        <f t="shared" ca="1" si="577"/>
        <v>#REF!</v>
      </c>
      <c r="O288" t="e">
        <f t="shared" ca="1" si="577"/>
        <v>#REF!</v>
      </c>
      <c r="P288" t="e">
        <f t="shared" ca="1" si="577"/>
        <v>#REF!</v>
      </c>
      <c r="Q288" t="e">
        <f t="shared" ca="1" si="577"/>
        <v>#REF!</v>
      </c>
      <c r="R288" t="e">
        <f t="shared" ca="1" si="577"/>
        <v>#REF!</v>
      </c>
      <c r="S288" t="e">
        <f t="shared" ca="1" si="562"/>
        <v>#REF!</v>
      </c>
      <c r="T288" t="e">
        <f t="shared" ref="T288:AC288" ca="1" si="578">S288*(1+$E288*$F288)</f>
        <v>#REF!</v>
      </c>
      <c r="U288" t="e">
        <f t="shared" ca="1" si="578"/>
        <v>#REF!</v>
      </c>
      <c r="V288" t="e">
        <f t="shared" ca="1" si="578"/>
        <v>#REF!</v>
      </c>
      <c r="W288" t="e">
        <f t="shared" ca="1" si="578"/>
        <v>#REF!</v>
      </c>
      <c r="X288" t="e">
        <f t="shared" ca="1" si="578"/>
        <v>#REF!</v>
      </c>
      <c r="Y288" t="e">
        <f t="shared" ca="1" si="578"/>
        <v>#REF!</v>
      </c>
      <c r="Z288" t="e">
        <f t="shared" ca="1" si="578"/>
        <v>#REF!</v>
      </c>
      <c r="AA288" t="e">
        <f t="shared" ca="1" si="578"/>
        <v>#REF!</v>
      </c>
      <c r="AB288" t="e">
        <f t="shared" ca="1" si="578"/>
        <v>#REF!</v>
      </c>
      <c r="AC288" t="e">
        <f t="shared" ca="1" si="578"/>
        <v>#REF!</v>
      </c>
      <c r="AD288" t="e">
        <f t="shared" ca="1" si="564"/>
        <v>#REF!</v>
      </c>
      <c r="AE288" t="e">
        <f t="shared" ca="1" si="565"/>
        <v>#REF!</v>
      </c>
      <c r="AF288" t="e">
        <f t="shared" ca="1" si="566"/>
        <v>#REF!</v>
      </c>
      <c r="AG288" t="e">
        <f t="shared" ca="1" si="567"/>
        <v>#REF!</v>
      </c>
      <c r="AH288" t="e">
        <f t="shared" ca="1" si="568"/>
        <v>#REF!</v>
      </c>
      <c r="AI288" t="e">
        <f t="shared" ca="1" si="569"/>
        <v>#REF!</v>
      </c>
      <c r="AJ288" t="e">
        <f t="shared" ca="1" si="570"/>
        <v>#REF!</v>
      </c>
      <c r="AK288" t="e">
        <f t="shared" ca="1" si="571"/>
        <v>#REF!</v>
      </c>
      <c r="AL288" t="e">
        <f t="shared" ca="1" si="572"/>
        <v>#REF!</v>
      </c>
      <c r="AM288" t="e">
        <f t="shared" ca="1" si="573"/>
        <v>#REF!</v>
      </c>
    </row>
    <row r="289" spans="1:39" x14ac:dyDescent="0.2">
      <c r="C289" t="str">
        <f t="shared" si="559"/>
        <v/>
      </c>
      <c r="E289" s="38" t="str">
        <f t="shared" si="560"/>
        <v/>
      </c>
      <c r="F289" s="38"/>
      <c r="H289" t="str">
        <f t="shared" si="525"/>
        <v/>
      </c>
      <c r="S289" t="str">
        <f t="shared" si="562"/>
        <v/>
      </c>
    </row>
    <row r="290" spans="1:39" x14ac:dyDescent="0.2">
      <c r="A290" t="s">
        <v>368</v>
      </c>
      <c r="B290" t="s">
        <v>84</v>
      </c>
      <c r="C290" t="str">
        <f t="shared" si="559"/>
        <v>est_</v>
      </c>
      <c r="D290" t="str">
        <f>[1]Demand!$C$4</f>
        <v>Household</v>
      </c>
      <c r="E290" s="38">
        <f t="shared" ca="1" si="560"/>
        <v>0</v>
      </c>
      <c r="F290" s="42">
        <v>0.25</v>
      </c>
      <c r="G290" t="str">
        <f>D290</f>
        <v>Household</v>
      </c>
      <c r="H290" t="str">
        <f t="shared" si="525"/>
        <v>D3M75</v>
      </c>
      <c r="I290" t="e">
        <f t="shared" ref="I290:I296" ca="1" si="579">IF(A290="","",SUMIFS(H$28:H$134,B$28:B$134,$B290,A$28:A$134,$G$154,F$28:F$134,$D290))</f>
        <v>#REF!</v>
      </c>
      <c r="J290" t="e">
        <f t="shared" ref="J290:R290" ca="1" si="580">I290*(1+$E290)</f>
        <v>#REF!</v>
      </c>
      <c r="K290" t="e">
        <f t="shared" ca="1" si="580"/>
        <v>#REF!</v>
      </c>
      <c r="L290" t="e">
        <f t="shared" ca="1" si="580"/>
        <v>#REF!</v>
      </c>
      <c r="M290" t="e">
        <f t="shared" ca="1" si="580"/>
        <v>#REF!</v>
      </c>
      <c r="N290" t="e">
        <f t="shared" ca="1" si="580"/>
        <v>#REF!</v>
      </c>
      <c r="O290" t="e">
        <f t="shared" ca="1" si="580"/>
        <v>#REF!</v>
      </c>
      <c r="P290" t="e">
        <f t="shared" ca="1" si="580"/>
        <v>#REF!</v>
      </c>
      <c r="Q290" t="e">
        <f t="shared" ca="1" si="580"/>
        <v>#REF!</v>
      </c>
      <c r="R290" t="e">
        <f t="shared" ca="1" si="580"/>
        <v>#REF!</v>
      </c>
      <c r="S290" t="e">
        <f t="shared" ca="1" si="562"/>
        <v>#REF!</v>
      </c>
      <c r="T290" t="e">
        <f t="shared" ref="T290:AC290" ca="1" si="581">S290*(1+$E290*$F290)</f>
        <v>#REF!</v>
      </c>
      <c r="U290" t="e">
        <f t="shared" ca="1" si="581"/>
        <v>#REF!</v>
      </c>
      <c r="V290" t="e">
        <f t="shared" ca="1" si="581"/>
        <v>#REF!</v>
      </c>
      <c r="W290" t="e">
        <f t="shared" ca="1" si="581"/>
        <v>#REF!</v>
      </c>
      <c r="X290" t="e">
        <f t="shared" ca="1" si="581"/>
        <v>#REF!</v>
      </c>
      <c r="Y290" t="e">
        <f t="shared" ca="1" si="581"/>
        <v>#REF!</v>
      </c>
      <c r="Z290" t="e">
        <f t="shared" ca="1" si="581"/>
        <v>#REF!</v>
      </c>
      <c r="AA290" t="e">
        <f t="shared" ca="1" si="581"/>
        <v>#REF!</v>
      </c>
      <c r="AB290" t="e">
        <f t="shared" ca="1" si="581"/>
        <v>#REF!</v>
      </c>
      <c r="AC290" t="e">
        <f t="shared" ca="1" si="581"/>
        <v>#REF!</v>
      </c>
      <c r="AD290" t="e">
        <f t="shared" ref="AD290:AD292" ca="1" si="582">AC290*(1+$E290*$F290)</f>
        <v>#REF!</v>
      </c>
      <c r="AE290" t="e">
        <f t="shared" ref="AE290:AE292" ca="1" si="583">AD290*(1+$E290*$F290)</f>
        <v>#REF!</v>
      </c>
      <c r="AF290" t="e">
        <f t="shared" ref="AF290:AF292" ca="1" si="584">AE290*(1+$E290*$F290)</f>
        <v>#REF!</v>
      </c>
      <c r="AG290" t="e">
        <f t="shared" ref="AG290:AG292" ca="1" si="585">AF290*(1+$E290*$F290)</f>
        <v>#REF!</v>
      </c>
      <c r="AH290" t="e">
        <f t="shared" ref="AH290:AH292" ca="1" si="586">AG290*(1+$E290*$F290)</f>
        <v>#REF!</v>
      </c>
      <c r="AI290" t="e">
        <f t="shared" ref="AI290:AI292" ca="1" si="587">AH290*(1+$E290*$F290)</f>
        <v>#REF!</v>
      </c>
      <c r="AJ290" t="e">
        <f t="shared" ref="AJ290:AJ292" ca="1" si="588">AI290*(1+$E290*$F290)</f>
        <v>#REF!</v>
      </c>
      <c r="AK290" t="e">
        <f t="shared" ref="AK290:AK292" ca="1" si="589">AJ290*(1+$E290*$F290)</f>
        <v>#REF!</v>
      </c>
      <c r="AL290" t="e">
        <f t="shared" ref="AL290:AL292" ca="1" si="590">AK290*(1+$E290*$F290)</f>
        <v>#REF!</v>
      </c>
      <c r="AM290" t="e">
        <f t="shared" ref="AM290:AM292" ca="1" si="591">AL290*(1+$E290*$F290)</f>
        <v>#REF!</v>
      </c>
    </row>
    <row r="291" spans="1:39" x14ac:dyDescent="0.2">
      <c r="A291" t="s">
        <v>368</v>
      </c>
      <c r="B291" t="s">
        <v>84</v>
      </c>
      <c r="C291" t="str">
        <f t="shared" si="559"/>
        <v>est_</v>
      </c>
      <c r="D291" t="str">
        <f>[1]Demand!$C$5</f>
        <v>Industry</v>
      </c>
      <c r="E291" s="38">
        <f t="shared" ca="1" si="560"/>
        <v>0</v>
      </c>
      <c r="F291" s="42">
        <v>0.25</v>
      </c>
      <c r="G291" t="str">
        <f t="shared" ref="G291:G292" si="592">D291</f>
        <v>Industry</v>
      </c>
      <c r="H291" t="str">
        <f t="shared" si="525"/>
        <v>D3M75</v>
      </c>
      <c r="I291" t="e">
        <f t="shared" ca="1" si="579"/>
        <v>#REF!</v>
      </c>
      <c r="J291" t="e">
        <f t="shared" ref="J291:R291" ca="1" si="593">I291*(1+$E291)</f>
        <v>#REF!</v>
      </c>
      <c r="K291" t="e">
        <f t="shared" ca="1" si="593"/>
        <v>#REF!</v>
      </c>
      <c r="L291" t="e">
        <f t="shared" ca="1" si="593"/>
        <v>#REF!</v>
      </c>
      <c r="M291" t="e">
        <f t="shared" ca="1" si="593"/>
        <v>#REF!</v>
      </c>
      <c r="N291" t="e">
        <f t="shared" ca="1" si="593"/>
        <v>#REF!</v>
      </c>
      <c r="O291" t="e">
        <f t="shared" ca="1" si="593"/>
        <v>#REF!</v>
      </c>
      <c r="P291" t="e">
        <f t="shared" ca="1" si="593"/>
        <v>#REF!</v>
      </c>
      <c r="Q291" t="e">
        <f t="shared" ca="1" si="593"/>
        <v>#REF!</v>
      </c>
      <c r="R291" t="e">
        <f t="shared" ca="1" si="593"/>
        <v>#REF!</v>
      </c>
      <c r="S291" t="e">
        <f t="shared" ca="1" si="562"/>
        <v>#REF!</v>
      </c>
      <c r="T291" t="e">
        <f t="shared" ref="T291:AC291" ca="1" si="594">S291*(1+$E291*$F291)</f>
        <v>#REF!</v>
      </c>
      <c r="U291" t="e">
        <f t="shared" ca="1" si="594"/>
        <v>#REF!</v>
      </c>
      <c r="V291" t="e">
        <f t="shared" ca="1" si="594"/>
        <v>#REF!</v>
      </c>
      <c r="W291" t="e">
        <f t="shared" ca="1" si="594"/>
        <v>#REF!</v>
      </c>
      <c r="X291" t="e">
        <f t="shared" ca="1" si="594"/>
        <v>#REF!</v>
      </c>
      <c r="Y291" t="e">
        <f t="shared" ca="1" si="594"/>
        <v>#REF!</v>
      </c>
      <c r="Z291" t="e">
        <f t="shared" ca="1" si="594"/>
        <v>#REF!</v>
      </c>
      <c r="AA291" t="e">
        <f t="shared" ca="1" si="594"/>
        <v>#REF!</v>
      </c>
      <c r="AB291" t="e">
        <f t="shared" ca="1" si="594"/>
        <v>#REF!</v>
      </c>
      <c r="AC291" t="e">
        <f t="shared" ca="1" si="594"/>
        <v>#REF!</v>
      </c>
      <c r="AD291" t="e">
        <f t="shared" ca="1" si="582"/>
        <v>#REF!</v>
      </c>
      <c r="AE291" t="e">
        <f t="shared" ca="1" si="583"/>
        <v>#REF!</v>
      </c>
      <c r="AF291" t="e">
        <f t="shared" ca="1" si="584"/>
        <v>#REF!</v>
      </c>
      <c r="AG291" t="e">
        <f t="shared" ca="1" si="585"/>
        <v>#REF!</v>
      </c>
      <c r="AH291" t="e">
        <f t="shared" ca="1" si="586"/>
        <v>#REF!</v>
      </c>
      <c r="AI291" t="e">
        <f t="shared" ca="1" si="587"/>
        <v>#REF!</v>
      </c>
      <c r="AJ291" t="e">
        <f t="shared" ca="1" si="588"/>
        <v>#REF!</v>
      </c>
      <c r="AK291" t="e">
        <f t="shared" ca="1" si="589"/>
        <v>#REF!</v>
      </c>
      <c r="AL291" t="e">
        <f t="shared" ca="1" si="590"/>
        <v>#REF!</v>
      </c>
      <c r="AM291" t="e">
        <f t="shared" ca="1" si="591"/>
        <v>#REF!</v>
      </c>
    </row>
    <row r="292" spans="1:39" x14ac:dyDescent="0.2">
      <c r="A292" t="s">
        <v>368</v>
      </c>
      <c r="B292" t="s">
        <v>84</v>
      </c>
      <c r="C292" t="str">
        <f t="shared" si="559"/>
        <v>est_</v>
      </c>
      <c r="D292" t="str">
        <f>[1]Demand!$C$6</f>
        <v>Other</v>
      </c>
      <c r="E292" s="38">
        <f t="shared" ca="1" si="560"/>
        <v>0</v>
      </c>
      <c r="F292" s="42">
        <v>0.25</v>
      </c>
      <c r="G292" t="str">
        <f t="shared" si="592"/>
        <v>Other</v>
      </c>
      <c r="H292" t="str">
        <f t="shared" si="525"/>
        <v>D3M75</v>
      </c>
      <c r="I292" t="e">
        <f t="shared" ca="1" si="579"/>
        <v>#REF!</v>
      </c>
      <c r="J292" t="e">
        <f t="shared" ref="J292:R292" ca="1" si="595">I292*(1+$E292)</f>
        <v>#REF!</v>
      </c>
      <c r="K292" t="e">
        <f t="shared" ca="1" si="595"/>
        <v>#REF!</v>
      </c>
      <c r="L292" t="e">
        <f t="shared" ca="1" si="595"/>
        <v>#REF!</v>
      </c>
      <c r="M292" t="e">
        <f t="shared" ca="1" si="595"/>
        <v>#REF!</v>
      </c>
      <c r="N292" t="e">
        <f t="shared" ca="1" si="595"/>
        <v>#REF!</v>
      </c>
      <c r="O292" t="e">
        <f t="shared" ca="1" si="595"/>
        <v>#REF!</v>
      </c>
      <c r="P292" t="e">
        <f t="shared" ca="1" si="595"/>
        <v>#REF!</v>
      </c>
      <c r="Q292" t="e">
        <f t="shared" ca="1" si="595"/>
        <v>#REF!</v>
      </c>
      <c r="R292" t="e">
        <f t="shared" ca="1" si="595"/>
        <v>#REF!</v>
      </c>
      <c r="S292" t="e">
        <f t="shared" ca="1" si="562"/>
        <v>#REF!</v>
      </c>
      <c r="T292" t="e">
        <f t="shared" ref="T292:AC292" ca="1" si="596">S292*(1+$E292*$F292)</f>
        <v>#REF!</v>
      </c>
      <c r="U292" t="e">
        <f t="shared" ca="1" si="596"/>
        <v>#REF!</v>
      </c>
      <c r="V292" t="e">
        <f t="shared" ca="1" si="596"/>
        <v>#REF!</v>
      </c>
      <c r="W292" t="e">
        <f t="shared" ca="1" si="596"/>
        <v>#REF!</v>
      </c>
      <c r="X292" t="e">
        <f t="shared" ca="1" si="596"/>
        <v>#REF!</v>
      </c>
      <c r="Y292" t="e">
        <f t="shared" ca="1" si="596"/>
        <v>#REF!</v>
      </c>
      <c r="Z292" t="e">
        <f t="shared" ca="1" si="596"/>
        <v>#REF!</v>
      </c>
      <c r="AA292" t="e">
        <f t="shared" ca="1" si="596"/>
        <v>#REF!</v>
      </c>
      <c r="AB292" t="e">
        <f t="shared" ca="1" si="596"/>
        <v>#REF!</v>
      </c>
      <c r="AC292" t="e">
        <f t="shared" ca="1" si="596"/>
        <v>#REF!</v>
      </c>
      <c r="AD292" t="e">
        <f t="shared" ca="1" si="582"/>
        <v>#REF!</v>
      </c>
      <c r="AE292" t="e">
        <f t="shared" ca="1" si="583"/>
        <v>#REF!</v>
      </c>
      <c r="AF292" t="e">
        <f t="shared" ca="1" si="584"/>
        <v>#REF!</v>
      </c>
      <c r="AG292" t="e">
        <f t="shared" ca="1" si="585"/>
        <v>#REF!</v>
      </c>
      <c r="AH292" t="e">
        <f t="shared" ca="1" si="586"/>
        <v>#REF!</v>
      </c>
      <c r="AI292" t="e">
        <f t="shared" ca="1" si="587"/>
        <v>#REF!</v>
      </c>
      <c r="AJ292" t="e">
        <f t="shared" ca="1" si="588"/>
        <v>#REF!</v>
      </c>
      <c r="AK292" t="e">
        <f t="shared" ca="1" si="589"/>
        <v>#REF!</v>
      </c>
      <c r="AL292" t="e">
        <f t="shared" ca="1" si="590"/>
        <v>#REF!</v>
      </c>
      <c r="AM292" t="e">
        <f t="shared" ca="1" si="591"/>
        <v>#REF!</v>
      </c>
    </row>
    <row r="293" spans="1:39" x14ac:dyDescent="0.2">
      <c r="C293" t="str">
        <f t="shared" si="559"/>
        <v/>
      </c>
      <c r="E293" s="38" t="str">
        <f t="shared" si="560"/>
        <v/>
      </c>
      <c r="F293" s="38"/>
      <c r="H293" t="str">
        <f t="shared" si="525"/>
        <v/>
      </c>
      <c r="I293" t="str">
        <f t="shared" si="579"/>
        <v/>
      </c>
      <c r="S293" t="str">
        <f t="shared" si="562"/>
        <v/>
      </c>
    </row>
    <row r="294" spans="1:39" x14ac:dyDescent="0.2">
      <c r="A294" t="s">
        <v>370</v>
      </c>
      <c r="B294" t="s">
        <v>84</v>
      </c>
      <c r="C294" t="str">
        <f t="shared" si="559"/>
        <v>est_</v>
      </c>
      <c r="D294" t="str">
        <f>[1]Demand!$C$4</f>
        <v>Household</v>
      </c>
      <c r="E294" s="38">
        <f t="shared" ca="1" si="560"/>
        <v>0</v>
      </c>
      <c r="F294" s="42">
        <v>0.25</v>
      </c>
      <c r="G294" t="str">
        <f>D294</f>
        <v>Household</v>
      </c>
      <c r="H294" t="str">
        <f t="shared" si="525"/>
        <v>D3H75</v>
      </c>
      <c r="I294" t="e">
        <f t="shared" ca="1" si="579"/>
        <v>#REF!</v>
      </c>
      <c r="J294" t="e">
        <f t="shared" ref="J294:R294" ca="1" si="597">I294*(1+$E294)</f>
        <v>#REF!</v>
      </c>
      <c r="K294" t="e">
        <f t="shared" ca="1" si="597"/>
        <v>#REF!</v>
      </c>
      <c r="L294" t="e">
        <f t="shared" ca="1" si="597"/>
        <v>#REF!</v>
      </c>
      <c r="M294" t="e">
        <f t="shared" ca="1" si="597"/>
        <v>#REF!</v>
      </c>
      <c r="N294" t="e">
        <f t="shared" ca="1" si="597"/>
        <v>#REF!</v>
      </c>
      <c r="O294" t="e">
        <f t="shared" ca="1" si="597"/>
        <v>#REF!</v>
      </c>
      <c r="P294" t="e">
        <f t="shared" ca="1" si="597"/>
        <v>#REF!</v>
      </c>
      <c r="Q294" t="e">
        <f t="shared" ca="1" si="597"/>
        <v>#REF!</v>
      </c>
      <c r="R294" t="e">
        <f t="shared" ca="1" si="597"/>
        <v>#REF!</v>
      </c>
      <c r="S294" t="e">
        <f t="shared" ca="1" si="562"/>
        <v>#REF!</v>
      </c>
      <c r="T294" t="e">
        <f t="shared" ref="T294:AC294" ca="1" si="598">S294*(1+$E294*$F294)</f>
        <v>#REF!</v>
      </c>
      <c r="U294" t="e">
        <f t="shared" ca="1" si="598"/>
        <v>#REF!</v>
      </c>
      <c r="V294" t="e">
        <f t="shared" ca="1" si="598"/>
        <v>#REF!</v>
      </c>
      <c r="W294" t="e">
        <f t="shared" ca="1" si="598"/>
        <v>#REF!</v>
      </c>
      <c r="X294" t="e">
        <f t="shared" ca="1" si="598"/>
        <v>#REF!</v>
      </c>
      <c r="Y294" t="e">
        <f t="shared" ca="1" si="598"/>
        <v>#REF!</v>
      </c>
      <c r="Z294" t="e">
        <f t="shared" ca="1" si="598"/>
        <v>#REF!</v>
      </c>
      <c r="AA294" t="e">
        <f t="shared" ca="1" si="598"/>
        <v>#REF!</v>
      </c>
      <c r="AB294" t="e">
        <f t="shared" ca="1" si="598"/>
        <v>#REF!</v>
      </c>
      <c r="AC294" t="e">
        <f t="shared" ca="1" si="598"/>
        <v>#REF!</v>
      </c>
      <c r="AD294" t="e">
        <f t="shared" ref="AD294:AD296" ca="1" si="599">AC294*(1+$E294*$F294)</f>
        <v>#REF!</v>
      </c>
      <c r="AE294" t="e">
        <f t="shared" ref="AE294:AE296" ca="1" si="600">AD294*(1+$E294*$F294)</f>
        <v>#REF!</v>
      </c>
      <c r="AF294" t="e">
        <f t="shared" ref="AF294:AF296" ca="1" si="601">AE294*(1+$E294*$F294)</f>
        <v>#REF!</v>
      </c>
      <c r="AG294" t="e">
        <f t="shared" ref="AG294:AG296" ca="1" si="602">AF294*(1+$E294*$F294)</f>
        <v>#REF!</v>
      </c>
      <c r="AH294" t="e">
        <f t="shared" ref="AH294:AH296" ca="1" si="603">AG294*(1+$E294*$F294)</f>
        <v>#REF!</v>
      </c>
      <c r="AI294" t="e">
        <f t="shared" ref="AI294:AI296" ca="1" si="604">AH294*(1+$E294*$F294)</f>
        <v>#REF!</v>
      </c>
      <c r="AJ294" t="e">
        <f t="shared" ref="AJ294:AJ296" ca="1" si="605">AI294*(1+$E294*$F294)</f>
        <v>#REF!</v>
      </c>
      <c r="AK294" t="e">
        <f t="shared" ref="AK294:AK296" ca="1" si="606">AJ294*(1+$E294*$F294)</f>
        <v>#REF!</v>
      </c>
      <c r="AL294" t="e">
        <f t="shared" ref="AL294:AL296" ca="1" si="607">AK294*(1+$E294*$F294)</f>
        <v>#REF!</v>
      </c>
      <c r="AM294" t="e">
        <f t="shared" ref="AM294:AM296" ca="1" si="608">AL294*(1+$E294*$F294)</f>
        <v>#REF!</v>
      </c>
    </row>
    <row r="295" spans="1:39" x14ac:dyDescent="0.2">
      <c r="A295" t="s">
        <v>370</v>
      </c>
      <c r="B295" t="s">
        <v>84</v>
      </c>
      <c r="C295" t="str">
        <f t="shared" si="559"/>
        <v>est_</v>
      </c>
      <c r="D295" t="str">
        <f>[1]Demand!$C$5</f>
        <v>Industry</v>
      </c>
      <c r="E295" s="38">
        <f t="shared" ca="1" si="560"/>
        <v>0</v>
      </c>
      <c r="F295" s="42">
        <v>0.25</v>
      </c>
      <c r="G295" t="str">
        <f t="shared" ref="G295:G296" si="609">D295</f>
        <v>Industry</v>
      </c>
      <c r="H295" t="str">
        <f t="shared" si="525"/>
        <v>D3H75</v>
      </c>
      <c r="I295" t="e">
        <f t="shared" ca="1" si="579"/>
        <v>#REF!</v>
      </c>
      <c r="J295" t="e">
        <f t="shared" ref="J295:R295" ca="1" si="610">I295*(1+$E295)</f>
        <v>#REF!</v>
      </c>
      <c r="K295" t="e">
        <f t="shared" ca="1" si="610"/>
        <v>#REF!</v>
      </c>
      <c r="L295" t="e">
        <f t="shared" ca="1" si="610"/>
        <v>#REF!</v>
      </c>
      <c r="M295" t="e">
        <f t="shared" ca="1" si="610"/>
        <v>#REF!</v>
      </c>
      <c r="N295" t="e">
        <f t="shared" ca="1" si="610"/>
        <v>#REF!</v>
      </c>
      <c r="O295" t="e">
        <f t="shared" ca="1" si="610"/>
        <v>#REF!</v>
      </c>
      <c r="P295" t="e">
        <f t="shared" ca="1" si="610"/>
        <v>#REF!</v>
      </c>
      <c r="Q295" t="e">
        <f t="shared" ca="1" si="610"/>
        <v>#REF!</v>
      </c>
      <c r="R295" t="e">
        <f t="shared" ca="1" si="610"/>
        <v>#REF!</v>
      </c>
      <c r="S295" t="e">
        <f t="shared" ca="1" si="562"/>
        <v>#REF!</v>
      </c>
      <c r="T295" t="e">
        <f t="shared" ref="T295:AC295" ca="1" si="611">S295*(1+$E295*$F295)</f>
        <v>#REF!</v>
      </c>
      <c r="U295" t="e">
        <f t="shared" ca="1" si="611"/>
        <v>#REF!</v>
      </c>
      <c r="V295" t="e">
        <f t="shared" ca="1" si="611"/>
        <v>#REF!</v>
      </c>
      <c r="W295" t="e">
        <f t="shared" ca="1" si="611"/>
        <v>#REF!</v>
      </c>
      <c r="X295" t="e">
        <f t="shared" ca="1" si="611"/>
        <v>#REF!</v>
      </c>
      <c r="Y295" t="e">
        <f t="shared" ca="1" si="611"/>
        <v>#REF!</v>
      </c>
      <c r="Z295" t="e">
        <f t="shared" ca="1" si="611"/>
        <v>#REF!</v>
      </c>
      <c r="AA295" t="e">
        <f t="shared" ca="1" si="611"/>
        <v>#REF!</v>
      </c>
      <c r="AB295" t="e">
        <f t="shared" ca="1" si="611"/>
        <v>#REF!</v>
      </c>
      <c r="AC295" t="e">
        <f t="shared" ca="1" si="611"/>
        <v>#REF!</v>
      </c>
      <c r="AD295" t="e">
        <f t="shared" ca="1" si="599"/>
        <v>#REF!</v>
      </c>
      <c r="AE295" t="e">
        <f t="shared" ca="1" si="600"/>
        <v>#REF!</v>
      </c>
      <c r="AF295" t="e">
        <f t="shared" ca="1" si="601"/>
        <v>#REF!</v>
      </c>
      <c r="AG295" t="e">
        <f t="shared" ca="1" si="602"/>
        <v>#REF!</v>
      </c>
      <c r="AH295" t="e">
        <f t="shared" ca="1" si="603"/>
        <v>#REF!</v>
      </c>
      <c r="AI295" t="e">
        <f t="shared" ca="1" si="604"/>
        <v>#REF!</v>
      </c>
      <c r="AJ295" t="e">
        <f t="shared" ca="1" si="605"/>
        <v>#REF!</v>
      </c>
      <c r="AK295" t="e">
        <f t="shared" ca="1" si="606"/>
        <v>#REF!</v>
      </c>
      <c r="AL295" t="e">
        <f t="shared" ca="1" si="607"/>
        <v>#REF!</v>
      </c>
      <c r="AM295" t="e">
        <f t="shared" ca="1" si="608"/>
        <v>#REF!</v>
      </c>
    </row>
    <row r="296" spans="1:39" x14ac:dyDescent="0.2">
      <c r="A296" t="s">
        <v>370</v>
      </c>
      <c r="B296" t="s">
        <v>84</v>
      </c>
      <c r="C296" t="str">
        <f t="shared" si="559"/>
        <v>est_</v>
      </c>
      <c r="D296" t="str">
        <f>[1]Demand!$C$6</f>
        <v>Other</v>
      </c>
      <c r="E296" s="38">
        <f t="shared" ca="1" si="560"/>
        <v>0</v>
      </c>
      <c r="F296" s="42">
        <v>0.25</v>
      </c>
      <c r="G296" t="str">
        <f t="shared" si="609"/>
        <v>Other</v>
      </c>
      <c r="H296" t="str">
        <f t="shared" si="525"/>
        <v>D3H75</v>
      </c>
      <c r="I296" t="e">
        <f t="shared" ca="1" si="579"/>
        <v>#REF!</v>
      </c>
      <c r="J296" t="e">
        <f t="shared" ref="J296:R296" ca="1" si="612">I296*(1+$E296)</f>
        <v>#REF!</v>
      </c>
      <c r="K296" t="e">
        <f t="shared" ca="1" si="612"/>
        <v>#REF!</v>
      </c>
      <c r="L296" t="e">
        <f t="shared" ca="1" si="612"/>
        <v>#REF!</v>
      </c>
      <c r="M296" t="e">
        <f t="shared" ca="1" si="612"/>
        <v>#REF!</v>
      </c>
      <c r="N296" t="e">
        <f t="shared" ca="1" si="612"/>
        <v>#REF!</v>
      </c>
      <c r="O296" t="e">
        <f t="shared" ca="1" si="612"/>
        <v>#REF!</v>
      </c>
      <c r="P296" t="e">
        <f t="shared" ca="1" si="612"/>
        <v>#REF!</v>
      </c>
      <c r="Q296" t="e">
        <f t="shared" ca="1" si="612"/>
        <v>#REF!</v>
      </c>
      <c r="R296" t="e">
        <f t="shared" ca="1" si="612"/>
        <v>#REF!</v>
      </c>
      <c r="S296" t="e">
        <f t="shared" ca="1" si="562"/>
        <v>#REF!</v>
      </c>
      <c r="T296" t="e">
        <f t="shared" ref="T296:AC296" ca="1" si="613">S296*(1+$E296*$F296)</f>
        <v>#REF!</v>
      </c>
      <c r="U296" t="e">
        <f t="shared" ca="1" si="613"/>
        <v>#REF!</v>
      </c>
      <c r="V296" t="e">
        <f t="shared" ca="1" si="613"/>
        <v>#REF!</v>
      </c>
      <c r="W296" t="e">
        <f t="shared" ca="1" si="613"/>
        <v>#REF!</v>
      </c>
      <c r="X296" t="e">
        <f t="shared" ca="1" si="613"/>
        <v>#REF!</v>
      </c>
      <c r="Y296" t="e">
        <f t="shared" ca="1" si="613"/>
        <v>#REF!</v>
      </c>
      <c r="Z296" t="e">
        <f t="shared" ca="1" si="613"/>
        <v>#REF!</v>
      </c>
      <c r="AA296" t="e">
        <f t="shared" ca="1" si="613"/>
        <v>#REF!</v>
      </c>
      <c r="AB296" t="e">
        <f t="shared" ca="1" si="613"/>
        <v>#REF!</v>
      </c>
      <c r="AC296" t="e">
        <f t="shared" ca="1" si="613"/>
        <v>#REF!</v>
      </c>
      <c r="AD296" t="e">
        <f t="shared" ca="1" si="599"/>
        <v>#REF!</v>
      </c>
      <c r="AE296" t="e">
        <f t="shared" ca="1" si="600"/>
        <v>#REF!</v>
      </c>
      <c r="AF296" t="e">
        <f t="shared" ca="1" si="601"/>
        <v>#REF!</v>
      </c>
      <c r="AG296" t="e">
        <f t="shared" ca="1" si="602"/>
        <v>#REF!</v>
      </c>
      <c r="AH296" t="e">
        <f t="shared" ca="1" si="603"/>
        <v>#REF!</v>
      </c>
      <c r="AI296" t="e">
        <f t="shared" ca="1" si="604"/>
        <v>#REF!</v>
      </c>
      <c r="AJ296" t="e">
        <f t="shared" ca="1" si="605"/>
        <v>#REF!</v>
      </c>
      <c r="AK296" t="e">
        <f t="shared" ca="1" si="606"/>
        <v>#REF!</v>
      </c>
      <c r="AL296" t="e">
        <f t="shared" ca="1" si="607"/>
        <v>#REF!</v>
      </c>
      <c r="AM296" t="e">
        <f t="shared" ca="1" si="608"/>
        <v>#REF!</v>
      </c>
    </row>
    <row r="297" spans="1:39" x14ac:dyDescent="0.2">
      <c r="H297" t="str">
        <f t="shared" si="525"/>
        <v/>
      </c>
    </row>
    <row r="298" spans="1:39" x14ac:dyDescent="0.2">
      <c r="A298" t="s">
        <v>365</v>
      </c>
      <c r="B298" t="s">
        <v>84</v>
      </c>
      <c r="C298" t="str">
        <f t="shared" ref="C298:C308" si="614">IF(B298="D1","ouest_",IF(B298="D2","sud_",IF(B298="D3","est_","")))</f>
        <v>est_</v>
      </c>
      <c r="D298" t="str">
        <f>[1]Demand!$C$4</f>
        <v>Household</v>
      </c>
      <c r="E298" s="38">
        <f t="shared" ref="E298:E308" ca="1" si="615">IF(A298="","",IFERROR((S298/I298)^(1/($S$201-$I$201))-1,0))</f>
        <v>0</v>
      </c>
      <c r="F298" s="42">
        <v>0.25</v>
      </c>
      <c r="G298" t="str">
        <f>D298</f>
        <v>Household</v>
      </c>
      <c r="H298" t="str">
        <f t="shared" si="525"/>
        <v>D3L100</v>
      </c>
      <c r="I298" t="e">
        <f ca="1">IF(A298="","",SUMIFS(H$28:H$134,B$28:B$134,$B298,A$28:A$134,$G$154,F$28:F$134,$D298))</f>
        <v>#REF!</v>
      </c>
      <c r="J298" t="e">
        <f t="shared" ref="J298:R298" ca="1" si="616">I298*(1+$E298)</f>
        <v>#REF!</v>
      </c>
      <c r="K298" t="e">
        <f t="shared" ca="1" si="616"/>
        <v>#REF!</v>
      </c>
      <c r="L298" t="e">
        <f t="shared" ca="1" si="616"/>
        <v>#REF!</v>
      </c>
      <c r="M298" t="e">
        <f t="shared" ca="1" si="616"/>
        <v>#REF!</v>
      </c>
      <c r="N298" t="e">
        <f t="shared" ca="1" si="616"/>
        <v>#REF!</v>
      </c>
      <c r="O298" t="e">
        <f t="shared" ca="1" si="616"/>
        <v>#REF!</v>
      </c>
      <c r="P298" t="e">
        <f t="shared" ca="1" si="616"/>
        <v>#REF!</v>
      </c>
      <c r="Q298" t="e">
        <f t="shared" ca="1" si="616"/>
        <v>#REF!</v>
      </c>
      <c r="R298" t="e">
        <f t="shared" ca="1" si="616"/>
        <v>#REF!</v>
      </c>
      <c r="S298" t="e">
        <f t="shared" ref="S298:S308" ca="1" si="617">IF(A298="","",SUMIFS(R$28:R$134,B$28:B$134,$B298,A$28:A$134,$A298,F$28:F$134,$D298))</f>
        <v>#REF!</v>
      </c>
      <c r="T298" t="e">
        <f t="shared" ref="T298:AC298" ca="1" si="618">S298*(1+$E298*$F298)</f>
        <v>#REF!</v>
      </c>
      <c r="U298" t="e">
        <f t="shared" ca="1" si="618"/>
        <v>#REF!</v>
      </c>
      <c r="V298" t="e">
        <f t="shared" ca="1" si="618"/>
        <v>#REF!</v>
      </c>
      <c r="W298" t="e">
        <f t="shared" ca="1" si="618"/>
        <v>#REF!</v>
      </c>
      <c r="X298" t="e">
        <f t="shared" ca="1" si="618"/>
        <v>#REF!</v>
      </c>
      <c r="Y298" t="e">
        <f t="shared" ca="1" si="618"/>
        <v>#REF!</v>
      </c>
      <c r="Z298" t="e">
        <f t="shared" ca="1" si="618"/>
        <v>#REF!</v>
      </c>
      <c r="AA298" t="e">
        <f t="shared" ca="1" si="618"/>
        <v>#REF!</v>
      </c>
      <c r="AB298" t="e">
        <f t="shared" ca="1" si="618"/>
        <v>#REF!</v>
      </c>
      <c r="AC298" t="e">
        <f t="shared" ca="1" si="618"/>
        <v>#REF!</v>
      </c>
      <c r="AD298" t="e">
        <f t="shared" ref="AD298:AD300" ca="1" si="619">AC298*(1+$E298*$F298)</f>
        <v>#REF!</v>
      </c>
      <c r="AE298" t="e">
        <f t="shared" ref="AE298:AE300" ca="1" si="620">AD298*(1+$E298*$F298)</f>
        <v>#REF!</v>
      </c>
      <c r="AF298" t="e">
        <f t="shared" ref="AF298:AF300" ca="1" si="621">AE298*(1+$E298*$F298)</f>
        <v>#REF!</v>
      </c>
      <c r="AG298" t="e">
        <f t="shared" ref="AG298:AG300" ca="1" si="622">AF298*(1+$E298*$F298)</f>
        <v>#REF!</v>
      </c>
      <c r="AH298" t="e">
        <f t="shared" ref="AH298:AH300" ca="1" si="623">AG298*(1+$E298*$F298)</f>
        <v>#REF!</v>
      </c>
      <c r="AI298" t="e">
        <f t="shared" ref="AI298:AI300" ca="1" si="624">AH298*(1+$E298*$F298)</f>
        <v>#REF!</v>
      </c>
      <c r="AJ298" t="e">
        <f t="shared" ref="AJ298:AJ300" ca="1" si="625">AI298*(1+$E298*$F298)</f>
        <v>#REF!</v>
      </c>
      <c r="AK298" t="e">
        <f t="shared" ref="AK298:AK300" ca="1" si="626">AJ298*(1+$E298*$F298)</f>
        <v>#REF!</v>
      </c>
      <c r="AL298" t="e">
        <f t="shared" ref="AL298:AL300" ca="1" si="627">AK298*(1+$E298*$F298)</f>
        <v>#REF!</v>
      </c>
      <c r="AM298" t="e">
        <f t="shared" ref="AM298:AM300" ca="1" si="628">AL298*(1+$E298*$F298)</f>
        <v>#REF!</v>
      </c>
    </row>
    <row r="299" spans="1:39" x14ac:dyDescent="0.2">
      <c r="A299" t="s">
        <v>365</v>
      </c>
      <c r="B299" t="s">
        <v>84</v>
      </c>
      <c r="C299" t="str">
        <f t="shared" si="614"/>
        <v>est_</v>
      </c>
      <c r="D299" t="str">
        <f>[1]Demand!$C$5</f>
        <v>Industry</v>
      </c>
      <c r="E299" s="38">
        <f t="shared" ca="1" si="615"/>
        <v>0</v>
      </c>
      <c r="F299" s="42">
        <v>0.25</v>
      </c>
      <c r="G299" t="str">
        <f t="shared" ref="G299:G300" si="629">D299</f>
        <v>Industry</v>
      </c>
      <c r="H299" t="str">
        <f t="shared" si="525"/>
        <v>D3L100</v>
      </c>
      <c r="I299" t="e">
        <f ca="1">IF(A299="","",SUMIFS(H$28:H$134,B$28:B$134,$B299,A$28:A$134,$G$154,F$28:F$134,$D299))</f>
        <v>#REF!</v>
      </c>
      <c r="J299" t="e">
        <f t="shared" ref="J299:R299" ca="1" si="630">I299*(1+$E299)</f>
        <v>#REF!</v>
      </c>
      <c r="K299" t="e">
        <f t="shared" ca="1" si="630"/>
        <v>#REF!</v>
      </c>
      <c r="L299" t="e">
        <f t="shared" ca="1" si="630"/>
        <v>#REF!</v>
      </c>
      <c r="M299" t="e">
        <f t="shared" ca="1" si="630"/>
        <v>#REF!</v>
      </c>
      <c r="N299" t="e">
        <f t="shared" ca="1" si="630"/>
        <v>#REF!</v>
      </c>
      <c r="O299" t="e">
        <f t="shared" ca="1" si="630"/>
        <v>#REF!</v>
      </c>
      <c r="P299" t="e">
        <f t="shared" ca="1" si="630"/>
        <v>#REF!</v>
      </c>
      <c r="Q299" t="e">
        <f t="shared" ca="1" si="630"/>
        <v>#REF!</v>
      </c>
      <c r="R299" t="e">
        <f t="shared" ca="1" si="630"/>
        <v>#REF!</v>
      </c>
      <c r="S299" t="e">
        <f t="shared" ca="1" si="617"/>
        <v>#REF!</v>
      </c>
      <c r="T299" t="e">
        <f t="shared" ref="T299:AC299" ca="1" si="631">S299*(1+$E299*$F299)</f>
        <v>#REF!</v>
      </c>
      <c r="U299" t="e">
        <f t="shared" ca="1" si="631"/>
        <v>#REF!</v>
      </c>
      <c r="V299" t="e">
        <f t="shared" ca="1" si="631"/>
        <v>#REF!</v>
      </c>
      <c r="W299" t="e">
        <f t="shared" ca="1" si="631"/>
        <v>#REF!</v>
      </c>
      <c r="X299" t="e">
        <f t="shared" ca="1" si="631"/>
        <v>#REF!</v>
      </c>
      <c r="Y299" t="e">
        <f t="shared" ca="1" si="631"/>
        <v>#REF!</v>
      </c>
      <c r="Z299" t="e">
        <f t="shared" ca="1" si="631"/>
        <v>#REF!</v>
      </c>
      <c r="AA299" t="e">
        <f t="shared" ca="1" si="631"/>
        <v>#REF!</v>
      </c>
      <c r="AB299" t="e">
        <f t="shared" ca="1" si="631"/>
        <v>#REF!</v>
      </c>
      <c r="AC299" t="e">
        <f t="shared" ca="1" si="631"/>
        <v>#REF!</v>
      </c>
      <c r="AD299" t="e">
        <f t="shared" ca="1" si="619"/>
        <v>#REF!</v>
      </c>
      <c r="AE299" t="e">
        <f t="shared" ca="1" si="620"/>
        <v>#REF!</v>
      </c>
      <c r="AF299" t="e">
        <f t="shared" ca="1" si="621"/>
        <v>#REF!</v>
      </c>
      <c r="AG299" t="e">
        <f t="shared" ca="1" si="622"/>
        <v>#REF!</v>
      </c>
      <c r="AH299" t="e">
        <f t="shared" ca="1" si="623"/>
        <v>#REF!</v>
      </c>
      <c r="AI299" t="e">
        <f t="shared" ca="1" si="624"/>
        <v>#REF!</v>
      </c>
      <c r="AJ299" t="e">
        <f t="shared" ca="1" si="625"/>
        <v>#REF!</v>
      </c>
      <c r="AK299" t="e">
        <f t="shared" ca="1" si="626"/>
        <v>#REF!</v>
      </c>
      <c r="AL299" t="e">
        <f t="shared" ca="1" si="627"/>
        <v>#REF!</v>
      </c>
      <c r="AM299" t="e">
        <f t="shared" ca="1" si="628"/>
        <v>#REF!</v>
      </c>
    </row>
    <row r="300" spans="1:39" x14ac:dyDescent="0.2">
      <c r="A300" t="s">
        <v>365</v>
      </c>
      <c r="B300" t="s">
        <v>84</v>
      </c>
      <c r="C300" t="str">
        <f t="shared" si="614"/>
        <v>est_</v>
      </c>
      <c r="D300" t="str">
        <f>[1]Demand!$C$6</f>
        <v>Other</v>
      </c>
      <c r="E300" s="38">
        <f t="shared" ca="1" si="615"/>
        <v>0</v>
      </c>
      <c r="F300" s="42">
        <v>0.25</v>
      </c>
      <c r="G300" t="str">
        <f t="shared" si="629"/>
        <v>Other</v>
      </c>
      <c r="H300" t="str">
        <f t="shared" si="525"/>
        <v>D3L100</v>
      </c>
      <c r="I300" t="e">
        <f ca="1">IF(A300="","",SUMIFS(H$28:H$134,B$28:B$134,$B300,A$28:A$134,$G$154,F$28:F$134,$D300))</f>
        <v>#REF!</v>
      </c>
      <c r="J300" t="e">
        <f t="shared" ref="J300:R300" ca="1" si="632">I300*(1+$E300)</f>
        <v>#REF!</v>
      </c>
      <c r="K300" t="e">
        <f t="shared" ca="1" si="632"/>
        <v>#REF!</v>
      </c>
      <c r="L300" t="e">
        <f t="shared" ca="1" si="632"/>
        <v>#REF!</v>
      </c>
      <c r="M300" t="e">
        <f t="shared" ca="1" si="632"/>
        <v>#REF!</v>
      </c>
      <c r="N300" t="e">
        <f t="shared" ca="1" si="632"/>
        <v>#REF!</v>
      </c>
      <c r="O300" t="e">
        <f t="shared" ca="1" si="632"/>
        <v>#REF!</v>
      </c>
      <c r="P300" t="e">
        <f t="shared" ca="1" si="632"/>
        <v>#REF!</v>
      </c>
      <c r="Q300" t="e">
        <f t="shared" ca="1" si="632"/>
        <v>#REF!</v>
      </c>
      <c r="R300" t="e">
        <f t="shared" ca="1" si="632"/>
        <v>#REF!</v>
      </c>
      <c r="S300" t="e">
        <f t="shared" ca="1" si="617"/>
        <v>#REF!</v>
      </c>
      <c r="T300" t="e">
        <f t="shared" ref="T300:AC300" ca="1" si="633">S300*(1+$E300*$F300)</f>
        <v>#REF!</v>
      </c>
      <c r="U300" t="e">
        <f t="shared" ca="1" si="633"/>
        <v>#REF!</v>
      </c>
      <c r="V300" t="e">
        <f t="shared" ca="1" si="633"/>
        <v>#REF!</v>
      </c>
      <c r="W300" t="e">
        <f t="shared" ca="1" si="633"/>
        <v>#REF!</v>
      </c>
      <c r="X300" t="e">
        <f t="shared" ca="1" si="633"/>
        <v>#REF!</v>
      </c>
      <c r="Y300" t="e">
        <f t="shared" ca="1" si="633"/>
        <v>#REF!</v>
      </c>
      <c r="Z300" t="e">
        <f t="shared" ca="1" si="633"/>
        <v>#REF!</v>
      </c>
      <c r="AA300" t="e">
        <f t="shared" ca="1" si="633"/>
        <v>#REF!</v>
      </c>
      <c r="AB300" t="e">
        <f t="shared" ca="1" si="633"/>
        <v>#REF!</v>
      </c>
      <c r="AC300" t="e">
        <f t="shared" ca="1" si="633"/>
        <v>#REF!</v>
      </c>
      <c r="AD300" t="e">
        <f t="shared" ca="1" si="619"/>
        <v>#REF!</v>
      </c>
      <c r="AE300" t="e">
        <f t="shared" ca="1" si="620"/>
        <v>#REF!</v>
      </c>
      <c r="AF300" t="e">
        <f t="shared" ca="1" si="621"/>
        <v>#REF!</v>
      </c>
      <c r="AG300" t="e">
        <f t="shared" ca="1" si="622"/>
        <v>#REF!</v>
      </c>
      <c r="AH300" t="e">
        <f t="shared" ca="1" si="623"/>
        <v>#REF!</v>
      </c>
      <c r="AI300" t="e">
        <f t="shared" ca="1" si="624"/>
        <v>#REF!</v>
      </c>
      <c r="AJ300" t="e">
        <f t="shared" ca="1" si="625"/>
        <v>#REF!</v>
      </c>
      <c r="AK300" t="e">
        <f t="shared" ca="1" si="626"/>
        <v>#REF!</v>
      </c>
      <c r="AL300" t="e">
        <f t="shared" ca="1" si="627"/>
        <v>#REF!</v>
      </c>
      <c r="AM300" t="e">
        <f t="shared" ca="1" si="628"/>
        <v>#REF!</v>
      </c>
    </row>
    <row r="301" spans="1:39" x14ac:dyDescent="0.2">
      <c r="C301" t="str">
        <f t="shared" si="614"/>
        <v/>
      </c>
      <c r="E301" s="38" t="str">
        <f t="shared" si="615"/>
        <v/>
      </c>
      <c r="F301" s="38"/>
      <c r="H301" t="str">
        <f t="shared" si="525"/>
        <v/>
      </c>
      <c r="S301" t="str">
        <f t="shared" si="617"/>
        <v/>
      </c>
    </row>
    <row r="302" spans="1:39" x14ac:dyDescent="0.2">
      <c r="A302" t="s">
        <v>369</v>
      </c>
      <c r="B302" t="s">
        <v>84</v>
      </c>
      <c r="C302" t="str">
        <f t="shared" si="614"/>
        <v>est_</v>
      </c>
      <c r="D302" t="str">
        <f>[1]Demand!$C$4</f>
        <v>Household</v>
      </c>
      <c r="E302" s="38">
        <f t="shared" ca="1" si="615"/>
        <v>0</v>
      </c>
      <c r="F302" s="42">
        <v>0.25</v>
      </c>
      <c r="G302" t="str">
        <f>D302</f>
        <v>Household</v>
      </c>
      <c r="H302" t="str">
        <f t="shared" si="525"/>
        <v>D3M100</v>
      </c>
      <c r="I302" t="e">
        <f t="shared" ref="I302:I308" ca="1" si="634">IF(A302="","",SUMIFS(H$28:H$134,B$28:B$134,$B302,A$28:A$134,$G$154,F$28:F$134,$D302))</f>
        <v>#REF!</v>
      </c>
      <c r="J302" t="e">
        <f t="shared" ref="J302:R302" ca="1" si="635">I302*(1+$E302)</f>
        <v>#REF!</v>
      </c>
      <c r="K302" t="e">
        <f t="shared" ca="1" si="635"/>
        <v>#REF!</v>
      </c>
      <c r="L302" t="e">
        <f t="shared" ca="1" si="635"/>
        <v>#REF!</v>
      </c>
      <c r="M302" t="e">
        <f t="shared" ca="1" si="635"/>
        <v>#REF!</v>
      </c>
      <c r="N302" t="e">
        <f t="shared" ca="1" si="635"/>
        <v>#REF!</v>
      </c>
      <c r="O302" t="e">
        <f t="shared" ca="1" si="635"/>
        <v>#REF!</v>
      </c>
      <c r="P302" t="e">
        <f t="shared" ca="1" si="635"/>
        <v>#REF!</v>
      </c>
      <c r="Q302" t="e">
        <f t="shared" ca="1" si="635"/>
        <v>#REF!</v>
      </c>
      <c r="R302" t="e">
        <f t="shared" ca="1" si="635"/>
        <v>#REF!</v>
      </c>
      <c r="S302" t="e">
        <f t="shared" ca="1" si="617"/>
        <v>#REF!</v>
      </c>
      <c r="T302" t="e">
        <f t="shared" ref="T302:AC302" ca="1" si="636">S302*(1+$E302*$F302)</f>
        <v>#REF!</v>
      </c>
      <c r="U302" t="e">
        <f t="shared" ca="1" si="636"/>
        <v>#REF!</v>
      </c>
      <c r="V302" t="e">
        <f t="shared" ca="1" si="636"/>
        <v>#REF!</v>
      </c>
      <c r="W302" t="e">
        <f t="shared" ca="1" si="636"/>
        <v>#REF!</v>
      </c>
      <c r="X302" t="e">
        <f t="shared" ca="1" si="636"/>
        <v>#REF!</v>
      </c>
      <c r="Y302" t="e">
        <f t="shared" ca="1" si="636"/>
        <v>#REF!</v>
      </c>
      <c r="Z302" t="e">
        <f t="shared" ca="1" si="636"/>
        <v>#REF!</v>
      </c>
      <c r="AA302" t="e">
        <f t="shared" ca="1" si="636"/>
        <v>#REF!</v>
      </c>
      <c r="AB302" t="e">
        <f t="shared" ca="1" si="636"/>
        <v>#REF!</v>
      </c>
      <c r="AC302" t="e">
        <f t="shared" ca="1" si="636"/>
        <v>#REF!</v>
      </c>
      <c r="AD302" t="e">
        <f t="shared" ref="AD302:AD304" ca="1" si="637">AC302*(1+$E302*$F302)</f>
        <v>#REF!</v>
      </c>
      <c r="AE302" t="e">
        <f t="shared" ref="AE302:AE304" ca="1" si="638">AD302*(1+$E302*$F302)</f>
        <v>#REF!</v>
      </c>
      <c r="AF302" t="e">
        <f t="shared" ref="AF302:AF304" ca="1" si="639">AE302*(1+$E302*$F302)</f>
        <v>#REF!</v>
      </c>
      <c r="AG302" t="e">
        <f t="shared" ref="AG302:AG304" ca="1" si="640">AF302*(1+$E302*$F302)</f>
        <v>#REF!</v>
      </c>
      <c r="AH302" t="e">
        <f t="shared" ref="AH302:AH304" ca="1" si="641">AG302*(1+$E302*$F302)</f>
        <v>#REF!</v>
      </c>
      <c r="AI302" t="e">
        <f t="shared" ref="AI302:AI304" ca="1" si="642">AH302*(1+$E302*$F302)</f>
        <v>#REF!</v>
      </c>
      <c r="AJ302" t="e">
        <f t="shared" ref="AJ302:AJ304" ca="1" si="643">AI302*(1+$E302*$F302)</f>
        <v>#REF!</v>
      </c>
      <c r="AK302" t="e">
        <f t="shared" ref="AK302:AK304" ca="1" si="644">AJ302*(1+$E302*$F302)</f>
        <v>#REF!</v>
      </c>
      <c r="AL302" t="e">
        <f t="shared" ref="AL302:AL304" ca="1" si="645">AK302*(1+$E302*$F302)</f>
        <v>#REF!</v>
      </c>
      <c r="AM302" t="e">
        <f t="shared" ref="AM302:AM304" ca="1" si="646">AL302*(1+$E302*$F302)</f>
        <v>#REF!</v>
      </c>
    </row>
    <row r="303" spans="1:39" x14ac:dyDescent="0.2">
      <c r="A303" t="s">
        <v>369</v>
      </c>
      <c r="B303" t="s">
        <v>84</v>
      </c>
      <c r="C303" t="str">
        <f t="shared" si="614"/>
        <v>est_</v>
      </c>
      <c r="D303" t="str">
        <f>[1]Demand!$C$5</f>
        <v>Industry</v>
      </c>
      <c r="E303" s="38">
        <f t="shared" ca="1" si="615"/>
        <v>0</v>
      </c>
      <c r="F303" s="42">
        <v>0.25</v>
      </c>
      <c r="G303" t="str">
        <f t="shared" ref="G303:G304" si="647">D303</f>
        <v>Industry</v>
      </c>
      <c r="H303" t="str">
        <f t="shared" si="525"/>
        <v>D3M100</v>
      </c>
      <c r="I303" t="e">
        <f t="shared" ca="1" si="634"/>
        <v>#REF!</v>
      </c>
      <c r="J303" t="e">
        <f t="shared" ref="J303:R303" ca="1" si="648">I303*(1+$E303)</f>
        <v>#REF!</v>
      </c>
      <c r="K303" t="e">
        <f t="shared" ca="1" si="648"/>
        <v>#REF!</v>
      </c>
      <c r="L303" t="e">
        <f t="shared" ca="1" si="648"/>
        <v>#REF!</v>
      </c>
      <c r="M303" t="e">
        <f t="shared" ca="1" si="648"/>
        <v>#REF!</v>
      </c>
      <c r="N303" t="e">
        <f t="shared" ca="1" si="648"/>
        <v>#REF!</v>
      </c>
      <c r="O303" t="e">
        <f t="shared" ca="1" si="648"/>
        <v>#REF!</v>
      </c>
      <c r="P303" t="e">
        <f t="shared" ca="1" si="648"/>
        <v>#REF!</v>
      </c>
      <c r="Q303" t="e">
        <f t="shared" ca="1" si="648"/>
        <v>#REF!</v>
      </c>
      <c r="R303" t="e">
        <f t="shared" ca="1" si="648"/>
        <v>#REF!</v>
      </c>
      <c r="S303" t="e">
        <f t="shared" ca="1" si="617"/>
        <v>#REF!</v>
      </c>
      <c r="T303" t="e">
        <f t="shared" ref="T303:AC303" ca="1" si="649">S303*(1+$E303*$F303)</f>
        <v>#REF!</v>
      </c>
      <c r="U303" t="e">
        <f t="shared" ca="1" si="649"/>
        <v>#REF!</v>
      </c>
      <c r="V303" t="e">
        <f t="shared" ca="1" si="649"/>
        <v>#REF!</v>
      </c>
      <c r="W303" t="e">
        <f t="shared" ca="1" si="649"/>
        <v>#REF!</v>
      </c>
      <c r="X303" t="e">
        <f t="shared" ca="1" si="649"/>
        <v>#REF!</v>
      </c>
      <c r="Y303" t="e">
        <f t="shared" ca="1" si="649"/>
        <v>#REF!</v>
      </c>
      <c r="Z303" t="e">
        <f t="shared" ca="1" si="649"/>
        <v>#REF!</v>
      </c>
      <c r="AA303" t="e">
        <f t="shared" ca="1" si="649"/>
        <v>#REF!</v>
      </c>
      <c r="AB303" t="e">
        <f t="shared" ca="1" si="649"/>
        <v>#REF!</v>
      </c>
      <c r="AC303" t="e">
        <f t="shared" ca="1" si="649"/>
        <v>#REF!</v>
      </c>
      <c r="AD303" t="e">
        <f t="shared" ca="1" si="637"/>
        <v>#REF!</v>
      </c>
      <c r="AE303" t="e">
        <f t="shared" ca="1" si="638"/>
        <v>#REF!</v>
      </c>
      <c r="AF303" t="e">
        <f t="shared" ca="1" si="639"/>
        <v>#REF!</v>
      </c>
      <c r="AG303" t="e">
        <f t="shared" ca="1" si="640"/>
        <v>#REF!</v>
      </c>
      <c r="AH303" t="e">
        <f t="shared" ca="1" si="641"/>
        <v>#REF!</v>
      </c>
      <c r="AI303" t="e">
        <f t="shared" ca="1" si="642"/>
        <v>#REF!</v>
      </c>
      <c r="AJ303" t="e">
        <f t="shared" ca="1" si="643"/>
        <v>#REF!</v>
      </c>
      <c r="AK303" t="e">
        <f t="shared" ca="1" si="644"/>
        <v>#REF!</v>
      </c>
      <c r="AL303" t="e">
        <f t="shared" ca="1" si="645"/>
        <v>#REF!</v>
      </c>
      <c r="AM303" t="e">
        <f t="shared" ca="1" si="646"/>
        <v>#REF!</v>
      </c>
    </row>
    <row r="304" spans="1:39" x14ac:dyDescent="0.2">
      <c r="A304" t="s">
        <v>369</v>
      </c>
      <c r="B304" t="s">
        <v>84</v>
      </c>
      <c r="C304" t="str">
        <f t="shared" si="614"/>
        <v>est_</v>
      </c>
      <c r="D304" t="str">
        <f>[1]Demand!$C$6</f>
        <v>Other</v>
      </c>
      <c r="E304" s="38">
        <f t="shared" ca="1" si="615"/>
        <v>0</v>
      </c>
      <c r="F304" s="42">
        <v>0.25</v>
      </c>
      <c r="G304" t="str">
        <f t="shared" si="647"/>
        <v>Other</v>
      </c>
      <c r="H304" t="str">
        <f t="shared" si="525"/>
        <v>D3M100</v>
      </c>
      <c r="I304" t="e">
        <f t="shared" ca="1" si="634"/>
        <v>#REF!</v>
      </c>
      <c r="J304" t="e">
        <f t="shared" ref="J304:R304" ca="1" si="650">I304*(1+$E304)</f>
        <v>#REF!</v>
      </c>
      <c r="K304" t="e">
        <f t="shared" ca="1" si="650"/>
        <v>#REF!</v>
      </c>
      <c r="L304" t="e">
        <f t="shared" ca="1" si="650"/>
        <v>#REF!</v>
      </c>
      <c r="M304" t="e">
        <f t="shared" ca="1" si="650"/>
        <v>#REF!</v>
      </c>
      <c r="N304" t="e">
        <f t="shared" ca="1" si="650"/>
        <v>#REF!</v>
      </c>
      <c r="O304" t="e">
        <f t="shared" ca="1" si="650"/>
        <v>#REF!</v>
      </c>
      <c r="P304" t="e">
        <f t="shared" ca="1" si="650"/>
        <v>#REF!</v>
      </c>
      <c r="Q304" t="e">
        <f t="shared" ca="1" si="650"/>
        <v>#REF!</v>
      </c>
      <c r="R304" t="e">
        <f t="shared" ca="1" si="650"/>
        <v>#REF!</v>
      </c>
      <c r="S304" t="e">
        <f t="shared" ca="1" si="617"/>
        <v>#REF!</v>
      </c>
      <c r="T304" t="e">
        <f t="shared" ref="T304:AC304" ca="1" si="651">S304*(1+$E304*$F304)</f>
        <v>#REF!</v>
      </c>
      <c r="U304" t="e">
        <f t="shared" ca="1" si="651"/>
        <v>#REF!</v>
      </c>
      <c r="V304" t="e">
        <f t="shared" ca="1" si="651"/>
        <v>#REF!</v>
      </c>
      <c r="W304" t="e">
        <f t="shared" ca="1" si="651"/>
        <v>#REF!</v>
      </c>
      <c r="X304" t="e">
        <f t="shared" ca="1" si="651"/>
        <v>#REF!</v>
      </c>
      <c r="Y304" t="e">
        <f t="shared" ca="1" si="651"/>
        <v>#REF!</v>
      </c>
      <c r="Z304" t="e">
        <f t="shared" ca="1" si="651"/>
        <v>#REF!</v>
      </c>
      <c r="AA304" t="e">
        <f t="shared" ca="1" si="651"/>
        <v>#REF!</v>
      </c>
      <c r="AB304" t="e">
        <f t="shared" ca="1" si="651"/>
        <v>#REF!</v>
      </c>
      <c r="AC304" t="e">
        <f t="shared" ca="1" si="651"/>
        <v>#REF!</v>
      </c>
      <c r="AD304" t="e">
        <f t="shared" ca="1" si="637"/>
        <v>#REF!</v>
      </c>
      <c r="AE304" t="e">
        <f t="shared" ca="1" si="638"/>
        <v>#REF!</v>
      </c>
      <c r="AF304" t="e">
        <f t="shared" ca="1" si="639"/>
        <v>#REF!</v>
      </c>
      <c r="AG304" t="e">
        <f t="shared" ca="1" si="640"/>
        <v>#REF!</v>
      </c>
      <c r="AH304" t="e">
        <f t="shared" ca="1" si="641"/>
        <v>#REF!</v>
      </c>
      <c r="AI304" t="e">
        <f t="shared" ca="1" si="642"/>
        <v>#REF!</v>
      </c>
      <c r="AJ304" t="e">
        <f t="shared" ca="1" si="643"/>
        <v>#REF!</v>
      </c>
      <c r="AK304" t="e">
        <f t="shared" ca="1" si="644"/>
        <v>#REF!</v>
      </c>
      <c r="AL304" t="e">
        <f t="shared" ca="1" si="645"/>
        <v>#REF!</v>
      </c>
      <c r="AM304" t="e">
        <f t="shared" ca="1" si="646"/>
        <v>#REF!</v>
      </c>
    </row>
    <row r="305" spans="1:39" x14ac:dyDescent="0.2">
      <c r="C305" t="str">
        <f t="shared" si="614"/>
        <v/>
      </c>
      <c r="E305" s="38" t="str">
        <f t="shared" si="615"/>
        <v/>
      </c>
      <c r="F305" s="38"/>
      <c r="H305" t="str">
        <f t="shared" si="525"/>
        <v/>
      </c>
      <c r="I305" t="str">
        <f t="shared" si="634"/>
        <v/>
      </c>
      <c r="S305" t="str">
        <f t="shared" si="617"/>
        <v/>
      </c>
    </row>
    <row r="306" spans="1:39" x14ac:dyDescent="0.2">
      <c r="A306" t="s">
        <v>371</v>
      </c>
      <c r="B306" t="s">
        <v>84</v>
      </c>
      <c r="C306" t="str">
        <f t="shared" si="614"/>
        <v>est_</v>
      </c>
      <c r="D306" t="str">
        <f>[1]Demand!$C$4</f>
        <v>Household</v>
      </c>
      <c r="E306" s="38">
        <f t="shared" ca="1" si="615"/>
        <v>0</v>
      </c>
      <c r="F306" s="42">
        <v>0.25</v>
      </c>
      <c r="G306" t="str">
        <f>D306</f>
        <v>Household</v>
      </c>
      <c r="H306" t="str">
        <f t="shared" si="525"/>
        <v>D3H100</v>
      </c>
      <c r="I306" t="e">
        <f t="shared" ca="1" si="634"/>
        <v>#REF!</v>
      </c>
      <c r="J306" t="e">
        <f t="shared" ref="J306:R306" ca="1" si="652">I306*(1+$E306)</f>
        <v>#REF!</v>
      </c>
      <c r="K306" t="e">
        <f t="shared" ca="1" si="652"/>
        <v>#REF!</v>
      </c>
      <c r="L306" t="e">
        <f t="shared" ca="1" si="652"/>
        <v>#REF!</v>
      </c>
      <c r="M306" t="e">
        <f t="shared" ca="1" si="652"/>
        <v>#REF!</v>
      </c>
      <c r="N306" t="e">
        <f t="shared" ca="1" si="652"/>
        <v>#REF!</v>
      </c>
      <c r="O306" t="e">
        <f t="shared" ca="1" si="652"/>
        <v>#REF!</v>
      </c>
      <c r="P306" t="e">
        <f t="shared" ca="1" si="652"/>
        <v>#REF!</v>
      </c>
      <c r="Q306" t="e">
        <f t="shared" ca="1" si="652"/>
        <v>#REF!</v>
      </c>
      <c r="R306" t="e">
        <f t="shared" ca="1" si="652"/>
        <v>#REF!</v>
      </c>
      <c r="S306" t="e">
        <f t="shared" ca="1" si="617"/>
        <v>#REF!</v>
      </c>
      <c r="T306" t="e">
        <f t="shared" ref="T306:AC306" ca="1" si="653">S306*(1+$E306*$F306)</f>
        <v>#REF!</v>
      </c>
      <c r="U306" t="e">
        <f t="shared" ca="1" si="653"/>
        <v>#REF!</v>
      </c>
      <c r="V306" t="e">
        <f t="shared" ca="1" si="653"/>
        <v>#REF!</v>
      </c>
      <c r="W306" t="e">
        <f t="shared" ca="1" si="653"/>
        <v>#REF!</v>
      </c>
      <c r="X306" t="e">
        <f t="shared" ca="1" si="653"/>
        <v>#REF!</v>
      </c>
      <c r="Y306" t="e">
        <f t="shared" ca="1" si="653"/>
        <v>#REF!</v>
      </c>
      <c r="Z306" t="e">
        <f t="shared" ca="1" si="653"/>
        <v>#REF!</v>
      </c>
      <c r="AA306" t="e">
        <f t="shared" ca="1" si="653"/>
        <v>#REF!</v>
      </c>
      <c r="AB306" t="e">
        <f t="shared" ca="1" si="653"/>
        <v>#REF!</v>
      </c>
      <c r="AC306" t="e">
        <f t="shared" ca="1" si="653"/>
        <v>#REF!</v>
      </c>
      <c r="AD306" t="e">
        <f t="shared" ref="AD306:AD308" ca="1" si="654">AC306*(1+$E306*$F306)</f>
        <v>#REF!</v>
      </c>
      <c r="AE306" t="e">
        <f t="shared" ref="AE306:AE308" ca="1" si="655">AD306*(1+$E306*$F306)</f>
        <v>#REF!</v>
      </c>
      <c r="AF306" t="e">
        <f t="shared" ref="AF306:AF308" ca="1" si="656">AE306*(1+$E306*$F306)</f>
        <v>#REF!</v>
      </c>
      <c r="AG306" t="e">
        <f t="shared" ref="AG306:AG308" ca="1" si="657">AF306*(1+$E306*$F306)</f>
        <v>#REF!</v>
      </c>
      <c r="AH306" t="e">
        <f t="shared" ref="AH306:AH308" ca="1" si="658">AG306*(1+$E306*$F306)</f>
        <v>#REF!</v>
      </c>
      <c r="AI306" t="e">
        <f t="shared" ref="AI306:AI308" ca="1" si="659">AH306*(1+$E306*$F306)</f>
        <v>#REF!</v>
      </c>
      <c r="AJ306" t="e">
        <f t="shared" ref="AJ306:AJ308" ca="1" si="660">AI306*(1+$E306*$F306)</f>
        <v>#REF!</v>
      </c>
      <c r="AK306" t="e">
        <f t="shared" ref="AK306:AK308" ca="1" si="661">AJ306*(1+$E306*$F306)</f>
        <v>#REF!</v>
      </c>
      <c r="AL306" t="e">
        <f t="shared" ref="AL306:AL308" ca="1" si="662">AK306*(1+$E306*$F306)</f>
        <v>#REF!</v>
      </c>
      <c r="AM306" t="e">
        <f t="shared" ref="AM306:AM308" ca="1" si="663">AL306*(1+$E306*$F306)</f>
        <v>#REF!</v>
      </c>
    </row>
    <row r="307" spans="1:39" x14ac:dyDescent="0.2">
      <c r="A307" t="s">
        <v>371</v>
      </c>
      <c r="B307" t="s">
        <v>84</v>
      </c>
      <c r="C307" t="str">
        <f t="shared" si="614"/>
        <v>est_</v>
      </c>
      <c r="D307" t="str">
        <f>[1]Demand!$C$5</f>
        <v>Industry</v>
      </c>
      <c r="E307" s="38">
        <f t="shared" ca="1" si="615"/>
        <v>0</v>
      </c>
      <c r="F307" s="42">
        <v>0.25</v>
      </c>
      <c r="G307" t="str">
        <f t="shared" ref="G307:G308" si="664">D307</f>
        <v>Industry</v>
      </c>
      <c r="H307" t="str">
        <f t="shared" si="525"/>
        <v>D3H100</v>
      </c>
      <c r="I307" t="e">
        <f t="shared" ca="1" si="634"/>
        <v>#REF!</v>
      </c>
      <c r="J307" t="e">
        <f t="shared" ref="J307:R307" ca="1" si="665">I307*(1+$E307)</f>
        <v>#REF!</v>
      </c>
      <c r="K307" t="e">
        <f t="shared" ca="1" si="665"/>
        <v>#REF!</v>
      </c>
      <c r="L307" t="e">
        <f t="shared" ca="1" si="665"/>
        <v>#REF!</v>
      </c>
      <c r="M307" t="e">
        <f t="shared" ca="1" si="665"/>
        <v>#REF!</v>
      </c>
      <c r="N307" t="e">
        <f t="shared" ca="1" si="665"/>
        <v>#REF!</v>
      </c>
      <c r="O307" t="e">
        <f t="shared" ca="1" si="665"/>
        <v>#REF!</v>
      </c>
      <c r="P307" t="e">
        <f t="shared" ca="1" si="665"/>
        <v>#REF!</v>
      </c>
      <c r="Q307" t="e">
        <f t="shared" ca="1" si="665"/>
        <v>#REF!</v>
      </c>
      <c r="R307" t="e">
        <f t="shared" ca="1" si="665"/>
        <v>#REF!</v>
      </c>
      <c r="S307" t="e">
        <f t="shared" ca="1" si="617"/>
        <v>#REF!</v>
      </c>
      <c r="T307" t="e">
        <f t="shared" ref="T307:AC307" ca="1" si="666">S307*(1+$E307*$F307)</f>
        <v>#REF!</v>
      </c>
      <c r="U307" t="e">
        <f t="shared" ca="1" si="666"/>
        <v>#REF!</v>
      </c>
      <c r="V307" t="e">
        <f t="shared" ca="1" si="666"/>
        <v>#REF!</v>
      </c>
      <c r="W307" t="e">
        <f t="shared" ca="1" si="666"/>
        <v>#REF!</v>
      </c>
      <c r="X307" t="e">
        <f t="shared" ca="1" si="666"/>
        <v>#REF!</v>
      </c>
      <c r="Y307" t="e">
        <f t="shared" ca="1" si="666"/>
        <v>#REF!</v>
      </c>
      <c r="Z307" t="e">
        <f t="shared" ca="1" si="666"/>
        <v>#REF!</v>
      </c>
      <c r="AA307" t="e">
        <f t="shared" ca="1" si="666"/>
        <v>#REF!</v>
      </c>
      <c r="AB307" t="e">
        <f t="shared" ca="1" si="666"/>
        <v>#REF!</v>
      </c>
      <c r="AC307" t="e">
        <f t="shared" ca="1" si="666"/>
        <v>#REF!</v>
      </c>
      <c r="AD307" t="e">
        <f t="shared" ca="1" si="654"/>
        <v>#REF!</v>
      </c>
      <c r="AE307" t="e">
        <f t="shared" ca="1" si="655"/>
        <v>#REF!</v>
      </c>
      <c r="AF307" t="e">
        <f t="shared" ca="1" si="656"/>
        <v>#REF!</v>
      </c>
      <c r="AG307" t="e">
        <f t="shared" ca="1" si="657"/>
        <v>#REF!</v>
      </c>
      <c r="AH307" t="e">
        <f t="shared" ca="1" si="658"/>
        <v>#REF!</v>
      </c>
      <c r="AI307" t="e">
        <f t="shared" ca="1" si="659"/>
        <v>#REF!</v>
      </c>
      <c r="AJ307" t="e">
        <f t="shared" ca="1" si="660"/>
        <v>#REF!</v>
      </c>
      <c r="AK307" t="e">
        <f t="shared" ca="1" si="661"/>
        <v>#REF!</v>
      </c>
      <c r="AL307" t="e">
        <f t="shared" ca="1" si="662"/>
        <v>#REF!</v>
      </c>
      <c r="AM307" t="e">
        <f t="shared" ca="1" si="663"/>
        <v>#REF!</v>
      </c>
    </row>
    <row r="308" spans="1:39" x14ac:dyDescent="0.2">
      <c r="A308" t="s">
        <v>371</v>
      </c>
      <c r="B308" t="s">
        <v>84</v>
      </c>
      <c r="C308" t="str">
        <f t="shared" si="614"/>
        <v>est_</v>
      </c>
      <c r="D308" t="str">
        <f>[1]Demand!$C$6</f>
        <v>Other</v>
      </c>
      <c r="E308" s="38">
        <f t="shared" ca="1" si="615"/>
        <v>0</v>
      </c>
      <c r="F308" s="42">
        <v>0.25</v>
      </c>
      <c r="G308" t="str">
        <f t="shared" si="664"/>
        <v>Other</v>
      </c>
      <c r="H308" t="str">
        <f t="shared" si="525"/>
        <v>D3H100</v>
      </c>
      <c r="I308" t="e">
        <f t="shared" ca="1" si="634"/>
        <v>#REF!</v>
      </c>
      <c r="J308" t="e">
        <f t="shared" ref="J308:R308" ca="1" si="667">I308*(1+$E308)</f>
        <v>#REF!</v>
      </c>
      <c r="K308" t="e">
        <f t="shared" ca="1" si="667"/>
        <v>#REF!</v>
      </c>
      <c r="L308" t="e">
        <f t="shared" ca="1" si="667"/>
        <v>#REF!</v>
      </c>
      <c r="M308" t="e">
        <f t="shared" ca="1" si="667"/>
        <v>#REF!</v>
      </c>
      <c r="N308" t="e">
        <f t="shared" ca="1" si="667"/>
        <v>#REF!</v>
      </c>
      <c r="O308" t="e">
        <f t="shared" ca="1" si="667"/>
        <v>#REF!</v>
      </c>
      <c r="P308" t="e">
        <f t="shared" ca="1" si="667"/>
        <v>#REF!</v>
      </c>
      <c r="Q308" t="e">
        <f t="shared" ca="1" si="667"/>
        <v>#REF!</v>
      </c>
      <c r="R308" t="e">
        <f t="shared" ca="1" si="667"/>
        <v>#REF!</v>
      </c>
      <c r="S308" t="e">
        <f t="shared" ca="1" si="617"/>
        <v>#REF!</v>
      </c>
      <c r="T308" t="e">
        <f t="shared" ref="T308:AC308" ca="1" si="668">S308*(1+$E308*$F308)</f>
        <v>#REF!</v>
      </c>
      <c r="U308" t="e">
        <f t="shared" ca="1" si="668"/>
        <v>#REF!</v>
      </c>
      <c r="V308" t="e">
        <f t="shared" ca="1" si="668"/>
        <v>#REF!</v>
      </c>
      <c r="W308" t="e">
        <f t="shared" ca="1" si="668"/>
        <v>#REF!</v>
      </c>
      <c r="X308" t="e">
        <f t="shared" ca="1" si="668"/>
        <v>#REF!</v>
      </c>
      <c r="Y308" t="e">
        <f t="shared" ca="1" si="668"/>
        <v>#REF!</v>
      </c>
      <c r="Z308" t="e">
        <f t="shared" ca="1" si="668"/>
        <v>#REF!</v>
      </c>
      <c r="AA308" t="e">
        <f t="shared" ca="1" si="668"/>
        <v>#REF!</v>
      </c>
      <c r="AB308" t="e">
        <f t="shared" ca="1" si="668"/>
        <v>#REF!</v>
      </c>
      <c r="AC308" t="e">
        <f t="shared" ca="1" si="668"/>
        <v>#REF!</v>
      </c>
      <c r="AD308" t="e">
        <f t="shared" ca="1" si="654"/>
        <v>#REF!</v>
      </c>
      <c r="AE308" t="e">
        <f t="shared" ca="1" si="655"/>
        <v>#REF!</v>
      </c>
      <c r="AF308" t="e">
        <f t="shared" ca="1" si="656"/>
        <v>#REF!</v>
      </c>
      <c r="AG308" t="e">
        <f t="shared" ca="1" si="657"/>
        <v>#REF!</v>
      </c>
      <c r="AH308" t="e">
        <f t="shared" ca="1" si="658"/>
        <v>#REF!</v>
      </c>
      <c r="AI308" t="e">
        <f t="shared" ca="1" si="659"/>
        <v>#REF!</v>
      </c>
      <c r="AJ308" t="e">
        <f t="shared" ca="1" si="660"/>
        <v>#REF!</v>
      </c>
      <c r="AK308" t="e">
        <f t="shared" ca="1" si="661"/>
        <v>#REF!</v>
      </c>
      <c r="AL308" t="e">
        <f t="shared" ca="1" si="662"/>
        <v>#REF!</v>
      </c>
      <c r="AM308" t="e">
        <f t="shared" ca="1" si="663"/>
        <v>#REF!</v>
      </c>
    </row>
    <row r="311" spans="1:39" x14ac:dyDescent="0.2">
      <c r="G311" t="s">
        <v>395</v>
      </c>
    </row>
    <row r="312" spans="1:39" x14ac:dyDescent="0.2">
      <c r="A312" t="s">
        <v>394</v>
      </c>
    </row>
    <row r="313" spans="1:39" x14ac:dyDescent="0.2">
      <c r="I313">
        <v>2020</v>
      </c>
      <c r="J313">
        <f>I313+1</f>
        <v>2021</v>
      </c>
      <c r="K313">
        <f t="shared" ref="K313:AM313" si="669">J313+1</f>
        <v>2022</v>
      </c>
      <c r="L313">
        <f t="shared" si="669"/>
        <v>2023</v>
      </c>
      <c r="M313">
        <f t="shared" si="669"/>
        <v>2024</v>
      </c>
      <c r="N313">
        <f t="shared" si="669"/>
        <v>2025</v>
      </c>
      <c r="O313">
        <f t="shared" si="669"/>
        <v>2026</v>
      </c>
      <c r="P313">
        <f t="shared" si="669"/>
        <v>2027</v>
      </c>
      <c r="Q313">
        <f t="shared" si="669"/>
        <v>2028</v>
      </c>
      <c r="R313">
        <f t="shared" si="669"/>
        <v>2029</v>
      </c>
      <c r="S313">
        <f t="shared" si="669"/>
        <v>2030</v>
      </c>
      <c r="T313">
        <f t="shared" si="669"/>
        <v>2031</v>
      </c>
      <c r="U313">
        <f t="shared" si="669"/>
        <v>2032</v>
      </c>
      <c r="V313">
        <f t="shared" si="669"/>
        <v>2033</v>
      </c>
      <c r="W313">
        <f t="shared" si="669"/>
        <v>2034</v>
      </c>
      <c r="X313">
        <f t="shared" si="669"/>
        <v>2035</v>
      </c>
      <c r="Y313">
        <f t="shared" si="669"/>
        <v>2036</v>
      </c>
      <c r="Z313">
        <f t="shared" si="669"/>
        <v>2037</v>
      </c>
      <c r="AA313">
        <f t="shared" si="669"/>
        <v>2038</v>
      </c>
      <c r="AB313">
        <f t="shared" si="669"/>
        <v>2039</v>
      </c>
      <c r="AC313">
        <f t="shared" si="669"/>
        <v>2040</v>
      </c>
      <c r="AD313">
        <f t="shared" si="669"/>
        <v>2041</v>
      </c>
      <c r="AE313">
        <f t="shared" si="669"/>
        <v>2042</v>
      </c>
      <c r="AF313">
        <f t="shared" si="669"/>
        <v>2043</v>
      </c>
      <c r="AG313">
        <f t="shared" si="669"/>
        <v>2044</v>
      </c>
      <c r="AH313">
        <f t="shared" si="669"/>
        <v>2045</v>
      </c>
      <c r="AI313">
        <f t="shared" si="669"/>
        <v>2046</v>
      </c>
      <c r="AJ313">
        <f t="shared" si="669"/>
        <v>2047</v>
      </c>
      <c r="AK313">
        <f t="shared" si="669"/>
        <v>2048</v>
      </c>
      <c r="AL313">
        <f t="shared" si="669"/>
        <v>2049</v>
      </c>
      <c r="AM313">
        <f t="shared" si="669"/>
        <v>2050</v>
      </c>
    </row>
    <row r="314" spans="1:39" x14ac:dyDescent="0.2">
      <c r="G314" t="s">
        <v>52</v>
      </c>
      <c r="H314" t="s">
        <v>363</v>
      </c>
      <c r="I314" t="e">
        <f t="shared" ref="I314:AM314" ca="1" si="670">SUMIFS(I$202:I$308,$A$202:$A$308,$H314,$B$202:$B$308,$G314)*H$1/1000</f>
        <v>#REF!</v>
      </c>
      <c r="J314" t="e">
        <f t="shared" ca="1" si="670"/>
        <v>#REF!</v>
      </c>
      <c r="K314" t="e">
        <f t="shared" ca="1" si="670"/>
        <v>#REF!</v>
      </c>
      <c r="L314" t="e">
        <f t="shared" ca="1" si="670"/>
        <v>#REF!</v>
      </c>
      <c r="M314" t="e">
        <f t="shared" ca="1" si="670"/>
        <v>#REF!</v>
      </c>
      <c r="N314" t="e">
        <f t="shared" ca="1" si="670"/>
        <v>#REF!</v>
      </c>
      <c r="O314" t="e">
        <f t="shared" ca="1" si="670"/>
        <v>#REF!</v>
      </c>
      <c r="P314" t="e">
        <f t="shared" ca="1" si="670"/>
        <v>#REF!</v>
      </c>
      <c r="Q314" t="e">
        <f t="shared" ca="1" si="670"/>
        <v>#REF!</v>
      </c>
      <c r="R314" t="e">
        <f t="shared" ca="1" si="670"/>
        <v>#REF!</v>
      </c>
      <c r="S314" t="e">
        <f t="shared" ca="1" si="670"/>
        <v>#REF!</v>
      </c>
      <c r="T314" t="e">
        <f t="shared" ca="1" si="670"/>
        <v>#REF!</v>
      </c>
      <c r="U314" t="e">
        <f t="shared" ca="1" si="670"/>
        <v>#REF!</v>
      </c>
      <c r="V314" t="e">
        <f t="shared" ca="1" si="670"/>
        <v>#REF!</v>
      </c>
      <c r="W314" t="e">
        <f t="shared" ca="1" si="670"/>
        <v>#REF!</v>
      </c>
      <c r="X314" t="e">
        <f t="shared" ca="1" si="670"/>
        <v>#REF!</v>
      </c>
      <c r="Y314" t="e">
        <f t="shared" ca="1" si="670"/>
        <v>#REF!</v>
      </c>
      <c r="Z314" t="e">
        <f t="shared" ca="1" si="670"/>
        <v>#REF!</v>
      </c>
      <c r="AA314" t="e">
        <f t="shared" ca="1" si="670"/>
        <v>#REF!</v>
      </c>
      <c r="AB314" t="e">
        <f t="shared" ca="1" si="670"/>
        <v>#REF!</v>
      </c>
      <c r="AC314" t="e">
        <f t="shared" ca="1" si="670"/>
        <v>#REF!</v>
      </c>
      <c r="AD314" t="e">
        <f t="shared" ca="1" si="670"/>
        <v>#REF!</v>
      </c>
      <c r="AE314" t="e">
        <f t="shared" ca="1" si="670"/>
        <v>#REF!</v>
      </c>
      <c r="AF314" t="e">
        <f t="shared" ca="1" si="670"/>
        <v>#REF!</v>
      </c>
      <c r="AG314" t="e">
        <f t="shared" ca="1" si="670"/>
        <v>#REF!</v>
      </c>
      <c r="AH314" t="e">
        <f t="shared" ca="1" si="670"/>
        <v>#REF!</v>
      </c>
      <c r="AI314" t="e">
        <f t="shared" ca="1" si="670"/>
        <v>#REF!</v>
      </c>
      <c r="AJ314" t="e">
        <f t="shared" ca="1" si="670"/>
        <v>#REF!</v>
      </c>
      <c r="AK314" t="e">
        <f t="shared" ca="1" si="670"/>
        <v>#REF!</v>
      </c>
      <c r="AL314" t="e">
        <f t="shared" ca="1" si="670"/>
        <v>#REF!</v>
      </c>
      <c r="AM314" t="e">
        <f t="shared" ca="1" si="670"/>
        <v>#REF!</v>
      </c>
    </row>
    <row r="315" spans="1:39" x14ac:dyDescent="0.2">
      <c r="G315" t="s">
        <v>52</v>
      </c>
      <c r="H315" t="s">
        <v>366</v>
      </c>
      <c r="I315" t="e">
        <f t="shared" ref="I315:AM315" ca="1" si="671">SUMIFS(I$202:I$308,$A$202:$A$308,$H315,$B$202:$B$308,$G315)*H$1/1000</f>
        <v>#REF!</v>
      </c>
      <c r="J315" t="e">
        <f t="shared" ca="1" si="671"/>
        <v>#REF!</v>
      </c>
      <c r="K315" t="e">
        <f t="shared" ca="1" si="671"/>
        <v>#REF!</v>
      </c>
      <c r="L315" t="e">
        <f t="shared" ca="1" si="671"/>
        <v>#REF!</v>
      </c>
      <c r="M315" t="e">
        <f t="shared" ca="1" si="671"/>
        <v>#REF!</v>
      </c>
      <c r="N315" t="e">
        <f t="shared" ca="1" si="671"/>
        <v>#REF!</v>
      </c>
      <c r="O315" t="e">
        <f t="shared" ca="1" si="671"/>
        <v>#REF!</v>
      </c>
      <c r="P315" t="e">
        <f t="shared" ca="1" si="671"/>
        <v>#REF!</v>
      </c>
      <c r="Q315" t="e">
        <f t="shared" ca="1" si="671"/>
        <v>#REF!</v>
      </c>
      <c r="R315" t="e">
        <f t="shared" ca="1" si="671"/>
        <v>#REF!</v>
      </c>
      <c r="S315" t="e">
        <f t="shared" ca="1" si="671"/>
        <v>#REF!</v>
      </c>
      <c r="T315" t="e">
        <f t="shared" ca="1" si="671"/>
        <v>#REF!</v>
      </c>
      <c r="U315" t="e">
        <f t="shared" ca="1" si="671"/>
        <v>#REF!</v>
      </c>
      <c r="V315" t="e">
        <f t="shared" ca="1" si="671"/>
        <v>#REF!</v>
      </c>
      <c r="W315" t="e">
        <f t="shared" ca="1" si="671"/>
        <v>#REF!</v>
      </c>
      <c r="X315" t="e">
        <f t="shared" ca="1" si="671"/>
        <v>#REF!</v>
      </c>
      <c r="Y315" t="e">
        <f t="shared" ca="1" si="671"/>
        <v>#REF!</v>
      </c>
      <c r="Z315" t="e">
        <f t="shared" ca="1" si="671"/>
        <v>#REF!</v>
      </c>
      <c r="AA315" t="e">
        <f t="shared" ca="1" si="671"/>
        <v>#REF!</v>
      </c>
      <c r="AB315" t="e">
        <f t="shared" ca="1" si="671"/>
        <v>#REF!</v>
      </c>
      <c r="AC315" t="e">
        <f t="shared" ca="1" si="671"/>
        <v>#REF!</v>
      </c>
      <c r="AD315" t="e">
        <f t="shared" ca="1" si="671"/>
        <v>#REF!</v>
      </c>
      <c r="AE315" t="e">
        <f t="shared" ca="1" si="671"/>
        <v>#REF!</v>
      </c>
      <c r="AF315" t="e">
        <f t="shared" ca="1" si="671"/>
        <v>#REF!</v>
      </c>
      <c r="AG315" t="e">
        <f t="shared" ca="1" si="671"/>
        <v>#REF!</v>
      </c>
      <c r="AH315" t="e">
        <f t="shared" ca="1" si="671"/>
        <v>#REF!</v>
      </c>
      <c r="AI315" t="e">
        <f t="shared" ca="1" si="671"/>
        <v>#REF!</v>
      </c>
      <c r="AJ315" t="e">
        <f t="shared" ca="1" si="671"/>
        <v>#REF!</v>
      </c>
      <c r="AK315" t="e">
        <f t="shared" ca="1" si="671"/>
        <v>#REF!</v>
      </c>
      <c r="AL315" t="e">
        <f t="shared" ca="1" si="671"/>
        <v>#REF!</v>
      </c>
      <c r="AM315" t="e">
        <f t="shared" ca="1" si="671"/>
        <v>#REF!</v>
      </c>
    </row>
    <row r="316" spans="1:39" x14ac:dyDescent="0.2">
      <c r="G316" t="s">
        <v>52</v>
      </c>
      <c r="H316" t="s">
        <v>367</v>
      </c>
      <c r="I316" t="e">
        <f t="shared" ref="I316:AM316" ca="1" si="672">SUMIFS(I$202:I$308,$A$202:$A$308,$H316,$B$202:$B$308,$G316)*H$1/1000</f>
        <v>#REF!</v>
      </c>
      <c r="J316" t="e">
        <f t="shared" ca="1" si="672"/>
        <v>#REF!</v>
      </c>
      <c r="K316" t="e">
        <f t="shared" ca="1" si="672"/>
        <v>#REF!</v>
      </c>
      <c r="L316" t="e">
        <f t="shared" ca="1" si="672"/>
        <v>#REF!</v>
      </c>
      <c r="M316" t="e">
        <f t="shared" ca="1" si="672"/>
        <v>#REF!</v>
      </c>
      <c r="N316" t="e">
        <f t="shared" ca="1" si="672"/>
        <v>#REF!</v>
      </c>
      <c r="O316" t="e">
        <f t="shared" ca="1" si="672"/>
        <v>#REF!</v>
      </c>
      <c r="P316" t="e">
        <f t="shared" ca="1" si="672"/>
        <v>#REF!</v>
      </c>
      <c r="Q316" t="e">
        <f t="shared" ca="1" si="672"/>
        <v>#REF!</v>
      </c>
      <c r="R316" t="e">
        <f t="shared" ca="1" si="672"/>
        <v>#REF!</v>
      </c>
      <c r="S316" t="e">
        <f t="shared" ca="1" si="672"/>
        <v>#REF!</v>
      </c>
      <c r="T316" t="e">
        <f t="shared" ca="1" si="672"/>
        <v>#REF!</v>
      </c>
      <c r="U316" t="e">
        <f t="shared" ca="1" si="672"/>
        <v>#REF!</v>
      </c>
      <c r="V316" t="e">
        <f t="shared" ca="1" si="672"/>
        <v>#REF!</v>
      </c>
      <c r="W316" t="e">
        <f t="shared" ca="1" si="672"/>
        <v>#REF!</v>
      </c>
      <c r="X316" t="e">
        <f t="shared" ca="1" si="672"/>
        <v>#REF!</v>
      </c>
      <c r="Y316" t="e">
        <f t="shared" ca="1" si="672"/>
        <v>#REF!</v>
      </c>
      <c r="Z316" t="e">
        <f t="shared" ca="1" si="672"/>
        <v>#REF!</v>
      </c>
      <c r="AA316" t="e">
        <f t="shared" ca="1" si="672"/>
        <v>#REF!</v>
      </c>
      <c r="AB316" t="e">
        <f t="shared" ca="1" si="672"/>
        <v>#REF!</v>
      </c>
      <c r="AC316" t="e">
        <f t="shared" ca="1" si="672"/>
        <v>#REF!</v>
      </c>
      <c r="AD316" t="e">
        <f t="shared" ca="1" si="672"/>
        <v>#REF!</v>
      </c>
      <c r="AE316" t="e">
        <f t="shared" ca="1" si="672"/>
        <v>#REF!</v>
      </c>
      <c r="AF316" t="e">
        <f t="shared" ca="1" si="672"/>
        <v>#REF!</v>
      </c>
      <c r="AG316" t="e">
        <f t="shared" ca="1" si="672"/>
        <v>#REF!</v>
      </c>
      <c r="AH316" t="e">
        <f t="shared" ca="1" si="672"/>
        <v>#REF!</v>
      </c>
      <c r="AI316" t="e">
        <f t="shared" ca="1" si="672"/>
        <v>#REF!</v>
      </c>
      <c r="AJ316" t="e">
        <f t="shared" ca="1" si="672"/>
        <v>#REF!</v>
      </c>
      <c r="AK316" t="e">
        <f t="shared" ca="1" si="672"/>
        <v>#REF!</v>
      </c>
      <c r="AL316" t="e">
        <f t="shared" ca="1" si="672"/>
        <v>#REF!</v>
      </c>
      <c r="AM316" t="e">
        <f t="shared" ca="1" si="672"/>
        <v>#REF!</v>
      </c>
    </row>
    <row r="317" spans="1:39" x14ac:dyDescent="0.2">
      <c r="I317">
        <v>2020</v>
      </c>
      <c r="J317">
        <f>I317+1</f>
        <v>2021</v>
      </c>
      <c r="K317">
        <f t="shared" ref="K317:AM317" si="673">J317+1</f>
        <v>2022</v>
      </c>
      <c r="L317">
        <f t="shared" si="673"/>
        <v>2023</v>
      </c>
      <c r="M317">
        <f t="shared" si="673"/>
        <v>2024</v>
      </c>
      <c r="N317">
        <f t="shared" si="673"/>
        <v>2025</v>
      </c>
      <c r="O317">
        <f t="shared" si="673"/>
        <v>2026</v>
      </c>
      <c r="P317">
        <f t="shared" si="673"/>
        <v>2027</v>
      </c>
      <c r="Q317">
        <f t="shared" si="673"/>
        <v>2028</v>
      </c>
      <c r="R317">
        <f t="shared" si="673"/>
        <v>2029</v>
      </c>
      <c r="S317">
        <f t="shared" si="673"/>
        <v>2030</v>
      </c>
      <c r="T317">
        <f t="shared" si="673"/>
        <v>2031</v>
      </c>
      <c r="U317">
        <f t="shared" si="673"/>
        <v>2032</v>
      </c>
      <c r="V317">
        <f t="shared" si="673"/>
        <v>2033</v>
      </c>
      <c r="W317">
        <f t="shared" si="673"/>
        <v>2034</v>
      </c>
      <c r="X317">
        <f t="shared" si="673"/>
        <v>2035</v>
      </c>
      <c r="Y317">
        <f t="shared" si="673"/>
        <v>2036</v>
      </c>
      <c r="Z317">
        <f t="shared" si="673"/>
        <v>2037</v>
      </c>
      <c r="AA317">
        <f t="shared" si="673"/>
        <v>2038</v>
      </c>
      <c r="AB317">
        <f t="shared" si="673"/>
        <v>2039</v>
      </c>
      <c r="AC317">
        <f t="shared" si="673"/>
        <v>2040</v>
      </c>
      <c r="AD317">
        <f t="shared" si="673"/>
        <v>2041</v>
      </c>
      <c r="AE317">
        <f t="shared" si="673"/>
        <v>2042</v>
      </c>
      <c r="AF317">
        <f t="shared" si="673"/>
        <v>2043</v>
      </c>
      <c r="AG317">
        <f t="shared" si="673"/>
        <v>2044</v>
      </c>
      <c r="AH317">
        <f t="shared" si="673"/>
        <v>2045</v>
      </c>
      <c r="AI317">
        <f t="shared" si="673"/>
        <v>2046</v>
      </c>
      <c r="AJ317">
        <f t="shared" si="673"/>
        <v>2047</v>
      </c>
      <c r="AK317">
        <f t="shared" si="673"/>
        <v>2048</v>
      </c>
      <c r="AL317">
        <f t="shared" si="673"/>
        <v>2049</v>
      </c>
      <c r="AM317">
        <f t="shared" si="673"/>
        <v>2050</v>
      </c>
    </row>
    <row r="318" spans="1:39" x14ac:dyDescent="0.2">
      <c r="G318" t="s">
        <v>79</v>
      </c>
      <c r="H318" t="s">
        <v>363</v>
      </c>
      <c r="I318" t="e">
        <f t="shared" ref="I318:AM318" ca="1" si="674">SUMIFS(I$202:I$308,$A$202:$A$308,$H318,$B$202:$B$308,$G318)*H$1/1000</f>
        <v>#REF!</v>
      </c>
      <c r="J318" t="e">
        <f t="shared" ca="1" si="674"/>
        <v>#REF!</v>
      </c>
      <c r="K318" t="e">
        <f t="shared" ca="1" si="674"/>
        <v>#REF!</v>
      </c>
      <c r="L318" t="e">
        <f t="shared" ca="1" si="674"/>
        <v>#REF!</v>
      </c>
      <c r="M318" t="e">
        <f t="shared" ca="1" si="674"/>
        <v>#REF!</v>
      </c>
      <c r="N318" t="e">
        <f t="shared" ca="1" si="674"/>
        <v>#REF!</v>
      </c>
      <c r="O318" t="e">
        <f t="shared" ca="1" si="674"/>
        <v>#REF!</v>
      </c>
      <c r="P318" t="e">
        <f t="shared" ca="1" si="674"/>
        <v>#REF!</v>
      </c>
      <c r="Q318" t="e">
        <f t="shared" ca="1" si="674"/>
        <v>#REF!</v>
      </c>
      <c r="R318" t="e">
        <f t="shared" ca="1" si="674"/>
        <v>#REF!</v>
      </c>
      <c r="S318" t="e">
        <f t="shared" ca="1" si="674"/>
        <v>#REF!</v>
      </c>
      <c r="T318" t="e">
        <f t="shared" ca="1" si="674"/>
        <v>#REF!</v>
      </c>
      <c r="U318" t="e">
        <f t="shared" ca="1" si="674"/>
        <v>#REF!</v>
      </c>
      <c r="V318" t="e">
        <f t="shared" ca="1" si="674"/>
        <v>#REF!</v>
      </c>
      <c r="W318" t="e">
        <f t="shared" ca="1" si="674"/>
        <v>#REF!</v>
      </c>
      <c r="X318" t="e">
        <f t="shared" ca="1" si="674"/>
        <v>#REF!</v>
      </c>
      <c r="Y318" t="e">
        <f t="shared" ca="1" si="674"/>
        <v>#REF!</v>
      </c>
      <c r="Z318" t="e">
        <f t="shared" ca="1" si="674"/>
        <v>#REF!</v>
      </c>
      <c r="AA318" t="e">
        <f t="shared" ca="1" si="674"/>
        <v>#REF!</v>
      </c>
      <c r="AB318" t="e">
        <f t="shared" ca="1" si="674"/>
        <v>#REF!</v>
      </c>
      <c r="AC318" t="e">
        <f t="shared" ca="1" si="674"/>
        <v>#REF!</v>
      </c>
      <c r="AD318" t="e">
        <f t="shared" ca="1" si="674"/>
        <v>#REF!</v>
      </c>
      <c r="AE318" t="e">
        <f t="shared" ca="1" si="674"/>
        <v>#REF!</v>
      </c>
      <c r="AF318" t="e">
        <f t="shared" ca="1" si="674"/>
        <v>#REF!</v>
      </c>
      <c r="AG318" t="e">
        <f t="shared" ca="1" si="674"/>
        <v>#REF!</v>
      </c>
      <c r="AH318" t="e">
        <f t="shared" ca="1" si="674"/>
        <v>#REF!</v>
      </c>
      <c r="AI318" t="e">
        <f t="shared" ca="1" si="674"/>
        <v>#REF!</v>
      </c>
      <c r="AJ318" t="e">
        <f t="shared" ca="1" si="674"/>
        <v>#REF!</v>
      </c>
      <c r="AK318" t="e">
        <f t="shared" ca="1" si="674"/>
        <v>#REF!</v>
      </c>
      <c r="AL318" t="e">
        <f t="shared" ca="1" si="674"/>
        <v>#REF!</v>
      </c>
      <c r="AM318" t="e">
        <f t="shared" ca="1" si="674"/>
        <v>#REF!</v>
      </c>
    </row>
    <row r="319" spans="1:39" x14ac:dyDescent="0.2">
      <c r="G319" t="s">
        <v>79</v>
      </c>
      <c r="H319" t="s">
        <v>366</v>
      </c>
      <c r="I319" t="e">
        <f t="shared" ref="I319:AM319" ca="1" si="675">SUMIFS(I$202:I$308,$A$202:$A$308,$H319,$B$202:$B$308,$G319)*H$1/1000</f>
        <v>#REF!</v>
      </c>
      <c r="J319" t="e">
        <f t="shared" ca="1" si="675"/>
        <v>#REF!</v>
      </c>
      <c r="K319" t="e">
        <f t="shared" ca="1" si="675"/>
        <v>#REF!</v>
      </c>
      <c r="L319" t="e">
        <f t="shared" ca="1" si="675"/>
        <v>#REF!</v>
      </c>
      <c r="M319" t="e">
        <f t="shared" ca="1" si="675"/>
        <v>#REF!</v>
      </c>
      <c r="N319" t="e">
        <f t="shared" ca="1" si="675"/>
        <v>#REF!</v>
      </c>
      <c r="O319" t="e">
        <f t="shared" ca="1" si="675"/>
        <v>#REF!</v>
      </c>
      <c r="P319" t="e">
        <f t="shared" ca="1" si="675"/>
        <v>#REF!</v>
      </c>
      <c r="Q319" t="e">
        <f t="shared" ca="1" si="675"/>
        <v>#REF!</v>
      </c>
      <c r="R319" t="e">
        <f t="shared" ca="1" si="675"/>
        <v>#REF!</v>
      </c>
      <c r="S319" t="e">
        <f t="shared" ca="1" si="675"/>
        <v>#REF!</v>
      </c>
      <c r="T319" t="e">
        <f t="shared" ca="1" si="675"/>
        <v>#REF!</v>
      </c>
      <c r="U319" t="e">
        <f t="shared" ca="1" si="675"/>
        <v>#REF!</v>
      </c>
      <c r="V319" t="e">
        <f t="shared" ca="1" si="675"/>
        <v>#REF!</v>
      </c>
      <c r="W319" t="e">
        <f t="shared" ca="1" si="675"/>
        <v>#REF!</v>
      </c>
      <c r="X319" t="e">
        <f t="shared" ca="1" si="675"/>
        <v>#REF!</v>
      </c>
      <c r="Y319" t="e">
        <f t="shared" ca="1" si="675"/>
        <v>#REF!</v>
      </c>
      <c r="Z319" t="e">
        <f t="shared" ca="1" si="675"/>
        <v>#REF!</v>
      </c>
      <c r="AA319" t="e">
        <f t="shared" ca="1" si="675"/>
        <v>#REF!</v>
      </c>
      <c r="AB319" t="e">
        <f t="shared" ca="1" si="675"/>
        <v>#REF!</v>
      </c>
      <c r="AC319" t="e">
        <f t="shared" ca="1" si="675"/>
        <v>#REF!</v>
      </c>
      <c r="AD319" t="e">
        <f t="shared" ca="1" si="675"/>
        <v>#REF!</v>
      </c>
      <c r="AE319" t="e">
        <f t="shared" ca="1" si="675"/>
        <v>#REF!</v>
      </c>
      <c r="AF319" t="e">
        <f t="shared" ca="1" si="675"/>
        <v>#REF!</v>
      </c>
      <c r="AG319" t="e">
        <f t="shared" ca="1" si="675"/>
        <v>#REF!</v>
      </c>
      <c r="AH319" t="e">
        <f t="shared" ca="1" si="675"/>
        <v>#REF!</v>
      </c>
      <c r="AI319" t="e">
        <f t="shared" ca="1" si="675"/>
        <v>#REF!</v>
      </c>
      <c r="AJ319" t="e">
        <f t="shared" ca="1" si="675"/>
        <v>#REF!</v>
      </c>
      <c r="AK319" t="e">
        <f t="shared" ca="1" si="675"/>
        <v>#REF!</v>
      </c>
      <c r="AL319" t="e">
        <f t="shared" ca="1" si="675"/>
        <v>#REF!</v>
      </c>
      <c r="AM319" t="e">
        <f t="shared" ca="1" si="675"/>
        <v>#REF!</v>
      </c>
    </row>
    <row r="320" spans="1:39" x14ac:dyDescent="0.2">
      <c r="G320" t="s">
        <v>79</v>
      </c>
      <c r="H320" t="s">
        <v>367</v>
      </c>
      <c r="I320" t="e">
        <f t="shared" ref="I320:AM320" ca="1" si="676">SUMIFS(I$202:I$308,$A$202:$A$308,$H320,$B$202:$B$308,$G320)*H$1/1000</f>
        <v>#REF!</v>
      </c>
      <c r="J320" t="e">
        <f t="shared" ca="1" si="676"/>
        <v>#REF!</v>
      </c>
      <c r="K320" t="e">
        <f t="shared" ca="1" si="676"/>
        <v>#REF!</v>
      </c>
      <c r="L320" t="e">
        <f t="shared" ca="1" si="676"/>
        <v>#REF!</v>
      </c>
      <c r="M320" t="e">
        <f t="shared" ca="1" si="676"/>
        <v>#REF!</v>
      </c>
      <c r="N320" t="e">
        <f t="shared" ca="1" si="676"/>
        <v>#REF!</v>
      </c>
      <c r="O320" t="e">
        <f t="shared" ca="1" si="676"/>
        <v>#REF!</v>
      </c>
      <c r="P320" t="e">
        <f t="shared" ca="1" si="676"/>
        <v>#REF!</v>
      </c>
      <c r="Q320" t="e">
        <f t="shared" ca="1" si="676"/>
        <v>#REF!</v>
      </c>
      <c r="R320" t="e">
        <f t="shared" ca="1" si="676"/>
        <v>#REF!</v>
      </c>
      <c r="S320" t="e">
        <f t="shared" ca="1" si="676"/>
        <v>#REF!</v>
      </c>
      <c r="T320" t="e">
        <f t="shared" ca="1" si="676"/>
        <v>#REF!</v>
      </c>
      <c r="U320" t="e">
        <f t="shared" ca="1" si="676"/>
        <v>#REF!</v>
      </c>
      <c r="V320" t="e">
        <f t="shared" ca="1" si="676"/>
        <v>#REF!</v>
      </c>
      <c r="W320" t="e">
        <f t="shared" ca="1" si="676"/>
        <v>#REF!</v>
      </c>
      <c r="X320" t="e">
        <f t="shared" ca="1" si="676"/>
        <v>#REF!</v>
      </c>
      <c r="Y320" t="e">
        <f t="shared" ca="1" si="676"/>
        <v>#REF!</v>
      </c>
      <c r="Z320" t="e">
        <f t="shared" ca="1" si="676"/>
        <v>#REF!</v>
      </c>
      <c r="AA320" t="e">
        <f t="shared" ca="1" si="676"/>
        <v>#REF!</v>
      </c>
      <c r="AB320" t="e">
        <f t="shared" ca="1" si="676"/>
        <v>#REF!</v>
      </c>
      <c r="AC320" t="e">
        <f t="shared" ca="1" si="676"/>
        <v>#REF!</v>
      </c>
      <c r="AD320" t="e">
        <f t="shared" ca="1" si="676"/>
        <v>#REF!</v>
      </c>
      <c r="AE320" t="e">
        <f t="shared" ca="1" si="676"/>
        <v>#REF!</v>
      </c>
      <c r="AF320" t="e">
        <f t="shared" ca="1" si="676"/>
        <v>#REF!</v>
      </c>
      <c r="AG320" t="e">
        <f t="shared" ca="1" si="676"/>
        <v>#REF!</v>
      </c>
      <c r="AH320" t="e">
        <f t="shared" ca="1" si="676"/>
        <v>#REF!</v>
      </c>
      <c r="AI320" t="e">
        <f t="shared" ca="1" si="676"/>
        <v>#REF!</v>
      </c>
      <c r="AJ320" t="e">
        <f t="shared" ca="1" si="676"/>
        <v>#REF!</v>
      </c>
      <c r="AK320" t="e">
        <f t="shared" ca="1" si="676"/>
        <v>#REF!</v>
      </c>
      <c r="AL320" t="e">
        <f t="shared" ca="1" si="676"/>
        <v>#REF!</v>
      </c>
      <c r="AM320" t="e">
        <f t="shared" ca="1" si="676"/>
        <v>#REF!</v>
      </c>
    </row>
    <row r="321" spans="7:39" x14ac:dyDescent="0.2">
      <c r="I321">
        <v>2020</v>
      </c>
      <c r="J321">
        <f>I321+1</f>
        <v>2021</v>
      </c>
      <c r="K321">
        <f t="shared" ref="K321:AM321" si="677">J321+1</f>
        <v>2022</v>
      </c>
      <c r="L321">
        <f t="shared" si="677"/>
        <v>2023</v>
      </c>
      <c r="M321">
        <f t="shared" si="677"/>
        <v>2024</v>
      </c>
      <c r="N321">
        <f t="shared" si="677"/>
        <v>2025</v>
      </c>
      <c r="O321">
        <f t="shared" si="677"/>
        <v>2026</v>
      </c>
      <c r="P321">
        <f t="shared" si="677"/>
        <v>2027</v>
      </c>
      <c r="Q321">
        <f t="shared" si="677"/>
        <v>2028</v>
      </c>
      <c r="R321">
        <f t="shared" si="677"/>
        <v>2029</v>
      </c>
      <c r="S321">
        <f t="shared" si="677"/>
        <v>2030</v>
      </c>
      <c r="T321">
        <f t="shared" si="677"/>
        <v>2031</v>
      </c>
      <c r="U321">
        <f t="shared" si="677"/>
        <v>2032</v>
      </c>
      <c r="V321">
        <f t="shared" si="677"/>
        <v>2033</v>
      </c>
      <c r="W321">
        <f t="shared" si="677"/>
        <v>2034</v>
      </c>
      <c r="X321">
        <f t="shared" si="677"/>
        <v>2035</v>
      </c>
      <c r="Y321">
        <f t="shared" si="677"/>
        <v>2036</v>
      </c>
      <c r="Z321">
        <f t="shared" si="677"/>
        <v>2037</v>
      </c>
      <c r="AA321">
        <f t="shared" si="677"/>
        <v>2038</v>
      </c>
      <c r="AB321">
        <f t="shared" si="677"/>
        <v>2039</v>
      </c>
      <c r="AC321">
        <f t="shared" si="677"/>
        <v>2040</v>
      </c>
      <c r="AD321">
        <f t="shared" si="677"/>
        <v>2041</v>
      </c>
      <c r="AE321">
        <f t="shared" si="677"/>
        <v>2042</v>
      </c>
      <c r="AF321">
        <f t="shared" si="677"/>
        <v>2043</v>
      </c>
      <c r="AG321">
        <f t="shared" si="677"/>
        <v>2044</v>
      </c>
      <c r="AH321">
        <f t="shared" si="677"/>
        <v>2045</v>
      </c>
      <c r="AI321">
        <f t="shared" si="677"/>
        <v>2046</v>
      </c>
      <c r="AJ321">
        <f t="shared" si="677"/>
        <v>2047</v>
      </c>
      <c r="AK321">
        <f t="shared" si="677"/>
        <v>2048</v>
      </c>
      <c r="AL321">
        <f t="shared" si="677"/>
        <v>2049</v>
      </c>
      <c r="AM321">
        <f t="shared" si="677"/>
        <v>2050</v>
      </c>
    </row>
    <row r="322" spans="7:39" x14ac:dyDescent="0.2">
      <c r="G322" t="s">
        <v>84</v>
      </c>
      <c r="H322" t="s">
        <v>363</v>
      </c>
      <c r="I322" t="e">
        <f t="shared" ref="I322:AM322" ca="1" si="678">SUMIFS(I$202:I$308,$A$202:$A$308,$H322,$B$202:$B$308,$G322)*H$1/1000</f>
        <v>#REF!</v>
      </c>
      <c r="J322" t="e">
        <f t="shared" ca="1" si="678"/>
        <v>#REF!</v>
      </c>
      <c r="K322" t="e">
        <f t="shared" ca="1" si="678"/>
        <v>#REF!</v>
      </c>
      <c r="L322" t="e">
        <f t="shared" ca="1" si="678"/>
        <v>#REF!</v>
      </c>
      <c r="M322" t="e">
        <f t="shared" ca="1" si="678"/>
        <v>#REF!</v>
      </c>
      <c r="N322" t="e">
        <f t="shared" ca="1" si="678"/>
        <v>#REF!</v>
      </c>
      <c r="O322" t="e">
        <f t="shared" ca="1" si="678"/>
        <v>#REF!</v>
      </c>
      <c r="P322" t="e">
        <f t="shared" ca="1" si="678"/>
        <v>#REF!</v>
      </c>
      <c r="Q322" t="e">
        <f t="shared" ca="1" si="678"/>
        <v>#REF!</v>
      </c>
      <c r="R322" t="e">
        <f t="shared" ca="1" si="678"/>
        <v>#REF!</v>
      </c>
      <c r="S322" t="e">
        <f t="shared" ca="1" si="678"/>
        <v>#REF!</v>
      </c>
      <c r="T322" t="e">
        <f t="shared" ca="1" si="678"/>
        <v>#REF!</v>
      </c>
      <c r="U322" t="e">
        <f t="shared" ca="1" si="678"/>
        <v>#REF!</v>
      </c>
      <c r="V322" t="e">
        <f t="shared" ca="1" si="678"/>
        <v>#REF!</v>
      </c>
      <c r="W322" t="e">
        <f t="shared" ca="1" si="678"/>
        <v>#REF!</v>
      </c>
      <c r="X322" t="e">
        <f t="shared" ca="1" si="678"/>
        <v>#REF!</v>
      </c>
      <c r="Y322" t="e">
        <f t="shared" ca="1" si="678"/>
        <v>#REF!</v>
      </c>
      <c r="Z322" t="e">
        <f t="shared" ca="1" si="678"/>
        <v>#REF!</v>
      </c>
      <c r="AA322" t="e">
        <f t="shared" ca="1" si="678"/>
        <v>#REF!</v>
      </c>
      <c r="AB322" t="e">
        <f t="shared" ca="1" si="678"/>
        <v>#REF!</v>
      </c>
      <c r="AC322" t="e">
        <f t="shared" ca="1" si="678"/>
        <v>#REF!</v>
      </c>
      <c r="AD322" t="e">
        <f t="shared" ca="1" si="678"/>
        <v>#REF!</v>
      </c>
      <c r="AE322" t="e">
        <f t="shared" ca="1" si="678"/>
        <v>#REF!</v>
      </c>
      <c r="AF322" t="e">
        <f t="shared" ca="1" si="678"/>
        <v>#REF!</v>
      </c>
      <c r="AG322" t="e">
        <f t="shared" ca="1" si="678"/>
        <v>#REF!</v>
      </c>
      <c r="AH322" t="e">
        <f t="shared" ca="1" si="678"/>
        <v>#REF!</v>
      </c>
      <c r="AI322" t="e">
        <f t="shared" ca="1" si="678"/>
        <v>#REF!</v>
      </c>
      <c r="AJ322" t="e">
        <f t="shared" ca="1" si="678"/>
        <v>#REF!</v>
      </c>
      <c r="AK322" t="e">
        <f t="shared" ca="1" si="678"/>
        <v>#REF!</v>
      </c>
      <c r="AL322" t="e">
        <f t="shared" ca="1" si="678"/>
        <v>#REF!</v>
      </c>
      <c r="AM322" t="e">
        <f t="shared" ca="1" si="678"/>
        <v>#REF!</v>
      </c>
    </row>
    <row r="323" spans="7:39" x14ac:dyDescent="0.2">
      <c r="G323" t="s">
        <v>84</v>
      </c>
      <c r="H323" t="s">
        <v>366</v>
      </c>
      <c r="I323" t="e">
        <f t="shared" ref="I323:AM323" ca="1" si="679">SUMIFS(I$202:I$308,$A$202:$A$308,$H323,$B$202:$B$308,$G323)*H$1/1000</f>
        <v>#REF!</v>
      </c>
      <c r="J323" t="e">
        <f t="shared" ca="1" si="679"/>
        <v>#REF!</v>
      </c>
      <c r="K323" t="e">
        <f t="shared" ca="1" si="679"/>
        <v>#REF!</v>
      </c>
      <c r="L323" t="e">
        <f t="shared" ca="1" si="679"/>
        <v>#REF!</v>
      </c>
      <c r="M323" t="e">
        <f t="shared" ca="1" si="679"/>
        <v>#REF!</v>
      </c>
      <c r="N323" t="e">
        <f t="shared" ca="1" si="679"/>
        <v>#REF!</v>
      </c>
      <c r="O323" t="e">
        <f t="shared" ca="1" si="679"/>
        <v>#REF!</v>
      </c>
      <c r="P323" t="e">
        <f t="shared" ca="1" si="679"/>
        <v>#REF!</v>
      </c>
      <c r="Q323" t="e">
        <f t="shared" ca="1" si="679"/>
        <v>#REF!</v>
      </c>
      <c r="R323" t="e">
        <f t="shared" ca="1" si="679"/>
        <v>#REF!</v>
      </c>
      <c r="S323" t="e">
        <f t="shared" ca="1" si="679"/>
        <v>#REF!</v>
      </c>
      <c r="T323" t="e">
        <f t="shared" ca="1" si="679"/>
        <v>#REF!</v>
      </c>
      <c r="U323" t="e">
        <f t="shared" ca="1" si="679"/>
        <v>#REF!</v>
      </c>
      <c r="V323" t="e">
        <f t="shared" ca="1" si="679"/>
        <v>#REF!</v>
      </c>
      <c r="W323" t="e">
        <f t="shared" ca="1" si="679"/>
        <v>#REF!</v>
      </c>
      <c r="X323" t="e">
        <f t="shared" ca="1" si="679"/>
        <v>#REF!</v>
      </c>
      <c r="Y323" t="e">
        <f t="shared" ca="1" si="679"/>
        <v>#REF!</v>
      </c>
      <c r="Z323" t="e">
        <f t="shared" ca="1" si="679"/>
        <v>#REF!</v>
      </c>
      <c r="AA323" t="e">
        <f t="shared" ca="1" si="679"/>
        <v>#REF!</v>
      </c>
      <c r="AB323" t="e">
        <f t="shared" ca="1" si="679"/>
        <v>#REF!</v>
      </c>
      <c r="AC323" t="e">
        <f t="shared" ca="1" si="679"/>
        <v>#REF!</v>
      </c>
      <c r="AD323" t="e">
        <f t="shared" ca="1" si="679"/>
        <v>#REF!</v>
      </c>
      <c r="AE323" t="e">
        <f t="shared" ca="1" si="679"/>
        <v>#REF!</v>
      </c>
      <c r="AF323" t="e">
        <f t="shared" ca="1" si="679"/>
        <v>#REF!</v>
      </c>
      <c r="AG323" t="e">
        <f t="shared" ca="1" si="679"/>
        <v>#REF!</v>
      </c>
      <c r="AH323" t="e">
        <f t="shared" ca="1" si="679"/>
        <v>#REF!</v>
      </c>
      <c r="AI323" t="e">
        <f t="shared" ca="1" si="679"/>
        <v>#REF!</v>
      </c>
      <c r="AJ323" t="e">
        <f t="shared" ca="1" si="679"/>
        <v>#REF!</v>
      </c>
      <c r="AK323" t="e">
        <f t="shared" ca="1" si="679"/>
        <v>#REF!</v>
      </c>
      <c r="AL323" t="e">
        <f t="shared" ca="1" si="679"/>
        <v>#REF!</v>
      </c>
      <c r="AM323" t="e">
        <f t="shared" ca="1" si="679"/>
        <v>#REF!</v>
      </c>
    </row>
    <row r="324" spans="7:39" x14ac:dyDescent="0.2">
      <c r="G324" t="s">
        <v>84</v>
      </c>
      <c r="H324" t="s">
        <v>367</v>
      </c>
      <c r="I324" t="e">
        <f t="shared" ref="I324:AM324" ca="1" si="680">SUMIFS(I$202:I$308,$A$202:$A$308,$H324,$B$202:$B$308,$G324)*H$1/1000</f>
        <v>#REF!</v>
      </c>
      <c r="J324" t="e">
        <f t="shared" ca="1" si="680"/>
        <v>#REF!</v>
      </c>
      <c r="K324" t="e">
        <f t="shared" ca="1" si="680"/>
        <v>#REF!</v>
      </c>
      <c r="L324" t="e">
        <f t="shared" ca="1" si="680"/>
        <v>#REF!</v>
      </c>
      <c r="M324" t="e">
        <f t="shared" ca="1" si="680"/>
        <v>#REF!</v>
      </c>
      <c r="N324" t="e">
        <f t="shared" ca="1" si="680"/>
        <v>#REF!</v>
      </c>
      <c r="O324" t="e">
        <f t="shared" ca="1" si="680"/>
        <v>#REF!</v>
      </c>
      <c r="P324" t="e">
        <f t="shared" ca="1" si="680"/>
        <v>#REF!</v>
      </c>
      <c r="Q324" t="e">
        <f t="shared" ca="1" si="680"/>
        <v>#REF!</v>
      </c>
      <c r="R324" t="e">
        <f t="shared" ca="1" si="680"/>
        <v>#REF!</v>
      </c>
      <c r="S324" t="e">
        <f t="shared" ca="1" si="680"/>
        <v>#REF!</v>
      </c>
      <c r="T324" t="e">
        <f t="shared" ca="1" si="680"/>
        <v>#REF!</v>
      </c>
      <c r="U324" t="e">
        <f t="shared" ca="1" si="680"/>
        <v>#REF!</v>
      </c>
      <c r="V324" t="e">
        <f t="shared" ca="1" si="680"/>
        <v>#REF!</v>
      </c>
      <c r="W324" t="e">
        <f t="shared" ca="1" si="680"/>
        <v>#REF!</v>
      </c>
      <c r="X324" t="e">
        <f t="shared" ca="1" si="680"/>
        <v>#REF!</v>
      </c>
      <c r="Y324" t="e">
        <f t="shared" ca="1" si="680"/>
        <v>#REF!</v>
      </c>
      <c r="Z324" t="e">
        <f t="shared" ca="1" si="680"/>
        <v>#REF!</v>
      </c>
      <c r="AA324" t="e">
        <f t="shared" ca="1" si="680"/>
        <v>#REF!</v>
      </c>
      <c r="AB324" t="e">
        <f t="shared" ca="1" si="680"/>
        <v>#REF!</v>
      </c>
      <c r="AC324" t="e">
        <f t="shared" ca="1" si="680"/>
        <v>#REF!</v>
      </c>
      <c r="AD324" t="e">
        <f t="shared" ca="1" si="680"/>
        <v>#REF!</v>
      </c>
      <c r="AE324" t="e">
        <f t="shared" ca="1" si="680"/>
        <v>#REF!</v>
      </c>
      <c r="AF324" t="e">
        <f t="shared" ca="1" si="680"/>
        <v>#REF!</v>
      </c>
      <c r="AG324" t="e">
        <f t="shared" ca="1" si="680"/>
        <v>#REF!</v>
      </c>
      <c r="AH324" t="e">
        <f t="shared" ca="1" si="680"/>
        <v>#REF!</v>
      </c>
      <c r="AI324" t="e">
        <f t="shared" ca="1" si="680"/>
        <v>#REF!</v>
      </c>
      <c r="AJ324" t="e">
        <f t="shared" ca="1" si="680"/>
        <v>#REF!</v>
      </c>
      <c r="AK324" t="e">
        <f t="shared" ca="1" si="680"/>
        <v>#REF!</v>
      </c>
      <c r="AL324" t="e">
        <f t="shared" ca="1" si="680"/>
        <v>#REF!</v>
      </c>
      <c r="AM324" t="e">
        <f t="shared" ca="1" si="680"/>
        <v>#REF!</v>
      </c>
    </row>
    <row r="325" spans="7:39" x14ac:dyDescent="0.2">
      <c r="I325" t="e">
        <f ca="1">I322+I318+I314</f>
        <v>#REF!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70FE-1DB0-D94A-82A1-72AAA5139548}">
  <dimension ref="A1:AA50"/>
  <sheetViews>
    <sheetView topLeftCell="A2" zoomScale="130" zoomScaleNormal="130" workbookViewId="0">
      <selection activeCell="B2" sqref="B2"/>
    </sheetView>
  </sheetViews>
  <sheetFormatPr baseColWidth="10" defaultRowHeight="16" x14ac:dyDescent="0.2"/>
  <cols>
    <col min="1" max="1" width="16" customWidth="1"/>
    <col min="3" max="6" width="4.5" customWidth="1"/>
  </cols>
  <sheetData>
    <row r="1" spans="1:27" x14ac:dyDescent="0.2">
      <c r="A1" s="43" t="s">
        <v>229</v>
      </c>
      <c r="B1" s="43">
        <v>1</v>
      </c>
      <c r="C1" s="43" t="s">
        <v>84</v>
      </c>
      <c r="D1" t="s">
        <v>366</v>
      </c>
    </row>
    <row r="2" spans="1:27" x14ac:dyDescent="0.2">
      <c r="B2" t="s">
        <v>246</v>
      </c>
    </row>
    <row r="3" spans="1:27" x14ac:dyDescent="0.2">
      <c r="B3" s="25"/>
      <c r="C3" s="25"/>
      <c r="D3" s="25"/>
      <c r="E3" s="25"/>
      <c r="F3" s="25"/>
      <c r="L3" t="s">
        <v>277</v>
      </c>
      <c r="Y3" t="s">
        <v>306</v>
      </c>
    </row>
    <row r="4" spans="1:27" x14ac:dyDescent="0.2">
      <c r="B4" s="25"/>
      <c r="C4" s="25"/>
      <c r="D4" s="25"/>
      <c r="E4" s="25"/>
      <c r="F4" s="34" t="s">
        <v>273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 t="s">
        <v>239</v>
      </c>
      <c r="R4" s="34"/>
      <c r="S4" s="34"/>
      <c r="T4" s="34"/>
      <c r="U4" s="34"/>
      <c r="V4" s="34"/>
      <c r="W4" s="34" t="s">
        <v>247</v>
      </c>
      <c r="X4" s="34"/>
      <c r="Y4" s="34" t="s">
        <v>268</v>
      </c>
    </row>
    <row r="5" spans="1:27" s="5" customFormat="1" ht="85" x14ac:dyDescent="0.2">
      <c r="B5" s="7"/>
      <c r="C5" s="7"/>
      <c r="D5" s="7"/>
      <c r="E5" s="7"/>
      <c r="F5" s="35"/>
      <c r="G5" s="35" t="s">
        <v>231</v>
      </c>
      <c r="H5" s="35" t="s">
        <v>232</v>
      </c>
      <c r="I5" s="35" t="s">
        <v>211</v>
      </c>
      <c r="J5" s="35" t="s">
        <v>233</v>
      </c>
      <c r="K5" s="35" t="s">
        <v>234</v>
      </c>
      <c r="L5" s="35" t="s">
        <v>226</v>
      </c>
      <c r="M5" s="35" t="s">
        <v>279</v>
      </c>
      <c r="N5" s="35" t="s">
        <v>278</v>
      </c>
      <c r="O5" s="35" t="s">
        <v>236</v>
      </c>
      <c r="P5" s="35" t="s">
        <v>237</v>
      </c>
      <c r="Q5" s="35" t="s">
        <v>240</v>
      </c>
      <c r="R5" s="35" t="s">
        <v>241</v>
      </c>
      <c r="S5" s="35" t="s">
        <v>242</v>
      </c>
      <c r="T5" s="35" t="s">
        <v>243</v>
      </c>
      <c r="U5" s="35" t="s">
        <v>244</v>
      </c>
      <c r="V5" s="35" t="s">
        <v>245</v>
      </c>
      <c r="W5" s="35" t="s">
        <v>283</v>
      </c>
      <c r="X5" s="35" t="s">
        <v>282</v>
      </c>
      <c r="Y5" s="35" t="s">
        <v>276</v>
      </c>
    </row>
    <row r="6" spans="1:27" x14ac:dyDescent="0.2">
      <c r="B6" s="2"/>
      <c r="C6" s="2"/>
      <c r="D6" s="2"/>
      <c r="E6" s="2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 t="str">
        <f>[1]TECHNOLOGY!$C$5</f>
        <v>BM00X00</v>
      </c>
      <c r="R6" s="33" t="str">
        <f>[1]TECHNOLOGY!$C$6</f>
        <v>BW00X00</v>
      </c>
      <c r="S6" s="33" t="str">
        <f>[1]TECHNOLOGY!$C$10</f>
        <v>HF00I00</v>
      </c>
      <c r="T6" s="33" t="str">
        <f>[1]TECHNOLOGY!$C$11</f>
        <v>DS00I00</v>
      </c>
      <c r="U6" s="33" t="str">
        <f>[1]TECHNOLOGY!$C$12</f>
        <v>NG00X00</v>
      </c>
      <c r="V6" s="33" t="str">
        <f>[1]TECHNOLOGY!$C$13</f>
        <v>CO00X00</v>
      </c>
      <c r="W6" s="33" t="str">
        <f>[1]TECHNOLOGY!$C$14</f>
        <v>PWRTRN</v>
      </c>
      <c r="X6" s="33" t="str">
        <f>[1]TECHNOLOGY!$C$14</f>
        <v>PWRTRN</v>
      </c>
      <c r="Y6" s="33" t="s">
        <v>284</v>
      </c>
    </row>
    <row r="7" spans="1:27" x14ac:dyDescent="0.2">
      <c r="B7" s="32"/>
      <c r="C7" s="32"/>
      <c r="D7" s="32"/>
      <c r="E7" s="32"/>
      <c r="F7" s="32"/>
      <c r="G7" s="32">
        <f>SUMIFS(G$10:G$33,$B$10:$B$33,$B$1,$C$10:$C$33,$C$1)</f>
        <v>0.56000000000000005</v>
      </c>
      <c r="H7" s="32">
        <f>SUMIFS(H$10:H$33,$B$10:$B$33,$B$1,$C$10:$C$33,$C$1)</f>
        <v>1</v>
      </c>
      <c r="I7" s="32">
        <f t="shared" ref="I7" si="0">SUMIFS(I$10:I$28,$B$10:$B$28,$B$1,$C$10:$C$28,$C$1)</f>
        <v>0</v>
      </c>
      <c r="J7" s="32" t="s">
        <v>224</v>
      </c>
      <c r="K7" s="32">
        <f t="shared" ref="K7:P7" si="1">SUMIFS(K$10:K$33,$B$10:$B$33,$B$1,$C$10:$C$33,$C$1)</f>
        <v>1</v>
      </c>
      <c r="L7" s="32">
        <f t="shared" si="1"/>
        <v>0</v>
      </c>
      <c r="M7" s="32">
        <f t="shared" si="1"/>
        <v>1</v>
      </c>
      <c r="N7" s="32">
        <f t="shared" si="1"/>
        <v>0</v>
      </c>
      <c r="O7" s="32">
        <f t="shared" si="1"/>
        <v>0</v>
      </c>
      <c r="P7" s="32">
        <f t="shared" si="1"/>
        <v>1</v>
      </c>
      <c r="Q7" s="32">
        <v>1</v>
      </c>
      <c r="R7" s="32">
        <f t="shared" ref="R7:X7" si="2">SUMIFS(R$10:R$33,$B$10:$B$33,$B$1,$C$10:$C$33,$C$1)</f>
        <v>1</v>
      </c>
      <c r="S7" s="32">
        <f t="shared" si="2"/>
        <v>1</v>
      </c>
      <c r="T7" s="32">
        <f t="shared" si="2"/>
        <v>1</v>
      </c>
      <c r="U7" s="32">
        <f t="shared" si="2"/>
        <v>1</v>
      </c>
      <c r="V7" s="32">
        <f t="shared" si="2"/>
        <v>1</v>
      </c>
      <c r="W7" s="32">
        <f t="shared" si="2"/>
        <v>0.8</v>
      </c>
      <c r="X7" s="32">
        <f t="shared" si="2"/>
        <v>0.95</v>
      </c>
      <c r="Y7" s="40" t="str" cm="1">
        <f t="array" ref="Y7">INDEX(Y10:Y33,MATCH(1,(B10:B33=B1)*(C10:C33=C1),0))</f>
        <v>M50</v>
      </c>
    </row>
    <row r="8" spans="1:27" x14ac:dyDescent="0.2">
      <c r="B8" s="24"/>
      <c r="C8" s="24"/>
      <c r="D8" s="24"/>
      <c r="E8" s="24"/>
      <c r="F8" s="24"/>
      <c r="G8" s="26" t="s">
        <v>230</v>
      </c>
      <c r="H8" s="26"/>
      <c r="I8" s="26"/>
      <c r="J8" s="24"/>
      <c r="K8" s="24"/>
      <c r="L8" s="24"/>
      <c r="M8" s="24"/>
      <c r="N8" s="24"/>
      <c r="O8" s="26"/>
      <c r="P8" s="24"/>
      <c r="Q8" s="26" t="s">
        <v>272</v>
      </c>
      <c r="R8" s="26"/>
      <c r="S8" s="26"/>
      <c r="T8" s="26"/>
      <c r="U8" s="26"/>
      <c r="V8" s="26"/>
      <c r="W8" s="24"/>
      <c r="X8" s="24"/>
      <c r="Y8" s="26"/>
    </row>
    <row r="9" spans="1:27" x14ac:dyDescent="0.2">
      <c r="A9" t="s">
        <v>225</v>
      </c>
      <c r="B9" s="24"/>
      <c r="C9" s="24" t="s">
        <v>238</v>
      </c>
      <c r="D9" s="24"/>
      <c r="E9" s="24"/>
      <c r="F9" s="24"/>
      <c r="G9" s="26"/>
      <c r="H9" s="26"/>
      <c r="I9" s="26"/>
      <c r="J9" s="24"/>
      <c r="K9" s="24"/>
      <c r="L9" s="24"/>
      <c r="M9" s="24"/>
      <c r="N9" s="24"/>
      <c r="O9" s="26"/>
      <c r="P9" s="24"/>
      <c r="Q9" s="26"/>
      <c r="R9" s="26"/>
      <c r="S9" s="26"/>
      <c r="T9" s="26"/>
      <c r="U9" s="26"/>
      <c r="V9" s="26"/>
      <c r="W9" s="24"/>
      <c r="X9" s="24"/>
      <c r="Y9" s="26"/>
    </row>
    <row r="10" spans="1:27" x14ac:dyDescent="0.2">
      <c r="A10" t="s">
        <v>227</v>
      </c>
      <c r="B10" s="24">
        <v>1</v>
      </c>
      <c r="C10" s="24" t="s">
        <v>52</v>
      </c>
      <c r="D10" s="24"/>
      <c r="E10" s="24"/>
      <c r="F10" s="24"/>
      <c r="G10" s="26">
        <v>0.56000000000000005</v>
      </c>
      <c r="H10" s="26">
        <v>1</v>
      </c>
      <c r="I10" s="26" t="s">
        <v>235</v>
      </c>
      <c r="J10" s="24">
        <v>1</v>
      </c>
      <c r="K10" s="24">
        <v>1</v>
      </c>
      <c r="L10" s="24">
        <v>0</v>
      </c>
      <c r="M10" s="24">
        <v>1</v>
      </c>
      <c r="N10" s="24">
        <v>0</v>
      </c>
      <c r="O10" s="39">
        <v>0</v>
      </c>
      <c r="P10" s="24">
        <v>1</v>
      </c>
      <c r="Q10" s="26">
        <v>1</v>
      </c>
      <c r="R10" s="26">
        <v>1</v>
      </c>
      <c r="S10" s="26">
        <v>1</v>
      </c>
      <c r="T10" s="26">
        <v>1</v>
      </c>
      <c r="U10" s="26">
        <v>1</v>
      </c>
      <c r="V10" s="26">
        <v>1</v>
      </c>
      <c r="W10" s="24">
        <v>0.8</v>
      </c>
      <c r="X10" s="24">
        <v>0.95</v>
      </c>
      <c r="Y10" s="41" t="s">
        <v>366</v>
      </c>
      <c r="AA10">
        <v>1.5</v>
      </c>
    </row>
    <row r="11" spans="1:27" x14ac:dyDescent="0.2">
      <c r="B11" s="24">
        <v>1</v>
      </c>
      <c r="C11" s="24" t="s">
        <v>79</v>
      </c>
      <c r="D11" s="24"/>
      <c r="E11" s="24"/>
      <c r="F11" s="24"/>
      <c r="G11" s="26">
        <v>0.56000000000000005</v>
      </c>
      <c r="H11" s="26">
        <v>1</v>
      </c>
      <c r="I11" s="26" t="s">
        <v>235</v>
      </c>
      <c r="J11" s="24">
        <v>1</v>
      </c>
      <c r="K11" s="24">
        <v>1</v>
      </c>
      <c r="L11" s="24">
        <v>0</v>
      </c>
      <c r="M11" s="24">
        <v>1</v>
      </c>
      <c r="N11" s="24">
        <v>0</v>
      </c>
      <c r="O11" s="39">
        <v>0</v>
      </c>
      <c r="P11" s="24">
        <v>1</v>
      </c>
      <c r="Q11" s="26">
        <v>1</v>
      </c>
      <c r="R11" s="26">
        <v>1</v>
      </c>
      <c r="S11" s="26">
        <v>1</v>
      </c>
      <c r="T11" s="26">
        <v>1</v>
      </c>
      <c r="U11" s="26">
        <v>1</v>
      </c>
      <c r="V11" s="26">
        <v>1</v>
      </c>
      <c r="W11" s="24">
        <v>0.8</v>
      </c>
      <c r="X11" s="24">
        <v>0.95</v>
      </c>
      <c r="Y11" s="41" t="s">
        <v>366</v>
      </c>
    </row>
    <row r="12" spans="1:27" x14ac:dyDescent="0.2">
      <c r="B12" s="24">
        <v>1</v>
      </c>
      <c r="C12" s="24" t="s">
        <v>84</v>
      </c>
      <c r="D12" s="24"/>
      <c r="E12" s="24"/>
      <c r="F12" s="24"/>
      <c r="G12" s="26">
        <v>0.56000000000000005</v>
      </c>
      <c r="H12" s="26">
        <v>1</v>
      </c>
      <c r="I12" s="26" t="s">
        <v>235</v>
      </c>
      <c r="J12" s="24">
        <v>1</v>
      </c>
      <c r="K12" s="24">
        <v>1</v>
      </c>
      <c r="L12" s="24">
        <v>0</v>
      </c>
      <c r="M12" s="24">
        <v>1</v>
      </c>
      <c r="N12" s="24">
        <v>0</v>
      </c>
      <c r="O12" s="39">
        <v>0</v>
      </c>
      <c r="P12" s="24">
        <v>1</v>
      </c>
      <c r="Q12" s="26">
        <v>1</v>
      </c>
      <c r="R12" s="26">
        <v>1</v>
      </c>
      <c r="S12" s="26">
        <v>1</v>
      </c>
      <c r="T12" s="26">
        <v>1</v>
      </c>
      <c r="U12" s="26">
        <v>1</v>
      </c>
      <c r="V12" s="26">
        <v>1</v>
      </c>
      <c r="W12" s="24">
        <v>0.8</v>
      </c>
      <c r="X12" s="24">
        <v>0.95</v>
      </c>
      <c r="Y12" s="41" t="s">
        <v>366</v>
      </c>
    </row>
    <row r="13" spans="1:27" x14ac:dyDescent="0.2">
      <c r="A13" t="s">
        <v>228</v>
      </c>
      <c r="B13" s="24">
        <v>2</v>
      </c>
      <c r="C13" s="57" t="s">
        <v>52</v>
      </c>
      <c r="D13" s="57"/>
      <c r="E13" s="57"/>
      <c r="F13" s="57"/>
      <c r="G13" s="58">
        <v>0.56000000000000005</v>
      </c>
      <c r="H13" s="58">
        <v>1</v>
      </c>
      <c r="I13" s="58" t="s">
        <v>235</v>
      </c>
      <c r="J13" s="57">
        <v>1</v>
      </c>
      <c r="K13" s="57">
        <v>1</v>
      </c>
      <c r="L13" s="57">
        <v>0</v>
      </c>
      <c r="M13" s="57">
        <v>1</v>
      </c>
      <c r="N13" s="24">
        <v>0</v>
      </c>
      <c r="O13" s="59">
        <v>0</v>
      </c>
      <c r="P13" s="57">
        <v>1</v>
      </c>
      <c r="Q13" s="58">
        <v>1</v>
      </c>
      <c r="R13" s="58">
        <v>1</v>
      </c>
      <c r="S13" s="58">
        <v>1</v>
      </c>
      <c r="T13" s="58">
        <v>1</v>
      </c>
      <c r="U13" s="58">
        <v>1</v>
      </c>
      <c r="V13" s="58">
        <v>1</v>
      </c>
      <c r="W13" s="57">
        <v>0.8</v>
      </c>
      <c r="X13" s="57">
        <v>0.95</v>
      </c>
      <c r="Y13" s="60" t="s">
        <v>363</v>
      </c>
      <c r="AA13">
        <v>0.6</v>
      </c>
    </row>
    <row r="14" spans="1:27" x14ac:dyDescent="0.2">
      <c r="B14" s="24">
        <v>2</v>
      </c>
      <c r="C14" s="57" t="s">
        <v>79</v>
      </c>
      <c r="D14" s="57"/>
      <c r="E14" s="57"/>
      <c r="F14" s="57"/>
      <c r="G14" s="58">
        <v>0.56000000000000005</v>
      </c>
      <c r="H14" s="58">
        <v>1</v>
      </c>
      <c r="I14" s="58" t="s">
        <v>235</v>
      </c>
      <c r="J14" s="57">
        <v>1</v>
      </c>
      <c r="K14" s="57">
        <v>1</v>
      </c>
      <c r="L14" s="57">
        <v>0</v>
      </c>
      <c r="M14" s="57">
        <v>1</v>
      </c>
      <c r="N14" s="24">
        <v>0</v>
      </c>
      <c r="O14" s="59">
        <v>0</v>
      </c>
      <c r="P14" s="57">
        <v>1</v>
      </c>
      <c r="Q14" s="58">
        <v>1</v>
      </c>
      <c r="R14" s="58">
        <v>1</v>
      </c>
      <c r="S14" s="58">
        <v>1</v>
      </c>
      <c r="T14" s="58">
        <v>1</v>
      </c>
      <c r="U14" s="58">
        <v>1</v>
      </c>
      <c r="V14" s="58">
        <v>1</v>
      </c>
      <c r="W14" s="57">
        <v>0.8</v>
      </c>
      <c r="X14" s="57">
        <v>0.95</v>
      </c>
      <c r="Y14" s="60" t="s">
        <v>363</v>
      </c>
      <c r="AA14">
        <v>0.45</v>
      </c>
    </row>
    <row r="15" spans="1:27" x14ac:dyDescent="0.2">
      <c r="B15" s="24">
        <v>2</v>
      </c>
      <c r="C15" s="57" t="s">
        <v>84</v>
      </c>
      <c r="D15" s="57"/>
      <c r="E15" s="57"/>
      <c r="F15" s="57"/>
      <c r="G15" s="58">
        <v>0.56000000000000005</v>
      </c>
      <c r="H15" s="58">
        <v>1</v>
      </c>
      <c r="I15" s="58" t="s">
        <v>235</v>
      </c>
      <c r="J15" s="57">
        <v>1</v>
      </c>
      <c r="K15" s="57">
        <v>1</v>
      </c>
      <c r="L15" s="57">
        <v>0</v>
      </c>
      <c r="M15" s="57">
        <v>1</v>
      </c>
      <c r="N15" s="24">
        <v>0</v>
      </c>
      <c r="O15" s="59">
        <v>0</v>
      </c>
      <c r="P15" s="57">
        <v>1</v>
      </c>
      <c r="Q15" s="58">
        <v>1</v>
      </c>
      <c r="R15" s="58">
        <v>1</v>
      </c>
      <c r="S15" s="58">
        <v>1</v>
      </c>
      <c r="T15" s="58">
        <v>1</v>
      </c>
      <c r="U15" s="58">
        <v>1</v>
      </c>
      <c r="V15" s="58">
        <v>1</v>
      </c>
      <c r="W15" s="57">
        <v>0.8</v>
      </c>
      <c r="X15" s="57">
        <v>0.95</v>
      </c>
      <c r="Y15" s="60" t="s">
        <v>363</v>
      </c>
      <c r="AA15">
        <v>0.5</v>
      </c>
    </row>
    <row r="16" spans="1:27" x14ac:dyDescent="0.2">
      <c r="B16" s="24">
        <v>3</v>
      </c>
      <c r="C16" s="24" t="s">
        <v>52</v>
      </c>
      <c r="D16" s="24"/>
      <c r="E16" s="24"/>
      <c r="F16" s="24"/>
      <c r="G16" s="26">
        <v>0.56000000000000005</v>
      </c>
      <c r="H16" s="26">
        <v>1</v>
      </c>
      <c r="I16" s="26" t="s">
        <v>235</v>
      </c>
      <c r="J16" s="24">
        <v>1</v>
      </c>
      <c r="K16" s="24">
        <v>1</v>
      </c>
      <c r="L16" s="24">
        <v>0</v>
      </c>
      <c r="M16" s="24">
        <v>1</v>
      </c>
      <c r="N16" s="24">
        <v>0</v>
      </c>
      <c r="O16" s="39">
        <v>0</v>
      </c>
      <c r="P16" s="24">
        <v>1</v>
      </c>
      <c r="Q16" s="26">
        <v>1</v>
      </c>
      <c r="R16" s="26">
        <v>1</v>
      </c>
      <c r="S16" s="26">
        <v>1</v>
      </c>
      <c r="T16" s="26">
        <v>1</v>
      </c>
      <c r="U16" s="26">
        <v>1</v>
      </c>
      <c r="V16" s="26">
        <v>1</v>
      </c>
      <c r="W16" s="24">
        <v>0.8</v>
      </c>
      <c r="X16" s="24">
        <v>0.95</v>
      </c>
      <c r="Y16" s="41" t="s">
        <v>367</v>
      </c>
      <c r="AA16">
        <v>0.7</v>
      </c>
    </row>
    <row r="17" spans="1:27" x14ac:dyDescent="0.2">
      <c r="B17" s="24">
        <v>3</v>
      </c>
      <c r="C17" s="24" t="s">
        <v>79</v>
      </c>
      <c r="D17" s="24"/>
      <c r="E17" s="24"/>
      <c r="F17" s="24"/>
      <c r="G17" s="26">
        <v>0.56000000000000005</v>
      </c>
      <c r="H17" s="26">
        <v>1</v>
      </c>
      <c r="I17" s="26" t="s">
        <v>235</v>
      </c>
      <c r="J17" s="24">
        <v>1</v>
      </c>
      <c r="K17" s="24">
        <v>1</v>
      </c>
      <c r="L17" s="24">
        <v>0</v>
      </c>
      <c r="M17" s="24">
        <v>1</v>
      </c>
      <c r="N17" s="24">
        <v>0</v>
      </c>
      <c r="O17" s="39">
        <v>0</v>
      </c>
      <c r="P17" s="24">
        <v>1</v>
      </c>
      <c r="Q17" s="26">
        <v>1</v>
      </c>
      <c r="R17" s="26">
        <v>1</v>
      </c>
      <c r="S17" s="26">
        <v>1</v>
      </c>
      <c r="T17" s="26">
        <v>1</v>
      </c>
      <c r="U17" s="26">
        <v>1</v>
      </c>
      <c r="V17" s="26">
        <v>1</v>
      </c>
      <c r="W17" s="24">
        <v>0.8</v>
      </c>
      <c r="X17" s="24">
        <v>0.95</v>
      </c>
      <c r="Y17" s="41" t="s">
        <v>367</v>
      </c>
      <c r="AA17">
        <v>0.8</v>
      </c>
    </row>
    <row r="18" spans="1:27" x14ac:dyDescent="0.2">
      <c r="B18" s="24">
        <v>3</v>
      </c>
      <c r="C18" s="24" t="s">
        <v>84</v>
      </c>
      <c r="D18" s="24"/>
      <c r="E18" s="24"/>
      <c r="F18" s="24"/>
      <c r="G18" s="26">
        <v>0.56000000000000005</v>
      </c>
      <c r="H18" s="26">
        <v>1</v>
      </c>
      <c r="I18" s="26" t="s">
        <v>235</v>
      </c>
      <c r="J18" s="24">
        <v>1</v>
      </c>
      <c r="K18" s="24">
        <v>1</v>
      </c>
      <c r="L18" s="24">
        <v>0</v>
      </c>
      <c r="M18" s="24">
        <v>1</v>
      </c>
      <c r="N18" s="24">
        <v>0</v>
      </c>
      <c r="O18" s="39">
        <v>0</v>
      </c>
      <c r="P18" s="24">
        <v>1</v>
      </c>
      <c r="Q18" s="26">
        <v>1</v>
      </c>
      <c r="R18" s="26">
        <v>1</v>
      </c>
      <c r="S18" s="26">
        <v>1</v>
      </c>
      <c r="T18" s="26">
        <v>1</v>
      </c>
      <c r="U18" s="26">
        <v>1</v>
      </c>
      <c r="V18" s="26">
        <v>1</v>
      </c>
      <c r="W18" s="24">
        <v>0.8</v>
      </c>
      <c r="X18" s="24">
        <v>0.95</v>
      </c>
      <c r="Y18" s="41" t="s">
        <v>367</v>
      </c>
      <c r="AA18">
        <v>1.4</v>
      </c>
    </row>
    <row r="19" spans="1:27" x14ac:dyDescent="0.2">
      <c r="A19" t="s">
        <v>239</v>
      </c>
      <c r="B19" s="24">
        <v>4</v>
      </c>
      <c r="C19" s="57" t="s">
        <v>52</v>
      </c>
      <c r="D19" s="57"/>
      <c r="E19" s="57"/>
      <c r="F19" s="57"/>
      <c r="G19" s="58">
        <v>0.56000000000000005</v>
      </c>
      <c r="H19" s="58">
        <v>1</v>
      </c>
      <c r="I19" s="58" t="s">
        <v>235</v>
      </c>
      <c r="J19" s="57">
        <v>1</v>
      </c>
      <c r="K19" s="57">
        <v>1</v>
      </c>
      <c r="L19" s="57">
        <v>0</v>
      </c>
      <c r="M19" s="57">
        <v>1</v>
      </c>
      <c r="N19" s="24">
        <v>0</v>
      </c>
      <c r="O19" s="59">
        <v>1</v>
      </c>
      <c r="P19" s="57">
        <v>1</v>
      </c>
      <c r="Q19" s="58">
        <v>1</v>
      </c>
      <c r="R19" s="58">
        <v>1</v>
      </c>
      <c r="S19" s="58">
        <v>1</v>
      </c>
      <c r="T19" s="58">
        <v>1</v>
      </c>
      <c r="U19" s="58">
        <v>1</v>
      </c>
      <c r="V19" s="58">
        <v>1</v>
      </c>
      <c r="W19" s="57">
        <v>0.8</v>
      </c>
      <c r="X19" s="57">
        <v>0.95</v>
      </c>
      <c r="Y19" s="41" t="s">
        <v>366</v>
      </c>
      <c r="AA19">
        <v>1.5</v>
      </c>
    </row>
    <row r="20" spans="1:27" x14ac:dyDescent="0.2">
      <c r="B20" s="24">
        <v>4</v>
      </c>
      <c r="C20" s="57" t="s">
        <v>79</v>
      </c>
      <c r="D20" s="57"/>
      <c r="E20" s="57"/>
      <c r="F20" s="57"/>
      <c r="G20" s="58">
        <v>0.56000000000000005</v>
      </c>
      <c r="H20" s="58">
        <v>1</v>
      </c>
      <c r="I20" s="58" t="s">
        <v>235</v>
      </c>
      <c r="J20" s="57">
        <v>1</v>
      </c>
      <c r="K20" s="57">
        <v>1</v>
      </c>
      <c r="L20" s="57">
        <v>0</v>
      </c>
      <c r="M20" s="57">
        <v>1</v>
      </c>
      <c r="N20" s="24">
        <v>0</v>
      </c>
      <c r="O20" s="59">
        <v>1</v>
      </c>
      <c r="P20" s="57">
        <v>1</v>
      </c>
      <c r="Q20" s="58">
        <v>1</v>
      </c>
      <c r="R20" s="58">
        <v>1</v>
      </c>
      <c r="S20" s="58">
        <v>1</v>
      </c>
      <c r="T20" s="58">
        <v>1</v>
      </c>
      <c r="U20" s="58">
        <v>1</v>
      </c>
      <c r="V20" s="58">
        <v>1</v>
      </c>
      <c r="W20" s="57">
        <v>0.8</v>
      </c>
      <c r="X20" s="57">
        <v>0.95</v>
      </c>
      <c r="Y20" s="41" t="s">
        <v>366</v>
      </c>
      <c r="AA20">
        <f>SUM(AA10:AA19)</f>
        <v>7.4499999999999993</v>
      </c>
    </row>
    <row r="21" spans="1:27" x14ac:dyDescent="0.2">
      <c r="B21" s="24">
        <v>4</v>
      </c>
      <c r="C21" s="57" t="s">
        <v>84</v>
      </c>
      <c r="D21" s="57"/>
      <c r="E21" s="57"/>
      <c r="F21" s="57"/>
      <c r="G21" s="58">
        <v>0.56000000000000005</v>
      </c>
      <c r="H21" s="58">
        <v>1</v>
      </c>
      <c r="I21" s="58" t="s">
        <v>235</v>
      </c>
      <c r="J21" s="57">
        <v>1</v>
      </c>
      <c r="K21" s="57">
        <v>1</v>
      </c>
      <c r="L21" s="57">
        <v>0</v>
      </c>
      <c r="M21" s="57">
        <v>1</v>
      </c>
      <c r="N21" s="24">
        <v>0</v>
      </c>
      <c r="O21" s="59">
        <v>0</v>
      </c>
      <c r="P21" s="57">
        <v>1</v>
      </c>
      <c r="Q21" s="58">
        <v>1</v>
      </c>
      <c r="R21" s="58">
        <v>1</v>
      </c>
      <c r="S21" s="58">
        <v>2</v>
      </c>
      <c r="T21" s="58">
        <v>2</v>
      </c>
      <c r="U21" s="58">
        <v>2</v>
      </c>
      <c r="V21" s="58">
        <v>1</v>
      </c>
      <c r="W21" s="57">
        <v>0.8</v>
      </c>
      <c r="X21" s="57">
        <v>0.95</v>
      </c>
      <c r="Y21" s="41" t="s">
        <v>366</v>
      </c>
    </row>
    <row r="22" spans="1:27" x14ac:dyDescent="0.2">
      <c r="A22" t="s">
        <v>416</v>
      </c>
      <c r="B22" s="24">
        <v>5</v>
      </c>
      <c r="C22" s="24" t="s">
        <v>52</v>
      </c>
      <c r="D22" s="24"/>
      <c r="E22" s="24"/>
      <c r="F22" s="24"/>
      <c r="G22" s="26">
        <v>0.56000000000000005</v>
      </c>
      <c r="H22" s="26">
        <v>1</v>
      </c>
      <c r="I22" s="26" t="s">
        <v>235</v>
      </c>
      <c r="J22" s="24">
        <v>1</v>
      </c>
      <c r="K22" s="24">
        <v>1</v>
      </c>
      <c r="L22" s="24">
        <v>-200</v>
      </c>
      <c r="M22" s="24">
        <v>1</v>
      </c>
      <c r="N22" s="24">
        <v>-200</v>
      </c>
      <c r="O22" s="39">
        <v>0</v>
      </c>
      <c r="P22" s="24">
        <v>1</v>
      </c>
      <c r="Q22" s="26">
        <v>1</v>
      </c>
      <c r="R22" s="26">
        <v>1</v>
      </c>
      <c r="S22" s="26">
        <v>1</v>
      </c>
      <c r="T22" s="26">
        <v>1</v>
      </c>
      <c r="U22" s="26">
        <v>1</v>
      </c>
      <c r="V22" s="26">
        <v>1</v>
      </c>
      <c r="W22" s="24">
        <v>0.8</v>
      </c>
      <c r="X22" s="24">
        <v>0.95</v>
      </c>
      <c r="Y22" s="41" t="s">
        <v>366</v>
      </c>
    </row>
    <row r="23" spans="1:27" x14ac:dyDescent="0.2">
      <c r="B23" s="24">
        <v>5</v>
      </c>
      <c r="C23" s="24" t="s">
        <v>79</v>
      </c>
      <c r="D23" s="24"/>
      <c r="E23" s="24"/>
      <c r="F23" s="24"/>
      <c r="G23" s="26">
        <v>0.56000000000000005</v>
      </c>
      <c r="H23" s="26">
        <v>1</v>
      </c>
      <c r="I23" s="26" t="s">
        <v>235</v>
      </c>
      <c r="J23" s="24">
        <v>1</v>
      </c>
      <c r="K23" s="24">
        <v>1</v>
      </c>
      <c r="L23" s="24">
        <v>-200</v>
      </c>
      <c r="M23" s="24">
        <v>1</v>
      </c>
      <c r="N23" s="24">
        <v>-200</v>
      </c>
      <c r="O23" s="39">
        <v>0</v>
      </c>
      <c r="P23" s="24">
        <v>1</v>
      </c>
      <c r="Q23" s="26">
        <v>1</v>
      </c>
      <c r="R23" s="26">
        <v>1</v>
      </c>
      <c r="S23" s="26">
        <v>1</v>
      </c>
      <c r="T23" s="26">
        <v>1</v>
      </c>
      <c r="U23" s="26">
        <v>1</v>
      </c>
      <c r="V23" s="26">
        <v>1</v>
      </c>
      <c r="W23" s="24">
        <v>0.8</v>
      </c>
      <c r="X23" s="24">
        <v>0.95</v>
      </c>
      <c r="Y23" s="41" t="s">
        <v>366</v>
      </c>
    </row>
    <row r="24" spans="1:27" x14ac:dyDescent="0.2">
      <c r="B24" s="24">
        <v>5</v>
      </c>
      <c r="C24" s="24" t="s">
        <v>84</v>
      </c>
      <c r="D24" s="24"/>
      <c r="E24" s="24"/>
      <c r="F24" s="24"/>
      <c r="G24" s="26">
        <v>0.56000000000000005</v>
      </c>
      <c r="H24" s="26">
        <v>1</v>
      </c>
      <c r="I24" s="26" t="s">
        <v>235</v>
      </c>
      <c r="J24" s="24">
        <v>1</v>
      </c>
      <c r="K24" s="24">
        <v>1</v>
      </c>
      <c r="L24" s="24">
        <v>-200</v>
      </c>
      <c r="M24" s="24">
        <v>1</v>
      </c>
      <c r="N24" s="24">
        <v>-200</v>
      </c>
      <c r="O24" s="39">
        <v>0</v>
      </c>
      <c r="P24" s="24">
        <v>1</v>
      </c>
      <c r="Q24" s="26">
        <v>1</v>
      </c>
      <c r="R24" s="26">
        <v>1</v>
      </c>
      <c r="S24" s="26">
        <v>1</v>
      </c>
      <c r="T24" s="26">
        <v>1</v>
      </c>
      <c r="U24" s="26">
        <v>1</v>
      </c>
      <c r="V24" s="26">
        <v>1</v>
      </c>
      <c r="W24" s="24">
        <v>0.8</v>
      </c>
      <c r="X24" s="24">
        <v>0.95</v>
      </c>
      <c r="Y24" s="41" t="s">
        <v>366</v>
      </c>
    </row>
    <row r="25" spans="1:27" x14ac:dyDescent="0.2">
      <c r="A25" t="s">
        <v>417</v>
      </c>
      <c r="B25" s="24">
        <v>6</v>
      </c>
      <c r="C25" s="57" t="s">
        <v>52</v>
      </c>
      <c r="D25" s="57"/>
      <c r="E25" s="57"/>
      <c r="F25" s="57"/>
      <c r="G25" s="58">
        <v>0.56000000000000005</v>
      </c>
      <c r="H25" s="58">
        <v>1</v>
      </c>
      <c r="I25" s="58" t="s">
        <v>235</v>
      </c>
      <c r="J25" s="57">
        <v>1</v>
      </c>
      <c r="K25" s="57">
        <v>1</v>
      </c>
      <c r="L25" s="57">
        <v>0</v>
      </c>
      <c r="M25" s="57">
        <v>1</v>
      </c>
      <c r="N25" s="57">
        <v>0</v>
      </c>
      <c r="O25" s="59">
        <v>0</v>
      </c>
      <c r="P25" s="57">
        <v>1</v>
      </c>
      <c r="Q25" s="58">
        <v>1</v>
      </c>
      <c r="R25" s="58">
        <v>1</v>
      </c>
      <c r="S25" s="58">
        <v>3</v>
      </c>
      <c r="T25" s="58">
        <v>3</v>
      </c>
      <c r="U25" s="58">
        <v>3</v>
      </c>
      <c r="V25" s="58">
        <v>1</v>
      </c>
      <c r="W25" s="57">
        <v>0.8</v>
      </c>
      <c r="X25" s="57">
        <v>0.95</v>
      </c>
      <c r="Y25" s="41" t="s">
        <v>366</v>
      </c>
    </row>
    <row r="26" spans="1:27" x14ac:dyDescent="0.2">
      <c r="B26" s="24">
        <v>6</v>
      </c>
      <c r="C26" s="57" t="s">
        <v>79</v>
      </c>
      <c r="D26" s="57"/>
      <c r="E26" s="57"/>
      <c r="F26" s="57"/>
      <c r="G26" s="58">
        <v>0.56000000000000005</v>
      </c>
      <c r="H26" s="58">
        <v>1</v>
      </c>
      <c r="I26" s="58" t="s">
        <v>235</v>
      </c>
      <c r="J26" s="57">
        <v>1</v>
      </c>
      <c r="K26" s="57">
        <v>1</v>
      </c>
      <c r="L26" s="57">
        <v>0</v>
      </c>
      <c r="M26" s="57">
        <v>1</v>
      </c>
      <c r="N26" s="57">
        <v>0</v>
      </c>
      <c r="O26" s="59">
        <v>0</v>
      </c>
      <c r="P26" s="57">
        <v>1</v>
      </c>
      <c r="Q26" s="58">
        <v>1</v>
      </c>
      <c r="R26" s="58">
        <v>1</v>
      </c>
      <c r="S26" s="58">
        <v>3</v>
      </c>
      <c r="T26" s="58">
        <v>3</v>
      </c>
      <c r="U26" s="58">
        <v>3</v>
      </c>
      <c r="V26" s="58">
        <v>1</v>
      </c>
      <c r="W26" s="57">
        <v>0.8</v>
      </c>
      <c r="X26" s="57">
        <v>0.95</v>
      </c>
      <c r="Y26" s="41" t="s">
        <v>366</v>
      </c>
    </row>
    <row r="27" spans="1:27" x14ac:dyDescent="0.2">
      <c r="B27" s="24">
        <v>6</v>
      </c>
      <c r="C27" s="57" t="s">
        <v>84</v>
      </c>
      <c r="D27" s="57"/>
      <c r="E27" s="57"/>
      <c r="F27" s="57"/>
      <c r="G27" s="58">
        <v>0.56000000000000005</v>
      </c>
      <c r="H27" s="58">
        <v>1</v>
      </c>
      <c r="I27" s="58" t="s">
        <v>235</v>
      </c>
      <c r="J27" s="57">
        <v>1</v>
      </c>
      <c r="K27" s="57">
        <v>1</v>
      </c>
      <c r="L27" s="57">
        <v>0</v>
      </c>
      <c r="M27" s="57">
        <v>1</v>
      </c>
      <c r="N27" s="57">
        <v>0</v>
      </c>
      <c r="O27" s="59">
        <v>0</v>
      </c>
      <c r="P27" s="57">
        <v>1</v>
      </c>
      <c r="Q27" s="58">
        <v>1</v>
      </c>
      <c r="R27" s="58">
        <v>1</v>
      </c>
      <c r="S27" s="58">
        <v>3</v>
      </c>
      <c r="T27" s="58">
        <v>3</v>
      </c>
      <c r="U27" s="58">
        <v>3</v>
      </c>
      <c r="V27" s="58">
        <v>1</v>
      </c>
      <c r="W27" s="57">
        <v>0.8</v>
      </c>
      <c r="X27" s="57">
        <v>0.95</v>
      </c>
      <c r="Y27" s="41" t="s">
        <v>366</v>
      </c>
    </row>
    <row r="28" spans="1:27" x14ac:dyDescent="0.2">
      <c r="A28" t="s">
        <v>416</v>
      </c>
      <c r="B28" s="24">
        <v>7</v>
      </c>
      <c r="C28" s="24" t="s">
        <v>52</v>
      </c>
      <c r="D28" s="24"/>
      <c r="E28" s="24"/>
      <c r="F28" s="24"/>
      <c r="G28" s="26">
        <v>0.56000000000000005</v>
      </c>
      <c r="H28" s="26">
        <v>1</v>
      </c>
      <c r="I28" s="26" t="s">
        <v>235</v>
      </c>
      <c r="J28" s="24">
        <v>1</v>
      </c>
      <c r="K28" s="24">
        <v>1</v>
      </c>
      <c r="L28" s="24">
        <v>-200</v>
      </c>
      <c r="M28" s="24">
        <v>1</v>
      </c>
      <c r="N28" s="24">
        <v>-200</v>
      </c>
      <c r="O28" s="39">
        <v>0</v>
      </c>
      <c r="P28" s="24">
        <v>1</v>
      </c>
      <c r="Q28" s="26">
        <v>1</v>
      </c>
      <c r="R28" s="26">
        <v>1</v>
      </c>
      <c r="S28" s="26">
        <v>3</v>
      </c>
      <c r="T28" s="26">
        <v>3</v>
      </c>
      <c r="U28" s="26">
        <v>3</v>
      </c>
      <c r="V28" s="26">
        <v>1</v>
      </c>
      <c r="W28" s="24">
        <v>0.8</v>
      </c>
      <c r="X28" s="24">
        <v>0.95</v>
      </c>
      <c r="Y28" s="41" t="s">
        <v>366</v>
      </c>
    </row>
    <row r="29" spans="1:27" x14ac:dyDescent="0.2">
      <c r="B29" s="24">
        <v>7</v>
      </c>
      <c r="C29" s="24" t="s">
        <v>79</v>
      </c>
      <c r="D29" s="24"/>
      <c r="E29" s="24"/>
      <c r="F29" s="24"/>
      <c r="G29" s="26">
        <v>0.56000000000000005</v>
      </c>
      <c r="H29" s="26">
        <v>1</v>
      </c>
      <c r="I29" s="26" t="s">
        <v>235</v>
      </c>
      <c r="J29" s="24">
        <v>1</v>
      </c>
      <c r="K29" s="24">
        <v>1</v>
      </c>
      <c r="L29" s="24">
        <v>-200</v>
      </c>
      <c r="M29" s="24">
        <v>1</v>
      </c>
      <c r="N29" s="24">
        <v>-200</v>
      </c>
      <c r="O29" s="39">
        <v>0</v>
      </c>
      <c r="P29" s="24">
        <v>1</v>
      </c>
      <c r="Q29" s="26">
        <v>1</v>
      </c>
      <c r="R29" s="26">
        <v>1</v>
      </c>
      <c r="S29" s="26">
        <v>3</v>
      </c>
      <c r="T29" s="26">
        <v>3</v>
      </c>
      <c r="U29" s="26">
        <v>3</v>
      </c>
      <c r="V29" s="26">
        <v>1</v>
      </c>
      <c r="W29" s="24">
        <v>0.8</v>
      </c>
      <c r="X29" s="24">
        <v>0.95</v>
      </c>
      <c r="Y29" s="41" t="s">
        <v>366</v>
      </c>
    </row>
    <row r="30" spans="1:27" x14ac:dyDescent="0.2">
      <c r="B30" s="24">
        <v>7</v>
      </c>
      <c r="C30" s="24" t="s">
        <v>84</v>
      </c>
      <c r="D30" s="24"/>
      <c r="E30" s="24"/>
      <c r="F30" s="24"/>
      <c r="G30" s="26">
        <v>0.56000000000000005</v>
      </c>
      <c r="H30" s="26">
        <v>1</v>
      </c>
      <c r="I30" s="26" t="s">
        <v>235</v>
      </c>
      <c r="J30" s="24">
        <v>1</v>
      </c>
      <c r="K30" s="24">
        <v>1</v>
      </c>
      <c r="L30" s="24">
        <v>-200</v>
      </c>
      <c r="M30" s="24">
        <v>1</v>
      </c>
      <c r="N30" s="24">
        <v>-200</v>
      </c>
      <c r="O30" s="39">
        <v>0</v>
      </c>
      <c r="P30" s="24">
        <v>1</v>
      </c>
      <c r="Q30" s="26">
        <v>1</v>
      </c>
      <c r="R30" s="26">
        <v>1</v>
      </c>
      <c r="S30" s="26">
        <v>3</v>
      </c>
      <c r="T30" s="26">
        <v>3</v>
      </c>
      <c r="U30" s="26">
        <v>3</v>
      </c>
      <c r="V30" s="26">
        <v>1</v>
      </c>
      <c r="W30" s="24">
        <v>0.8</v>
      </c>
      <c r="X30" s="24">
        <v>0.95</v>
      </c>
      <c r="Y30" s="41" t="s">
        <v>366</v>
      </c>
    </row>
    <row r="31" spans="1:27" x14ac:dyDescent="0.2">
      <c r="A31" t="s">
        <v>416</v>
      </c>
      <c r="B31" s="24">
        <v>8</v>
      </c>
      <c r="C31" s="24" t="s">
        <v>52</v>
      </c>
      <c r="D31" s="24"/>
      <c r="E31" s="24"/>
      <c r="F31" s="24"/>
      <c r="G31" s="26">
        <v>0.56000000000000005</v>
      </c>
      <c r="H31" s="26">
        <v>1</v>
      </c>
      <c r="I31" s="26" t="s">
        <v>235</v>
      </c>
      <c r="J31" s="24">
        <v>1</v>
      </c>
      <c r="K31" s="24">
        <v>1</v>
      </c>
      <c r="L31" s="24">
        <v>-200</v>
      </c>
      <c r="M31" s="24">
        <v>1</v>
      </c>
      <c r="N31" s="24">
        <v>-200</v>
      </c>
      <c r="O31" s="39">
        <v>1</v>
      </c>
      <c r="P31" s="24">
        <v>1</v>
      </c>
      <c r="Q31" s="26">
        <v>1</v>
      </c>
      <c r="R31" s="26">
        <v>1</v>
      </c>
      <c r="S31" s="26">
        <v>3</v>
      </c>
      <c r="T31" s="26">
        <v>3</v>
      </c>
      <c r="U31" s="26">
        <v>3</v>
      </c>
      <c r="V31" s="26">
        <v>1</v>
      </c>
      <c r="W31" s="24">
        <v>0.8</v>
      </c>
      <c r="X31" s="24">
        <v>0.95</v>
      </c>
      <c r="Y31" s="41" t="s">
        <v>366</v>
      </c>
    </row>
    <row r="32" spans="1:27" x14ac:dyDescent="0.2">
      <c r="B32" s="24">
        <v>8</v>
      </c>
      <c r="C32" s="24" t="s">
        <v>79</v>
      </c>
      <c r="D32" s="24"/>
      <c r="E32" s="24"/>
      <c r="F32" s="24"/>
      <c r="G32" s="26">
        <v>0.56000000000000005</v>
      </c>
      <c r="H32" s="26">
        <v>1</v>
      </c>
      <c r="I32" s="26" t="s">
        <v>235</v>
      </c>
      <c r="J32" s="24">
        <v>1</v>
      </c>
      <c r="K32" s="24">
        <v>1</v>
      </c>
      <c r="L32" s="24">
        <v>-200</v>
      </c>
      <c r="M32" s="24">
        <v>1</v>
      </c>
      <c r="N32" s="24">
        <v>-200</v>
      </c>
      <c r="O32" s="39">
        <v>1</v>
      </c>
      <c r="P32" s="24">
        <v>1</v>
      </c>
      <c r="Q32" s="26">
        <v>1</v>
      </c>
      <c r="R32" s="26">
        <v>1</v>
      </c>
      <c r="S32" s="26">
        <v>3</v>
      </c>
      <c r="T32" s="26">
        <v>3</v>
      </c>
      <c r="U32" s="26">
        <v>3</v>
      </c>
      <c r="V32" s="26">
        <v>1</v>
      </c>
      <c r="W32" s="24">
        <v>0.8</v>
      </c>
      <c r="X32" s="24">
        <v>0.95</v>
      </c>
      <c r="Y32" s="41" t="s">
        <v>366</v>
      </c>
    </row>
    <row r="33" spans="1:25" x14ac:dyDescent="0.2">
      <c r="B33" s="24">
        <v>8</v>
      </c>
      <c r="C33" s="24" t="s">
        <v>84</v>
      </c>
      <c r="D33" s="24"/>
      <c r="E33" s="24"/>
      <c r="F33" s="24"/>
      <c r="G33" s="26">
        <v>0.56000000000000005</v>
      </c>
      <c r="H33" s="26">
        <v>1</v>
      </c>
      <c r="I33" s="26" t="s">
        <v>235</v>
      </c>
      <c r="J33" s="24">
        <v>1</v>
      </c>
      <c r="K33" s="24">
        <v>1</v>
      </c>
      <c r="L33" s="24">
        <v>-200</v>
      </c>
      <c r="M33" s="24">
        <v>1</v>
      </c>
      <c r="N33" s="24">
        <v>-200</v>
      </c>
      <c r="O33" s="39">
        <v>0</v>
      </c>
      <c r="P33" s="24">
        <v>1</v>
      </c>
      <c r="Q33" s="26">
        <v>1</v>
      </c>
      <c r="R33" s="26">
        <v>1</v>
      </c>
      <c r="S33" s="26">
        <v>2</v>
      </c>
      <c r="T33" s="26">
        <v>2</v>
      </c>
      <c r="U33" s="26">
        <v>2</v>
      </c>
      <c r="V33" s="26">
        <v>1</v>
      </c>
      <c r="W33" s="24">
        <v>0.8</v>
      </c>
      <c r="X33" s="24">
        <v>0.95</v>
      </c>
      <c r="Y33" s="41" t="s">
        <v>366</v>
      </c>
    </row>
    <row r="35" spans="1:25" x14ac:dyDescent="0.2">
      <c r="R35" t="s">
        <v>384</v>
      </c>
      <c r="S35" t="s">
        <v>425</v>
      </c>
    </row>
    <row r="36" spans="1:25" x14ac:dyDescent="0.2">
      <c r="R36" t="s">
        <v>426</v>
      </c>
      <c r="S36" t="s">
        <v>427</v>
      </c>
    </row>
    <row r="43" spans="1:25" x14ac:dyDescent="0.2">
      <c r="A43" t="s">
        <v>376</v>
      </c>
    </row>
    <row r="44" spans="1:25" x14ac:dyDescent="0.2">
      <c r="A44" t="s">
        <v>373</v>
      </c>
    </row>
    <row r="45" spans="1:25" x14ac:dyDescent="0.2">
      <c r="A45" t="s">
        <v>374</v>
      </c>
    </row>
    <row r="46" spans="1:25" x14ac:dyDescent="0.2">
      <c r="A46" t="s">
        <v>378</v>
      </c>
    </row>
    <row r="47" spans="1:25" x14ac:dyDescent="0.2">
      <c r="A47" t="s">
        <v>375</v>
      </c>
    </row>
    <row r="48" spans="1:25" x14ac:dyDescent="0.2">
      <c r="A48" t="s">
        <v>379</v>
      </c>
    </row>
    <row r="49" spans="1:1" x14ac:dyDescent="0.2">
      <c r="A49" t="s">
        <v>377</v>
      </c>
    </row>
    <row r="50" spans="1:1" x14ac:dyDescent="0.2">
      <c r="A50" t="s">
        <v>380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8821-2B74-A845-9DD0-B5A196B465EF}">
  <dimension ref="A1:AE146"/>
  <sheetViews>
    <sheetView tabSelected="1" zoomScale="90" zoomScaleNormal="90" workbookViewId="0">
      <selection activeCell="I36" sqref="I36"/>
    </sheetView>
  </sheetViews>
  <sheetFormatPr baseColWidth="10" defaultRowHeight="16" x14ac:dyDescent="0.2"/>
  <cols>
    <col min="3" max="3" width="16.33203125" customWidth="1"/>
  </cols>
  <sheetData>
    <row r="1" spans="1:31" x14ac:dyDescent="0.2">
      <c r="A1" t="s">
        <v>274</v>
      </c>
      <c r="B1" t="s">
        <v>275</v>
      </c>
      <c r="G1">
        <v>2020</v>
      </c>
      <c r="H1">
        <f>G1+1</f>
        <v>2021</v>
      </c>
      <c r="I1">
        <f t="shared" ref="I1:AE1" si="0">H1+1</f>
        <v>2022</v>
      </c>
      <c r="J1">
        <f t="shared" si="0"/>
        <v>2023</v>
      </c>
      <c r="K1">
        <f t="shared" si="0"/>
        <v>2024</v>
      </c>
      <c r="L1">
        <f t="shared" si="0"/>
        <v>2025</v>
      </c>
      <c r="M1">
        <f t="shared" si="0"/>
        <v>2026</v>
      </c>
      <c r="N1">
        <f t="shared" si="0"/>
        <v>2027</v>
      </c>
      <c r="O1">
        <f t="shared" si="0"/>
        <v>2028</v>
      </c>
      <c r="P1">
        <f t="shared" si="0"/>
        <v>2029</v>
      </c>
      <c r="Q1">
        <f t="shared" si="0"/>
        <v>2030</v>
      </c>
      <c r="R1">
        <f t="shared" si="0"/>
        <v>2031</v>
      </c>
      <c r="S1">
        <f t="shared" si="0"/>
        <v>2032</v>
      </c>
      <c r="T1">
        <f t="shared" si="0"/>
        <v>2033</v>
      </c>
      <c r="U1">
        <f t="shared" si="0"/>
        <v>2034</v>
      </c>
      <c r="V1">
        <f t="shared" si="0"/>
        <v>2035</v>
      </c>
      <c r="W1">
        <f t="shared" si="0"/>
        <v>2036</v>
      </c>
      <c r="X1">
        <f t="shared" si="0"/>
        <v>2037</v>
      </c>
      <c r="Y1">
        <f t="shared" si="0"/>
        <v>2038</v>
      </c>
      <c r="Z1">
        <f t="shared" si="0"/>
        <v>2039</v>
      </c>
      <c r="AA1">
        <f t="shared" si="0"/>
        <v>2040</v>
      </c>
      <c r="AB1">
        <f t="shared" si="0"/>
        <v>2041</v>
      </c>
      <c r="AC1">
        <f t="shared" si="0"/>
        <v>2042</v>
      </c>
      <c r="AD1">
        <f t="shared" si="0"/>
        <v>2043</v>
      </c>
      <c r="AE1">
        <f t="shared" si="0"/>
        <v>2044</v>
      </c>
    </row>
    <row r="2" spans="1:31" x14ac:dyDescent="0.2">
      <c r="A2" t="s">
        <v>52</v>
      </c>
      <c r="B2">
        <f>IF(SUMIF(Scenarios!$Q$6:$V$6,'Fuel costs'!D2,Scenarios!$Q$7:$V$7)&gt;0,SUMIF(Scenarios!$Q$6:$V$6,'Fuel costs'!D2,Scenarios!$Q$7:$V$7),1)</f>
        <v>1</v>
      </c>
      <c r="C2" s="27" t="s">
        <v>248</v>
      </c>
      <c r="D2" s="27" t="s">
        <v>249</v>
      </c>
      <c r="E2" s="27" t="str">
        <f t="shared" ref="E2:E12" si="1">A2&amp;D2</f>
        <v>D1BM00X00</v>
      </c>
      <c r="G2">
        <f t="shared" ref="G2:P11" si="2">SUMIFS(G$40:G$146,$B$40:$B$146,$B2,$E$40:$E$146,$E2)</f>
        <v>0</v>
      </c>
      <c r="H2">
        <f t="shared" si="2"/>
        <v>0</v>
      </c>
      <c r="I2">
        <f t="shared" si="2"/>
        <v>0</v>
      </c>
      <c r="J2">
        <f t="shared" si="2"/>
        <v>0</v>
      </c>
      <c r="K2">
        <f t="shared" si="2"/>
        <v>0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ref="Q2:AA11" si="3">SUMIFS(Q$40:Q$146,$B$40:$B$146,$B2,$E$40:$E$146,$E2)</f>
        <v>0</v>
      </c>
      <c r="R2">
        <f t="shared" si="3"/>
        <v>0</v>
      </c>
      <c r="S2">
        <f t="shared" si="3"/>
        <v>0</v>
      </c>
      <c r="T2">
        <f t="shared" si="3"/>
        <v>0</v>
      </c>
      <c r="U2">
        <f t="shared" si="3"/>
        <v>0</v>
      </c>
      <c r="V2">
        <f t="shared" si="3"/>
        <v>0</v>
      </c>
      <c r="W2">
        <f t="shared" si="3"/>
        <v>0</v>
      </c>
      <c r="X2">
        <f t="shared" si="3"/>
        <v>0</v>
      </c>
      <c r="Y2">
        <f t="shared" si="3"/>
        <v>0</v>
      </c>
      <c r="Z2">
        <f t="shared" si="3"/>
        <v>0</v>
      </c>
      <c r="AA2">
        <f t="shared" si="3"/>
        <v>0</v>
      </c>
    </row>
    <row r="3" spans="1:31" x14ac:dyDescent="0.2">
      <c r="A3" t="str">
        <f>A2</f>
        <v>D1</v>
      </c>
      <c r="B3">
        <f>IF(SUMIF(Scenarios!$Q$6:$V$6,'Fuel costs'!D3,Scenarios!$Q$7:$V$7)&gt;0,SUMIF(Scenarios!$Q$6:$V$6,'Fuel costs'!D3,Scenarios!$Q$7:$V$7),1)</f>
        <v>1</v>
      </c>
      <c r="C3" s="27" t="s">
        <v>250</v>
      </c>
      <c r="D3" s="27" t="s">
        <v>251</v>
      </c>
      <c r="E3" s="27" t="str">
        <f t="shared" si="1"/>
        <v>D1BW00X00</v>
      </c>
      <c r="G3">
        <f t="shared" si="2"/>
        <v>10.3</v>
      </c>
      <c r="H3">
        <f t="shared" si="2"/>
        <v>10.3</v>
      </c>
      <c r="I3">
        <f t="shared" si="2"/>
        <v>10.3</v>
      </c>
      <c r="J3">
        <f t="shared" si="2"/>
        <v>10.3</v>
      </c>
      <c r="K3">
        <f t="shared" si="2"/>
        <v>10.3</v>
      </c>
      <c r="L3">
        <f t="shared" si="2"/>
        <v>10.3</v>
      </c>
      <c r="M3">
        <f t="shared" si="2"/>
        <v>10.3</v>
      </c>
      <c r="N3">
        <f t="shared" si="2"/>
        <v>10.3</v>
      </c>
      <c r="O3">
        <f t="shared" si="2"/>
        <v>10.3</v>
      </c>
      <c r="P3">
        <f t="shared" si="2"/>
        <v>10.3</v>
      </c>
      <c r="Q3">
        <f t="shared" si="3"/>
        <v>10.3</v>
      </c>
      <c r="R3">
        <f t="shared" si="3"/>
        <v>10.3</v>
      </c>
      <c r="S3">
        <f t="shared" si="3"/>
        <v>10.3</v>
      </c>
      <c r="T3">
        <f t="shared" si="3"/>
        <v>10.3</v>
      </c>
      <c r="U3">
        <f t="shared" si="3"/>
        <v>10.3</v>
      </c>
      <c r="V3">
        <f t="shared" si="3"/>
        <v>10.3</v>
      </c>
      <c r="W3">
        <f t="shared" si="3"/>
        <v>10.3</v>
      </c>
      <c r="X3">
        <f t="shared" si="3"/>
        <v>10.3</v>
      </c>
      <c r="Y3">
        <f t="shared" si="3"/>
        <v>10.3</v>
      </c>
      <c r="Z3">
        <f t="shared" si="3"/>
        <v>10.3</v>
      </c>
      <c r="AA3">
        <f t="shared" si="3"/>
        <v>10.3</v>
      </c>
    </row>
    <row r="4" spans="1:31" x14ac:dyDescent="0.2">
      <c r="A4" t="str">
        <f t="shared" ref="A4:A12" si="4">A3</f>
        <v>D1</v>
      </c>
      <c r="B4">
        <f>IF(SUMIF(Scenarios!$Q$6:$V$6,'Fuel costs'!D4,Scenarios!$Q$7:$V$7)&gt;0,SUMIF(Scenarios!$Q$6:$V$6,'Fuel costs'!D4,Scenarios!$Q$7:$V$7),1)</f>
        <v>1</v>
      </c>
      <c r="C4" s="28" t="s">
        <v>252</v>
      </c>
      <c r="D4" s="28" t="s">
        <v>253</v>
      </c>
      <c r="E4" s="27" t="str">
        <f t="shared" si="1"/>
        <v>D1HY00X00</v>
      </c>
      <c r="G4">
        <f t="shared" si="2"/>
        <v>1E-3</v>
      </c>
      <c r="H4">
        <f t="shared" si="2"/>
        <v>1E-3</v>
      </c>
      <c r="I4">
        <f t="shared" si="2"/>
        <v>1E-3</v>
      </c>
      <c r="J4">
        <f t="shared" si="2"/>
        <v>1E-3</v>
      </c>
      <c r="K4">
        <f t="shared" si="2"/>
        <v>1E-3</v>
      </c>
      <c r="L4">
        <f t="shared" si="2"/>
        <v>1E-3</v>
      </c>
      <c r="M4">
        <f t="shared" si="2"/>
        <v>1E-3</v>
      </c>
      <c r="N4">
        <f t="shared" si="2"/>
        <v>1E-3</v>
      </c>
      <c r="O4">
        <f t="shared" si="2"/>
        <v>1E-3</v>
      </c>
      <c r="P4">
        <f t="shared" si="2"/>
        <v>1E-3</v>
      </c>
      <c r="Q4">
        <f t="shared" si="3"/>
        <v>1E-3</v>
      </c>
      <c r="R4">
        <f t="shared" si="3"/>
        <v>1E-3</v>
      </c>
      <c r="S4">
        <f t="shared" si="3"/>
        <v>1E-3</v>
      </c>
      <c r="T4">
        <f t="shared" si="3"/>
        <v>1E-3</v>
      </c>
      <c r="U4">
        <f t="shared" si="3"/>
        <v>1E-3</v>
      </c>
      <c r="V4">
        <f t="shared" si="3"/>
        <v>1E-3</v>
      </c>
      <c r="W4">
        <f t="shared" si="3"/>
        <v>1E-3</v>
      </c>
      <c r="X4">
        <f t="shared" si="3"/>
        <v>1E-3</v>
      </c>
      <c r="Y4">
        <f t="shared" si="3"/>
        <v>1E-3</v>
      </c>
      <c r="Z4">
        <f t="shared" si="3"/>
        <v>1E-3</v>
      </c>
      <c r="AA4">
        <f t="shared" si="3"/>
        <v>1E-3</v>
      </c>
    </row>
    <row r="5" spans="1:31" x14ac:dyDescent="0.2">
      <c r="A5" t="str">
        <f t="shared" si="4"/>
        <v>D1</v>
      </c>
      <c r="B5">
        <f>IF(SUMIF(Scenarios!$Q$6:$V$6,'Fuel costs'!D5,Scenarios!$Q$7:$V$7)&gt;0,SUMIF(Scenarios!$Q$6:$V$6,'Fuel costs'!D5,Scenarios!$Q$7:$V$7),1)</f>
        <v>1</v>
      </c>
      <c r="C5" s="29" t="s">
        <v>254</v>
      </c>
      <c r="D5" s="29" t="s">
        <v>255</v>
      </c>
      <c r="E5" s="27" t="str">
        <f t="shared" si="1"/>
        <v>D1SO00X00</v>
      </c>
      <c r="G5">
        <f t="shared" si="2"/>
        <v>1E-3</v>
      </c>
      <c r="H5">
        <f t="shared" si="2"/>
        <v>1E-3</v>
      </c>
      <c r="I5">
        <f t="shared" si="2"/>
        <v>1E-3</v>
      </c>
      <c r="J5">
        <f t="shared" si="2"/>
        <v>1E-3</v>
      </c>
      <c r="K5">
        <f t="shared" si="2"/>
        <v>1E-3</v>
      </c>
      <c r="L5">
        <f t="shared" si="2"/>
        <v>1E-3</v>
      </c>
      <c r="M5">
        <f t="shared" si="2"/>
        <v>1E-3</v>
      </c>
      <c r="N5">
        <f t="shared" si="2"/>
        <v>1E-3</v>
      </c>
      <c r="O5">
        <f t="shared" si="2"/>
        <v>1E-3</v>
      </c>
      <c r="P5">
        <f t="shared" si="2"/>
        <v>1E-3</v>
      </c>
      <c r="Q5">
        <f t="shared" si="3"/>
        <v>1E-3</v>
      </c>
      <c r="R5">
        <f t="shared" si="3"/>
        <v>1E-3</v>
      </c>
      <c r="S5">
        <f t="shared" si="3"/>
        <v>1E-3</v>
      </c>
      <c r="T5">
        <f t="shared" si="3"/>
        <v>1E-3</v>
      </c>
      <c r="U5">
        <f t="shared" si="3"/>
        <v>1E-3</v>
      </c>
      <c r="V5">
        <f t="shared" si="3"/>
        <v>1E-3</v>
      </c>
      <c r="W5">
        <f t="shared" si="3"/>
        <v>1E-3</v>
      </c>
      <c r="X5">
        <f t="shared" si="3"/>
        <v>1E-3</v>
      </c>
      <c r="Y5">
        <f t="shared" si="3"/>
        <v>1E-3</v>
      </c>
      <c r="Z5">
        <f t="shared" si="3"/>
        <v>1E-3</v>
      </c>
      <c r="AA5">
        <f t="shared" si="3"/>
        <v>1E-3</v>
      </c>
    </row>
    <row r="6" spans="1:31" x14ac:dyDescent="0.2">
      <c r="A6" t="str">
        <f t="shared" si="4"/>
        <v>D1</v>
      </c>
      <c r="B6">
        <f>IF(SUMIF(Scenarios!$Q$6:$V$6,'Fuel costs'!D6,Scenarios!$Q$7:$V$7)&gt;0,SUMIF(Scenarios!$Q$6:$V$6,'Fuel costs'!D6,Scenarios!$Q$7:$V$7),1)</f>
        <v>1</v>
      </c>
      <c r="C6" s="30" t="s">
        <v>256</v>
      </c>
      <c r="D6" s="30" t="s">
        <v>257</v>
      </c>
      <c r="E6" s="27" t="str">
        <f t="shared" si="1"/>
        <v>D1WD00X00</v>
      </c>
      <c r="G6">
        <f t="shared" si="2"/>
        <v>1E-3</v>
      </c>
      <c r="H6">
        <f t="shared" si="2"/>
        <v>1E-3</v>
      </c>
      <c r="I6">
        <f t="shared" si="2"/>
        <v>1E-3</v>
      </c>
      <c r="J6">
        <f t="shared" si="2"/>
        <v>1E-3</v>
      </c>
      <c r="K6">
        <f t="shared" si="2"/>
        <v>1E-3</v>
      </c>
      <c r="L6">
        <f t="shared" si="2"/>
        <v>1E-3</v>
      </c>
      <c r="M6">
        <f t="shared" si="2"/>
        <v>1E-3</v>
      </c>
      <c r="N6">
        <f t="shared" si="2"/>
        <v>1E-3</v>
      </c>
      <c r="O6">
        <f t="shared" si="2"/>
        <v>1E-3</v>
      </c>
      <c r="P6">
        <f t="shared" si="2"/>
        <v>1E-3</v>
      </c>
      <c r="Q6">
        <f t="shared" si="3"/>
        <v>1E-3</v>
      </c>
      <c r="R6">
        <f t="shared" si="3"/>
        <v>1E-3</v>
      </c>
      <c r="S6">
        <f t="shared" si="3"/>
        <v>1E-3</v>
      </c>
      <c r="T6">
        <f t="shared" si="3"/>
        <v>1E-3</v>
      </c>
      <c r="U6">
        <f t="shared" si="3"/>
        <v>1E-3</v>
      </c>
      <c r="V6">
        <f t="shared" si="3"/>
        <v>1E-3</v>
      </c>
      <c r="W6">
        <f t="shared" si="3"/>
        <v>1E-3</v>
      </c>
      <c r="X6">
        <f t="shared" si="3"/>
        <v>1E-3</v>
      </c>
      <c r="Y6">
        <f t="shared" si="3"/>
        <v>1E-3</v>
      </c>
      <c r="Z6">
        <f t="shared" si="3"/>
        <v>1E-3</v>
      </c>
      <c r="AA6">
        <f t="shared" si="3"/>
        <v>1E-3</v>
      </c>
    </row>
    <row r="7" spans="1:31" x14ac:dyDescent="0.2">
      <c r="A7" t="str">
        <f t="shared" si="4"/>
        <v>D1</v>
      </c>
      <c r="B7">
        <f>IF(SUMIF(Scenarios!$Q$6:$V$6,'Fuel costs'!D7,Scenarios!$Q$7:$V$7)&gt;0,SUMIF(Scenarios!$Q$6:$V$6,'Fuel costs'!D7,Scenarios!$Q$7:$V$7),1)</f>
        <v>1</v>
      </c>
      <c r="C7" s="27" t="s">
        <v>258</v>
      </c>
      <c r="D7" s="27" t="s">
        <v>259</v>
      </c>
      <c r="E7" s="27" t="str">
        <f t="shared" si="1"/>
        <v>D1HF00I00</v>
      </c>
      <c r="G7">
        <f t="shared" si="2"/>
        <v>9.2998477929984773</v>
      </c>
      <c r="H7">
        <f t="shared" si="2"/>
        <v>9.7000253678335859</v>
      </c>
      <c r="I7">
        <f t="shared" si="2"/>
        <v>10.099885844748858</v>
      </c>
      <c r="J7">
        <f t="shared" si="2"/>
        <v>10.500063419583967</v>
      </c>
      <c r="K7">
        <f t="shared" si="2"/>
        <v>10.899923896499239</v>
      </c>
      <c r="L7">
        <f t="shared" si="2"/>
        <v>11.300101471334347</v>
      </c>
      <c r="M7">
        <f t="shared" si="2"/>
        <v>11.7</v>
      </c>
      <c r="N7">
        <f t="shared" si="2"/>
        <v>12.1</v>
      </c>
      <c r="O7">
        <f t="shared" si="2"/>
        <v>12.5</v>
      </c>
      <c r="P7">
        <f t="shared" si="2"/>
        <v>12.9</v>
      </c>
      <c r="Q7">
        <f t="shared" si="3"/>
        <v>13.300038051750381</v>
      </c>
      <c r="R7">
        <f t="shared" si="3"/>
        <v>13.46</v>
      </c>
      <c r="S7">
        <f t="shared" si="3"/>
        <v>13.62</v>
      </c>
      <c r="T7">
        <f t="shared" si="3"/>
        <v>13.78</v>
      </c>
      <c r="U7">
        <f t="shared" si="3"/>
        <v>13.94</v>
      </c>
      <c r="V7">
        <f t="shared" si="3"/>
        <v>14.100076103500761</v>
      </c>
      <c r="W7">
        <f t="shared" si="3"/>
        <v>14.26</v>
      </c>
      <c r="X7">
        <f t="shared" si="3"/>
        <v>14.42</v>
      </c>
      <c r="Y7">
        <f t="shared" si="3"/>
        <v>14.58</v>
      </c>
      <c r="Z7">
        <f t="shared" si="3"/>
        <v>14.74</v>
      </c>
      <c r="AA7">
        <f t="shared" si="3"/>
        <v>14.90011415525114</v>
      </c>
    </row>
    <row r="8" spans="1:31" x14ac:dyDescent="0.2">
      <c r="A8" t="str">
        <f t="shared" si="4"/>
        <v>D1</v>
      </c>
      <c r="B8">
        <f>IF(SUMIF(Scenarios!$Q$6:$V$6,'Fuel costs'!D8,Scenarios!$Q$7:$V$7)&gt;0,SUMIF(Scenarios!$Q$6:$V$6,'Fuel costs'!D8,Scenarios!$Q$7:$V$7),1)</f>
        <v>1</v>
      </c>
      <c r="C8" s="27" t="s">
        <v>260</v>
      </c>
      <c r="D8" s="27" t="s">
        <v>261</v>
      </c>
      <c r="E8" s="27" t="str">
        <f t="shared" si="1"/>
        <v>D1DS00I00</v>
      </c>
      <c r="G8">
        <f t="shared" si="2"/>
        <v>13.633307965499746</v>
      </c>
      <c r="H8">
        <f t="shared" si="2"/>
        <v>14.21993911719939</v>
      </c>
      <c r="I8">
        <f t="shared" si="2"/>
        <v>14.806570268899035</v>
      </c>
      <c r="J8">
        <f t="shared" si="2"/>
        <v>15.393201420598681</v>
      </c>
      <c r="K8">
        <f t="shared" si="2"/>
        <v>15.980149670218163</v>
      </c>
      <c r="L8">
        <f t="shared" si="2"/>
        <v>16.56678082191781</v>
      </c>
      <c r="M8">
        <f t="shared" si="2"/>
        <v>17.149999999999999</v>
      </c>
      <c r="N8">
        <f t="shared" si="2"/>
        <v>17.739999999999998</v>
      </c>
      <c r="O8">
        <f t="shared" si="2"/>
        <v>18.329999999999998</v>
      </c>
      <c r="P8">
        <f t="shared" si="2"/>
        <v>18.920000000000002</v>
      </c>
      <c r="Q8">
        <f t="shared" si="3"/>
        <v>19.499936580416033</v>
      </c>
      <c r="R8">
        <f t="shared" si="3"/>
        <v>19.73</v>
      </c>
      <c r="S8">
        <f t="shared" si="3"/>
        <v>19.96</v>
      </c>
      <c r="T8">
        <f t="shared" si="3"/>
        <v>20.190000000000001</v>
      </c>
      <c r="U8">
        <f t="shared" si="3"/>
        <v>20.420000000000002</v>
      </c>
      <c r="V8">
        <f t="shared" si="3"/>
        <v>20.650050735667175</v>
      </c>
      <c r="W8">
        <f t="shared" si="3"/>
        <v>20.88</v>
      </c>
      <c r="X8">
        <f t="shared" si="3"/>
        <v>21.11</v>
      </c>
      <c r="Y8">
        <f t="shared" si="3"/>
        <v>21.34</v>
      </c>
      <c r="Z8">
        <f t="shared" si="3"/>
        <v>21.57</v>
      </c>
      <c r="AA8">
        <f t="shared" si="3"/>
        <v>21.799847792998477</v>
      </c>
    </row>
    <row r="9" spans="1:31" x14ac:dyDescent="0.2">
      <c r="A9" t="str">
        <f t="shared" si="4"/>
        <v>D1</v>
      </c>
      <c r="B9">
        <f>IF(SUMIF(Scenarios!$Q$6:$V$6,'Fuel costs'!D9,Scenarios!$Q$7:$V$7)&gt;0,SUMIF(Scenarios!$Q$6:$V$6,'Fuel costs'!D9,Scenarios!$Q$7:$V$7),1)</f>
        <v>1</v>
      </c>
      <c r="C9" s="27" t="s">
        <v>262</v>
      </c>
      <c r="D9" s="27" t="s">
        <v>263</v>
      </c>
      <c r="E9" s="27" t="str">
        <f t="shared" si="1"/>
        <v>D1NG00X00</v>
      </c>
      <c r="G9">
        <f t="shared" si="2"/>
        <v>7.4001141552511411</v>
      </c>
      <c r="H9">
        <f t="shared" si="2"/>
        <v>7.5599315068493143</v>
      </c>
      <c r="I9">
        <f t="shared" si="2"/>
        <v>7.7200659563673257</v>
      </c>
      <c r="J9">
        <f t="shared" si="2"/>
        <v>7.8798833079654997</v>
      </c>
      <c r="K9">
        <f t="shared" si="2"/>
        <v>8.0400177574835112</v>
      </c>
      <c r="L9">
        <f t="shared" si="2"/>
        <v>8.2001522070015227</v>
      </c>
      <c r="M9">
        <f t="shared" si="2"/>
        <v>8.36</v>
      </c>
      <c r="N9">
        <f t="shared" si="2"/>
        <v>8.52</v>
      </c>
      <c r="O9">
        <f t="shared" si="2"/>
        <v>8.68</v>
      </c>
      <c r="P9">
        <f t="shared" si="2"/>
        <v>8.84</v>
      </c>
      <c r="Q9">
        <f t="shared" si="3"/>
        <v>8.999873160832065</v>
      </c>
      <c r="R9">
        <f t="shared" si="3"/>
        <v>9.2200000000000006</v>
      </c>
      <c r="S9">
        <f t="shared" si="3"/>
        <v>9.44</v>
      </c>
      <c r="T9">
        <f t="shared" si="3"/>
        <v>9.66</v>
      </c>
      <c r="U9">
        <f t="shared" si="3"/>
        <v>9.8800000000000008</v>
      </c>
      <c r="V9">
        <f t="shared" si="3"/>
        <v>10.099885844748858</v>
      </c>
      <c r="W9">
        <f t="shared" si="3"/>
        <v>10.32</v>
      </c>
      <c r="X9">
        <f t="shared" si="3"/>
        <v>10.54</v>
      </c>
      <c r="Y9">
        <f t="shared" si="3"/>
        <v>10.76</v>
      </c>
      <c r="Z9">
        <f t="shared" si="3"/>
        <v>10.98</v>
      </c>
      <c r="AA9">
        <f t="shared" si="3"/>
        <v>11.199898528665651</v>
      </c>
    </row>
    <row r="10" spans="1:31" x14ac:dyDescent="0.2">
      <c r="A10" t="str">
        <f t="shared" si="4"/>
        <v>D1</v>
      </c>
      <c r="B10">
        <f>IF(SUMIF(Scenarios!$Q$6:$V$6,'Fuel costs'!D10,Scenarios!$Q$7:$V$7)&gt;0,SUMIF(Scenarios!$Q$6:$V$6,'Fuel costs'!D10,Scenarios!$Q$7:$V$7),1)</f>
        <v>1</v>
      </c>
      <c r="C10" s="27" t="s">
        <v>264</v>
      </c>
      <c r="D10" s="27" t="s">
        <v>265</v>
      </c>
      <c r="E10" s="27" t="str">
        <f t="shared" si="1"/>
        <v>D1CO00X00</v>
      </c>
      <c r="G10">
        <f t="shared" si="2"/>
        <v>3.2001522070015218</v>
      </c>
      <c r="H10">
        <f t="shared" si="2"/>
        <v>3.2201293759512937</v>
      </c>
      <c r="I10">
        <f t="shared" si="2"/>
        <v>3.2401065449010655</v>
      </c>
      <c r="J10">
        <f t="shared" si="2"/>
        <v>3.260083713850837</v>
      </c>
      <c r="K10">
        <f t="shared" si="2"/>
        <v>3.2800608828006084</v>
      </c>
      <c r="L10">
        <f t="shared" si="2"/>
        <v>3.3000380517503802</v>
      </c>
      <c r="M10">
        <f t="shared" si="2"/>
        <v>3.32</v>
      </c>
      <c r="N10">
        <f t="shared" si="2"/>
        <v>3.34</v>
      </c>
      <c r="O10">
        <f t="shared" si="2"/>
        <v>3.36</v>
      </c>
      <c r="P10">
        <f t="shared" si="2"/>
        <v>3.38</v>
      </c>
      <c r="Q10">
        <f t="shared" si="3"/>
        <v>3.3999238964992387</v>
      </c>
      <c r="R10">
        <f t="shared" si="3"/>
        <v>3.43</v>
      </c>
      <c r="S10">
        <f t="shared" si="3"/>
        <v>3.46</v>
      </c>
      <c r="T10">
        <f t="shared" si="3"/>
        <v>3.49</v>
      </c>
      <c r="U10">
        <f t="shared" si="3"/>
        <v>3.52</v>
      </c>
      <c r="V10">
        <f t="shared" si="3"/>
        <v>3.5499112125824452</v>
      </c>
      <c r="W10">
        <f t="shared" si="3"/>
        <v>3.58</v>
      </c>
      <c r="X10">
        <f t="shared" si="3"/>
        <v>3.61</v>
      </c>
      <c r="Y10">
        <f t="shared" si="3"/>
        <v>3.64</v>
      </c>
      <c r="Z10">
        <f t="shared" si="3"/>
        <v>3.67</v>
      </c>
      <c r="AA10">
        <f t="shared" si="3"/>
        <v>3.6998985286656518</v>
      </c>
    </row>
    <row r="11" spans="1:31" x14ac:dyDescent="0.2">
      <c r="A11" t="str">
        <f t="shared" si="4"/>
        <v>D1</v>
      </c>
      <c r="B11">
        <f>IF(SUMIF(Scenarios!$Q$6:$V$6,'Fuel costs'!D11,Scenarios!$Q$7:$V$7)&gt;0,SUMIF(Scenarios!$Q$6:$V$6,'Fuel costs'!D11,Scenarios!$Q$7:$V$7),1)</f>
        <v>1</v>
      </c>
      <c r="C11" s="27" t="s">
        <v>247</v>
      </c>
      <c r="D11" s="27" t="s">
        <v>266</v>
      </c>
      <c r="E11" s="27" t="str">
        <f t="shared" si="1"/>
        <v>D1PWRTRN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</row>
    <row r="12" spans="1:31" x14ac:dyDescent="0.2">
      <c r="A12" t="str">
        <f t="shared" si="4"/>
        <v>D1</v>
      </c>
      <c r="B12">
        <f>IF(SUMIF(Scenarios!$Q$6:$V$6,'Fuel costs'!D12,Scenarios!$Q$7:$V$7)&gt;0,SUMIF(Scenarios!$Q$6:$V$6,'Fuel costs'!D12,Scenarios!$Q$7:$V$7),1)</f>
        <v>1</v>
      </c>
      <c r="C12" s="27" t="s">
        <v>267</v>
      </c>
      <c r="D12" s="27" t="s">
        <v>267</v>
      </c>
      <c r="E12" s="27" t="str">
        <f t="shared" si="1"/>
        <v>D1IMPELC</v>
      </c>
      <c r="G12">
        <f t="shared" ref="G12:P21" si="5">SUMIFS(G$40:G$146,$B$40:$B$146,$B12,$E$40:$E$146,$E12)</f>
        <v>999</v>
      </c>
      <c r="H12">
        <f t="shared" si="5"/>
        <v>999</v>
      </c>
      <c r="I12">
        <f t="shared" si="5"/>
        <v>999</v>
      </c>
      <c r="J12">
        <f t="shared" si="5"/>
        <v>999</v>
      </c>
      <c r="K12">
        <f t="shared" si="5"/>
        <v>999</v>
      </c>
      <c r="L12">
        <f t="shared" si="5"/>
        <v>999</v>
      </c>
      <c r="M12">
        <f t="shared" si="5"/>
        <v>999</v>
      </c>
      <c r="N12">
        <f t="shared" si="5"/>
        <v>999</v>
      </c>
      <c r="O12">
        <f t="shared" si="5"/>
        <v>999</v>
      </c>
      <c r="P12">
        <f t="shared" si="5"/>
        <v>999</v>
      </c>
      <c r="Q12">
        <f t="shared" ref="Q12:AA21" si="6">SUMIFS(Q$40:Q$146,$B$40:$B$146,$B12,$E$40:$E$146,$E12)</f>
        <v>999</v>
      </c>
      <c r="R12">
        <f t="shared" si="6"/>
        <v>999</v>
      </c>
      <c r="S12">
        <f t="shared" si="6"/>
        <v>999</v>
      </c>
      <c r="T12">
        <f t="shared" si="6"/>
        <v>999</v>
      </c>
      <c r="U12">
        <f t="shared" si="6"/>
        <v>999</v>
      </c>
      <c r="V12">
        <f t="shared" si="6"/>
        <v>999</v>
      </c>
      <c r="W12">
        <f t="shared" si="6"/>
        <v>999</v>
      </c>
      <c r="X12">
        <f t="shared" si="6"/>
        <v>999</v>
      </c>
      <c r="Y12">
        <f t="shared" si="6"/>
        <v>999</v>
      </c>
      <c r="Z12">
        <f t="shared" si="6"/>
        <v>999</v>
      </c>
      <c r="AA12">
        <f t="shared" si="6"/>
        <v>999</v>
      </c>
    </row>
    <row r="13" spans="1:31" x14ac:dyDescent="0.2">
      <c r="A13" t="s">
        <v>79</v>
      </c>
      <c r="B13">
        <f>IF(SUMIF(Scenarios!$Q$6:$V$6,'Fuel costs'!D13,Scenarios!$Q$7:$V$7)&gt;0,SUMIF(Scenarios!$Q$6:$V$6,'Fuel costs'!D13,Scenarios!$Q$7:$V$7),1)</f>
        <v>1</v>
      </c>
      <c r="C13" s="27" t="s">
        <v>248</v>
      </c>
      <c r="D13" s="27" t="s">
        <v>249</v>
      </c>
      <c r="E13" s="27" t="str">
        <f t="shared" ref="E13:E34" si="7">A13&amp;D13</f>
        <v>D2BM00X00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6"/>
        <v>0</v>
      </c>
      <c r="R13">
        <f t="shared" si="6"/>
        <v>0</v>
      </c>
      <c r="S13">
        <f t="shared" si="6"/>
        <v>0</v>
      </c>
      <c r="T13">
        <f t="shared" si="6"/>
        <v>0</v>
      </c>
      <c r="U13">
        <f t="shared" si="6"/>
        <v>0</v>
      </c>
      <c r="V13">
        <f t="shared" si="6"/>
        <v>0</v>
      </c>
      <c r="W13">
        <f t="shared" si="6"/>
        <v>0</v>
      </c>
      <c r="X13">
        <f t="shared" si="6"/>
        <v>0</v>
      </c>
      <c r="Y13">
        <f t="shared" si="6"/>
        <v>0</v>
      </c>
      <c r="Z13">
        <f t="shared" si="6"/>
        <v>0</v>
      </c>
      <c r="AA13">
        <f t="shared" si="6"/>
        <v>0</v>
      </c>
    </row>
    <row r="14" spans="1:31" x14ac:dyDescent="0.2">
      <c r="A14" t="str">
        <f>A13</f>
        <v>D2</v>
      </c>
      <c r="B14">
        <f>IF(SUMIF(Scenarios!$Q$6:$V$6,'Fuel costs'!D14,Scenarios!$Q$7:$V$7)&gt;0,SUMIF(Scenarios!$Q$6:$V$6,'Fuel costs'!D14,Scenarios!$Q$7:$V$7),1)</f>
        <v>1</v>
      </c>
      <c r="C14" s="27" t="s">
        <v>250</v>
      </c>
      <c r="D14" s="27" t="s">
        <v>251</v>
      </c>
      <c r="E14" s="27" t="str">
        <f t="shared" si="7"/>
        <v>D2BW00X00</v>
      </c>
      <c r="G14">
        <f t="shared" si="5"/>
        <v>10.3</v>
      </c>
      <c r="H14">
        <f t="shared" si="5"/>
        <v>10.3</v>
      </c>
      <c r="I14">
        <f t="shared" si="5"/>
        <v>10.3</v>
      </c>
      <c r="J14">
        <f t="shared" si="5"/>
        <v>10.3</v>
      </c>
      <c r="K14">
        <f t="shared" si="5"/>
        <v>10.3</v>
      </c>
      <c r="L14">
        <f t="shared" si="5"/>
        <v>10.3</v>
      </c>
      <c r="M14">
        <f t="shared" si="5"/>
        <v>10.3</v>
      </c>
      <c r="N14">
        <f t="shared" si="5"/>
        <v>10.3</v>
      </c>
      <c r="O14">
        <f t="shared" si="5"/>
        <v>10.3</v>
      </c>
      <c r="P14">
        <f t="shared" si="5"/>
        <v>10.3</v>
      </c>
      <c r="Q14">
        <f t="shared" si="6"/>
        <v>10.3</v>
      </c>
      <c r="R14">
        <f t="shared" si="6"/>
        <v>10.3</v>
      </c>
      <c r="S14">
        <f t="shared" si="6"/>
        <v>10.3</v>
      </c>
      <c r="T14">
        <f t="shared" si="6"/>
        <v>10.3</v>
      </c>
      <c r="U14">
        <f t="shared" si="6"/>
        <v>10.3</v>
      </c>
      <c r="V14">
        <f t="shared" si="6"/>
        <v>10.3</v>
      </c>
      <c r="W14">
        <f t="shared" si="6"/>
        <v>10.3</v>
      </c>
      <c r="X14">
        <f t="shared" si="6"/>
        <v>10.3</v>
      </c>
      <c r="Y14">
        <f t="shared" si="6"/>
        <v>10.3</v>
      </c>
      <c r="Z14">
        <f t="shared" si="6"/>
        <v>10.3</v>
      </c>
      <c r="AA14">
        <f t="shared" si="6"/>
        <v>10.3</v>
      </c>
    </row>
    <row r="15" spans="1:31" x14ac:dyDescent="0.2">
      <c r="A15" t="str">
        <f t="shared" ref="A15:A23" si="8">A14</f>
        <v>D2</v>
      </c>
      <c r="B15">
        <f>IF(SUMIF(Scenarios!$Q$6:$V$6,'Fuel costs'!D15,Scenarios!$Q$7:$V$7)&gt;0,SUMIF(Scenarios!$Q$6:$V$6,'Fuel costs'!D15,Scenarios!$Q$7:$V$7),1)</f>
        <v>1</v>
      </c>
      <c r="C15" s="28" t="s">
        <v>252</v>
      </c>
      <c r="D15" s="28" t="s">
        <v>253</v>
      </c>
      <c r="E15" s="27" t="str">
        <f t="shared" si="7"/>
        <v>D2HY00X00</v>
      </c>
      <c r="G15">
        <f t="shared" si="5"/>
        <v>1E-3</v>
      </c>
      <c r="H15">
        <f t="shared" si="5"/>
        <v>1E-3</v>
      </c>
      <c r="I15">
        <f t="shared" si="5"/>
        <v>1E-3</v>
      </c>
      <c r="J15">
        <f t="shared" si="5"/>
        <v>1E-3</v>
      </c>
      <c r="K15">
        <f t="shared" si="5"/>
        <v>1E-3</v>
      </c>
      <c r="L15">
        <f t="shared" si="5"/>
        <v>1E-3</v>
      </c>
      <c r="M15">
        <f t="shared" si="5"/>
        <v>1E-3</v>
      </c>
      <c r="N15">
        <f t="shared" si="5"/>
        <v>1E-3</v>
      </c>
      <c r="O15">
        <f t="shared" si="5"/>
        <v>1E-3</v>
      </c>
      <c r="P15">
        <f t="shared" si="5"/>
        <v>1E-3</v>
      </c>
      <c r="Q15">
        <f t="shared" si="6"/>
        <v>1E-3</v>
      </c>
      <c r="R15">
        <f t="shared" si="6"/>
        <v>1E-3</v>
      </c>
      <c r="S15">
        <f t="shared" si="6"/>
        <v>1E-3</v>
      </c>
      <c r="T15">
        <f t="shared" si="6"/>
        <v>1E-3</v>
      </c>
      <c r="U15">
        <f t="shared" si="6"/>
        <v>1E-3</v>
      </c>
      <c r="V15">
        <f t="shared" si="6"/>
        <v>1E-3</v>
      </c>
      <c r="W15">
        <f t="shared" si="6"/>
        <v>1E-3</v>
      </c>
      <c r="X15">
        <f t="shared" si="6"/>
        <v>1E-3</v>
      </c>
      <c r="Y15">
        <f t="shared" si="6"/>
        <v>1E-3</v>
      </c>
      <c r="Z15">
        <f t="shared" si="6"/>
        <v>1E-3</v>
      </c>
      <c r="AA15">
        <f t="shared" si="6"/>
        <v>1E-3</v>
      </c>
    </row>
    <row r="16" spans="1:31" x14ac:dyDescent="0.2">
      <c r="A16" t="str">
        <f t="shared" si="8"/>
        <v>D2</v>
      </c>
      <c r="B16">
        <f>IF(SUMIF(Scenarios!$Q$6:$V$6,'Fuel costs'!D16,Scenarios!$Q$7:$V$7)&gt;0,SUMIF(Scenarios!$Q$6:$V$6,'Fuel costs'!D16,Scenarios!$Q$7:$V$7),1)</f>
        <v>1</v>
      </c>
      <c r="C16" s="29" t="s">
        <v>254</v>
      </c>
      <c r="D16" s="29" t="s">
        <v>255</v>
      </c>
      <c r="E16" s="27" t="str">
        <f t="shared" si="7"/>
        <v>D2SO00X00</v>
      </c>
      <c r="G16">
        <f t="shared" si="5"/>
        <v>1E-3</v>
      </c>
      <c r="H16">
        <f t="shared" si="5"/>
        <v>1E-3</v>
      </c>
      <c r="I16">
        <f t="shared" si="5"/>
        <v>1E-3</v>
      </c>
      <c r="J16">
        <f t="shared" si="5"/>
        <v>1E-3</v>
      </c>
      <c r="K16">
        <f t="shared" si="5"/>
        <v>1E-3</v>
      </c>
      <c r="L16">
        <f t="shared" si="5"/>
        <v>1E-3</v>
      </c>
      <c r="M16">
        <f t="shared" si="5"/>
        <v>1E-3</v>
      </c>
      <c r="N16">
        <f t="shared" si="5"/>
        <v>1E-3</v>
      </c>
      <c r="O16">
        <f t="shared" si="5"/>
        <v>1E-3</v>
      </c>
      <c r="P16">
        <f t="shared" si="5"/>
        <v>1E-3</v>
      </c>
      <c r="Q16">
        <f t="shared" si="6"/>
        <v>1E-3</v>
      </c>
      <c r="R16">
        <f t="shared" si="6"/>
        <v>1E-3</v>
      </c>
      <c r="S16">
        <f t="shared" si="6"/>
        <v>1E-3</v>
      </c>
      <c r="T16">
        <f t="shared" si="6"/>
        <v>1E-3</v>
      </c>
      <c r="U16">
        <f t="shared" si="6"/>
        <v>1E-3</v>
      </c>
      <c r="V16">
        <f t="shared" si="6"/>
        <v>1E-3</v>
      </c>
      <c r="W16">
        <f t="shared" si="6"/>
        <v>1E-3</v>
      </c>
      <c r="X16">
        <f t="shared" si="6"/>
        <v>1E-3</v>
      </c>
      <c r="Y16">
        <f t="shared" si="6"/>
        <v>1E-3</v>
      </c>
      <c r="Z16">
        <f t="shared" si="6"/>
        <v>1E-3</v>
      </c>
      <c r="AA16">
        <f t="shared" si="6"/>
        <v>1E-3</v>
      </c>
    </row>
    <row r="17" spans="1:27" x14ac:dyDescent="0.2">
      <c r="A17" t="str">
        <f t="shared" si="8"/>
        <v>D2</v>
      </c>
      <c r="B17">
        <f>IF(SUMIF(Scenarios!$Q$6:$V$6,'Fuel costs'!D17,Scenarios!$Q$7:$V$7)&gt;0,SUMIF(Scenarios!$Q$6:$V$6,'Fuel costs'!D17,Scenarios!$Q$7:$V$7),1)</f>
        <v>1</v>
      </c>
      <c r="C17" s="30" t="s">
        <v>256</v>
      </c>
      <c r="D17" s="30" t="s">
        <v>257</v>
      </c>
      <c r="E17" s="27" t="str">
        <f t="shared" si="7"/>
        <v>D2WD00X00</v>
      </c>
      <c r="G17">
        <f t="shared" si="5"/>
        <v>1E-3</v>
      </c>
      <c r="H17">
        <f t="shared" si="5"/>
        <v>1E-3</v>
      </c>
      <c r="I17">
        <f t="shared" si="5"/>
        <v>1E-3</v>
      </c>
      <c r="J17">
        <f t="shared" si="5"/>
        <v>1E-3</v>
      </c>
      <c r="K17">
        <f t="shared" si="5"/>
        <v>1E-3</v>
      </c>
      <c r="L17">
        <f t="shared" si="5"/>
        <v>1E-3</v>
      </c>
      <c r="M17">
        <f t="shared" si="5"/>
        <v>1E-3</v>
      </c>
      <c r="N17">
        <f t="shared" si="5"/>
        <v>1E-3</v>
      </c>
      <c r="O17">
        <f t="shared" si="5"/>
        <v>1E-3</v>
      </c>
      <c r="P17">
        <f t="shared" si="5"/>
        <v>1E-3</v>
      </c>
      <c r="Q17">
        <f t="shared" si="6"/>
        <v>1E-3</v>
      </c>
      <c r="R17">
        <f t="shared" si="6"/>
        <v>1E-3</v>
      </c>
      <c r="S17">
        <f t="shared" si="6"/>
        <v>1E-3</v>
      </c>
      <c r="T17">
        <f t="shared" si="6"/>
        <v>1E-3</v>
      </c>
      <c r="U17">
        <f t="shared" si="6"/>
        <v>1E-3</v>
      </c>
      <c r="V17">
        <f t="shared" si="6"/>
        <v>1E-3</v>
      </c>
      <c r="W17">
        <f t="shared" si="6"/>
        <v>1E-3</v>
      </c>
      <c r="X17">
        <f t="shared" si="6"/>
        <v>1E-3</v>
      </c>
      <c r="Y17">
        <f t="shared" si="6"/>
        <v>1E-3</v>
      </c>
      <c r="Z17">
        <f t="shared" si="6"/>
        <v>1E-3</v>
      </c>
      <c r="AA17">
        <f t="shared" si="6"/>
        <v>1E-3</v>
      </c>
    </row>
    <row r="18" spans="1:27" x14ac:dyDescent="0.2">
      <c r="A18" t="str">
        <f t="shared" si="8"/>
        <v>D2</v>
      </c>
      <c r="B18">
        <f>IF(SUMIF(Scenarios!$Q$6:$V$6,'Fuel costs'!D18,Scenarios!$Q$7:$V$7)&gt;0,SUMIF(Scenarios!$Q$6:$V$6,'Fuel costs'!D18,Scenarios!$Q$7:$V$7),1)</f>
        <v>1</v>
      </c>
      <c r="C18" s="27" t="s">
        <v>258</v>
      </c>
      <c r="D18" s="27" t="s">
        <v>259</v>
      </c>
      <c r="E18" s="27" t="str">
        <f t="shared" si="7"/>
        <v>D2HF00I00</v>
      </c>
      <c r="G18">
        <f t="shared" si="5"/>
        <v>9.2998477929984773</v>
      </c>
      <c r="H18">
        <f t="shared" si="5"/>
        <v>9.7000253678335859</v>
      </c>
      <c r="I18">
        <f t="shared" si="5"/>
        <v>10.099885844748858</v>
      </c>
      <c r="J18">
        <f t="shared" si="5"/>
        <v>10.500063419583967</v>
      </c>
      <c r="K18">
        <f t="shared" si="5"/>
        <v>10.899923896499239</v>
      </c>
      <c r="L18">
        <f t="shared" si="5"/>
        <v>11.300101471334347</v>
      </c>
      <c r="M18">
        <f t="shared" si="5"/>
        <v>11.7</v>
      </c>
      <c r="N18">
        <f t="shared" si="5"/>
        <v>12.1</v>
      </c>
      <c r="O18">
        <f t="shared" si="5"/>
        <v>12.5</v>
      </c>
      <c r="P18">
        <f t="shared" si="5"/>
        <v>12.9</v>
      </c>
      <c r="Q18">
        <f t="shared" si="6"/>
        <v>13.300038051750381</v>
      </c>
      <c r="R18">
        <f t="shared" si="6"/>
        <v>13.46</v>
      </c>
      <c r="S18">
        <f t="shared" si="6"/>
        <v>13.62</v>
      </c>
      <c r="T18">
        <f t="shared" si="6"/>
        <v>13.78</v>
      </c>
      <c r="U18">
        <f t="shared" si="6"/>
        <v>13.94</v>
      </c>
      <c r="V18">
        <f t="shared" si="6"/>
        <v>14.100076103500761</v>
      </c>
      <c r="W18">
        <f t="shared" si="6"/>
        <v>14.26</v>
      </c>
      <c r="X18">
        <f t="shared" si="6"/>
        <v>14.42</v>
      </c>
      <c r="Y18">
        <f t="shared" si="6"/>
        <v>14.58</v>
      </c>
      <c r="Z18">
        <f t="shared" si="6"/>
        <v>14.74</v>
      </c>
      <c r="AA18">
        <f t="shared" si="6"/>
        <v>14.90011415525114</v>
      </c>
    </row>
    <row r="19" spans="1:27" x14ac:dyDescent="0.2">
      <c r="A19" t="str">
        <f t="shared" si="8"/>
        <v>D2</v>
      </c>
      <c r="B19">
        <f>IF(SUMIF(Scenarios!$Q$6:$V$6,'Fuel costs'!D19,Scenarios!$Q$7:$V$7)&gt;0,SUMIF(Scenarios!$Q$6:$V$6,'Fuel costs'!D19,Scenarios!$Q$7:$V$7),1)</f>
        <v>1</v>
      </c>
      <c r="C19" s="27" t="s">
        <v>260</v>
      </c>
      <c r="D19" s="27" t="s">
        <v>261</v>
      </c>
      <c r="E19" s="27" t="str">
        <f t="shared" si="7"/>
        <v>D2DS00I00</v>
      </c>
      <c r="G19">
        <f t="shared" si="5"/>
        <v>13.633307965499746</v>
      </c>
      <c r="H19">
        <f t="shared" si="5"/>
        <v>14.21993911719939</v>
      </c>
      <c r="I19">
        <f t="shared" si="5"/>
        <v>14.806570268899035</v>
      </c>
      <c r="J19">
        <f t="shared" si="5"/>
        <v>15.393201420598681</v>
      </c>
      <c r="K19">
        <f t="shared" si="5"/>
        <v>15.980149670218163</v>
      </c>
      <c r="L19">
        <f t="shared" si="5"/>
        <v>16.56678082191781</v>
      </c>
      <c r="M19">
        <f t="shared" si="5"/>
        <v>17.149999999999999</v>
      </c>
      <c r="N19">
        <f t="shared" si="5"/>
        <v>17.739999999999998</v>
      </c>
      <c r="O19">
        <f t="shared" si="5"/>
        <v>18.329999999999998</v>
      </c>
      <c r="P19">
        <f t="shared" si="5"/>
        <v>18.920000000000002</v>
      </c>
      <c r="Q19">
        <f t="shared" si="6"/>
        <v>19.499936580416033</v>
      </c>
      <c r="R19">
        <f t="shared" si="6"/>
        <v>19.73</v>
      </c>
      <c r="S19">
        <f t="shared" si="6"/>
        <v>19.96</v>
      </c>
      <c r="T19">
        <f t="shared" si="6"/>
        <v>20.190000000000001</v>
      </c>
      <c r="U19">
        <f t="shared" si="6"/>
        <v>20.420000000000002</v>
      </c>
      <c r="V19">
        <f t="shared" si="6"/>
        <v>20.650050735667175</v>
      </c>
      <c r="W19">
        <f t="shared" si="6"/>
        <v>20.88</v>
      </c>
      <c r="X19">
        <f t="shared" si="6"/>
        <v>21.11</v>
      </c>
      <c r="Y19">
        <f t="shared" si="6"/>
        <v>21.34</v>
      </c>
      <c r="Z19">
        <f t="shared" si="6"/>
        <v>21.57</v>
      </c>
      <c r="AA19">
        <f t="shared" si="6"/>
        <v>21.799847792998477</v>
      </c>
    </row>
    <row r="20" spans="1:27" x14ac:dyDescent="0.2">
      <c r="A20" t="str">
        <f t="shared" si="8"/>
        <v>D2</v>
      </c>
      <c r="B20">
        <f>IF(SUMIF(Scenarios!$Q$6:$V$6,'Fuel costs'!D20,Scenarios!$Q$7:$V$7)&gt;0,SUMIF(Scenarios!$Q$6:$V$6,'Fuel costs'!D20,Scenarios!$Q$7:$V$7),1)</f>
        <v>1</v>
      </c>
      <c r="C20" s="27" t="s">
        <v>262</v>
      </c>
      <c r="D20" s="27" t="s">
        <v>263</v>
      </c>
      <c r="E20" s="27" t="str">
        <f t="shared" si="7"/>
        <v>D2NG00X00</v>
      </c>
      <c r="G20">
        <f t="shared" si="5"/>
        <v>7.4001141552511411</v>
      </c>
      <c r="H20">
        <f t="shared" si="5"/>
        <v>7.5599315068493143</v>
      </c>
      <c r="I20">
        <f t="shared" si="5"/>
        <v>7.7200659563673257</v>
      </c>
      <c r="J20">
        <f t="shared" si="5"/>
        <v>7.8798833079654997</v>
      </c>
      <c r="K20">
        <f t="shared" si="5"/>
        <v>8.0400177574835112</v>
      </c>
      <c r="L20">
        <f t="shared" si="5"/>
        <v>8.2001522070015227</v>
      </c>
      <c r="M20">
        <f t="shared" si="5"/>
        <v>8.36</v>
      </c>
      <c r="N20">
        <f t="shared" si="5"/>
        <v>8.52</v>
      </c>
      <c r="O20">
        <f t="shared" si="5"/>
        <v>8.68</v>
      </c>
      <c r="P20">
        <f t="shared" si="5"/>
        <v>8.84</v>
      </c>
      <c r="Q20">
        <f t="shared" si="6"/>
        <v>8.999873160832065</v>
      </c>
      <c r="R20">
        <f t="shared" si="6"/>
        <v>9.2200000000000006</v>
      </c>
      <c r="S20">
        <f t="shared" si="6"/>
        <v>9.44</v>
      </c>
      <c r="T20">
        <f t="shared" si="6"/>
        <v>9.66</v>
      </c>
      <c r="U20">
        <f t="shared" si="6"/>
        <v>9.8800000000000008</v>
      </c>
      <c r="V20">
        <f t="shared" si="6"/>
        <v>10.099885844748858</v>
      </c>
      <c r="W20">
        <f t="shared" si="6"/>
        <v>10.32</v>
      </c>
      <c r="X20">
        <f t="shared" si="6"/>
        <v>10.54</v>
      </c>
      <c r="Y20">
        <f t="shared" si="6"/>
        <v>10.76</v>
      </c>
      <c r="Z20">
        <f t="shared" si="6"/>
        <v>10.98</v>
      </c>
      <c r="AA20">
        <f t="shared" si="6"/>
        <v>11.199898528665651</v>
      </c>
    </row>
    <row r="21" spans="1:27" x14ac:dyDescent="0.2">
      <c r="A21" t="str">
        <f t="shared" si="8"/>
        <v>D2</v>
      </c>
      <c r="B21">
        <f>IF(SUMIF(Scenarios!$Q$6:$V$6,'Fuel costs'!D21,Scenarios!$Q$7:$V$7)&gt;0,SUMIF(Scenarios!$Q$6:$V$6,'Fuel costs'!D21,Scenarios!$Q$7:$V$7),1)</f>
        <v>1</v>
      </c>
      <c r="C21" s="27" t="s">
        <v>264</v>
      </c>
      <c r="D21" s="27" t="s">
        <v>265</v>
      </c>
      <c r="E21" s="27" t="str">
        <f t="shared" si="7"/>
        <v>D2CO00X00</v>
      </c>
      <c r="G21">
        <f t="shared" si="5"/>
        <v>3.2001522070015218</v>
      </c>
      <c r="H21">
        <f t="shared" si="5"/>
        <v>3.2201293759512937</v>
      </c>
      <c r="I21">
        <f t="shared" si="5"/>
        <v>3.2401065449010655</v>
      </c>
      <c r="J21">
        <f t="shared" si="5"/>
        <v>3.260083713850837</v>
      </c>
      <c r="K21">
        <f t="shared" si="5"/>
        <v>3.2800608828006084</v>
      </c>
      <c r="L21">
        <f t="shared" si="5"/>
        <v>3.3000380517503802</v>
      </c>
      <c r="M21">
        <f t="shared" si="5"/>
        <v>3.32</v>
      </c>
      <c r="N21">
        <f t="shared" si="5"/>
        <v>3.34</v>
      </c>
      <c r="O21">
        <f t="shared" si="5"/>
        <v>3.36</v>
      </c>
      <c r="P21">
        <f t="shared" si="5"/>
        <v>3.38</v>
      </c>
      <c r="Q21">
        <f t="shared" si="6"/>
        <v>3.3999238964992387</v>
      </c>
      <c r="R21">
        <f t="shared" si="6"/>
        <v>3.43</v>
      </c>
      <c r="S21">
        <f t="shared" si="6"/>
        <v>3.46</v>
      </c>
      <c r="T21">
        <f t="shared" si="6"/>
        <v>3.49</v>
      </c>
      <c r="U21">
        <f t="shared" si="6"/>
        <v>3.52</v>
      </c>
      <c r="V21">
        <f t="shared" si="6"/>
        <v>3.5499112125824452</v>
      </c>
      <c r="W21">
        <f t="shared" si="6"/>
        <v>3.58</v>
      </c>
      <c r="X21">
        <f t="shared" si="6"/>
        <v>3.61</v>
      </c>
      <c r="Y21">
        <f t="shared" si="6"/>
        <v>3.64</v>
      </c>
      <c r="Z21">
        <f t="shared" si="6"/>
        <v>3.67</v>
      </c>
      <c r="AA21">
        <f t="shared" si="6"/>
        <v>3.6998985286656518</v>
      </c>
    </row>
    <row r="22" spans="1:27" x14ac:dyDescent="0.2">
      <c r="A22" t="str">
        <f t="shared" si="8"/>
        <v>D2</v>
      </c>
      <c r="B22">
        <f>IF(SUMIF(Scenarios!$Q$6:$V$6,'Fuel costs'!D22,Scenarios!$Q$7:$V$7)&gt;0,SUMIF(Scenarios!$Q$6:$V$6,'Fuel costs'!D22,Scenarios!$Q$7:$V$7),1)</f>
        <v>1</v>
      </c>
      <c r="C22" s="27" t="s">
        <v>247</v>
      </c>
      <c r="D22" s="27" t="s">
        <v>266</v>
      </c>
      <c r="E22" s="27" t="str">
        <f t="shared" si="7"/>
        <v>D2PWRTRN</v>
      </c>
      <c r="G22">
        <f t="shared" ref="G22:P34" si="9">SUMIFS(G$40:G$146,$B$40:$B$146,$B22,$E$40:$E$146,$E22)</f>
        <v>0</v>
      </c>
      <c r="H22">
        <f t="shared" si="9"/>
        <v>0</v>
      </c>
      <c r="I22">
        <f t="shared" si="9"/>
        <v>0</v>
      </c>
      <c r="J22">
        <f t="shared" si="9"/>
        <v>0</v>
      </c>
      <c r="K22">
        <f t="shared" si="9"/>
        <v>0</v>
      </c>
      <c r="L22">
        <f t="shared" si="9"/>
        <v>0</v>
      </c>
      <c r="M22">
        <f t="shared" si="9"/>
        <v>0</v>
      </c>
      <c r="N22">
        <f t="shared" si="9"/>
        <v>0</v>
      </c>
      <c r="O22">
        <f t="shared" si="9"/>
        <v>0</v>
      </c>
      <c r="P22">
        <f t="shared" si="9"/>
        <v>0</v>
      </c>
      <c r="Q22">
        <f t="shared" ref="Q22:AA34" si="10">SUMIFS(Q$40:Q$146,$B$40:$B$146,$B22,$E$40:$E$146,$E22)</f>
        <v>0</v>
      </c>
      <c r="R22">
        <f t="shared" si="10"/>
        <v>0</v>
      </c>
      <c r="S22">
        <f t="shared" si="10"/>
        <v>0</v>
      </c>
      <c r="T22">
        <f t="shared" si="10"/>
        <v>0</v>
      </c>
      <c r="U22">
        <f t="shared" si="10"/>
        <v>0</v>
      </c>
      <c r="V22">
        <f t="shared" si="10"/>
        <v>0</v>
      </c>
      <c r="W22">
        <f t="shared" si="10"/>
        <v>0</v>
      </c>
      <c r="X22">
        <f t="shared" si="10"/>
        <v>0</v>
      </c>
      <c r="Y22">
        <f t="shared" si="10"/>
        <v>0</v>
      </c>
      <c r="Z22">
        <f t="shared" si="10"/>
        <v>0</v>
      </c>
      <c r="AA22">
        <f t="shared" si="10"/>
        <v>0</v>
      </c>
    </row>
    <row r="23" spans="1:27" x14ac:dyDescent="0.2">
      <c r="A23" t="str">
        <f t="shared" si="8"/>
        <v>D2</v>
      </c>
      <c r="B23">
        <f>IF(SUMIF(Scenarios!$Q$6:$V$6,'Fuel costs'!D23,Scenarios!$Q$7:$V$7)&gt;0,SUMIF(Scenarios!$Q$6:$V$6,'Fuel costs'!D23,Scenarios!$Q$7:$V$7),1)</f>
        <v>1</v>
      </c>
      <c r="C23" s="27" t="s">
        <v>267</v>
      </c>
      <c r="D23" s="27" t="s">
        <v>267</v>
      </c>
      <c r="E23" s="27" t="str">
        <f t="shared" si="7"/>
        <v>D2IMPELC</v>
      </c>
      <c r="G23">
        <f t="shared" si="9"/>
        <v>999</v>
      </c>
      <c r="H23">
        <f t="shared" si="9"/>
        <v>999</v>
      </c>
      <c r="I23">
        <f t="shared" si="9"/>
        <v>999</v>
      </c>
      <c r="J23">
        <f t="shared" si="9"/>
        <v>999</v>
      </c>
      <c r="K23">
        <f t="shared" si="9"/>
        <v>999</v>
      </c>
      <c r="L23">
        <f t="shared" si="9"/>
        <v>999</v>
      </c>
      <c r="M23">
        <f t="shared" si="9"/>
        <v>999</v>
      </c>
      <c r="N23">
        <f t="shared" si="9"/>
        <v>999</v>
      </c>
      <c r="O23">
        <f t="shared" si="9"/>
        <v>999</v>
      </c>
      <c r="P23">
        <f t="shared" si="9"/>
        <v>999</v>
      </c>
      <c r="Q23">
        <f t="shared" si="10"/>
        <v>999</v>
      </c>
      <c r="R23">
        <f t="shared" si="10"/>
        <v>999</v>
      </c>
      <c r="S23">
        <f t="shared" si="10"/>
        <v>999</v>
      </c>
      <c r="T23">
        <f t="shared" si="10"/>
        <v>999</v>
      </c>
      <c r="U23">
        <f t="shared" si="10"/>
        <v>999</v>
      </c>
      <c r="V23">
        <f t="shared" si="10"/>
        <v>999</v>
      </c>
      <c r="W23">
        <f t="shared" si="10"/>
        <v>999</v>
      </c>
      <c r="X23">
        <f t="shared" si="10"/>
        <v>999</v>
      </c>
      <c r="Y23">
        <f t="shared" si="10"/>
        <v>999</v>
      </c>
      <c r="Z23">
        <f t="shared" si="10"/>
        <v>999</v>
      </c>
      <c r="AA23">
        <f t="shared" si="10"/>
        <v>999</v>
      </c>
    </row>
    <row r="24" spans="1:27" x14ac:dyDescent="0.2">
      <c r="A24" t="s">
        <v>84</v>
      </c>
      <c r="B24">
        <f>IF(SUMIF(Scenarios!$Q$6:$V$6,'Fuel costs'!D24,Scenarios!$Q$7:$V$7)&gt;0,SUMIF(Scenarios!$Q$6:$V$6,'Fuel costs'!D24,Scenarios!$Q$7:$V$7),1)</f>
        <v>1</v>
      </c>
      <c r="C24" s="27" t="s">
        <v>248</v>
      </c>
      <c r="D24" s="27" t="s">
        <v>249</v>
      </c>
      <c r="E24" s="27" t="str">
        <f t="shared" si="7"/>
        <v>D3BM00X00</v>
      </c>
      <c r="G24">
        <f t="shared" si="9"/>
        <v>0</v>
      </c>
      <c r="H24">
        <f t="shared" si="9"/>
        <v>0</v>
      </c>
      <c r="I24">
        <f t="shared" si="9"/>
        <v>0</v>
      </c>
      <c r="J24">
        <f t="shared" si="9"/>
        <v>0</v>
      </c>
      <c r="K24">
        <f t="shared" si="9"/>
        <v>0</v>
      </c>
      <c r="L24">
        <f t="shared" si="9"/>
        <v>0</v>
      </c>
      <c r="M24">
        <f t="shared" si="9"/>
        <v>0</v>
      </c>
      <c r="N24">
        <f t="shared" si="9"/>
        <v>0</v>
      </c>
      <c r="O24">
        <f t="shared" si="9"/>
        <v>0</v>
      </c>
      <c r="P24">
        <f t="shared" si="9"/>
        <v>0</v>
      </c>
      <c r="Q24">
        <f t="shared" si="10"/>
        <v>0</v>
      </c>
      <c r="R24">
        <f t="shared" si="10"/>
        <v>0</v>
      </c>
      <c r="S24">
        <f t="shared" si="10"/>
        <v>0</v>
      </c>
      <c r="T24">
        <f t="shared" si="10"/>
        <v>0</v>
      </c>
      <c r="U24">
        <f t="shared" si="10"/>
        <v>0</v>
      </c>
      <c r="V24">
        <f t="shared" si="10"/>
        <v>0</v>
      </c>
      <c r="W24">
        <f t="shared" si="10"/>
        <v>0</v>
      </c>
      <c r="X24">
        <f t="shared" si="10"/>
        <v>0</v>
      </c>
      <c r="Y24">
        <f t="shared" si="10"/>
        <v>0</v>
      </c>
      <c r="Z24">
        <f t="shared" si="10"/>
        <v>0</v>
      </c>
      <c r="AA24">
        <f t="shared" si="10"/>
        <v>0</v>
      </c>
    </row>
    <row r="25" spans="1:27" x14ac:dyDescent="0.2">
      <c r="A25" t="str">
        <f>A24</f>
        <v>D3</v>
      </c>
      <c r="B25">
        <f>IF(SUMIF(Scenarios!$Q$6:$V$6,'Fuel costs'!D25,Scenarios!$Q$7:$V$7)&gt;0,SUMIF(Scenarios!$Q$6:$V$6,'Fuel costs'!D25,Scenarios!$Q$7:$V$7),1)</f>
        <v>1</v>
      </c>
      <c r="C25" s="27" t="s">
        <v>250</v>
      </c>
      <c r="D25" s="27" t="s">
        <v>251</v>
      </c>
      <c r="E25" s="27" t="str">
        <f t="shared" si="7"/>
        <v>D3BW00X00</v>
      </c>
      <c r="G25">
        <f t="shared" si="9"/>
        <v>10.3</v>
      </c>
      <c r="H25">
        <f t="shared" si="9"/>
        <v>10.3</v>
      </c>
      <c r="I25">
        <f t="shared" si="9"/>
        <v>10.3</v>
      </c>
      <c r="J25">
        <f t="shared" si="9"/>
        <v>10.3</v>
      </c>
      <c r="K25">
        <f t="shared" si="9"/>
        <v>10.3</v>
      </c>
      <c r="L25">
        <f t="shared" si="9"/>
        <v>10.3</v>
      </c>
      <c r="M25">
        <f t="shared" si="9"/>
        <v>10.3</v>
      </c>
      <c r="N25">
        <f t="shared" si="9"/>
        <v>10.3</v>
      </c>
      <c r="O25">
        <f t="shared" si="9"/>
        <v>10.3</v>
      </c>
      <c r="P25">
        <f t="shared" si="9"/>
        <v>10.3</v>
      </c>
      <c r="Q25">
        <f t="shared" si="10"/>
        <v>10.3</v>
      </c>
      <c r="R25">
        <f t="shared" si="10"/>
        <v>10.3</v>
      </c>
      <c r="S25">
        <f t="shared" si="10"/>
        <v>10.3</v>
      </c>
      <c r="T25">
        <f t="shared" si="10"/>
        <v>10.3</v>
      </c>
      <c r="U25">
        <f t="shared" si="10"/>
        <v>10.3</v>
      </c>
      <c r="V25">
        <f t="shared" si="10"/>
        <v>10.3</v>
      </c>
      <c r="W25">
        <f t="shared" si="10"/>
        <v>10.3</v>
      </c>
      <c r="X25">
        <f t="shared" si="10"/>
        <v>10.3</v>
      </c>
      <c r="Y25">
        <f t="shared" si="10"/>
        <v>10.3</v>
      </c>
      <c r="Z25">
        <f t="shared" si="10"/>
        <v>10.3</v>
      </c>
      <c r="AA25">
        <f t="shared" si="10"/>
        <v>10.3</v>
      </c>
    </row>
    <row r="26" spans="1:27" x14ac:dyDescent="0.2">
      <c r="A26" t="str">
        <f t="shared" ref="A26:A34" si="11">A25</f>
        <v>D3</v>
      </c>
      <c r="B26">
        <f>IF(SUMIF(Scenarios!$Q$6:$V$6,'Fuel costs'!D26,Scenarios!$Q$7:$V$7)&gt;0,SUMIF(Scenarios!$Q$6:$V$6,'Fuel costs'!D26,Scenarios!$Q$7:$V$7),1)</f>
        <v>1</v>
      </c>
      <c r="C26" s="28" t="s">
        <v>252</v>
      </c>
      <c r="D26" s="28" t="s">
        <v>253</v>
      </c>
      <c r="E26" s="27" t="str">
        <f t="shared" si="7"/>
        <v>D3HY00X00</v>
      </c>
      <c r="G26">
        <f t="shared" si="9"/>
        <v>1E-3</v>
      </c>
      <c r="H26">
        <f t="shared" si="9"/>
        <v>1E-3</v>
      </c>
      <c r="I26">
        <f t="shared" si="9"/>
        <v>1E-3</v>
      </c>
      <c r="J26">
        <f t="shared" si="9"/>
        <v>1E-3</v>
      </c>
      <c r="K26">
        <f t="shared" si="9"/>
        <v>1E-3</v>
      </c>
      <c r="L26">
        <f t="shared" si="9"/>
        <v>1E-3</v>
      </c>
      <c r="M26">
        <f t="shared" si="9"/>
        <v>1E-3</v>
      </c>
      <c r="N26">
        <f t="shared" si="9"/>
        <v>1E-3</v>
      </c>
      <c r="O26">
        <f t="shared" si="9"/>
        <v>1E-3</v>
      </c>
      <c r="P26">
        <f t="shared" si="9"/>
        <v>1E-3</v>
      </c>
      <c r="Q26">
        <f t="shared" si="10"/>
        <v>1E-3</v>
      </c>
      <c r="R26">
        <f t="shared" si="10"/>
        <v>1E-3</v>
      </c>
      <c r="S26">
        <f t="shared" si="10"/>
        <v>1E-3</v>
      </c>
      <c r="T26">
        <f t="shared" si="10"/>
        <v>1E-3</v>
      </c>
      <c r="U26">
        <f t="shared" si="10"/>
        <v>1E-3</v>
      </c>
      <c r="V26">
        <f t="shared" si="10"/>
        <v>1E-3</v>
      </c>
      <c r="W26">
        <f t="shared" si="10"/>
        <v>1E-3</v>
      </c>
      <c r="X26">
        <f t="shared" si="10"/>
        <v>1E-3</v>
      </c>
      <c r="Y26">
        <f t="shared" si="10"/>
        <v>1E-3</v>
      </c>
      <c r="Z26">
        <f t="shared" si="10"/>
        <v>1E-3</v>
      </c>
      <c r="AA26">
        <f t="shared" si="10"/>
        <v>1E-3</v>
      </c>
    </row>
    <row r="27" spans="1:27" x14ac:dyDescent="0.2">
      <c r="A27" t="str">
        <f t="shared" si="11"/>
        <v>D3</v>
      </c>
      <c r="B27">
        <f>IF(SUMIF(Scenarios!$Q$6:$V$6,'Fuel costs'!D27,Scenarios!$Q$7:$V$7)&gt;0,SUMIF(Scenarios!$Q$6:$V$6,'Fuel costs'!D27,Scenarios!$Q$7:$V$7),1)</f>
        <v>1</v>
      </c>
      <c r="C27" s="29" t="s">
        <v>254</v>
      </c>
      <c r="D27" s="29" t="s">
        <v>255</v>
      </c>
      <c r="E27" s="27" t="str">
        <f t="shared" si="7"/>
        <v>D3SO00X00</v>
      </c>
      <c r="G27">
        <f t="shared" si="9"/>
        <v>1E-3</v>
      </c>
      <c r="H27">
        <f t="shared" si="9"/>
        <v>1E-3</v>
      </c>
      <c r="I27">
        <f t="shared" si="9"/>
        <v>1E-3</v>
      </c>
      <c r="J27">
        <f t="shared" si="9"/>
        <v>1E-3</v>
      </c>
      <c r="K27">
        <f t="shared" si="9"/>
        <v>1E-3</v>
      </c>
      <c r="L27">
        <f t="shared" si="9"/>
        <v>1E-3</v>
      </c>
      <c r="M27">
        <f t="shared" si="9"/>
        <v>1E-3</v>
      </c>
      <c r="N27">
        <f t="shared" si="9"/>
        <v>1E-3</v>
      </c>
      <c r="O27">
        <f t="shared" si="9"/>
        <v>1E-3</v>
      </c>
      <c r="P27">
        <f t="shared" si="9"/>
        <v>1E-3</v>
      </c>
      <c r="Q27">
        <f t="shared" si="10"/>
        <v>1E-3</v>
      </c>
      <c r="R27">
        <f t="shared" si="10"/>
        <v>1E-3</v>
      </c>
      <c r="S27">
        <f t="shared" si="10"/>
        <v>1E-3</v>
      </c>
      <c r="T27">
        <f t="shared" si="10"/>
        <v>1E-3</v>
      </c>
      <c r="U27">
        <f t="shared" si="10"/>
        <v>1E-3</v>
      </c>
      <c r="V27">
        <f t="shared" si="10"/>
        <v>1E-3</v>
      </c>
      <c r="W27">
        <f t="shared" si="10"/>
        <v>1E-3</v>
      </c>
      <c r="X27">
        <f t="shared" si="10"/>
        <v>1E-3</v>
      </c>
      <c r="Y27">
        <f t="shared" si="10"/>
        <v>1E-3</v>
      </c>
      <c r="Z27">
        <f t="shared" si="10"/>
        <v>1E-3</v>
      </c>
      <c r="AA27">
        <f t="shared" si="10"/>
        <v>1E-3</v>
      </c>
    </row>
    <row r="28" spans="1:27" x14ac:dyDescent="0.2">
      <c r="A28" t="str">
        <f t="shared" si="11"/>
        <v>D3</v>
      </c>
      <c r="B28">
        <f>IF(SUMIF(Scenarios!$Q$6:$V$6,'Fuel costs'!D28,Scenarios!$Q$7:$V$7)&gt;0,SUMIF(Scenarios!$Q$6:$V$6,'Fuel costs'!D28,Scenarios!$Q$7:$V$7),1)</f>
        <v>1</v>
      </c>
      <c r="C28" s="30" t="s">
        <v>256</v>
      </c>
      <c r="D28" s="30" t="s">
        <v>257</v>
      </c>
      <c r="E28" s="27" t="str">
        <f t="shared" si="7"/>
        <v>D3WD00X00</v>
      </c>
      <c r="G28">
        <f t="shared" si="9"/>
        <v>1E-3</v>
      </c>
      <c r="H28">
        <f t="shared" si="9"/>
        <v>1E-3</v>
      </c>
      <c r="I28">
        <f t="shared" si="9"/>
        <v>1E-3</v>
      </c>
      <c r="J28">
        <f t="shared" si="9"/>
        <v>1E-3</v>
      </c>
      <c r="K28">
        <f t="shared" si="9"/>
        <v>1E-3</v>
      </c>
      <c r="L28">
        <f t="shared" si="9"/>
        <v>1E-3</v>
      </c>
      <c r="M28">
        <f t="shared" si="9"/>
        <v>1E-3</v>
      </c>
      <c r="N28">
        <f t="shared" si="9"/>
        <v>1E-3</v>
      </c>
      <c r="O28">
        <f t="shared" si="9"/>
        <v>1E-3</v>
      </c>
      <c r="P28">
        <f t="shared" si="9"/>
        <v>1E-3</v>
      </c>
      <c r="Q28">
        <f t="shared" si="10"/>
        <v>1E-3</v>
      </c>
      <c r="R28">
        <f t="shared" si="10"/>
        <v>1E-3</v>
      </c>
      <c r="S28">
        <f t="shared" si="10"/>
        <v>1E-3</v>
      </c>
      <c r="T28">
        <f t="shared" si="10"/>
        <v>1E-3</v>
      </c>
      <c r="U28">
        <f t="shared" si="10"/>
        <v>1E-3</v>
      </c>
      <c r="V28">
        <f t="shared" si="10"/>
        <v>1E-3</v>
      </c>
      <c r="W28">
        <f t="shared" si="10"/>
        <v>1E-3</v>
      </c>
      <c r="X28">
        <f t="shared" si="10"/>
        <v>1E-3</v>
      </c>
      <c r="Y28">
        <f t="shared" si="10"/>
        <v>1E-3</v>
      </c>
      <c r="Z28">
        <f t="shared" si="10"/>
        <v>1E-3</v>
      </c>
      <c r="AA28">
        <f t="shared" si="10"/>
        <v>1E-3</v>
      </c>
    </row>
    <row r="29" spans="1:27" x14ac:dyDescent="0.2">
      <c r="A29" t="str">
        <f t="shared" si="11"/>
        <v>D3</v>
      </c>
      <c r="B29">
        <f>IF(SUMIF(Scenarios!$Q$6:$V$6,'Fuel costs'!D29,Scenarios!$Q$7:$V$7)&gt;0,SUMIF(Scenarios!$Q$6:$V$6,'Fuel costs'!D29,Scenarios!$Q$7:$V$7),1)</f>
        <v>1</v>
      </c>
      <c r="C29" s="27" t="s">
        <v>258</v>
      </c>
      <c r="D29" s="27" t="s">
        <v>259</v>
      </c>
      <c r="E29" s="27" t="str">
        <f t="shared" si="7"/>
        <v>D3HF00I00</v>
      </c>
      <c r="G29">
        <f t="shared" si="9"/>
        <v>9.2998477929984773</v>
      </c>
      <c r="H29">
        <f t="shared" si="9"/>
        <v>9.7000253678335859</v>
      </c>
      <c r="I29">
        <f t="shared" si="9"/>
        <v>10.099885844748858</v>
      </c>
      <c r="J29">
        <f t="shared" si="9"/>
        <v>10.500063419583967</v>
      </c>
      <c r="K29">
        <f t="shared" si="9"/>
        <v>10.899923896499239</v>
      </c>
      <c r="L29">
        <f t="shared" si="9"/>
        <v>11.300101471334347</v>
      </c>
      <c r="M29">
        <f t="shared" si="9"/>
        <v>11.7</v>
      </c>
      <c r="N29">
        <f t="shared" si="9"/>
        <v>12.1</v>
      </c>
      <c r="O29">
        <f t="shared" si="9"/>
        <v>12.5</v>
      </c>
      <c r="P29">
        <f t="shared" si="9"/>
        <v>12.9</v>
      </c>
      <c r="Q29">
        <f t="shared" si="10"/>
        <v>13.300038051750381</v>
      </c>
      <c r="R29">
        <f t="shared" si="10"/>
        <v>13.46</v>
      </c>
      <c r="S29">
        <f t="shared" si="10"/>
        <v>13.62</v>
      </c>
      <c r="T29">
        <f t="shared" si="10"/>
        <v>13.78</v>
      </c>
      <c r="U29">
        <f t="shared" si="10"/>
        <v>13.94</v>
      </c>
      <c r="V29">
        <f t="shared" si="10"/>
        <v>14.100076103500761</v>
      </c>
      <c r="W29">
        <f t="shared" si="10"/>
        <v>14.26</v>
      </c>
      <c r="X29">
        <f t="shared" si="10"/>
        <v>14.42</v>
      </c>
      <c r="Y29">
        <f t="shared" si="10"/>
        <v>14.58</v>
      </c>
      <c r="Z29">
        <f t="shared" si="10"/>
        <v>14.74</v>
      </c>
      <c r="AA29">
        <f t="shared" si="10"/>
        <v>14.90011415525114</v>
      </c>
    </row>
    <row r="30" spans="1:27" x14ac:dyDescent="0.2">
      <c r="A30" t="str">
        <f t="shared" si="11"/>
        <v>D3</v>
      </c>
      <c r="B30">
        <f>IF(SUMIF(Scenarios!$Q$6:$V$6,'Fuel costs'!D30,Scenarios!$Q$7:$V$7)&gt;0,SUMIF(Scenarios!$Q$6:$V$6,'Fuel costs'!D30,Scenarios!$Q$7:$V$7),1)</f>
        <v>1</v>
      </c>
      <c r="C30" s="27" t="s">
        <v>260</v>
      </c>
      <c r="D30" s="27" t="s">
        <v>261</v>
      </c>
      <c r="E30" s="27" t="str">
        <f t="shared" si="7"/>
        <v>D3DS00I00</v>
      </c>
      <c r="G30">
        <f t="shared" si="9"/>
        <v>13.633307965499746</v>
      </c>
      <c r="H30">
        <f t="shared" si="9"/>
        <v>14.21993911719939</v>
      </c>
      <c r="I30">
        <f t="shared" si="9"/>
        <v>14.806570268899035</v>
      </c>
      <c r="J30">
        <f t="shared" si="9"/>
        <v>15.393201420598681</v>
      </c>
      <c r="K30">
        <f t="shared" si="9"/>
        <v>15.980149670218163</v>
      </c>
      <c r="L30">
        <f t="shared" si="9"/>
        <v>16.56678082191781</v>
      </c>
      <c r="M30">
        <f t="shared" si="9"/>
        <v>17.149999999999999</v>
      </c>
      <c r="N30">
        <f t="shared" si="9"/>
        <v>17.739999999999998</v>
      </c>
      <c r="O30">
        <f t="shared" si="9"/>
        <v>18.329999999999998</v>
      </c>
      <c r="P30">
        <f t="shared" si="9"/>
        <v>18.920000000000002</v>
      </c>
      <c r="Q30">
        <f t="shared" si="10"/>
        <v>19.499936580416033</v>
      </c>
      <c r="R30">
        <f t="shared" si="10"/>
        <v>19.73</v>
      </c>
      <c r="S30">
        <f t="shared" si="10"/>
        <v>19.96</v>
      </c>
      <c r="T30">
        <f t="shared" si="10"/>
        <v>20.190000000000001</v>
      </c>
      <c r="U30">
        <f t="shared" si="10"/>
        <v>20.420000000000002</v>
      </c>
      <c r="V30">
        <f t="shared" si="10"/>
        <v>20.650050735667175</v>
      </c>
      <c r="W30">
        <f t="shared" si="10"/>
        <v>20.88</v>
      </c>
      <c r="X30">
        <f t="shared" si="10"/>
        <v>21.11</v>
      </c>
      <c r="Y30">
        <f t="shared" si="10"/>
        <v>21.34</v>
      </c>
      <c r="Z30">
        <f t="shared" si="10"/>
        <v>21.57</v>
      </c>
      <c r="AA30">
        <f t="shared" si="10"/>
        <v>21.799847792998477</v>
      </c>
    </row>
    <row r="31" spans="1:27" x14ac:dyDescent="0.2">
      <c r="A31" t="str">
        <f t="shared" si="11"/>
        <v>D3</v>
      </c>
      <c r="B31">
        <f>IF(SUMIF(Scenarios!$Q$6:$V$6,'Fuel costs'!D31,Scenarios!$Q$7:$V$7)&gt;0,SUMIF(Scenarios!$Q$6:$V$6,'Fuel costs'!D31,Scenarios!$Q$7:$V$7),1)</f>
        <v>1</v>
      </c>
      <c r="C31" s="27" t="s">
        <v>262</v>
      </c>
      <c r="D31" s="27" t="s">
        <v>263</v>
      </c>
      <c r="E31" s="27" t="str">
        <f t="shared" si="7"/>
        <v>D3NG00X00</v>
      </c>
      <c r="G31">
        <f t="shared" si="9"/>
        <v>7.4001141552511411</v>
      </c>
      <c r="H31">
        <f t="shared" si="9"/>
        <v>7.5599315068493143</v>
      </c>
      <c r="I31">
        <f t="shared" si="9"/>
        <v>7.7200659563673257</v>
      </c>
      <c r="J31">
        <f t="shared" si="9"/>
        <v>7.8798833079654997</v>
      </c>
      <c r="K31">
        <f t="shared" si="9"/>
        <v>8.0400177574835112</v>
      </c>
      <c r="L31">
        <f t="shared" si="9"/>
        <v>8.2001522070015227</v>
      </c>
      <c r="M31">
        <f t="shared" si="9"/>
        <v>8.36</v>
      </c>
      <c r="N31">
        <f t="shared" si="9"/>
        <v>8.52</v>
      </c>
      <c r="O31">
        <f t="shared" si="9"/>
        <v>8.68</v>
      </c>
      <c r="P31">
        <f t="shared" si="9"/>
        <v>8.84</v>
      </c>
      <c r="Q31">
        <f t="shared" si="10"/>
        <v>8.999873160832065</v>
      </c>
      <c r="R31">
        <f t="shared" si="10"/>
        <v>9.2200000000000006</v>
      </c>
      <c r="S31">
        <f t="shared" si="10"/>
        <v>9.44</v>
      </c>
      <c r="T31">
        <f t="shared" si="10"/>
        <v>9.66</v>
      </c>
      <c r="U31">
        <f t="shared" si="10"/>
        <v>9.8800000000000008</v>
      </c>
      <c r="V31">
        <f t="shared" si="10"/>
        <v>10.099885844748858</v>
      </c>
      <c r="W31">
        <f t="shared" si="10"/>
        <v>10.32</v>
      </c>
      <c r="X31">
        <f t="shared" si="10"/>
        <v>10.54</v>
      </c>
      <c r="Y31">
        <f t="shared" si="10"/>
        <v>10.76</v>
      </c>
      <c r="Z31">
        <f t="shared" si="10"/>
        <v>10.98</v>
      </c>
      <c r="AA31">
        <f t="shared" si="10"/>
        <v>11.199898528665651</v>
      </c>
    </row>
    <row r="32" spans="1:27" x14ac:dyDescent="0.2">
      <c r="A32" t="str">
        <f t="shared" si="11"/>
        <v>D3</v>
      </c>
      <c r="B32">
        <f>IF(SUMIF(Scenarios!$Q$6:$V$6,'Fuel costs'!D32,Scenarios!$Q$7:$V$7)&gt;0,SUMIF(Scenarios!$Q$6:$V$6,'Fuel costs'!D32,Scenarios!$Q$7:$V$7),1)</f>
        <v>1</v>
      </c>
      <c r="C32" s="27" t="s">
        <v>264</v>
      </c>
      <c r="D32" s="27" t="s">
        <v>265</v>
      </c>
      <c r="E32" s="27" t="str">
        <f t="shared" si="7"/>
        <v>D3CO00X00</v>
      </c>
      <c r="G32">
        <f t="shared" si="9"/>
        <v>3.2001522070015218</v>
      </c>
      <c r="H32">
        <f t="shared" si="9"/>
        <v>3.2201293759512937</v>
      </c>
      <c r="I32">
        <f t="shared" si="9"/>
        <v>3.2401065449010655</v>
      </c>
      <c r="J32">
        <f t="shared" si="9"/>
        <v>3.260083713850837</v>
      </c>
      <c r="K32">
        <f t="shared" si="9"/>
        <v>3.2800608828006084</v>
      </c>
      <c r="L32">
        <f t="shared" si="9"/>
        <v>3.3000380517503802</v>
      </c>
      <c r="M32">
        <f t="shared" si="9"/>
        <v>3.32</v>
      </c>
      <c r="N32">
        <f t="shared" si="9"/>
        <v>3.34</v>
      </c>
      <c r="O32">
        <f t="shared" si="9"/>
        <v>3.36</v>
      </c>
      <c r="P32">
        <f t="shared" si="9"/>
        <v>3.38</v>
      </c>
      <c r="Q32">
        <f t="shared" si="10"/>
        <v>3.3999238964992387</v>
      </c>
      <c r="R32">
        <f t="shared" si="10"/>
        <v>3.43</v>
      </c>
      <c r="S32">
        <f t="shared" si="10"/>
        <v>3.46</v>
      </c>
      <c r="T32">
        <f t="shared" si="10"/>
        <v>3.49</v>
      </c>
      <c r="U32">
        <f t="shared" si="10"/>
        <v>3.52</v>
      </c>
      <c r="V32">
        <f t="shared" si="10"/>
        <v>3.5499112125824452</v>
      </c>
      <c r="W32">
        <f t="shared" si="10"/>
        <v>3.58</v>
      </c>
      <c r="X32">
        <f t="shared" si="10"/>
        <v>3.61</v>
      </c>
      <c r="Y32">
        <f t="shared" si="10"/>
        <v>3.64</v>
      </c>
      <c r="Z32">
        <f t="shared" si="10"/>
        <v>3.67</v>
      </c>
      <c r="AA32">
        <f t="shared" si="10"/>
        <v>3.6998985286656518</v>
      </c>
    </row>
    <row r="33" spans="1:31" x14ac:dyDescent="0.2">
      <c r="A33" t="str">
        <f t="shared" si="11"/>
        <v>D3</v>
      </c>
      <c r="B33">
        <f>IF(SUMIF(Scenarios!$Q$6:$V$6,'Fuel costs'!D33,Scenarios!$Q$7:$V$7)&gt;0,SUMIF(Scenarios!$Q$6:$V$6,'Fuel costs'!D33,Scenarios!$Q$7:$V$7),1)</f>
        <v>1</v>
      </c>
      <c r="C33" s="27" t="s">
        <v>247</v>
      </c>
      <c r="D33" s="27" t="s">
        <v>266</v>
      </c>
      <c r="E33" s="27" t="str">
        <f t="shared" si="7"/>
        <v>D3PWRTRN</v>
      </c>
      <c r="G33">
        <f t="shared" si="9"/>
        <v>0</v>
      </c>
      <c r="H33">
        <f t="shared" si="9"/>
        <v>0</v>
      </c>
      <c r="I33">
        <f t="shared" si="9"/>
        <v>0</v>
      </c>
      <c r="J33">
        <f t="shared" si="9"/>
        <v>0</v>
      </c>
      <c r="K33">
        <f t="shared" si="9"/>
        <v>0</v>
      </c>
      <c r="L33">
        <f t="shared" si="9"/>
        <v>0</v>
      </c>
      <c r="M33">
        <f t="shared" si="9"/>
        <v>0</v>
      </c>
      <c r="N33">
        <f t="shared" si="9"/>
        <v>0</v>
      </c>
      <c r="O33">
        <f t="shared" si="9"/>
        <v>0</v>
      </c>
      <c r="P33">
        <f t="shared" si="9"/>
        <v>0</v>
      </c>
      <c r="Q33">
        <f t="shared" si="10"/>
        <v>0</v>
      </c>
      <c r="R33">
        <f t="shared" si="10"/>
        <v>0</v>
      </c>
      <c r="S33">
        <f t="shared" si="10"/>
        <v>0</v>
      </c>
      <c r="T33">
        <f t="shared" si="10"/>
        <v>0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</row>
    <row r="34" spans="1:31" x14ac:dyDescent="0.2">
      <c r="A34" t="str">
        <f t="shared" si="11"/>
        <v>D3</v>
      </c>
      <c r="B34">
        <f>IF(SUMIF(Scenarios!$Q$6:$V$6,'Fuel costs'!D34,Scenarios!$Q$7:$V$7)&gt;0,SUMIF(Scenarios!$Q$6:$V$6,'Fuel costs'!D34,Scenarios!$Q$7:$V$7),1)</f>
        <v>1</v>
      </c>
      <c r="C34" s="27" t="s">
        <v>267</v>
      </c>
      <c r="D34" s="27" t="s">
        <v>267</v>
      </c>
      <c r="E34" s="27" t="str">
        <f t="shared" si="7"/>
        <v>D3IMPELC</v>
      </c>
      <c r="G34">
        <f t="shared" si="9"/>
        <v>999</v>
      </c>
      <c r="H34">
        <f t="shared" si="9"/>
        <v>999</v>
      </c>
      <c r="I34">
        <f t="shared" si="9"/>
        <v>999</v>
      </c>
      <c r="J34">
        <f t="shared" si="9"/>
        <v>999</v>
      </c>
      <c r="K34">
        <f t="shared" si="9"/>
        <v>999</v>
      </c>
      <c r="L34">
        <f t="shared" si="9"/>
        <v>999</v>
      </c>
      <c r="M34">
        <f t="shared" si="9"/>
        <v>999</v>
      </c>
      <c r="N34">
        <f t="shared" si="9"/>
        <v>999</v>
      </c>
      <c r="O34">
        <f t="shared" si="9"/>
        <v>999</v>
      </c>
      <c r="P34">
        <f t="shared" si="9"/>
        <v>999</v>
      </c>
      <c r="Q34">
        <f t="shared" si="10"/>
        <v>999</v>
      </c>
      <c r="R34">
        <f t="shared" si="10"/>
        <v>999</v>
      </c>
      <c r="S34">
        <f t="shared" si="10"/>
        <v>999</v>
      </c>
      <c r="T34">
        <f t="shared" si="10"/>
        <v>999</v>
      </c>
      <c r="U34">
        <f t="shared" si="10"/>
        <v>999</v>
      </c>
      <c r="V34">
        <f t="shared" si="10"/>
        <v>999</v>
      </c>
      <c r="W34">
        <f t="shared" si="10"/>
        <v>999</v>
      </c>
      <c r="X34">
        <f t="shared" si="10"/>
        <v>999</v>
      </c>
      <c r="Y34">
        <f t="shared" si="10"/>
        <v>999</v>
      </c>
      <c r="Z34">
        <f t="shared" si="10"/>
        <v>999</v>
      </c>
      <c r="AA34">
        <f t="shared" si="10"/>
        <v>999</v>
      </c>
    </row>
    <row r="37" spans="1:31" x14ac:dyDescent="0.2">
      <c r="C37" s="27"/>
      <c r="D37" s="27"/>
    </row>
    <row r="39" spans="1:31" s="31" customFormat="1" x14ac:dyDescent="0.2">
      <c r="A39" s="31" t="s">
        <v>225</v>
      </c>
      <c r="B39" s="31">
        <v>1</v>
      </c>
      <c r="C39" s="31" t="s">
        <v>270</v>
      </c>
      <c r="F39" s="31" t="s">
        <v>281</v>
      </c>
      <c r="G39" s="31">
        <v>2020</v>
      </c>
      <c r="H39" s="31">
        <f>G39+1</f>
        <v>2021</v>
      </c>
      <c r="I39" s="31">
        <f t="shared" ref="I39:AE39" si="12">H39+1</f>
        <v>2022</v>
      </c>
      <c r="J39" s="31">
        <f t="shared" si="12"/>
        <v>2023</v>
      </c>
      <c r="K39" s="31">
        <f t="shared" si="12"/>
        <v>2024</v>
      </c>
      <c r="L39" s="31">
        <f t="shared" si="12"/>
        <v>2025</v>
      </c>
      <c r="M39" s="31">
        <f t="shared" si="12"/>
        <v>2026</v>
      </c>
      <c r="N39" s="31">
        <f t="shared" si="12"/>
        <v>2027</v>
      </c>
      <c r="O39" s="31">
        <f t="shared" si="12"/>
        <v>2028</v>
      </c>
      <c r="P39" s="31">
        <f t="shared" si="12"/>
        <v>2029</v>
      </c>
      <c r="Q39" s="31">
        <f t="shared" si="12"/>
        <v>2030</v>
      </c>
      <c r="R39" s="31">
        <f t="shared" si="12"/>
        <v>2031</v>
      </c>
      <c r="S39" s="31">
        <f t="shared" si="12"/>
        <v>2032</v>
      </c>
      <c r="T39" s="31">
        <f t="shared" si="12"/>
        <v>2033</v>
      </c>
      <c r="U39" s="31">
        <f t="shared" si="12"/>
        <v>2034</v>
      </c>
      <c r="V39" s="31">
        <f t="shared" si="12"/>
        <v>2035</v>
      </c>
      <c r="W39" s="31">
        <f t="shared" si="12"/>
        <v>2036</v>
      </c>
      <c r="X39" s="31">
        <f t="shared" si="12"/>
        <v>2037</v>
      </c>
      <c r="Y39" s="31">
        <f t="shared" si="12"/>
        <v>2038</v>
      </c>
      <c r="Z39" s="31">
        <f t="shared" si="12"/>
        <v>2039</v>
      </c>
      <c r="AA39" s="31">
        <f t="shared" si="12"/>
        <v>2040</v>
      </c>
      <c r="AB39" s="31">
        <f t="shared" si="12"/>
        <v>2041</v>
      </c>
      <c r="AC39" s="31">
        <f t="shared" si="12"/>
        <v>2042</v>
      </c>
      <c r="AD39" s="31">
        <f t="shared" si="12"/>
        <v>2043</v>
      </c>
      <c r="AE39" s="31">
        <f t="shared" si="12"/>
        <v>2044</v>
      </c>
    </row>
    <row r="40" spans="1:31" x14ac:dyDescent="0.2">
      <c r="A40" t="s">
        <v>52</v>
      </c>
      <c r="B40">
        <f>B$39</f>
        <v>1</v>
      </c>
      <c r="C40" s="27" t="s">
        <v>248</v>
      </c>
      <c r="D40" s="27" t="s">
        <v>249</v>
      </c>
      <c r="E40" s="27" t="str">
        <f t="shared" ref="E40:E50" si="13">A40&amp;D40</f>
        <v>D1BM00X00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31" x14ac:dyDescent="0.2">
      <c r="A41" t="s">
        <v>52</v>
      </c>
      <c r="B41">
        <f t="shared" ref="B41:B50" si="14">B$39</f>
        <v>1</v>
      </c>
      <c r="C41" s="27" t="s">
        <v>250</v>
      </c>
      <c r="D41" s="27" t="s">
        <v>251</v>
      </c>
      <c r="E41" s="27" t="str">
        <f t="shared" si="13"/>
        <v>D1BW00X00</v>
      </c>
      <c r="F41">
        <v>1</v>
      </c>
      <c r="G41">
        <v>10.3</v>
      </c>
      <c r="H41">
        <v>10.3</v>
      </c>
      <c r="I41">
        <v>10.3</v>
      </c>
      <c r="J41">
        <v>10.3</v>
      </c>
      <c r="K41">
        <v>10.3</v>
      </c>
      <c r="L41">
        <v>10.3</v>
      </c>
      <c r="M41">
        <v>10.3</v>
      </c>
      <c r="N41">
        <v>10.3</v>
      </c>
      <c r="O41">
        <v>10.3</v>
      </c>
      <c r="P41">
        <v>10.3</v>
      </c>
      <c r="Q41">
        <v>10.3</v>
      </c>
      <c r="R41">
        <v>10.3</v>
      </c>
      <c r="S41">
        <v>10.3</v>
      </c>
      <c r="T41">
        <v>10.3</v>
      </c>
      <c r="U41">
        <v>10.3</v>
      </c>
      <c r="V41">
        <v>10.3</v>
      </c>
      <c r="W41">
        <v>10.3</v>
      </c>
      <c r="X41">
        <v>10.3</v>
      </c>
      <c r="Y41">
        <v>10.3</v>
      </c>
      <c r="Z41">
        <v>10.3</v>
      </c>
      <c r="AA41">
        <v>10.3</v>
      </c>
    </row>
    <row r="42" spans="1:31" x14ac:dyDescent="0.2">
      <c r="A42" t="s">
        <v>52</v>
      </c>
      <c r="B42">
        <f t="shared" si="14"/>
        <v>1</v>
      </c>
      <c r="C42" s="28" t="s">
        <v>252</v>
      </c>
      <c r="D42" s="28" t="s">
        <v>253</v>
      </c>
      <c r="E42" s="27" t="str">
        <f t="shared" si="13"/>
        <v>D1HY00X00</v>
      </c>
      <c r="F42">
        <v>1</v>
      </c>
      <c r="G42">
        <v>1E-3</v>
      </c>
      <c r="H42">
        <v>1E-3</v>
      </c>
      <c r="I42">
        <v>1E-3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</row>
    <row r="43" spans="1:31" x14ac:dyDescent="0.2">
      <c r="A43" t="s">
        <v>52</v>
      </c>
      <c r="B43">
        <f t="shared" si="14"/>
        <v>1</v>
      </c>
      <c r="C43" s="29" t="s">
        <v>254</v>
      </c>
      <c r="D43" s="29" t="s">
        <v>255</v>
      </c>
      <c r="E43" s="27" t="str">
        <f t="shared" si="13"/>
        <v>D1SO00X00</v>
      </c>
      <c r="F43">
        <v>1</v>
      </c>
      <c r="G43">
        <v>1E-3</v>
      </c>
      <c r="H43">
        <v>1E-3</v>
      </c>
      <c r="I43">
        <v>1E-3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</row>
    <row r="44" spans="1:31" x14ac:dyDescent="0.2">
      <c r="A44" t="s">
        <v>52</v>
      </c>
      <c r="B44">
        <f t="shared" si="14"/>
        <v>1</v>
      </c>
      <c r="C44" s="30" t="s">
        <v>256</v>
      </c>
      <c r="D44" s="30" t="s">
        <v>257</v>
      </c>
      <c r="E44" s="27" t="str">
        <f t="shared" si="13"/>
        <v>D1WD00X00</v>
      </c>
      <c r="F44">
        <v>1</v>
      </c>
      <c r="G44">
        <v>1E-3</v>
      </c>
      <c r="H44">
        <v>1E-3</v>
      </c>
      <c r="I44">
        <v>1E-3</v>
      </c>
      <c r="J44">
        <v>1E-3</v>
      </c>
      <c r="K44">
        <v>1E-3</v>
      </c>
      <c r="L44">
        <v>1E-3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  <c r="AA44">
        <v>1E-3</v>
      </c>
    </row>
    <row r="45" spans="1:31" x14ac:dyDescent="0.2">
      <c r="A45" t="s">
        <v>52</v>
      </c>
      <c r="B45">
        <f t="shared" si="14"/>
        <v>1</v>
      </c>
      <c r="C45" s="27" t="s">
        <v>258</v>
      </c>
      <c r="D45" s="27" t="s">
        <v>259</v>
      </c>
      <c r="E45" s="27" t="str">
        <f t="shared" si="13"/>
        <v>D1HF00I00</v>
      </c>
      <c r="F45">
        <v>1</v>
      </c>
      <c r="G45">
        <v>9.2998477929984773</v>
      </c>
      <c r="H45">
        <v>9.7000253678335859</v>
      </c>
      <c r="I45">
        <v>10.099885844748858</v>
      </c>
      <c r="J45">
        <v>10.500063419583967</v>
      </c>
      <c r="K45">
        <v>10.899923896499239</v>
      </c>
      <c r="L45">
        <v>11.300101471334347</v>
      </c>
      <c r="M45">
        <v>11.7</v>
      </c>
      <c r="N45">
        <v>12.1</v>
      </c>
      <c r="O45">
        <v>12.5</v>
      </c>
      <c r="P45">
        <v>12.9</v>
      </c>
      <c r="Q45">
        <v>13.300038051750381</v>
      </c>
      <c r="R45">
        <v>13.46</v>
      </c>
      <c r="S45">
        <v>13.62</v>
      </c>
      <c r="T45">
        <v>13.78</v>
      </c>
      <c r="U45">
        <v>13.94</v>
      </c>
      <c r="V45">
        <v>14.100076103500761</v>
      </c>
      <c r="W45">
        <v>14.26</v>
      </c>
      <c r="X45">
        <v>14.42</v>
      </c>
      <c r="Y45">
        <v>14.58</v>
      </c>
      <c r="Z45">
        <v>14.74</v>
      </c>
      <c r="AA45">
        <v>14.90011415525114</v>
      </c>
    </row>
    <row r="46" spans="1:31" x14ac:dyDescent="0.2">
      <c r="A46" t="s">
        <v>52</v>
      </c>
      <c r="B46">
        <f t="shared" si="14"/>
        <v>1</v>
      </c>
      <c r="C46" s="27" t="s">
        <v>260</v>
      </c>
      <c r="D46" s="27" t="s">
        <v>261</v>
      </c>
      <c r="E46" s="27" t="str">
        <f t="shared" si="13"/>
        <v>D1DS00I00</v>
      </c>
      <c r="F46">
        <v>1</v>
      </c>
      <c r="G46">
        <v>13.633307965499746</v>
      </c>
      <c r="H46">
        <v>14.21993911719939</v>
      </c>
      <c r="I46">
        <v>14.806570268899035</v>
      </c>
      <c r="J46">
        <v>15.393201420598681</v>
      </c>
      <c r="K46">
        <v>15.980149670218163</v>
      </c>
      <c r="L46">
        <v>16.56678082191781</v>
      </c>
      <c r="M46">
        <v>17.149999999999999</v>
      </c>
      <c r="N46">
        <v>17.739999999999998</v>
      </c>
      <c r="O46">
        <v>18.329999999999998</v>
      </c>
      <c r="P46">
        <v>18.920000000000002</v>
      </c>
      <c r="Q46">
        <v>19.499936580416033</v>
      </c>
      <c r="R46">
        <v>19.73</v>
      </c>
      <c r="S46">
        <v>19.96</v>
      </c>
      <c r="T46">
        <v>20.190000000000001</v>
      </c>
      <c r="U46">
        <v>20.420000000000002</v>
      </c>
      <c r="V46">
        <v>20.650050735667175</v>
      </c>
      <c r="W46">
        <v>20.88</v>
      </c>
      <c r="X46">
        <v>21.11</v>
      </c>
      <c r="Y46">
        <v>21.34</v>
      </c>
      <c r="Z46">
        <v>21.57</v>
      </c>
      <c r="AA46">
        <v>21.799847792998477</v>
      </c>
    </row>
    <row r="47" spans="1:31" x14ac:dyDescent="0.2">
      <c r="A47" t="s">
        <v>52</v>
      </c>
      <c r="B47">
        <f t="shared" si="14"/>
        <v>1</v>
      </c>
      <c r="C47" s="27" t="s">
        <v>262</v>
      </c>
      <c r="D47" s="27" t="s">
        <v>263</v>
      </c>
      <c r="E47" s="27" t="str">
        <f t="shared" si="13"/>
        <v>D1NG00X00</v>
      </c>
      <c r="F47">
        <v>1</v>
      </c>
      <c r="G47">
        <v>7.4001141552511411</v>
      </c>
      <c r="H47">
        <v>7.5599315068493143</v>
      </c>
      <c r="I47">
        <v>7.7200659563673257</v>
      </c>
      <c r="J47">
        <v>7.8798833079654997</v>
      </c>
      <c r="K47">
        <v>8.0400177574835112</v>
      </c>
      <c r="L47">
        <v>8.2001522070015227</v>
      </c>
      <c r="M47">
        <v>8.36</v>
      </c>
      <c r="N47">
        <v>8.52</v>
      </c>
      <c r="O47">
        <v>8.68</v>
      </c>
      <c r="P47">
        <v>8.84</v>
      </c>
      <c r="Q47">
        <v>8.999873160832065</v>
      </c>
      <c r="R47">
        <v>9.2200000000000006</v>
      </c>
      <c r="S47">
        <v>9.44</v>
      </c>
      <c r="T47">
        <v>9.66</v>
      </c>
      <c r="U47">
        <v>9.8800000000000008</v>
      </c>
      <c r="V47">
        <v>10.099885844748858</v>
      </c>
      <c r="W47">
        <v>10.32</v>
      </c>
      <c r="X47">
        <v>10.54</v>
      </c>
      <c r="Y47">
        <v>10.76</v>
      </c>
      <c r="Z47">
        <v>10.98</v>
      </c>
      <c r="AA47">
        <v>11.199898528665651</v>
      </c>
    </row>
    <row r="48" spans="1:31" x14ac:dyDescent="0.2">
      <c r="A48" t="s">
        <v>52</v>
      </c>
      <c r="B48">
        <f t="shared" si="14"/>
        <v>1</v>
      </c>
      <c r="C48" s="27" t="s">
        <v>264</v>
      </c>
      <c r="D48" s="27" t="s">
        <v>265</v>
      </c>
      <c r="E48" s="27" t="str">
        <f t="shared" si="13"/>
        <v>D1CO00X00</v>
      </c>
      <c r="F48">
        <v>1</v>
      </c>
      <c r="G48">
        <v>3.2001522070015218</v>
      </c>
      <c r="H48">
        <v>3.2201293759512937</v>
      </c>
      <c r="I48">
        <v>3.2401065449010655</v>
      </c>
      <c r="J48">
        <v>3.260083713850837</v>
      </c>
      <c r="K48">
        <v>3.2800608828006084</v>
      </c>
      <c r="L48">
        <v>3.3000380517503802</v>
      </c>
      <c r="M48">
        <v>3.32</v>
      </c>
      <c r="N48">
        <v>3.34</v>
      </c>
      <c r="O48">
        <v>3.36</v>
      </c>
      <c r="P48">
        <v>3.38</v>
      </c>
      <c r="Q48">
        <v>3.3999238964992387</v>
      </c>
      <c r="R48">
        <v>3.43</v>
      </c>
      <c r="S48">
        <v>3.46</v>
      </c>
      <c r="T48">
        <v>3.49</v>
      </c>
      <c r="U48">
        <v>3.52</v>
      </c>
      <c r="V48">
        <v>3.5499112125824452</v>
      </c>
      <c r="W48">
        <v>3.58</v>
      </c>
      <c r="X48">
        <v>3.61</v>
      </c>
      <c r="Y48">
        <v>3.64</v>
      </c>
      <c r="Z48">
        <v>3.67</v>
      </c>
      <c r="AA48">
        <v>3.6998985286656518</v>
      </c>
    </row>
    <row r="49" spans="1:27" x14ac:dyDescent="0.2">
      <c r="A49" t="s">
        <v>52</v>
      </c>
      <c r="B49">
        <f t="shared" si="14"/>
        <v>1</v>
      </c>
      <c r="C49" s="27" t="s">
        <v>247</v>
      </c>
      <c r="D49" s="27" t="s">
        <v>266</v>
      </c>
      <c r="E49" s="27" t="str">
        <f t="shared" si="13"/>
        <v>D1PWRTRN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52</v>
      </c>
      <c r="B50">
        <f t="shared" si="14"/>
        <v>1</v>
      </c>
      <c r="C50" s="27" t="s">
        <v>267</v>
      </c>
      <c r="D50" s="27" t="s">
        <v>267</v>
      </c>
      <c r="E50" s="27" t="str">
        <f t="shared" si="13"/>
        <v>D1IMPELC</v>
      </c>
      <c r="F50">
        <v>1</v>
      </c>
      <c r="G50">
        <v>999</v>
      </c>
      <c r="H50">
        <v>999</v>
      </c>
      <c r="I50">
        <v>999</v>
      </c>
      <c r="J50">
        <v>999</v>
      </c>
      <c r="K50">
        <v>999</v>
      </c>
      <c r="L50">
        <v>999</v>
      </c>
      <c r="M50">
        <v>999</v>
      </c>
      <c r="N50">
        <v>999</v>
      </c>
      <c r="O50">
        <v>999</v>
      </c>
      <c r="P50">
        <v>999</v>
      </c>
      <c r="Q50">
        <v>999</v>
      </c>
      <c r="R50">
        <v>999</v>
      </c>
      <c r="S50">
        <v>999</v>
      </c>
      <c r="T50">
        <v>999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</row>
    <row r="52" spans="1:27" x14ac:dyDescent="0.2">
      <c r="A52" t="s">
        <v>79</v>
      </c>
      <c r="B52">
        <f>B$39</f>
        <v>1</v>
      </c>
      <c r="C52" s="27" t="s">
        <v>248</v>
      </c>
      <c r="D52" s="27" t="s">
        <v>249</v>
      </c>
      <c r="E52" s="27" t="str">
        <f t="shared" ref="E52:E62" si="15">A52&amp;D52</f>
        <v>D2BM00X00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79</v>
      </c>
      <c r="B53">
        <f t="shared" ref="B53:B62" si="16">B$39</f>
        <v>1</v>
      </c>
      <c r="C53" s="27" t="s">
        <v>250</v>
      </c>
      <c r="D53" s="27" t="s">
        <v>251</v>
      </c>
      <c r="E53" s="27" t="str">
        <f t="shared" si="15"/>
        <v>D2BW00X00</v>
      </c>
      <c r="F53">
        <v>1</v>
      </c>
      <c r="G53">
        <v>10.3</v>
      </c>
      <c r="H53">
        <v>10.3</v>
      </c>
      <c r="I53">
        <v>10.3</v>
      </c>
      <c r="J53">
        <v>10.3</v>
      </c>
      <c r="K53">
        <v>10.3</v>
      </c>
      <c r="L53">
        <v>10.3</v>
      </c>
      <c r="M53">
        <v>10.3</v>
      </c>
      <c r="N53">
        <v>10.3</v>
      </c>
      <c r="O53">
        <v>10.3</v>
      </c>
      <c r="P53">
        <v>10.3</v>
      </c>
      <c r="Q53">
        <v>10.3</v>
      </c>
      <c r="R53">
        <v>10.3</v>
      </c>
      <c r="S53">
        <v>10.3</v>
      </c>
      <c r="T53">
        <v>10.3</v>
      </c>
      <c r="U53">
        <v>10.3</v>
      </c>
      <c r="V53">
        <v>10.3</v>
      </c>
      <c r="W53">
        <v>10.3</v>
      </c>
      <c r="X53">
        <v>10.3</v>
      </c>
      <c r="Y53">
        <v>10.3</v>
      </c>
      <c r="Z53">
        <v>10.3</v>
      </c>
      <c r="AA53">
        <v>10.3</v>
      </c>
    </row>
    <row r="54" spans="1:27" x14ac:dyDescent="0.2">
      <c r="A54" t="s">
        <v>79</v>
      </c>
      <c r="B54">
        <f t="shared" si="16"/>
        <v>1</v>
      </c>
      <c r="C54" s="28" t="s">
        <v>252</v>
      </c>
      <c r="D54" s="28" t="s">
        <v>253</v>
      </c>
      <c r="E54" s="27" t="str">
        <f t="shared" si="15"/>
        <v>D2HY00X00</v>
      </c>
      <c r="F54">
        <v>1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</row>
    <row r="55" spans="1:27" x14ac:dyDescent="0.2">
      <c r="A55" t="s">
        <v>79</v>
      </c>
      <c r="B55">
        <f t="shared" si="16"/>
        <v>1</v>
      </c>
      <c r="C55" s="29" t="s">
        <v>254</v>
      </c>
      <c r="D55" s="29" t="s">
        <v>255</v>
      </c>
      <c r="E55" s="27" t="str">
        <f t="shared" si="15"/>
        <v>D2SO00X00</v>
      </c>
      <c r="F55">
        <v>1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</row>
    <row r="56" spans="1:27" x14ac:dyDescent="0.2">
      <c r="A56" t="s">
        <v>79</v>
      </c>
      <c r="B56">
        <f t="shared" si="16"/>
        <v>1</v>
      </c>
      <c r="C56" s="30" t="s">
        <v>256</v>
      </c>
      <c r="D56" s="30" t="s">
        <v>257</v>
      </c>
      <c r="E56" s="27" t="str">
        <f t="shared" si="15"/>
        <v>D2WD00X00</v>
      </c>
      <c r="F56">
        <v>1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1E-3</v>
      </c>
    </row>
    <row r="57" spans="1:27" x14ac:dyDescent="0.2">
      <c r="A57" t="s">
        <v>79</v>
      </c>
      <c r="B57">
        <f t="shared" si="16"/>
        <v>1</v>
      </c>
      <c r="C57" s="27" t="s">
        <v>258</v>
      </c>
      <c r="D57" s="27" t="s">
        <v>259</v>
      </c>
      <c r="E57" s="27" t="str">
        <f t="shared" si="15"/>
        <v>D2HF00I00</v>
      </c>
      <c r="F57">
        <v>1</v>
      </c>
      <c r="G57">
        <v>9.2998477929984773</v>
      </c>
      <c r="H57">
        <v>9.7000253678335859</v>
      </c>
      <c r="I57">
        <v>10.099885844748858</v>
      </c>
      <c r="J57">
        <v>10.500063419583967</v>
      </c>
      <c r="K57">
        <v>10.899923896499239</v>
      </c>
      <c r="L57">
        <v>11.300101471334347</v>
      </c>
      <c r="M57">
        <v>11.7</v>
      </c>
      <c r="N57">
        <v>12.1</v>
      </c>
      <c r="O57">
        <v>12.5</v>
      </c>
      <c r="P57">
        <v>12.9</v>
      </c>
      <c r="Q57">
        <v>13.300038051750381</v>
      </c>
      <c r="R57">
        <v>13.46</v>
      </c>
      <c r="S57">
        <v>13.62</v>
      </c>
      <c r="T57">
        <v>13.78</v>
      </c>
      <c r="U57">
        <v>13.94</v>
      </c>
      <c r="V57">
        <v>14.100076103500761</v>
      </c>
      <c r="W57">
        <v>14.26</v>
      </c>
      <c r="X57">
        <v>14.42</v>
      </c>
      <c r="Y57">
        <v>14.58</v>
      </c>
      <c r="Z57">
        <v>14.74</v>
      </c>
      <c r="AA57">
        <v>14.90011415525114</v>
      </c>
    </row>
    <row r="58" spans="1:27" x14ac:dyDescent="0.2">
      <c r="A58" t="s">
        <v>79</v>
      </c>
      <c r="B58">
        <f t="shared" si="16"/>
        <v>1</v>
      </c>
      <c r="C58" s="27" t="s">
        <v>260</v>
      </c>
      <c r="D58" s="27" t="s">
        <v>261</v>
      </c>
      <c r="E58" s="27" t="str">
        <f t="shared" si="15"/>
        <v>D2DS00I00</v>
      </c>
      <c r="F58">
        <v>1</v>
      </c>
      <c r="G58">
        <v>13.633307965499746</v>
      </c>
      <c r="H58">
        <v>14.21993911719939</v>
      </c>
      <c r="I58">
        <v>14.806570268899035</v>
      </c>
      <c r="J58">
        <v>15.393201420598681</v>
      </c>
      <c r="K58">
        <v>15.980149670218163</v>
      </c>
      <c r="L58">
        <v>16.56678082191781</v>
      </c>
      <c r="M58">
        <v>17.149999999999999</v>
      </c>
      <c r="N58">
        <v>17.739999999999998</v>
      </c>
      <c r="O58">
        <v>18.329999999999998</v>
      </c>
      <c r="P58">
        <v>18.920000000000002</v>
      </c>
      <c r="Q58">
        <v>19.499936580416033</v>
      </c>
      <c r="R58">
        <v>19.73</v>
      </c>
      <c r="S58">
        <v>19.96</v>
      </c>
      <c r="T58">
        <v>20.190000000000001</v>
      </c>
      <c r="U58">
        <v>20.420000000000002</v>
      </c>
      <c r="V58">
        <v>20.650050735667175</v>
      </c>
      <c r="W58">
        <v>20.88</v>
      </c>
      <c r="X58">
        <v>21.11</v>
      </c>
      <c r="Y58">
        <v>21.34</v>
      </c>
      <c r="Z58">
        <v>21.57</v>
      </c>
      <c r="AA58">
        <v>21.799847792998477</v>
      </c>
    </row>
    <row r="59" spans="1:27" x14ac:dyDescent="0.2">
      <c r="A59" t="s">
        <v>79</v>
      </c>
      <c r="B59">
        <f t="shared" si="16"/>
        <v>1</v>
      </c>
      <c r="C59" s="27" t="s">
        <v>262</v>
      </c>
      <c r="D59" s="27" t="s">
        <v>263</v>
      </c>
      <c r="E59" s="27" t="str">
        <f t="shared" si="15"/>
        <v>D2NG00X00</v>
      </c>
      <c r="F59">
        <v>1</v>
      </c>
      <c r="G59">
        <v>7.4001141552511411</v>
      </c>
      <c r="H59">
        <v>7.5599315068493143</v>
      </c>
      <c r="I59">
        <v>7.7200659563673257</v>
      </c>
      <c r="J59">
        <v>7.8798833079654997</v>
      </c>
      <c r="K59">
        <v>8.0400177574835112</v>
      </c>
      <c r="L59">
        <v>8.2001522070015227</v>
      </c>
      <c r="M59">
        <v>8.36</v>
      </c>
      <c r="N59">
        <v>8.52</v>
      </c>
      <c r="O59">
        <v>8.68</v>
      </c>
      <c r="P59">
        <v>8.84</v>
      </c>
      <c r="Q59">
        <v>8.999873160832065</v>
      </c>
      <c r="R59">
        <v>9.2200000000000006</v>
      </c>
      <c r="S59">
        <v>9.44</v>
      </c>
      <c r="T59">
        <v>9.66</v>
      </c>
      <c r="U59">
        <v>9.8800000000000008</v>
      </c>
      <c r="V59">
        <v>10.099885844748858</v>
      </c>
      <c r="W59">
        <v>10.32</v>
      </c>
      <c r="X59">
        <v>10.54</v>
      </c>
      <c r="Y59">
        <v>10.76</v>
      </c>
      <c r="Z59">
        <v>10.98</v>
      </c>
      <c r="AA59">
        <v>11.199898528665651</v>
      </c>
    </row>
    <row r="60" spans="1:27" x14ac:dyDescent="0.2">
      <c r="A60" t="s">
        <v>79</v>
      </c>
      <c r="B60">
        <f t="shared" si="16"/>
        <v>1</v>
      </c>
      <c r="C60" s="27" t="s">
        <v>264</v>
      </c>
      <c r="D60" s="27" t="s">
        <v>265</v>
      </c>
      <c r="E60" s="27" t="str">
        <f t="shared" si="15"/>
        <v>D2CO00X00</v>
      </c>
      <c r="F60">
        <v>1</v>
      </c>
      <c r="G60">
        <v>3.2001522070015218</v>
      </c>
      <c r="H60">
        <v>3.2201293759512937</v>
      </c>
      <c r="I60">
        <v>3.2401065449010655</v>
      </c>
      <c r="J60">
        <v>3.260083713850837</v>
      </c>
      <c r="K60">
        <v>3.2800608828006084</v>
      </c>
      <c r="L60">
        <v>3.3000380517503802</v>
      </c>
      <c r="M60">
        <v>3.32</v>
      </c>
      <c r="N60">
        <v>3.34</v>
      </c>
      <c r="O60">
        <v>3.36</v>
      </c>
      <c r="P60">
        <v>3.38</v>
      </c>
      <c r="Q60">
        <v>3.3999238964992387</v>
      </c>
      <c r="R60">
        <v>3.43</v>
      </c>
      <c r="S60">
        <v>3.46</v>
      </c>
      <c r="T60">
        <v>3.49</v>
      </c>
      <c r="U60">
        <v>3.52</v>
      </c>
      <c r="V60">
        <v>3.5499112125824452</v>
      </c>
      <c r="W60">
        <v>3.58</v>
      </c>
      <c r="X60">
        <v>3.61</v>
      </c>
      <c r="Y60">
        <v>3.64</v>
      </c>
      <c r="Z60">
        <v>3.67</v>
      </c>
      <c r="AA60">
        <v>3.6998985286656518</v>
      </c>
    </row>
    <row r="61" spans="1:27" x14ac:dyDescent="0.2">
      <c r="A61" t="s">
        <v>79</v>
      </c>
      <c r="B61">
        <f t="shared" si="16"/>
        <v>1</v>
      </c>
      <c r="C61" s="27" t="s">
        <v>247</v>
      </c>
      <c r="D61" s="27" t="s">
        <v>266</v>
      </c>
      <c r="E61" s="27" t="str">
        <f t="shared" si="15"/>
        <v>D2PWRTRN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79</v>
      </c>
      <c r="B62">
        <f t="shared" si="16"/>
        <v>1</v>
      </c>
      <c r="C62" s="27" t="s">
        <v>267</v>
      </c>
      <c r="D62" s="27" t="s">
        <v>267</v>
      </c>
      <c r="E62" s="27" t="str">
        <f t="shared" si="15"/>
        <v>D2IMPELC</v>
      </c>
      <c r="F62">
        <v>1</v>
      </c>
      <c r="G62">
        <v>999</v>
      </c>
      <c r="H62">
        <v>999</v>
      </c>
      <c r="I62">
        <v>999</v>
      </c>
      <c r="J62">
        <v>999</v>
      </c>
      <c r="K62">
        <v>999</v>
      </c>
      <c r="L62">
        <v>999</v>
      </c>
      <c r="M62">
        <v>999</v>
      </c>
      <c r="N62">
        <v>999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999</v>
      </c>
      <c r="W62">
        <v>999</v>
      </c>
      <c r="X62">
        <v>999</v>
      </c>
      <c r="Y62">
        <v>999</v>
      </c>
      <c r="Z62">
        <v>999</v>
      </c>
      <c r="AA62">
        <v>999</v>
      </c>
    </row>
    <row r="64" spans="1:27" x14ac:dyDescent="0.2">
      <c r="A64" t="s">
        <v>84</v>
      </c>
      <c r="B64">
        <f>B$39</f>
        <v>1</v>
      </c>
      <c r="C64" s="27" t="s">
        <v>248</v>
      </c>
      <c r="D64" s="27" t="s">
        <v>249</v>
      </c>
      <c r="E64" s="27" t="str">
        <f t="shared" ref="E64:E74" si="17">A64&amp;D64</f>
        <v>D3BM00X00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84</v>
      </c>
      <c r="B65">
        <f t="shared" ref="B65:B74" si="18">B$39</f>
        <v>1</v>
      </c>
      <c r="C65" s="27" t="s">
        <v>250</v>
      </c>
      <c r="D65" s="27" t="s">
        <v>251</v>
      </c>
      <c r="E65" s="27" t="str">
        <f t="shared" si="17"/>
        <v>D3BW00X00</v>
      </c>
      <c r="F65">
        <v>1</v>
      </c>
      <c r="G65">
        <v>10.3</v>
      </c>
      <c r="H65">
        <v>10.3</v>
      </c>
      <c r="I65">
        <v>10.3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10.3</v>
      </c>
      <c r="Q65">
        <v>10.3</v>
      </c>
      <c r="R65">
        <v>10.3</v>
      </c>
      <c r="S65">
        <v>10.3</v>
      </c>
      <c r="T65">
        <v>10.3</v>
      </c>
      <c r="U65">
        <v>10.3</v>
      </c>
      <c r="V65">
        <v>10.3</v>
      </c>
      <c r="W65">
        <v>10.3</v>
      </c>
      <c r="X65">
        <v>10.3</v>
      </c>
      <c r="Y65">
        <v>10.3</v>
      </c>
      <c r="Z65">
        <v>10.3</v>
      </c>
      <c r="AA65">
        <v>10.3</v>
      </c>
    </row>
    <row r="66" spans="1:27" x14ac:dyDescent="0.2">
      <c r="A66" t="s">
        <v>84</v>
      </c>
      <c r="B66">
        <f t="shared" si="18"/>
        <v>1</v>
      </c>
      <c r="C66" s="28" t="s">
        <v>252</v>
      </c>
      <c r="D66" s="28" t="s">
        <v>253</v>
      </c>
      <c r="E66" s="27" t="str">
        <f t="shared" si="17"/>
        <v>D3HY00X00</v>
      </c>
      <c r="F66">
        <v>1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</row>
    <row r="67" spans="1:27" x14ac:dyDescent="0.2">
      <c r="A67" t="s">
        <v>84</v>
      </c>
      <c r="B67">
        <f t="shared" si="18"/>
        <v>1</v>
      </c>
      <c r="C67" s="29" t="s">
        <v>254</v>
      </c>
      <c r="D67" s="29" t="s">
        <v>255</v>
      </c>
      <c r="E67" s="27" t="str">
        <f t="shared" si="17"/>
        <v>D3SO00X00</v>
      </c>
      <c r="F67">
        <v>1</v>
      </c>
      <c r="G67">
        <v>1E-3</v>
      </c>
      <c r="H67">
        <v>1E-3</v>
      </c>
      <c r="I67">
        <v>1E-3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</row>
    <row r="68" spans="1:27" x14ac:dyDescent="0.2">
      <c r="A68" t="s">
        <v>84</v>
      </c>
      <c r="B68">
        <f t="shared" si="18"/>
        <v>1</v>
      </c>
      <c r="C68" s="30" t="s">
        <v>256</v>
      </c>
      <c r="D68" s="30" t="s">
        <v>257</v>
      </c>
      <c r="E68" s="27" t="str">
        <f t="shared" si="17"/>
        <v>D3WD00X00</v>
      </c>
      <c r="F68">
        <v>1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1E-3</v>
      </c>
    </row>
    <row r="69" spans="1:27" x14ac:dyDescent="0.2">
      <c r="A69" t="s">
        <v>84</v>
      </c>
      <c r="B69">
        <f t="shared" si="18"/>
        <v>1</v>
      </c>
      <c r="C69" s="27" t="s">
        <v>258</v>
      </c>
      <c r="D69" s="27" t="s">
        <v>259</v>
      </c>
      <c r="E69" s="27" t="str">
        <f t="shared" si="17"/>
        <v>D3HF00I00</v>
      </c>
      <c r="F69">
        <v>1</v>
      </c>
      <c r="G69">
        <v>9.2998477929984773</v>
      </c>
      <c r="H69">
        <v>9.7000253678335859</v>
      </c>
      <c r="I69">
        <v>10.099885844748858</v>
      </c>
      <c r="J69">
        <v>10.500063419583967</v>
      </c>
      <c r="K69">
        <v>10.899923896499239</v>
      </c>
      <c r="L69">
        <v>11.300101471334347</v>
      </c>
      <c r="M69">
        <v>11.7</v>
      </c>
      <c r="N69">
        <v>12.1</v>
      </c>
      <c r="O69">
        <v>12.5</v>
      </c>
      <c r="P69">
        <v>12.9</v>
      </c>
      <c r="Q69">
        <v>13.300038051750381</v>
      </c>
      <c r="R69">
        <v>13.46</v>
      </c>
      <c r="S69">
        <v>13.62</v>
      </c>
      <c r="T69">
        <v>13.78</v>
      </c>
      <c r="U69">
        <v>13.94</v>
      </c>
      <c r="V69">
        <v>14.100076103500761</v>
      </c>
      <c r="W69">
        <v>14.26</v>
      </c>
      <c r="X69">
        <v>14.42</v>
      </c>
      <c r="Y69">
        <v>14.58</v>
      </c>
      <c r="Z69">
        <v>14.74</v>
      </c>
      <c r="AA69">
        <v>14.90011415525114</v>
      </c>
    </row>
    <row r="70" spans="1:27" x14ac:dyDescent="0.2">
      <c r="A70" t="s">
        <v>84</v>
      </c>
      <c r="B70">
        <f t="shared" si="18"/>
        <v>1</v>
      </c>
      <c r="C70" s="27" t="s">
        <v>260</v>
      </c>
      <c r="D70" s="27" t="s">
        <v>261</v>
      </c>
      <c r="E70" s="27" t="str">
        <f t="shared" si="17"/>
        <v>D3DS00I00</v>
      </c>
      <c r="F70">
        <v>1</v>
      </c>
      <c r="G70">
        <v>13.633307965499746</v>
      </c>
      <c r="H70">
        <v>14.21993911719939</v>
      </c>
      <c r="I70">
        <v>14.806570268899035</v>
      </c>
      <c r="J70">
        <v>15.393201420598681</v>
      </c>
      <c r="K70">
        <v>15.980149670218163</v>
      </c>
      <c r="L70">
        <v>16.56678082191781</v>
      </c>
      <c r="M70">
        <v>17.149999999999999</v>
      </c>
      <c r="N70">
        <v>17.739999999999998</v>
      </c>
      <c r="O70">
        <v>18.329999999999998</v>
      </c>
      <c r="P70">
        <v>18.920000000000002</v>
      </c>
      <c r="Q70">
        <v>19.499936580416033</v>
      </c>
      <c r="R70">
        <v>19.73</v>
      </c>
      <c r="S70">
        <v>19.96</v>
      </c>
      <c r="T70">
        <v>20.190000000000001</v>
      </c>
      <c r="U70">
        <v>20.420000000000002</v>
      </c>
      <c r="V70">
        <v>20.650050735667175</v>
      </c>
      <c r="W70">
        <v>20.88</v>
      </c>
      <c r="X70">
        <v>21.11</v>
      </c>
      <c r="Y70">
        <v>21.34</v>
      </c>
      <c r="Z70">
        <v>21.57</v>
      </c>
      <c r="AA70">
        <v>21.799847792998477</v>
      </c>
    </row>
    <row r="71" spans="1:27" x14ac:dyDescent="0.2">
      <c r="A71" t="s">
        <v>84</v>
      </c>
      <c r="B71">
        <f t="shared" si="18"/>
        <v>1</v>
      </c>
      <c r="C71" s="27" t="s">
        <v>262</v>
      </c>
      <c r="D71" s="27" t="s">
        <v>263</v>
      </c>
      <c r="E71" s="27" t="str">
        <f t="shared" si="17"/>
        <v>D3NG00X00</v>
      </c>
      <c r="F71">
        <v>1</v>
      </c>
      <c r="G71">
        <v>7.4001141552511411</v>
      </c>
      <c r="H71">
        <v>7.5599315068493143</v>
      </c>
      <c r="I71">
        <v>7.7200659563673257</v>
      </c>
      <c r="J71">
        <v>7.8798833079654997</v>
      </c>
      <c r="K71">
        <v>8.0400177574835112</v>
      </c>
      <c r="L71">
        <v>8.2001522070015227</v>
      </c>
      <c r="M71">
        <v>8.36</v>
      </c>
      <c r="N71">
        <v>8.52</v>
      </c>
      <c r="O71">
        <v>8.68</v>
      </c>
      <c r="P71">
        <v>8.84</v>
      </c>
      <c r="Q71">
        <v>8.999873160832065</v>
      </c>
      <c r="R71">
        <v>9.2200000000000006</v>
      </c>
      <c r="S71">
        <v>9.44</v>
      </c>
      <c r="T71">
        <v>9.66</v>
      </c>
      <c r="U71">
        <v>9.8800000000000008</v>
      </c>
      <c r="V71">
        <v>10.099885844748858</v>
      </c>
      <c r="W71">
        <v>10.32</v>
      </c>
      <c r="X71">
        <v>10.54</v>
      </c>
      <c r="Y71">
        <v>10.76</v>
      </c>
      <c r="Z71">
        <v>10.98</v>
      </c>
      <c r="AA71">
        <v>11.199898528665651</v>
      </c>
    </row>
    <row r="72" spans="1:27" x14ac:dyDescent="0.2">
      <c r="A72" t="s">
        <v>84</v>
      </c>
      <c r="B72">
        <f t="shared" si="18"/>
        <v>1</v>
      </c>
      <c r="C72" s="27" t="s">
        <v>264</v>
      </c>
      <c r="D72" s="27" t="s">
        <v>265</v>
      </c>
      <c r="E72" s="27" t="str">
        <f t="shared" si="17"/>
        <v>D3CO00X00</v>
      </c>
      <c r="F72">
        <v>1</v>
      </c>
      <c r="G72">
        <v>3.2001522070015218</v>
      </c>
      <c r="H72">
        <v>3.2201293759512937</v>
      </c>
      <c r="I72">
        <v>3.2401065449010655</v>
      </c>
      <c r="J72">
        <v>3.260083713850837</v>
      </c>
      <c r="K72">
        <v>3.2800608828006084</v>
      </c>
      <c r="L72">
        <v>3.3000380517503802</v>
      </c>
      <c r="M72">
        <v>3.32</v>
      </c>
      <c r="N72">
        <v>3.34</v>
      </c>
      <c r="O72">
        <v>3.36</v>
      </c>
      <c r="P72">
        <v>3.38</v>
      </c>
      <c r="Q72">
        <v>3.3999238964992387</v>
      </c>
      <c r="R72">
        <v>3.43</v>
      </c>
      <c r="S72">
        <v>3.46</v>
      </c>
      <c r="T72">
        <v>3.49</v>
      </c>
      <c r="U72">
        <v>3.52</v>
      </c>
      <c r="V72">
        <v>3.5499112125824452</v>
      </c>
      <c r="W72">
        <v>3.58</v>
      </c>
      <c r="X72">
        <v>3.61</v>
      </c>
      <c r="Y72">
        <v>3.64</v>
      </c>
      <c r="Z72">
        <v>3.67</v>
      </c>
      <c r="AA72">
        <v>3.6998985286656518</v>
      </c>
    </row>
    <row r="73" spans="1:27" x14ac:dyDescent="0.2">
      <c r="A73" t="s">
        <v>84</v>
      </c>
      <c r="B73">
        <f t="shared" si="18"/>
        <v>1</v>
      </c>
      <c r="C73" s="27" t="s">
        <v>247</v>
      </c>
      <c r="D73" s="27" t="s">
        <v>266</v>
      </c>
      <c r="E73" s="27" t="str">
        <f t="shared" si="17"/>
        <v>D3PWRTRN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84</v>
      </c>
      <c r="B74">
        <f t="shared" si="18"/>
        <v>1</v>
      </c>
      <c r="C74" s="27" t="s">
        <v>267</v>
      </c>
      <c r="D74" s="27" t="s">
        <v>267</v>
      </c>
      <c r="E74" s="27" t="str">
        <f t="shared" si="17"/>
        <v>D3IMPELC</v>
      </c>
      <c r="F74">
        <v>1</v>
      </c>
      <c r="G74">
        <v>999</v>
      </c>
      <c r="H74">
        <v>999</v>
      </c>
      <c r="I74">
        <v>999</v>
      </c>
      <c r="J74">
        <v>999</v>
      </c>
      <c r="K74">
        <v>999</v>
      </c>
      <c r="L74">
        <v>999</v>
      </c>
      <c r="M74">
        <v>999</v>
      </c>
      <c r="N74">
        <v>999</v>
      </c>
      <c r="O74">
        <v>999</v>
      </c>
      <c r="P74">
        <v>999</v>
      </c>
      <c r="Q74">
        <v>999</v>
      </c>
      <c r="R74">
        <v>999</v>
      </c>
      <c r="S74">
        <v>999</v>
      </c>
      <c r="T74">
        <v>999</v>
      </c>
      <c r="U74">
        <v>999</v>
      </c>
      <c r="V74">
        <v>999</v>
      </c>
      <c r="W74">
        <v>999</v>
      </c>
      <c r="X74">
        <v>999</v>
      </c>
      <c r="Y74">
        <v>999</v>
      </c>
      <c r="Z74">
        <v>999</v>
      </c>
      <c r="AA74">
        <v>999</v>
      </c>
    </row>
    <row r="75" spans="1:27" s="31" customFormat="1" x14ac:dyDescent="0.2">
      <c r="A75" s="31" t="s">
        <v>271</v>
      </c>
      <c r="B75" s="31">
        <v>2</v>
      </c>
    </row>
    <row r="76" spans="1:27" x14ac:dyDescent="0.2">
      <c r="A76" t="s">
        <v>52</v>
      </c>
      <c r="B76">
        <f>B$75</f>
        <v>2</v>
      </c>
      <c r="C76" s="27" t="s">
        <v>248</v>
      </c>
      <c r="D76" s="27" t="s">
        <v>249</v>
      </c>
      <c r="E76" s="27" t="str">
        <f t="shared" ref="E76:E86" si="19">A76&amp;D76</f>
        <v>D1BM00X00</v>
      </c>
      <c r="F76">
        <v>1.5</v>
      </c>
      <c r="G76">
        <f>G40*$F76/$F40</f>
        <v>0</v>
      </c>
      <c r="H76">
        <f t="shared" ref="H76:AA86" si="20">H40*$F76/$F40</f>
        <v>0</v>
      </c>
      <c r="I76">
        <f t="shared" si="20"/>
        <v>0</v>
      </c>
      <c r="J76">
        <f t="shared" si="20"/>
        <v>0</v>
      </c>
      <c r="K76">
        <f t="shared" si="20"/>
        <v>0</v>
      </c>
      <c r="L76">
        <f t="shared" si="20"/>
        <v>0</v>
      </c>
      <c r="M76">
        <f t="shared" si="20"/>
        <v>0</v>
      </c>
      <c r="N76">
        <f t="shared" si="20"/>
        <v>0</v>
      </c>
      <c r="O76">
        <f t="shared" si="20"/>
        <v>0</v>
      </c>
      <c r="P76">
        <f t="shared" si="20"/>
        <v>0</v>
      </c>
      <c r="Q76">
        <f t="shared" si="20"/>
        <v>0</v>
      </c>
      <c r="R76">
        <f t="shared" si="20"/>
        <v>0</v>
      </c>
      <c r="S76">
        <f t="shared" si="20"/>
        <v>0</v>
      </c>
      <c r="T76">
        <f t="shared" si="20"/>
        <v>0</v>
      </c>
      <c r="U76">
        <f t="shared" si="20"/>
        <v>0</v>
      </c>
      <c r="V76">
        <f t="shared" si="20"/>
        <v>0</v>
      </c>
      <c r="W76">
        <f t="shared" si="20"/>
        <v>0</v>
      </c>
      <c r="X76">
        <f t="shared" si="20"/>
        <v>0</v>
      </c>
      <c r="Y76">
        <f t="shared" si="20"/>
        <v>0</v>
      </c>
      <c r="Z76">
        <f t="shared" si="20"/>
        <v>0</v>
      </c>
      <c r="AA76">
        <f t="shared" si="20"/>
        <v>0</v>
      </c>
    </row>
    <row r="77" spans="1:27" x14ac:dyDescent="0.2">
      <c r="A77" t="s">
        <v>52</v>
      </c>
      <c r="B77">
        <f t="shared" ref="B77:B86" si="21">B$75</f>
        <v>2</v>
      </c>
      <c r="C77" s="27" t="s">
        <v>250</v>
      </c>
      <c r="D77" s="27" t="s">
        <v>251</v>
      </c>
      <c r="E77" s="27" t="str">
        <f t="shared" si="19"/>
        <v>D1BW00X00</v>
      </c>
      <c r="F77">
        <v>1.5</v>
      </c>
      <c r="G77">
        <f t="shared" ref="G77:V86" si="22">G41*$F77/$F41</f>
        <v>15.450000000000001</v>
      </c>
      <c r="H77">
        <f t="shared" si="22"/>
        <v>15.450000000000001</v>
      </c>
      <c r="I77">
        <f t="shared" si="22"/>
        <v>15.450000000000001</v>
      </c>
      <c r="J77">
        <f t="shared" si="22"/>
        <v>15.450000000000001</v>
      </c>
      <c r="K77">
        <f t="shared" si="22"/>
        <v>15.450000000000001</v>
      </c>
      <c r="L77">
        <f t="shared" si="22"/>
        <v>15.450000000000001</v>
      </c>
      <c r="M77">
        <f t="shared" si="22"/>
        <v>15.450000000000001</v>
      </c>
      <c r="N77">
        <f t="shared" si="22"/>
        <v>15.450000000000001</v>
      </c>
      <c r="O77">
        <f t="shared" si="22"/>
        <v>15.450000000000001</v>
      </c>
      <c r="P77">
        <f t="shared" si="22"/>
        <v>15.450000000000001</v>
      </c>
      <c r="Q77">
        <f t="shared" si="22"/>
        <v>15.450000000000001</v>
      </c>
      <c r="R77">
        <f t="shared" si="22"/>
        <v>15.450000000000001</v>
      </c>
      <c r="S77">
        <f t="shared" si="22"/>
        <v>15.450000000000001</v>
      </c>
      <c r="T77">
        <f t="shared" si="22"/>
        <v>15.450000000000001</v>
      </c>
      <c r="U77">
        <f t="shared" si="22"/>
        <v>15.450000000000001</v>
      </c>
      <c r="V77">
        <f t="shared" si="22"/>
        <v>15.450000000000001</v>
      </c>
      <c r="W77">
        <f t="shared" si="20"/>
        <v>15.450000000000001</v>
      </c>
      <c r="X77">
        <f t="shared" si="20"/>
        <v>15.450000000000001</v>
      </c>
      <c r="Y77">
        <f t="shared" si="20"/>
        <v>15.450000000000001</v>
      </c>
      <c r="Z77">
        <f t="shared" si="20"/>
        <v>15.450000000000001</v>
      </c>
      <c r="AA77">
        <f t="shared" si="20"/>
        <v>15.450000000000001</v>
      </c>
    </row>
    <row r="78" spans="1:27" x14ac:dyDescent="0.2">
      <c r="A78" t="s">
        <v>52</v>
      </c>
      <c r="B78">
        <f t="shared" si="21"/>
        <v>2</v>
      </c>
      <c r="C78" s="28" t="s">
        <v>252</v>
      </c>
      <c r="D78" s="28" t="s">
        <v>253</v>
      </c>
      <c r="E78" s="27" t="str">
        <f t="shared" si="19"/>
        <v>D1HY00X00</v>
      </c>
      <c r="F78">
        <v>1</v>
      </c>
      <c r="G78">
        <f t="shared" si="22"/>
        <v>1E-3</v>
      </c>
      <c r="H78">
        <f t="shared" si="20"/>
        <v>1E-3</v>
      </c>
      <c r="I78">
        <f t="shared" si="20"/>
        <v>1E-3</v>
      </c>
      <c r="J78">
        <f t="shared" si="20"/>
        <v>1E-3</v>
      </c>
      <c r="K78">
        <f t="shared" si="20"/>
        <v>1E-3</v>
      </c>
      <c r="L78">
        <f t="shared" si="20"/>
        <v>1E-3</v>
      </c>
      <c r="M78">
        <f t="shared" si="20"/>
        <v>1E-3</v>
      </c>
      <c r="N78">
        <f t="shared" si="20"/>
        <v>1E-3</v>
      </c>
      <c r="O78">
        <f t="shared" si="20"/>
        <v>1E-3</v>
      </c>
      <c r="P78">
        <f t="shared" si="20"/>
        <v>1E-3</v>
      </c>
      <c r="Q78">
        <f t="shared" si="20"/>
        <v>1E-3</v>
      </c>
      <c r="R78">
        <f t="shared" si="20"/>
        <v>1E-3</v>
      </c>
      <c r="S78">
        <f t="shared" si="20"/>
        <v>1E-3</v>
      </c>
      <c r="T78">
        <f t="shared" si="20"/>
        <v>1E-3</v>
      </c>
      <c r="U78">
        <f t="shared" si="20"/>
        <v>1E-3</v>
      </c>
      <c r="V78">
        <f t="shared" si="20"/>
        <v>1E-3</v>
      </c>
      <c r="W78">
        <f t="shared" si="20"/>
        <v>1E-3</v>
      </c>
      <c r="X78">
        <f t="shared" si="20"/>
        <v>1E-3</v>
      </c>
      <c r="Y78">
        <f t="shared" si="20"/>
        <v>1E-3</v>
      </c>
      <c r="Z78">
        <f t="shared" si="20"/>
        <v>1E-3</v>
      </c>
      <c r="AA78">
        <f t="shared" si="20"/>
        <v>1E-3</v>
      </c>
    </row>
    <row r="79" spans="1:27" x14ac:dyDescent="0.2">
      <c r="A79" t="s">
        <v>52</v>
      </c>
      <c r="B79">
        <f t="shared" si="21"/>
        <v>2</v>
      </c>
      <c r="C79" s="29" t="s">
        <v>254</v>
      </c>
      <c r="D79" s="29" t="s">
        <v>255</v>
      </c>
      <c r="E79" s="27" t="str">
        <f t="shared" si="19"/>
        <v>D1SO00X00</v>
      </c>
      <c r="F79">
        <v>1</v>
      </c>
      <c r="G79">
        <f t="shared" si="22"/>
        <v>1E-3</v>
      </c>
      <c r="H79">
        <f t="shared" si="20"/>
        <v>1E-3</v>
      </c>
      <c r="I79">
        <f t="shared" si="20"/>
        <v>1E-3</v>
      </c>
      <c r="J79">
        <f t="shared" si="20"/>
        <v>1E-3</v>
      </c>
      <c r="K79">
        <f t="shared" si="20"/>
        <v>1E-3</v>
      </c>
      <c r="L79">
        <f t="shared" si="20"/>
        <v>1E-3</v>
      </c>
      <c r="M79">
        <f t="shared" si="20"/>
        <v>1E-3</v>
      </c>
      <c r="N79">
        <f t="shared" si="20"/>
        <v>1E-3</v>
      </c>
      <c r="O79">
        <f t="shared" si="20"/>
        <v>1E-3</v>
      </c>
      <c r="P79">
        <f t="shared" si="20"/>
        <v>1E-3</v>
      </c>
      <c r="Q79">
        <f t="shared" si="20"/>
        <v>1E-3</v>
      </c>
      <c r="R79">
        <f t="shared" si="20"/>
        <v>1E-3</v>
      </c>
      <c r="S79">
        <f t="shared" si="20"/>
        <v>1E-3</v>
      </c>
      <c r="T79">
        <f t="shared" si="20"/>
        <v>1E-3</v>
      </c>
      <c r="U79">
        <f t="shared" si="20"/>
        <v>1E-3</v>
      </c>
      <c r="V79">
        <f t="shared" si="20"/>
        <v>1E-3</v>
      </c>
      <c r="W79">
        <f t="shared" si="20"/>
        <v>1E-3</v>
      </c>
      <c r="X79">
        <f t="shared" si="20"/>
        <v>1E-3</v>
      </c>
      <c r="Y79">
        <f t="shared" si="20"/>
        <v>1E-3</v>
      </c>
      <c r="Z79">
        <f t="shared" si="20"/>
        <v>1E-3</v>
      </c>
      <c r="AA79">
        <f t="shared" si="20"/>
        <v>1E-3</v>
      </c>
    </row>
    <row r="80" spans="1:27" x14ac:dyDescent="0.2">
      <c r="A80" t="s">
        <v>52</v>
      </c>
      <c r="B80">
        <f t="shared" si="21"/>
        <v>2</v>
      </c>
      <c r="C80" s="30" t="s">
        <v>256</v>
      </c>
      <c r="D80" s="30" t="s">
        <v>257</v>
      </c>
      <c r="E80" s="27" t="str">
        <f t="shared" si="19"/>
        <v>D1WD00X00</v>
      </c>
      <c r="F80">
        <v>1</v>
      </c>
      <c r="G80">
        <f t="shared" si="22"/>
        <v>1E-3</v>
      </c>
      <c r="H80">
        <f t="shared" si="20"/>
        <v>1E-3</v>
      </c>
      <c r="I80">
        <f t="shared" si="20"/>
        <v>1E-3</v>
      </c>
      <c r="J80">
        <f t="shared" si="20"/>
        <v>1E-3</v>
      </c>
      <c r="K80">
        <f t="shared" si="20"/>
        <v>1E-3</v>
      </c>
      <c r="L80">
        <f t="shared" si="20"/>
        <v>1E-3</v>
      </c>
      <c r="M80">
        <f t="shared" si="20"/>
        <v>1E-3</v>
      </c>
      <c r="N80">
        <f t="shared" si="20"/>
        <v>1E-3</v>
      </c>
      <c r="O80">
        <f t="shared" si="20"/>
        <v>1E-3</v>
      </c>
      <c r="P80">
        <f t="shared" si="20"/>
        <v>1E-3</v>
      </c>
      <c r="Q80">
        <f t="shared" si="20"/>
        <v>1E-3</v>
      </c>
      <c r="R80">
        <f t="shared" si="20"/>
        <v>1E-3</v>
      </c>
      <c r="S80">
        <f t="shared" si="20"/>
        <v>1E-3</v>
      </c>
      <c r="T80">
        <f t="shared" si="20"/>
        <v>1E-3</v>
      </c>
      <c r="U80">
        <f t="shared" si="20"/>
        <v>1E-3</v>
      </c>
      <c r="V80">
        <f t="shared" si="20"/>
        <v>1E-3</v>
      </c>
      <c r="W80">
        <f t="shared" si="20"/>
        <v>1E-3</v>
      </c>
      <c r="X80">
        <f t="shared" si="20"/>
        <v>1E-3</v>
      </c>
      <c r="Y80">
        <f t="shared" si="20"/>
        <v>1E-3</v>
      </c>
      <c r="Z80">
        <f t="shared" si="20"/>
        <v>1E-3</v>
      </c>
      <c r="AA80">
        <f t="shared" si="20"/>
        <v>1E-3</v>
      </c>
    </row>
    <row r="81" spans="1:27" x14ac:dyDescent="0.2">
      <c r="A81" t="s">
        <v>52</v>
      </c>
      <c r="B81">
        <f t="shared" si="21"/>
        <v>2</v>
      </c>
      <c r="C81" s="27" t="s">
        <v>258</v>
      </c>
      <c r="D81" s="27" t="s">
        <v>259</v>
      </c>
      <c r="E81" s="27" t="str">
        <f t="shared" si="19"/>
        <v>D1HF00I00</v>
      </c>
      <c r="F81">
        <v>1.5</v>
      </c>
      <c r="G81">
        <f t="shared" si="22"/>
        <v>13.949771689497716</v>
      </c>
      <c r="H81">
        <f t="shared" si="20"/>
        <v>14.550038051750379</v>
      </c>
      <c r="I81">
        <f t="shared" si="20"/>
        <v>15.149828767123287</v>
      </c>
      <c r="J81">
        <f t="shared" si="20"/>
        <v>15.75009512937595</v>
      </c>
      <c r="K81">
        <f t="shared" si="20"/>
        <v>16.349885844748858</v>
      </c>
      <c r="L81">
        <f t="shared" si="20"/>
        <v>16.950152207001523</v>
      </c>
      <c r="M81">
        <f t="shared" si="20"/>
        <v>17.549999999999997</v>
      </c>
      <c r="N81">
        <f t="shared" si="20"/>
        <v>18.149999999999999</v>
      </c>
      <c r="O81">
        <f t="shared" si="20"/>
        <v>18.75</v>
      </c>
      <c r="P81">
        <f t="shared" si="20"/>
        <v>19.350000000000001</v>
      </c>
      <c r="Q81">
        <f t="shared" si="20"/>
        <v>19.950057077625573</v>
      </c>
      <c r="R81">
        <f t="shared" si="20"/>
        <v>20.190000000000001</v>
      </c>
      <c r="S81">
        <f t="shared" si="20"/>
        <v>20.43</v>
      </c>
      <c r="T81">
        <f t="shared" si="20"/>
        <v>20.669999999999998</v>
      </c>
      <c r="U81">
        <f t="shared" si="20"/>
        <v>20.91</v>
      </c>
      <c r="V81">
        <f t="shared" si="20"/>
        <v>21.150114155251142</v>
      </c>
      <c r="W81">
        <f t="shared" si="20"/>
        <v>21.39</v>
      </c>
      <c r="X81">
        <f t="shared" si="20"/>
        <v>21.63</v>
      </c>
      <c r="Y81">
        <f t="shared" si="20"/>
        <v>21.87</v>
      </c>
      <c r="Z81">
        <f t="shared" si="20"/>
        <v>22.11</v>
      </c>
      <c r="AA81">
        <f t="shared" si="20"/>
        <v>22.350171232876711</v>
      </c>
    </row>
    <row r="82" spans="1:27" x14ac:dyDescent="0.2">
      <c r="A82" t="s">
        <v>52</v>
      </c>
      <c r="B82">
        <f t="shared" si="21"/>
        <v>2</v>
      </c>
      <c r="C82" s="27" t="s">
        <v>260</v>
      </c>
      <c r="D82" s="27" t="s">
        <v>261</v>
      </c>
      <c r="E82" s="27" t="str">
        <f t="shared" si="19"/>
        <v>D1DS00I00</v>
      </c>
      <c r="F82">
        <v>1.5</v>
      </c>
      <c r="G82">
        <f t="shared" si="22"/>
        <v>20.449961948249619</v>
      </c>
      <c r="H82">
        <f t="shared" si="20"/>
        <v>21.329908675799086</v>
      </c>
      <c r="I82">
        <f t="shared" si="20"/>
        <v>22.209855403348552</v>
      </c>
      <c r="J82">
        <f t="shared" si="20"/>
        <v>23.089802130898022</v>
      </c>
      <c r="K82">
        <f t="shared" si="20"/>
        <v>23.970224505327245</v>
      </c>
      <c r="L82">
        <f t="shared" si="20"/>
        <v>24.850171232876715</v>
      </c>
      <c r="M82">
        <f t="shared" si="20"/>
        <v>25.724999999999998</v>
      </c>
      <c r="N82">
        <f t="shared" si="20"/>
        <v>26.61</v>
      </c>
      <c r="O82">
        <f t="shared" si="20"/>
        <v>27.494999999999997</v>
      </c>
      <c r="P82">
        <f t="shared" si="20"/>
        <v>28.380000000000003</v>
      </c>
      <c r="Q82">
        <f t="shared" si="20"/>
        <v>29.24990487062405</v>
      </c>
      <c r="R82">
        <f t="shared" si="20"/>
        <v>29.594999999999999</v>
      </c>
      <c r="S82">
        <f t="shared" si="20"/>
        <v>29.94</v>
      </c>
      <c r="T82">
        <f t="shared" si="20"/>
        <v>30.285000000000004</v>
      </c>
      <c r="U82">
        <f t="shared" si="20"/>
        <v>30.630000000000003</v>
      </c>
      <c r="V82">
        <f t="shared" si="20"/>
        <v>30.975076103500761</v>
      </c>
      <c r="W82">
        <f t="shared" si="20"/>
        <v>31.32</v>
      </c>
      <c r="X82">
        <f t="shared" si="20"/>
        <v>31.664999999999999</v>
      </c>
      <c r="Y82">
        <f t="shared" si="20"/>
        <v>32.01</v>
      </c>
      <c r="Z82">
        <f t="shared" si="20"/>
        <v>32.355000000000004</v>
      </c>
      <c r="AA82">
        <f t="shared" si="20"/>
        <v>32.699771689497716</v>
      </c>
    </row>
    <row r="83" spans="1:27" x14ac:dyDescent="0.2">
      <c r="A83" t="s">
        <v>52</v>
      </c>
      <c r="B83">
        <f t="shared" si="21"/>
        <v>2</v>
      </c>
      <c r="C83" s="27" t="s">
        <v>262</v>
      </c>
      <c r="D83" s="27" t="s">
        <v>263</v>
      </c>
      <c r="E83" s="27" t="str">
        <f t="shared" si="19"/>
        <v>D1NG00X00</v>
      </c>
      <c r="F83">
        <v>1.5</v>
      </c>
      <c r="G83">
        <f t="shared" si="22"/>
        <v>11.100171232876711</v>
      </c>
      <c r="H83">
        <f t="shared" si="20"/>
        <v>11.339897260273972</v>
      </c>
      <c r="I83">
        <f t="shared" si="20"/>
        <v>11.580098934550989</v>
      </c>
      <c r="J83">
        <f t="shared" si="20"/>
        <v>11.81982496194825</v>
      </c>
      <c r="K83">
        <f t="shared" si="20"/>
        <v>12.060026636225267</v>
      </c>
      <c r="L83">
        <f t="shared" si="20"/>
        <v>12.300228310502284</v>
      </c>
      <c r="M83">
        <f t="shared" si="20"/>
        <v>12.54</v>
      </c>
      <c r="N83">
        <f t="shared" si="20"/>
        <v>12.78</v>
      </c>
      <c r="O83">
        <f t="shared" si="20"/>
        <v>13.02</v>
      </c>
      <c r="P83">
        <f t="shared" si="20"/>
        <v>13.26</v>
      </c>
      <c r="Q83">
        <f t="shared" si="20"/>
        <v>13.499809741248097</v>
      </c>
      <c r="R83">
        <f t="shared" si="20"/>
        <v>13.830000000000002</v>
      </c>
      <c r="S83">
        <f t="shared" si="20"/>
        <v>14.16</v>
      </c>
      <c r="T83">
        <f t="shared" si="20"/>
        <v>14.49</v>
      </c>
      <c r="U83">
        <f t="shared" si="20"/>
        <v>14.82</v>
      </c>
      <c r="V83">
        <f t="shared" si="20"/>
        <v>15.149828767123287</v>
      </c>
      <c r="W83">
        <f t="shared" si="20"/>
        <v>15.48</v>
      </c>
      <c r="X83">
        <f t="shared" si="20"/>
        <v>15.809999999999999</v>
      </c>
      <c r="Y83">
        <f t="shared" si="20"/>
        <v>16.14</v>
      </c>
      <c r="Z83">
        <f t="shared" si="20"/>
        <v>16.47</v>
      </c>
      <c r="AA83">
        <f t="shared" si="20"/>
        <v>16.799847792998477</v>
      </c>
    </row>
    <row r="84" spans="1:27" x14ac:dyDescent="0.2">
      <c r="A84" t="s">
        <v>52</v>
      </c>
      <c r="B84">
        <f t="shared" si="21"/>
        <v>2</v>
      </c>
      <c r="C84" s="27" t="s">
        <v>264</v>
      </c>
      <c r="D84" s="27" t="s">
        <v>265</v>
      </c>
      <c r="E84" s="27" t="str">
        <f t="shared" si="19"/>
        <v>D1CO00X00</v>
      </c>
      <c r="F84">
        <v>1.5</v>
      </c>
      <c r="G84">
        <f t="shared" si="22"/>
        <v>4.8002283105022823</v>
      </c>
      <c r="H84">
        <f t="shared" si="20"/>
        <v>4.8301940639269407</v>
      </c>
      <c r="I84">
        <f t="shared" si="20"/>
        <v>4.8601598173515983</v>
      </c>
      <c r="J84">
        <f t="shared" si="20"/>
        <v>4.8901255707762559</v>
      </c>
      <c r="K84">
        <f t="shared" si="20"/>
        <v>4.9200913242009126</v>
      </c>
      <c r="L84">
        <f t="shared" si="20"/>
        <v>4.9500570776255701</v>
      </c>
      <c r="M84">
        <f t="shared" si="20"/>
        <v>4.9799999999999995</v>
      </c>
      <c r="N84">
        <f t="shared" si="20"/>
        <v>5.01</v>
      </c>
      <c r="O84">
        <f t="shared" si="20"/>
        <v>5.04</v>
      </c>
      <c r="P84">
        <f t="shared" si="20"/>
        <v>5.07</v>
      </c>
      <c r="Q84">
        <f t="shared" si="20"/>
        <v>5.099885844748858</v>
      </c>
      <c r="R84">
        <f t="shared" si="20"/>
        <v>5.1450000000000005</v>
      </c>
      <c r="S84">
        <f t="shared" si="20"/>
        <v>5.1899999999999995</v>
      </c>
      <c r="T84">
        <f t="shared" si="20"/>
        <v>5.2350000000000003</v>
      </c>
      <c r="U84">
        <f t="shared" si="20"/>
        <v>5.28</v>
      </c>
      <c r="V84">
        <f t="shared" si="20"/>
        <v>5.3248668188736676</v>
      </c>
      <c r="W84">
        <f t="shared" si="20"/>
        <v>5.37</v>
      </c>
      <c r="X84">
        <f t="shared" si="20"/>
        <v>5.415</v>
      </c>
      <c r="Y84">
        <f t="shared" si="20"/>
        <v>5.46</v>
      </c>
      <c r="Z84">
        <f t="shared" si="20"/>
        <v>5.5049999999999999</v>
      </c>
      <c r="AA84">
        <f t="shared" si="20"/>
        <v>5.5498477929984773</v>
      </c>
    </row>
    <row r="85" spans="1:27" x14ac:dyDescent="0.2">
      <c r="A85" t="s">
        <v>52</v>
      </c>
      <c r="B85">
        <f t="shared" si="21"/>
        <v>2</v>
      </c>
      <c r="C85" s="27" t="s">
        <v>247</v>
      </c>
      <c r="D85" s="27" t="s">
        <v>266</v>
      </c>
      <c r="E85" s="27" t="str">
        <f t="shared" si="19"/>
        <v>D1PWRTRN</v>
      </c>
      <c r="F85">
        <v>1.5</v>
      </c>
      <c r="G85">
        <f t="shared" si="22"/>
        <v>0</v>
      </c>
      <c r="H85">
        <f t="shared" si="20"/>
        <v>0</v>
      </c>
      <c r="I85">
        <f t="shared" si="20"/>
        <v>0</v>
      </c>
      <c r="J85">
        <f t="shared" si="20"/>
        <v>0</v>
      </c>
      <c r="K85">
        <f t="shared" si="20"/>
        <v>0</v>
      </c>
      <c r="L85">
        <f t="shared" si="20"/>
        <v>0</v>
      </c>
      <c r="M85">
        <f t="shared" si="20"/>
        <v>0</v>
      </c>
      <c r="N85">
        <f t="shared" si="20"/>
        <v>0</v>
      </c>
      <c r="O85">
        <f t="shared" si="20"/>
        <v>0</v>
      </c>
      <c r="P85">
        <f t="shared" si="20"/>
        <v>0</v>
      </c>
      <c r="Q85">
        <f t="shared" si="20"/>
        <v>0</v>
      </c>
      <c r="R85">
        <f t="shared" si="20"/>
        <v>0</v>
      </c>
      <c r="S85">
        <f t="shared" si="20"/>
        <v>0</v>
      </c>
      <c r="T85">
        <f t="shared" si="20"/>
        <v>0</v>
      </c>
      <c r="U85">
        <f t="shared" si="20"/>
        <v>0</v>
      </c>
      <c r="V85">
        <f t="shared" si="20"/>
        <v>0</v>
      </c>
      <c r="W85">
        <f t="shared" si="20"/>
        <v>0</v>
      </c>
      <c r="X85">
        <f t="shared" si="20"/>
        <v>0</v>
      </c>
      <c r="Y85">
        <f t="shared" si="20"/>
        <v>0</v>
      </c>
      <c r="Z85">
        <f t="shared" si="20"/>
        <v>0</v>
      </c>
      <c r="AA85">
        <f t="shared" si="20"/>
        <v>0</v>
      </c>
    </row>
    <row r="86" spans="1:27" x14ac:dyDescent="0.2">
      <c r="A86" t="s">
        <v>52</v>
      </c>
      <c r="B86">
        <f t="shared" si="21"/>
        <v>2</v>
      </c>
      <c r="C86" s="27" t="s">
        <v>267</v>
      </c>
      <c r="D86" s="27" t="s">
        <v>267</v>
      </c>
      <c r="E86" s="27" t="str">
        <f t="shared" si="19"/>
        <v>D1IMPELC</v>
      </c>
      <c r="F86">
        <v>1.5</v>
      </c>
      <c r="G86">
        <f t="shared" si="22"/>
        <v>1498.5</v>
      </c>
      <c r="H86">
        <f t="shared" si="20"/>
        <v>1498.5</v>
      </c>
      <c r="I86">
        <f t="shared" si="20"/>
        <v>1498.5</v>
      </c>
      <c r="J86">
        <f t="shared" si="20"/>
        <v>1498.5</v>
      </c>
      <c r="K86">
        <f t="shared" si="20"/>
        <v>1498.5</v>
      </c>
      <c r="L86">
        <f t="shared" si="20"/>
        <v>1498.5</v>
      </c>
      <c r="M86">
        <f t="shared" si="20"/>
        <v>1498.5</v>
      </c>
      <c r="N86">
        <f t="shared" si="20"/>
        <v>1498.5</v>
      </c>
      <c r="O86">
        <f t="shared" si="20"/>
        <v>1498.5</v>
      </c>
      <c r="P86">
        <f t="shared" si="20"/>
        <v>1498.5</v>
      </c>
      <c r="Q86">
        <f t="shared" si="20"/>
        <v>1498.5</v>
      </c>
      <c r="R86">
        <f t="shared" si="20"/>
        <v>1498.5</v>
      </c>
      <c r="S86">
        <f t="shared" si="20"/>
        <v>1498.5</v>
      </c>
      <c r="T86">
        <f t="shared" si="20"/>
        <v>1498.5</v>
      </c>
      <c r="U86">
        <f t="shared" si="20"/>
        <v>1498.5</v>
      </c>
      <c r="V86">
        <f t="shared" si="20"/>
        <v>1498.5</v>
      </c>
      <c r="W86">
        <f t="shared" si="20"/>
        <v>1498.5</v>
      </c>
      <c r="X86">
        <f t="shared" si="20"/>
        <v>1498.5</v>
      </c>
      <c r="Y86">
        <f t="shared" si="20"/>
        <v>1498.5</v>
      </c>
      <c r="Z86">
        <f t="shared" si="20"/>
        <v>1498.5</v>
      </c>
      <c r="AA86">
        <f t="shared" si="20"/>
        <v>1498.5</v>
      </c>
    </row>
    <row r="88" spans="1:27" x14ac:dyDescent="0.2">
      <c r="A88" t="s">
        <v>79</v>
      </c>
      <c r="B88">
        <f>B$75</f>
        <v>2</v>
      </c>
      <c r="C88" s="27" t="s">
        <v>248</v>
      </c>
      <c r="D88" s="27" t="s">
        <v>249</v>
      </c>
      <c r="E88" s="27" t="str">
        <f t="shared" ref="E88:E98" si="23">A88&amp;D88</f>
        <v>D2BM00X00</v>
      </c>
      <c r="F88">
        <v>1.5</v>
      </c>
      <c r="G88">
        <f>G52*$F88/$F52</f>
        <v>0</v>
      </c>
      <c r="H88">
        <f t="shared" ref="H88:AA88" si="24">H52*$F88/$F52</f>
        <v>0</v>
      </c>
      <c r="I88">
        <f t="shared" si="24"/>
        <v>0</v>
      </c>
      <c r="J88">
        <f t="shared" si="24"/>
        <v>0</v>
      </c>
      <c r="K88">
        <f t="shared" si="24"/>
        <v>0</v>
      </c>
      <c r="L88">
        <f t="shared" si="24"/>
        <v>0</v>
      </c>
      <c r="M88">
        <f t="shared" si="24"/>
        <v>0</v>
      </c>
      <c r="N88">
        <f t="shared" si="24"/>
        <v>0</v>
      </c>
      <c r="O88">
        <f t="shared" si="24"/>
        <v>0</v>
      </c>
      <c r="P88">
        <f t="shared" si="24"/>
        <v>0</v>
      </c>
      <c r="Q88">
        <f t="shared" si="24"/>
        <v>0</v>
      </c>
      <c r="R88">
        <f t="shared" si="24"/>
        <v>0</v>
      </c>
      <c r="S88">
        <f t="shared" si="24"/>
        <v>0</v>
      </c>
      <c r="T88">
        <f t="shared" si="24"/>
        <v>0</v>
      </c>
      <c r="U88">
        <f t="shared" si="24"/>
        <v>0</v>
      </c>
      <c r="V88">
        <f t="shared" si="24"/>
        <v>0</v>
      </c>
      <c r="W88">
        <f t="shared" si="24"/>
        <v>0</v>
      </c>
      <c r="X88">
        <f t="shared" si="24"/>
        <v>0</v>
      </c>
      <c r="Y88">
        <f t="shared" si="24"/>
        <v>0</v>
      </c>
      <c r="Z88">
        <f t="shared" si="24"/>
        <v>0</v>
      </c>
      <c r="AA88">
        <f t="shared" si="24"/>
        <v>0</v>
      </c>
    </row>
    <row r="89" spans="1:27" x14ac:dyDescent="0.2">
      <c r="A89" t="s">
        <v>79</v>
      </c>
      <c r="B89">
        <f t="shared" ref="B89:B98" si="25">B$75</f>
        <v>2</v>
      </c>
      <c r="C89" s="27" t="s">
        <v>250</v>
      </c>
      <c r="D89" s="27" t="s">
        <v>251</v>
      </c>
      <c r="E89" s="27" t="str">
        <f t="shared" si="23"/>
        <v>D2BW00X00</v>
      </c>
      <c r="F89">
        <v>1.5</v>
      </c>
      <c r="G89">
        <f t="shared" ref="G89:AA89" si="26">G53*$F89/$F53</f>
        <v>15.450000000000001</v>
      </c>
      <c r="H89">
        <f t="shared" si="26"/>
        <v>15.450000000000001</v>
      </c>
      <c r="I89">
        <f t="shared" si="26"/>
        <v>15.450000000000001</v>
      </c>
      <c r="J89">
        <f t="shared" si="26"/>
        <v>15.450000000000001</v>
      </c>
      <c r="K89">
        <f t="shared" si="26"/>
        <v>15.450000000000001</v>
      </c>
      <c r="L89">
        <f t="shared" si="26"/>
        <v>15.450000000000001</v>
      </c>
      <c r="M89">
        <f t="shared" si="26"/>
        <v>15.450000000000001</v>
      </c>
      <c r="N89">
        <f t="shared" si="26"/>
        <v>15.450000000000001</v>
      </c>
      <c r="O89">
        <f t="shared" si="26"/>
        <v>15.450000000000001</v>
      </c>
      <c r="P89">
        <f t="shared" si="26"/>
        <v>15.450000000000001</v>
      </c>
      <c r="Q89">
        <f t="shared" si="26"/>
        <v>15.450000000000001</v>
      </c>
      <c r="R89">
        <f t="shared" si="26"/>
        <v>15.450000000000001</v>
      </c>
      <c r="S89">
        <f t="shared" si="26"/>
        <v>15.450000000000001</v>
      </c>
      <c r="T89">
        <f t="shared" si="26"/>
        <v>15.450000000000001</v>
      </c>
      <c r="U89">
        <f t="shared" si="26"/>
        <v>15.450000000000001</v>
      </c>
      <c r="V89">
        <f t="shared" si="26"/>
        <v>15.450000000000001</v>
      </c>
      <c r="W89">
        <f t="shared" si="26"/>
        <v>15.450000000000001</v>
      </c>
      <c r="X89">
        <f t="shared" si="26"/>
        <v>15.450000000000001</v>
      </c>
      <c r="Y89">
        <f t="shared" si="26"/>
        <v>15.450000000000001</v>
      </c>
      <c r="Z89">
        <f t="shared" si="26"/>
        <v>15.450000000000001</v>
      </c>
      <c r="AA89">
        <f t="shared" si="26"/>
        <v>15.450000000000001</v>
      </c>
    </row>
    <row r="90" spans="1:27" x14ac:dyDescent="0.2">
      <c r="A90" t="s">
        <v>79</v>
      </c>
      <c r="B90">
        <f t="shared" si="25"/>
        <v>2</v>
      </c>
      <c r="C90" s="28" t="s">
        <v>252</v>
      </c>
      <c r="D90" s="28" t="s">
        <v>253</v>
      </c>
      <c r="E90" s="27" t="str">
        <f t="shared" si="23"/>
        <v>D2HY00X00</v>
      </c>
      <c r="F90">
        <v>1</v>
      </c>
      <c r="G90">
        <f t="shared" ref="G90:AA90" si="27">G54*$F90/$F54</f>
        <v>1E-3</v>
      </c>
      <c r="H90">
        <f t="shared" si="27"/>
        <v>1E-3</v>
      </c>
      <c r="I90">
        <f t="shared" si="27"/>
        <v>1E-3</v>
      </c>
      <c r="J90">
        <f t="shared" si="27"/>
        <v>1E-3</v>
      </c>
      <c r="K90">
        <f t="shared" si="27"/>
        <v>1E-3</v>
      </c>
      <c r="L90">
        <f t="shared" si="27"/>
        <v>1E-3</v>
      </c>
      <c r="M90">
        <f t="shared" si="27"/>
        <v>1E-3</v>
      </c>
      <c r="N90">
        <f t="shared" si="27"/>
        <v>1E-3</v>
      </c>
      <c r="O90">
        <f t="shared" si="27"/>
        <v>1E-3</v>
      </c>
      <c r="P90">
        <f t="shared" si="27"/>
        <v>1E-3</v>
      </c>
      <c r="Q90">
        <f t="shared" si="27"/>
        <v>1E-3</v>
      </c>
      <c r="R90">
        <f t="shared" si="27"/>
        <v>1E-3</v>
      </c>
      <c r="S90">
        <f t="shared" si="27"/>
        <v>1E-3</v>
      </c>
      <c r="T90">
        <f t="shared" si="27"/>
        <v>1E-3</v>
      </c>
      <c r="U90">
        <f t="shared" si="27"/>
        <v>1E-3</v>
      </c>
      <c r="V90">
        <f t="shared" si="27"/>
        <v>1E-3</v>
      </c>
      <c r="W90">
        <f t="shared" si="27"/>
        <v>1E-3</v>
      </c>
      <c r="X90">
        <f t="shared" si="27"/>
        <v>1E-3</v>
      </c>
      <c r="Y90">
        <f t="shared" si="27"/>
        <v>1E-3</v>
      </c>
      <c r="Z90">
        <f t="shared" si="27"/>
        <v>1E-3</v>
      </c>
      <c r="AA90">
        <f t="shared" si="27"/>
        <v>1E-3</v>
      </c>
    </row>
    <row r="91" spans="1:27" x14ac:dyDescent="0.2">
      <c r="A91" t="s">
        <v>79</v>
      </c>
      <c r="B91">
        <f t="shared" si="25"/>
        <v>2</v>
      </c>
      <c r="C91" s="29" t="s">
        <v>254</v>
      </c>
      <c r="D91" s="29" t="s">
        <v>255</v>
      </c>
      <c r="E91" s="27" t="str">
        <f t="shared" si="23"/>
        <v>D2SO00X00</v>
      </c>
      <c r="F91">
        <v>1</v>
      </c>
      <c r="G91">
        <f t="shared" ref="G91:AA91" si="28">G55*$F91/$F55</f>
        <v>1E-3</v>
      </c>
      <c r="H91">
        <f t="shared" si="28"/>
        <v>1E-3</v>
      </c>
      <c r="I91">
        <f t="shared" si="28"/>
        <v>1E-3</v>
      </c>
      <c r="J91">
        <f t="shared" si="28"/>
        <v>1E-3</v>
      </c>
      <c r="K91">
        <f t="shared" si="28"/>
        <v>1E-3</v>
      </c>
      <c r="L91">
        <f t="shared" si="28"/>
        <v>1E-3</v>
      </c>
      <c r="M91">
        <f t="shared" si="28"/>
        <v>1E-3</v>
      </c>
      <c r="N91">
        <f t="shared" si="28"/>
        <v>1E-3</v>
      </c>
      <c r="O91">
        <f t="shared" si="28"/>
        <v>1E-3</v>
      </c>
      <c r="P91">
        <f t="shared" si="28"/>
        <v>1E-3</v>
      </c>
      <c r="Q91">
        <f t="shared" si="28"/>
        <v>1E-3</v>
      </c>
      <c r="R91">
        <f t="shared" si="28"/>
        <v>1E-3</v>
      </c>
      <c r="S91">
        <f t="shared" si="28"/>
        <v>1E-3</v>
      </c>
      <c r="T91">
        <f t="shared" si="28"/>
        <v>1E-3</v>
      </c>
      <c r="U91">
        <f t="shared" si="28"/>
        <v>1E-3</v>
      </c>
      <c r="V91">
        <f t="shared" si="28"/>
        <v>1E-3</v>
      </c>
      <c r="W91">
        <f t="shared" si="28"/>
        <v>1E-3</v>
      </c>
      <c r="X91">
        <f t="shared" si="28"/>
        <v>1E-3</v>
      </c>
      <c r="Y91">
        <f t="shared" si="28"/>
        <v>1E-3</v>
      </c>
      <c r="Z91">
        <f t="shared" si="28"/>
        <v>1E-3</v>
      </c>
      <c r="AA91">
        <f t="shared" si="28"/>
        <v>1E-3</v>
      </c>
    </row>
    <row r="92" spans="1:27" x14ac:dyDescent="0.2">
      <c r="A92" t="s">
        <v>79</v>
      </c>
      <c r="B92">
        <f t="shared" si="25"/>
        <v>2</v>
      </c>
      <c r="C92" s="30" t="s">
        <v>256</v>
      </c>
      <c r="D92" s="30" t="s">
        <v>257</v>
      </c>
      <c r="E92" s="27" t="str">
        <f t="shared" si="23"/>
        <v>D2WD00X00</v>
      </c>
      <c r="F92">
        <v>1</v>
      </c>
      <c r="G92">
        <f t="shared" ref="G92:AA92" si="29">G56*$F92/$F56</f>
        <v>1E-3</v>
      </c>
      <c r="H92">
        <f t="shared" si="29"/>
        <v>1E-3</v>
      </c>
      <c r="I92">
        <f t="shared" si="29"/>
        <v>1E-3</v>
      </c>
      <c r="J92">
        <f t="shared" si="29"/>
        <v>1E-3</v>
      </c>
      <c r="K92">
        <f t="shared" si="29"/>
        <v>1E-3</v>
      </c>
      <c r="L92">
        <f t="shared" si="29"/>
        <v>1E-3</v>
      </c>
      <c r="M92">
        <f t="shared" si="29"/>
        <v>1E-3</v>
      </c>
      <c r="N92">
        <f t="shared" si="29"/>
        <v>1E-3</v>
      </c>
      <c r="O92">
        <f t="shared" si="29"/>
        <v>1E-3</v>
      </c>
      <c r="P92">
        <f t="shared" si="29"/>
        <v>1E-3</v>
      </c>
      <c r="Q92">
        <f t="shared" si="29"/>
        <v>1E-3</v>
      </c>
      <c r="R92">
        <f t="shared" si="29"/>
        <v>1E-3</v>
      </c>
      <c r="S92">
        <f t="shared" si="29"/>
        <v>1E-3</v>
      </c>
      <c r="T92">
        <f t="shared" si="29"/>
        <v>1E-3</v>
      </c>
      <c r="U92">
        <f t="shared" si="29"/>
        <v>1E-3</v>
      </c>
      <c r="V92">
        <f t="shared" si="29"/>
        <v>1E-3</v>
      </c>
      <c r="W92">
        <f t="shared" si="29"/>
        <v>1E-3</v>
      </c>
      <c r="X92">
        <f t="shared" si="29"/>
        <v>1E-3</v>
      </c>
      <c r="Y92">
        <f t="shared" si="29"/>
        <v>1E-3</v>
      </c>
      <c r="Z92">
        <f t="shared" si="29"/>
        <v>1E-3</v>
      </c>
      <c r="AA92">
        <f t="shared" si="29"/>
        <v>1E-3</v>
      </c>
    </row>
    <row r="93" spans="1:27" x14ac:dyDescent="0.2">
      <c r="A93" t="s">
        <v>79</v>
      </c>
      <c r="B93">
        <f t="shared" si="25"/>
        <v>2</v>
      </c>
      <c r="C93" s="27" t="s">
        <v>258</v>
      </c>
      <c r="D93" s="27" t="s">
        <v>259</v>
      </c>
      <c r="E93" s="27" t="str">
        <f t="shared" si="23"/>
        <v>D2HF00I00</v>
      </c>
      <c r="F93">
        <v>1.5</v>
      </c>
      <c r="G93">
        <f t="shared" ref="G93:AA93" si="30">G57*$F93/$F57</f>
        <v>13.949771689497716</v>
      </c>
      <c r="H93">
        <f t="shared" si="30"/>
        <v>14.550038051750379</v>
      </c>
      <c r="I93">
        <f t="shared" si="30"/>
        <v>15.149828767123287</v>
      </c>
      <c r="J93">
        <f t="shared" si="30"/>
        <v>15.75009512937595</v>
      </c>
      <c r="K93">
        <f t="shared" si="30"/>
        <v>16.349885844748858</v>
      </c>
      <c r="L93">
        <f t="shared" si="30"/>
        <v>16.950152207001523</v>
      </c>
      <c r="M93">
        <f t="shared" si="30"/>
        <v>17.549999999999997</v>
      </c>
      <c r="N93">
        <f t="shared" si="30"/>
        <v>18.149999999999999</v>
      </c>
      <c r="O93">
        <f t="shared" si="30"/>
        <v>18.75</v>
      </c>
      <c r="P93">
        <f t="shared" si="30"/>
        <v>19.350000000000001</v>
      </c>
      <c r="Q93">
        <f t="shared" si="30"/>
        <v>19.950057077625573</v>
      </c>
      <c r="R93">
        <f t="shared" si="30"/>
        <v>20.190000000000001</v>
      </c>
      <c r="S93">
        <f t="shared" si="30"/>
        <v>20.43</v>
      </c>
      <c r="T93">
        <f t="shared" si="30"/>
        <v>20.669999999999998</v>
      </c>
      <c r="U93">
        <f t="shared" si="30"/>
        <v>20.91</v>
      </c>
      <c r="V93">
        <f t="shared" si="30"/>
        <v>21.150114155251142</v>
      </c>
      <c r="W93">
        <f t="shared" si="30"/>
        <v>21.39</v>
      </c>
      <c r="X93">
        <f t="shared" si="30"/>
        <v>21.63</v>
      </c>
      <c r="Y93">
        <f t="shared" si="30"/>
        <v>21.87</v>
      </c>
      <c r="Z93">
        <f t="shared" si="30"/>
        <v>22.11</v>
      </c>
      <c r="AA93">
        <f t="shared" si="30"/>
        <v>22.350171232876711</v>
      </c>
    </row>
    <row r="94" spans="1:27" x14ac:dyDescent="0.2">
      <c r="A94" t="s">
        <v>79</v>
      </c>
      <c r="B94">
        <f t="shared" si="25"/>
        <v>2</v>
      </c>
      <c r="C94" s="27" t="s">
        <v>260</v>
      </c>
      <c r="D94" s="27" t="s">
        <v>261</v>
      </c>
      <c r="E94" s="27" t="str">
        <f t="shared" si="23"/>
        <v>D2DS00I00</v>
      </c>
      <c r="F94">
        <v>1.5</v>
      </c>
      <c r="G94">
        <f t="shared" ref="G94:AA94" si="31">G58*$F94/$F58</f>
        <v>20.449961948249619</v>
      </c>
      <c r="H94">
        <f t="shared" si="31"/>
        <v>21.329908675799086</v>
      </c>
      <c r="I94">
        <f t="shared" si="31"/>
        <v>22.209855403348552</v>
      </c>
      <c r="J94">
        <f t="shared" si="31"/>
        <v>23.089802130898022</v>
      </c>
      <c r="K94">
        <f t="shared" si="31"/>
        <v>23.970224505327245</v>
      </c>
      <c r="L94">
        <f t="shared" si="31"/>
        <v>24.850171232876715</v>
      </c>
      <c r="M94">
        <f t="shared" si="31"/>
        <v>25.724999999999998</v>
      </c>
      <c r="N94">
        <f t="shared" si="31"/>
        <v>26.61</v>
      </c>
      <c r="O94">
        <f t="shared" si="31"/>
        <v>27.494999999999997</v>
      </c>
      <c r="P94">
        <f t="shared" si="31"/>
        <v>28.380000000000003</v>
      </c>
      <c r="Q94">
        <f t="shared" si="31"/>
        <v>29.24990487062405</v>
      </c>
      <c r="R94">
        <f t="shared" si="31"/>
        <v>29.594999999999999</v>
      </c>
      <c r="S94">
        <f t="shared" si="31"/>
        <v>29.94</v>
      </c>
      <c r="T94">
        <f t="shared" si="31"/>
        <v>30.285000000000004</v>
      </c>
      <c r="U94">
        <f t="shared" si="31"/>
        <v>30.630000000000003</v>
      </c>
      <c r="V94">
        <f t="shared" si="31"/>
        <v>30.975076103500761</v>
      </c>
      <c r="W94">
        <f t="shared" si="31"/>
        <v>31.32</v>
      </c>
      <c r="X94">
        <f t="shared" si="31"/>
        <v>31.664999999999999</v>
      </c>
      <c r="Y94">
        <f t="shared" si="31"/>
        <v>32.01</v>
      </c>
      <c r="Z94">
        <f t="shared" si="31"/>
        <v>32.355000000000004</v>
      </c>
      <c r="AA94">
        <f t="shared" si="31"/>
        <v>32.699771689497716</v>
      </c>
    </row>
    <row r="95" spans="1:27" x14ac:dyDescent="0.2">
      <c r="A95" t="s">
        <v>79</v>
      </c>
      <c r="B95">
        <f t="shared" si="25"/>
        <v>2</v>
      </c>
      <c r="C95" s="27" t="s">
        <v>262</v>
      </c>
      <c r="D95" s="27" t="s">
        <v>263</v>
      </c>
      <c r="E95" s="27" t="str">
        <f t="shared" si="23"/>
        <v>D2NG00X00</v>
      </c>
      <c r="F95">
        <v>1.5</v>
      </c>
      <c r="G95">
        <f t="shared" ref="G95:AA95" si="32">G59*$F95/$F59</f>
        <v>11.100171232876711</v>
      </c>
      <c r="H95">
        <f t="shared" si="32"/>
        <v>11.339897260273972</v>
      </c>
      <c r="I95">
        <f t="shared" si="32"/>
        <v>11.580098934550989</v>
      </c>
      <c r="J95">
        <f t="shared" si="32"/>
        <v>11.81982496194825</v>
      </c>
      <c r="K95">
        <f t="shared" si="32"/>
        <v>12.060026636225267</v>
      </c>
      <c r="L95">
        <f t="shared" si="32"/>
        <v>12.300228310502284</v>
      </c>
      <c r="M95">
        <f t="shared" si="32"/>
        <v>12.54</v>
      </c>
      <c r="N95">
        <f t="shared" si="32"/>
        <v>12.78</v>
      </c>
      <c r="O95">
        <f t="shared" si="32"/>
        <v>13.02</v>
      </c>
      <c r="P95">
        <f t="shared" si="32"/>
        <v>13.26</v>
      </c>
      <c r="Q95">
        <f t="shared" si="32"/>
        <v>13.499809741248097</v>
      </c>
      <c r="R95">
        <f t="shared" si="32"/>
        <v>13.830000000000002</v>
      </c>
      <c r="S95">
        <f t="shared" si="32"/>
        <v>14.16</v>
      </c>
      <c r="T95">
        <f t="shared" si="32"/>
        <v>14.49</v>
      </c>
      <c r="U95">
        <f t="shared" si="32"/>
        <v>14.82</v>
      </c>
      <c r="V95">
        <f t="shared" si="32"/>
        <v>15.149828767123287</v>
      </c>
      <c r="W95">
        <f t="shared" si="32"/>
        <v>15.48</v>
      </c>
      <c r="X95">
        <f t="shared" si="32"/>
        <v>15.809999999999999</v>
      </c>
      <c r="Y95">
        <f t="shared" si="32"/>
        <v>16.14</v>
      </c>
      <c r="Z95">
        <f t="shared" si="32"/>
        <v>16.47</v>
      </c>
      <c r="AA95">
        <f t="shared" si="32"/>
        <v>16.799847792998477</v>
      </c>
    </row>
    <row r="96" spans="1:27" x14ac:dyDescent="0.2">
      <c r="A96" t="s">
        <v>79</v>
      </c>
      <c r="B96">
        <f t="shared" si="25"/>
        <v>2</v>
      </c>
      <c r="C96" s="27" t="s">
        <v>264</v>
      </c>
      <c r="D96" s="27" t="s">
        <v>265</v>
      </c>
      <c r="E96" s="27" t="str">
        <f t="shared" si="23"/>
        <v>D2CO00X00</v>
      </c>
      <c r="F96">
        <v>1.5</v>
      </c>
      <c r="G96">
        <f t="shared" ref="G96:AA96" si="33">G60*$F96/$F60</f>
        <v>4.8002283105022823</v>
      </c>
      <c r="H96">
        <f t="shared" si="33"/>
        <v>4.8301940639269407</v>
      </c>
      <c r="I96">
        <f t="shared" si="33"/>
        <v>4.8601598173515983</v>
      </c>
      <c r="J96">
        <f t="shared" si="33"/>
        <v>4.8901255707762559</v>
      </c>
      <c r="K96">
        <f t="shared" si="33"/>
        <v>4.9200913242009126</v>
      </c>
      <c r="L96">
        <f t="shared" si="33"/>
        <v>4.9500570776255701</v>
      </c>
      <c r="M96">
        <f t="shared" si="33"/>
        <v>4.9799999999999995</v>
      </c>
      <c r="N96">
        <f t="shared" si="33"/>
        <v>5.01</v>
      </c>
      <c r="O96">
        <f t="shared" si="33"/>
        <v>5.04</v>
      </c>
      <c r="P96">
        <f t="shared" si="33"/>
        <v>5.07</v>
      </c>
      <c r="Q96">
        <f t="shared" si="33"/>
        <v>5.099885844748858</v>
      </c>
      <c r="R96">
        <f t="shared" si="33"/>
        <v>5.1450000000000005</v>
      </c>
      <c r="S96">
        <f t="shared" si="33"/>
        <v>5.1899999999999995</v>
      </c>
      <c r="T96">
        <f t="shared" si="33"/>
        <v>5.2350000000000003</v>
      </c>
      <c r="U96">
        <f t="shared" si="33"/>
        <v>5.28</v>
      </c>
      <c r="V96">
        <f t="shared" si="33"/>
        <v>5.3248668188736676</v>
      </c>
      <c r="W96">
        <f t="shared" si="33"/>
        <v>5.37</v>
      </c>
      <c r="X96">
        <f t="shared" si="33"/>
        <v>5.415</v>
      </c>
      <c r="Y96">
        <f t="shared" si="33"/>
        <v>5.46</v>
      </c>
      <c r="Z96">
        <f t="shared" si="33"/>
        <v>5.5049999999999999</v>
      </c>
      <c r="AA96">
        <f t="shared" si="33"/>
        <v>5.5498477929984773</v>
      </c>
    </row>
    <row r="97" spans="1:27" x14ac:dyDescent="0.2">
      <c r="A97" t="s">
        <v>79</v>
      </c>
      <c r="B97">
        <f t="shared" si="25"/>
        <v>2</v>
      </c>
      <c r="C97" s="27" t="s">
        <v>247</v>
      </c>
      <c r="D97" s="27" t="s">
        <v>266</v>
      </c>
      <c r="E97" s="27" t="str">
        <f t="shared" si="23"/>
        <v>D2PWRTRN</v>
      </c>
      <c r="F97">
        <v>1.5</v>
      </c>
      <c r="G97">
        <f t="shared" ref="G97:AA97" si="34">G61*$F97/$F61</f>
        <v>0</v>
      </c>
      <c r="H97">
        <f t="shared" si="34"/>
        <v>0</v>
      </c>
      <c r="I97">
        <f t="shared" si="34"/>
        <v>0</v>
      </c>
      <c r="J97">
        <f t="shared" si="34"/>
        <v>0</v>
      </c>
      <c r="K97">
        <f t="shared" si="34"/>
        <v>0</v>
      </c>
      <c r="L97">
        <f t="shared" si="34"/>
        <v>0</v>
      </c>
      <c r="M97">
        <f t="shared" si="34"/>
        <v>0</v>
      </c>
      <c r="N97">
        <f t="shared" si="34"/>
        <v>0</v>
      </c>
      <c r="O97">
        <f t="shared" si="34"/>
        <v>0</v>
      </c>
      <c r="P97">
        <f t="shared" si="34"/>
        <v>0</v>
      </c>
      <c r="Q97">
        <f t="shared" si="34"/>
        <v>0</v>
      </c>
      <c r="R97">
        <f t="shared" si="34"/>
        <v>0</v>
      </c>
      <c r="S97">
        <f t="shared" si="34"/>
        <v>0</v>
      </c>
      <c r="T97">
        <f t="shared" si="34"/>
        <v>0</v>
      </c>
      <c r="U97">
        <f t="shared" si="34"/>
        <v>0</v>
      </c>
      <c r="V97">
        <f t="shared" si="34"/>
        <v>0</v>
      </c>
      <c r="W97">
        <f t="shared" si="34"/>
        <v>0</v>
      </c>
      <c r="X97">
        <f t="shared" si="34"/>
        <v>0</v>
      </c>
      <c r="Y97">
        <f t="shared" si="34"/>
        <v>0</v>
      </c>
      <c r="Z97">
        <f t="shared" si="34"/>
        <v>0</v>
      </c>
      <c r="AA97">
        <f t="shared" si="34"/>
        <v>0</v>
      </c>
    </row>
    <row r="98" spans="1:27" x14ac:dyDescent="0.2">
      <c r="A98" t="s">
        <v>79</v>
      </c>
      <c r="B98">
        <f t="shared" si="25"/>
        <v>2</v>
      </c>
      <c r="C98" s="27" t="s">
        <v>267</v>
      </c>
      <c r="D98" s="27" t="s">
        <v>267</v>
      </c>
      <c r="E98" s="27" t="str">
        <f t="shared" si="23"/>
        <v>D2IMPELC</v>
      </c>
      <c r="F98">
        <v>1.5</v>
      </c>
      <c r="G98">
        <f t="shared" ref="G98:AA98" si="35">G62*$F98/$F62</f>
        <v>1498.5</v>
      </c>
      <c r="H98">
        <f t="shared" si="35"/>
        <v>1498.5</v>
      </c>
      <c r="I98">
        <f t="shared" si="35"/>
        <v>1498.5</v>
      </c>
      <c r="J98">
        <f t="shared" si="35"/>
        <v>1498.5</v>
      </c>
      <c r="K98">
        <f t="shared" si="35"/>
        <v>1498.5</v>
      </c>
      <c r="L98">
        <f t="shared" si="35"/>
        <v>1498.5</v>
      </c>
      <c r="M98">
        <f t="shared" si="35"/>
        <v>1498.5</v>
      </c>
      <c r="N98">
        <f t="shared" si="35"/>
        <v>1498.5</v>
      </c>
      <c r="O98">
        <f t="shared" si="35"/>
        <v>1498.5</v>
      </c>
      <c r="P98">
        <f t="shared" si="35"/>
        <v>1498.5</v>
      </c>
      <c r="Q98">
        <f t="shared" si="35"/>
        <v>1498.5</v>
      </c>
      <c r="R98">
        <f t="shared" si="35"/>
        <v>1498.5</v>
      </c>
      <c r="S98">
        <f t="shared" si="35"/>
        <v>1498.5</v>
      </c>
      <c r="T98">
        <f t="shared" si="35"/>
        <v>1498.5</v>
      </c>
      <c r="U98">
        <f t="shared" si="35"/>
        <v>1498.5</v>
      </c>
      <c r="V98">
        <f t="shared" si="35"/>
        <v>1498.5</v>
      </c>
      <c r="W98">
        <f t="shared" si="35"/>
        <v>1498.5</v>
      </c>
      <c r="X98">
        <f t="shared" si="35"/>
        <v>1498.5</v>
      </c>
      <c r="Y98">
        <f t="shared" si="35"/>
        <v>1498.5</v>
      </c>
      <c r="Z98">
        <f t="shared" si="35"/>
        <v>1498.5</v>
      </c>
      <c r="AA98">
        <f t="shared" si="35"/>
        <v>1498.5</v>
      </c>
    </row>
    <row r="100" spans="1:27" x14ac:dyDescent="0.2">
      <c r="A100" t="s">
        <v>84</v>
      </c>
      <c r="B100">
        <f>B$75</f>
        <v>2</v>
      </c>
      <c r="C100" s="27" t="s">
        <v>248</v>
      </c>
      <c r="D100" s="27" t="s">
        <v>249</v>
      </c>
      <c r="E100" s="27" t="str">
        <f t="shared" ref="E100:E110" si="36">A100&amp;D100</f>
        <v>D3BM00X00</v>
      </c>
      <c r="F100">
        <v>1.5</v>
      </c>
      <c r="G100">
        <f>G64*$F100/$F64</f>
        <v>0</v>
      </c>
      <c r="H100">
        <f t="shared" ref="H100:AA100" si="37">H64*$F100/$F64</f>
        <v>0</v>
      </c>
      <c r="I100">
        <f t="shared" si="37"/>
        <v>0</v>
      </c>
      <c r="J100">
        <f t="shared" si="37"/>
        <v>0</v>
      </c>
      <c r="K100">
        <f t="shared" si="37"/>
        <v>0</v>
      </c>
      <c r="L100">
        <f t="shared" si="37"/>
        <v>0</v>
      </c>
      <c r="M100">
        <f t="shared" si="37"/>
        <v>0</v>
      </c>
      <c r="N100">
        <f t="shared" si="37"/>
        <v>0</v>
      </c>
      <c r="O100">
        <f t="shared" si="37"/>
        <v>0</v>
      </c>
      <c r="P100">
        <f t="shared" si="37"/>
        <v>0</v>
      </c>
      <c r="Q100">
        <f t="shared" si="37"/>
        <v>0</v>
      </c>
      <c r="R100">
        <f t="shared" si="37"/>
        <v>0</v>
      </c>
      <c r="S100">
        <f t="shared" si="37"/>
        <v>0</v>
      </c>
      <c r="T100">
        <f t="shared" si="37"/>
        <v>0</v>
      </c>
      <c r="U100">
        <f t="shared" si="37"/>
        <v>0</v>
      </c>
      <c r="V100">
        <f t="shared" si="37"/>
        <v>0</v>
      </c>
      <c r="W100">
        <f t="shared" si="37"/>
        <v>0</v>
      </c>
      <c r="X100">
        <f t="shared" si="37"/>
        <v>0</v>
      </c>
      <c r="Y100">
        <f t="shared" si="37"/>
        <v>0</v>
      </c>
      <c r="Z100">
        <f t="shared" si="37"/>
        <v>0</v>
      </c>
      <c r="AA100">
        <f t="shared" si="37"/>
        <v>0</v>
      </c>
    </row>
    <row r="101" spans="1:27" x14ac:dyDescent="0.2">
      <c r="A101" t="s">
        <v>84</v>
      </c>
      <c r="B101">
        <f t="shared" ref="B101:B110" si="38">B$75</f>
        <v>2</v>
      </c>
      <c r="C101" s="27" t="s">
        <v>250</v>
      </c>
      <c r="D101" s="27" t="s">
        <v>251</v>
      </c>
      <c r="E101" s="27" t="str">
        <f t="shared" si="36"/>
        <v>D3BW00X00</v>
      </c>
      <c r="F101">
        <v>1.5</v>
      </c>
      <c r="G101">
        <f t="shared" ref="G101:AA101" si="39">G65*$F101/$F65</f>
        <v>15.450000000000001</v>
      </c>
      <c r="H101">
        <f t="shared" si="39"/>
        <v>15.450000000000001</v>
      </c>
      <c r="I101">
        <f t="shared" si="39"/>
        <v>15.450000000000001</v>
      </c>
      <c r="J101">
        <f t="shared" si="39"/>
        <v>15.450000000000001</v>
      </c>
      <c r="K101">
        <f t="shared" si="39"/>
        <v>15.450000000000001</v>
      </c>
      <c r="L101">
        <f t="shared" si="39"/>
        <v>15.450000000000001</v>
      </c>
      <c r="M101">
        <f t="shared" si="39"/>
        <v>15.450000000000001</v>
      </c>
      <c r="N101">
        <f t="shared" si="39"/>
        <v>15.450000000000001</v>
      </c>
      <c r="O101">
        <f t="shared" si="39"/>
        <v>15.450000000000001</v>
      </c>
      <c r="P101">
        <f t="shared" si="39"/>
        <v>15.450000000000001</v>
      </c>
      <c r="Q101">
        <f t="shared" si="39"/>
        <v>15.450000000000001</v>
      </c>
      <c r="R101">
        <f t="shared" si="39"/>
        <v>15.450000000000001</v>
      </c>
      <c r="S101">
        <f t="shared" si="39"/>
        <v>15.450000000000001</v>
      </c>
      <c r="T101">
        <f t="shared" si="39"/>
        <v>15.450000000000001</v>
      </c>
      <c r="U101">
        <f t="shared" si="39"/>
        <v>15.450000000000001</v>
      </c>
      <c r="V101">
        <f t="shared" si="39"/>
        <v>15.450000000000001</v>
      </c>
      <c r="W101">
        <f t="shared" si="39"/>
        <v>15.450000000000001</v>
      </c>
      <c r="X101">
        <f t="shared" si="39"/>
        <v>15.450000000000001</v>
      </c>
      <c r="Y101">
        <f t="shared" si="39"/>
        <v>15.450000000000001</v>
      </c>
      <c r="Z101">
        <f t="shared" si="39"/>
        <v>15.450000000000001</v>
      </c>
      <c r="AA101">
        <f t="shared" si="39"/>
        <v>15.450000000000001</v>
      </c>
    </row>
    <row r="102" spans="1:27" x14ac:dyDescent="0.2">
      <c r="A102" t="s">
        <v>84</v>
      </c>
      <c r="B102">
        <f t="shared" si="38"/>
        <v>2</v>
      </c>
      <c r="C102" s="28" t="s">
        <v>252</v>
      </c>
      <c r="D102" s="28" t="s">
        <v>253</v>
      </c>
      <c r="E102" s="27" t="str">
        <f t="shared" si="36"/>
        <v>D3HY00X00</v>
      </c>
      <c r="F102">
        <v>1</v>
      </c>
      <c r="G102">
        <f t="shared" ref="G102:AA102" si="40">G66*$F102/$F66</f>
        <v>1E-3</v>
      </c>
      <c r="H102">
        <f t="shared" si="40"/>
        <v>1E-3</v>
      </c>
      <c r="I102">
        <f t="shared" si="40"/>
        <v>1E-3</v>
      </c>
      <c r="J102">
        <f t="shared" si="40"/>
        <v>1E-3</v>
      </c>
      <c r="K102">
        <f t="shared" si="40"/>
        <v>1E-3</v>
      </c>
      <c r="L102">
        <f t="shared" si="40"/>
        <v>1E-3</v>
      </c>
      <c r="M102">
        <f t="shared" si="40"/>
        <v>1E-3</v>
      </c>
      <c r="N102">
        <f t="shared" si="40"/>
        <v>1E-3</v>
      </c>
      <c r="O102">
        <f t="shared" si="40"/>
        <v>1E-3</v>
      </c>
      <c r="P102">
        <f t="shared" si="40"/>
        <v>1E-3</v>
      </c>
      <c r="Q102">
        <f t="shared" si="40"/>
        <v>1E-3</v>
      </c>
      <c r="R102">
        <f t="shared" si="40"/>
        <v>1E-3</v>
      </c>
      <c r="S102">
        <f t="shared" si="40"/>
        <v>1E-3</v>
      </c>
      <c r="T102">
        <f t="shared" si="40"/>
        <v>1E-3</v>
      </c>
      <c r="U102">
        <f t="shared" si="40"/>
        <v>1E-3</v>
      </c>
      <c r="V102">
        <f t="shared" si="40"/>
        <v>1E-3</v>
      </c>
      <c r="W102">
        <f t="shared" si="40"/>
        <v>1E-3</v>
      </c>
      <c r="X102">
        <f t="shared" si="40"/>
        <v>1E-3</v>
      </c>
      <c r="Y102">
        <f t="shared" si="40"/>
        <v>1E-3</v>
      </c>
      <c r="Z102">
        <f t="shared" si="40"/>
        <v>1E-3</v>
      </c>
      <c r="AA102">
        <f t="shared" si="40"/>
        <v>1E-3</v>
      </c>
    </row>
    <row r="103" spans="1:27" x14ac:dyDescent="0.2">
      <c r="A103" t="s">
        <v>84</v>
      </c>
      <c r="B103">
        <f t="shared" si="38"/>
        <v>2</v>
      </c>
      <c r="C103" s="29" t="s">
        <v>254</v>
      </c>
      <c r="D103" s="29" t="s">
        <v>255</v>
      </c>
      <c r="E103" s="27" t="str">
        <f t="shared" si="36"/>
        <v>D3SO00X00</v>
      </c>
      <c r="F103">
        <v>1</v>
      </c>
      <c r="G103">
        <f t="shared" ref="G103:AA103" si="41">G67*$F103/$F67</f>
        <v>1E-3</v>
      </c>
      <c r="H103">
        <f t="shared" si="41"/>
        <v>1E-3</v>
      </c>
      <c r="I103">
        <f t="shared" si="41"/>
        <v>1E-3</v>
      </c>
      <c r="J103">
        <f t="shared" si="41"/>
        <v>1E-3</v>
      </c>
      <c r="K103">
        <f t="shared" si="41"/>
        <v>1E-3</v>
      </c>
      <c r="L103">
        <f t="shared" si="41"/>
        <v>1E-3</v>
      </c>
      <c r="M103">
        <f t="shared" si="41"/>
        <v>1E-3</v>
      </c>
      <c r="N103">
        <f t="shared" si="41"/>
        <v>1E-3</v>
      </c>
      <c r="O103">
        <f t="shared" si="41"/>
        <v>1E-3</v>
      </c>
      <c r="P103">
        <f t="shared" si="41"/>
        <v>1E-3</v>
      </c>
      <c r="Q103">
        <f t="shared" si="41"/>
        <v>1E-3</v>
      </c>
      <c r="R103">
        <f t="shared" si="41"/>
        <v>1E-3</v>
      </c>
      <c r="S103">
        <f t="shared" si="41"/>
        <v>1E-3</v>
      </c>
      <c r="T103">
        <f t="shared" si="41"/>
        <v>1E-3</v>
      </c>
      <c r="U103">
        <f t="shared" si="41"/>
        <v>1E-3</v>
      </c>
      <c r="V103">
        <f t="shared" si="41"/>
        <v>1E-3</v>
      </c>
      <c r="W103">
        <f t="shared" si="41"/>
        <v>1E-3</v>
      </c>
      <c r="X103">
        <f t="shared" si="41"/>
        <v>1E-3</v>
      </c>
      <c r="Y103">
        <f t="shared" si="41"/>
        <v>1E-3</v>
      </c>
      <c r="Z103">
        <f t="shared" si="41"/>
        <v>1E-3</v>
      </c>
      <c r="AA103">
        <f t="shared" si="41"/>
        <v>1E-3</v>
      </c>
    </row>
    <row r="104" spans="1:27" x14ac:dyDescent="0.2">
      <c r="A104" t="s">
        <v>84</v>
      </c>
      <c r="B104">
        <f t="shared" si="38"/>
        <v>2</v>
      </c>
      <c r="C104" s="30" t="s">
        <v>256</v>
      </c>
      <c r="D104" s="30" t="s">
        <v>257</v>
      </c>
      <c r="E104" s="27" t="str">
        <f t="shared" si="36"/>
        <v>D3WD00X00</v>
      </c>
      <c r="F104">
        <v>1</v>
      </c>
      <c r="G104">
        <f t="shared" ref="G104:AA104" si="42">G68*$F104/$F68</f>
        <v>1E-3</v>
      </c>
      <c r="H104">
        <f t="shared" si="42"/>
        <v>1E-3</v>
      </c>
      <c r="I104">
        <f t="shared" si="42"/>
        <v>1E-3</v>
      </c>
      <c r="J104">
        <f t="shared" si="42"/>
        <v>1E-3</v>
      </c>
      <c r="K104">
        <f t="shared" si="42"/>
        <v>1E-3</v>
      </c>
      <c r="L104">
        <f t="shared" si="42"/>
        <v>1E-3</v>
      </c>
      <c r="M104">
        <f t="shared" si="42"/>
        <v>1E-3</v>
      </c>
      <c r="N104">
        <f t="shared" si="42"/>
        <v>1E-3</v>
      </c>
      <c r="O104">
        <f t="shared" si="42"/>
        <v>1E-3</v>
      </c>
      <c r="P104">
        <f t="shared" si="42"/>
        <v>1E-3</v>
      </c>
      <c r="Q104">
        <f t="shared" si="42"/>
        <v>1E-3</v>
      </c>
      <c r="R104">
        <f t="shared" si="42"/>
        <v>1E-3</v>
      </c>
      <c r="S104">
        <f t="shared" si="42"/>
        <v>1E-3</v>
      </c>
      <c r="T104">
        <f t="shared" si="42"/>
        <v>1E-3</v>
      </c>
      <c r="U104">
        <f t="shared" si="42"/>
        <v>1E-3</v>
      </c>
      <c r="V104">
        <f t="shared" si="42"/>
        <v>1E-3</v>
      </c>
      <c r="W104">
        <f t="shared" si="42"/>
        <v>1E-3</v>
      </c>
      <c r="X104">
        <f t="shared" si="42"/>
        <v>1E-3</v>
      </c>
      <c r="Y104">
        <f t="shared" si="42"/>
        <v>1E-3</v>
      </c>
      <c r="Z104">
        <f t="shared" si="42"/>
        <v>1E-3</v>
      </c>
      <c r="AA104">
        <f t="shared" si="42"/>
        <v>1E-3</v>
      </c>
    </row>
    <row r="105" spans="1:27" x14ac:dyDescent="0.2">
      <c r="A105" t="s">
        <v>84</v>
      </c>
      <c r="B105">
        <f t="shared" si="38"/>
        <v>2</v>
      </c>
      <c r="C105" s="27" t="s">
        <v>258</v>
      </c>
      <c r="D105" s="27" t="s">
        <v>259</v>
      </c>
      <c r="E105" s="27" t="str">
        <f t="shared" si="36"/>
        <v>D3HF00I00</v>
      </c>
      <c r="F105">
        <v>1.5</v>
      </c>
      <c r="G105">
        <f t="shared" ref="G105:AA105" si="43">G69*$F105/$F69</f>
        <v>13.949771689497716</v>
      </c>
      <c r="H105">
        <f t="shared" si="43"/>
        <v>14.550038051750379</v>
      </c>
      <c r="I105">
        <f t="shared" si="43"/>
        <v>15.149828767123287</v>
      </c>
      <c r="J105">
        <f t="shared" si="43"/>
        <v>15.75009512937595</v>
      </c>
      <c r="K105">
        <f t="shared" si="43"/>
        <v>16.349885844748858</v>
      </c>
      <c r="L105">
        <f t="shared" si="43"/>
        <v>16.950152207001523</v>
      </c>
      <c r="M105">
        <f t="shared" si="43"/>
        <v>17.549999999999997</v>
      </c>
      <c r="N105">
        <f t="shared" si="43"/>
        <v>18.149999999999999</v>
      </c>
      <c r="O105">
        <f t="shared" si="43"/>
        <v>18.75</v>
      </c>
      <c r="P105">
        <f t="shared" si="43"/>
        <v>19.350000000000001</v>
      </c>
      <c r="Q105">
        <f t="shared" si="43"/>
        <v>19.950057077625573</v>
      </c>
      <c r="R105">
        <f t="shared" si="43"/>
        <v>20.190000000000001</v>
      </c>
      <c r="S105">
        <f t="shared" si="43"/>
        <v>20.43</v>
      </c>
      <c r="T105">
        <f t="shared" si="43"/>
        <v>20.669999999999998</v>
      </c>
      <c r="U105">
        <f t="shared" si="43"/>
        <v>20.91</v>
      </c>
      <c r="V105">
        <f t="shared" si="43"/>
        <v>21.150114155251142</v>
      </c>
      <c r="W105">
        <f t="shared" si="43"/>
        <v>21.39</v>
      </c>
      <c r="X105">
        <f t="shared" si="43"/>
        <v>21.63</v>
      </c>
      <c r="Y105">
        <f t="shared" si="43"/>
        <v>21.87</v>
      </c>
      <c r="Z105">
        <f t="shared" si="43"/>
        <v>22.11</v>
      </c>
      <c r="AA105">
        <f t="shared" si="43"/>
        <v>22.350171232876711</v>
      </c>
    </row>
    <row r="106" spans="1:27" x14ac:dyDescent="0.2">
      <c r="A106" t="s">
        <v>84</v>
      </c>
      <c r="B106">
        <f t="shared" si="38"/>
        <v>2</v>
      </c>
      <c r="C106" s="27" t="s">
        <v>260</v>
      </c>
      <c r="D106" s="27" t="s">
        <v>261</v>
      </c>
      <c r="E106" s="27" t="str">
        <f t="shared" si="36"/>
        <v>D3DS00I00</v>
      </c>
      <c r="F106">
        <v>1.5</v>
      </c>
      <c r="G106">
        <f t="shared" ref="G106:AA106" si="44">G70*$F106/$F70</f>
        <v>20.449961948249619</v>
      </c>
      <c r="H106">
        <f t="shared" si="44"/>
        <v>21.329908675799086</v>
      </c>
      <c r="I106">
        <f t="shared" si="44"/>
        <v>22.209855403348552</v>
      </c>
      <c r="J106">
        <f t="shared" si="44"/>
        <v>23.089802130898022</v>
      </c>
      <c r="K106">
        <f t="shared" si="44"/>
        <v>23.970224505327245</v>
      </c>
      <c r="L106">
        <f t="shared" si="44"/>
        <v>24.850171232876715</v>
      </c>
      <c r="M106">
        <f t="shared" si="44"/>
        <v>25.724999999999998</v>
      </c>
      <c r="N106">
        <f t="shared" si="44"/>
        <v>26.61</v>
      </c>
      <c r="O106">
        <f t="shared" si="44"/>
        <v>27.494999999999997</v>
      </c>
      <c r="P106">
        <f t="shared" si="44"/>
        <v>28.380000000000003</v>
      </c>
      <c r="Q106">
        <f t="shared" si="44"/>
        <v>29.24990487062405</v>
      </c>
      <c r="R106">
        <f t="shared" si="44"/>
        <v>29.594999999999999</v>
      </c>
      <c r="S106">
        <f t="shared" si="44"/>
        <v>29.94</v>
      </c>
      <c r="T106">
        <f t="shared" si="44"/>
        <v>30.285000000000004</v>
      </c>
      <c r="U106">
        <f t="shared" si="44"/>
        <v>30.630000000000003</v>
      </c>
      <c r="V106">
        <f t="shared" si="44"/>
        <v>30.975076103500761</v>
      </c>
      <c r="W106">
        <f t="shared" si="44"/>
        <v>31.32</v>
      </c>
      <c r="X106">
        <f t="shared" si="44"/>
        <v>31.664999999999999</v>
      </c>
      <c r="Y106">
        <f t="shared" si="44"/>
        <v>32.01</v>
      </c>
      <c r="Z106">
        <f t="shared" si="44"/>
        <v>32.355000000000004</v>
      </c>
      <c r="AA106">
        <f t="shared" si="44"/>
        <v>32.699771689497716</v>
      </c>
    </row>
    <row r="107" spans="1:27" x14ac:dyDescent="0.2">
      <c r="A107" t="s">
        <v>84</v>
      </c>
      <c r="B107">
        <f t="shared" si="38"/>
        <v>2</v>
      </c>
      <c r="C107" s="27" t="s">
        <v>262</v>
      </c>
      <c r="D107" s="27" t="s">
        <v>263</v>
      </c>
      <c r="E107" s="27" t="str">
        <f t="shared" si="36"/>
        <v>D3NG00X00</v>
      </c>
      <c r="F107">
        <v>1.5</v>
      </c>
      <c r="G107">
        <f t="shared" ref="G107:AA107" si="45">G71*$F107/$F71</f>
        <v>11.100171232876711</v>
      </c>
      <c r="H107">
        <f t="shared" si="45"/>
        <v>11.339897260273972</v>
      </c>
      <c r="I107">
        <f t="shared" si="45"/>
        <v>11.580098934550989</v>
      </c>
      <c r="J107">
        <f t="shared" si="45"/>
        <v>11.81982496194825</v>
      </c>
      <c r="K107">
        <f t="shared" si="45"/>
        <v>12.060026636225267</v>
      </c>
      <c r="L107">
        <f t="shared" si="45"/>
        <v>12.300228310502284</v>
      </c>
      <c r="M107">
        <f t="shared" si="45"/>
        <v>12.54</v>
      </c>
      <c r="N107">
        <f t="shared" si="45"/>
        <v>12.78</v>
      </c>
      <c r="O107">
        <f t="shared" si="45"/>
        <v>13.02</v>
      </c>
      <c r="P107">
        <f t="shared" si="45"/>
        <v>13.26</v>
      </c>
      <c r="Q107">
        <f t="shared" si="45"/>
        <v>13.499809741248097</v>
      </c>
      <c r="R107">
        <f t="shared" si="45"/>
        <v>13.830000000000002</v>
      </c>
      <c r="S107">
        <f t="shared" si="45"/>
        <v>14.16</v>
      </c>
      <c r="T107">
        <f t="shared" si="45"/>
        <v>14.49</v>
      </c>
      <c r="U107">
        <f t="shared" si="45"/>
        <v>14.82</v>
      </c>
      <c r="V107">
        <f t="shared" si="45"/>
        <v>15.149828767123287</v>
      </c>
      <c r="W107">
        <f t="shared" si="45"/>
        <v>15.48</v>
      </c>
      <c r="X107">
        <f t="shared" si="45"/>
        <v>15.809999999999999</v>
      </c>
      <c r="Y107">
        <f t="shared" si="45"/>
        <v>16.14</v>
      </c>
      <c r="Z107">
        <f t="shared" si="45"/>
        <v>16.47</v>
      </c>
      <c r="AA107">
        <f t="shared" si="45"/>
        <v>16.799847792998477</v>
      </c>
    </row>
    <row r="108" spans="1:27" x14ac:dyDescent="0.2">
      <c r="A108" t="s">
        <v>84</v>
      </c>
      <c r="B108">
        <f t="shared" si="38"/>
        <v>2</v>
      </c>
      <c r="C108" s="27" t="s">
        <v>264</v>
      </c>
      <c r="D108" s="27" t="s">
        <v>265</v>
      </c>
      <c r="E108" s="27" t="str">
        <f t="shared" si="36"/>
        <v>D3CO00X00</v>
      </c>
      <c r="F108">
        <v>1.5</v>
      </c>
      <c r="G108">
        <f t="shared" ref="G108:AA108" si="46">G72*$F108/$F72</f>
        <v>4.8002283105022823</v>
      </c>
      <c r="H108">
        <f t="shared" si="46"/>
        <v>4.8301940639269407</v>
      </c>
      <c r="I108">
        <f t="shared" si="46"/>
        <v>4.8601598173515983</v>
      </c>
      <c r="J108">
        <f t="shared" si="46"/>
        <v>4.8901255707762559</v>
      </c>
      <c r="K108">
        <f t="shared" si="46"/>
        <v>4.9200913242009126</v>
      </c>
      <c r="L108">
        <f t="shared" si="46"/>
        <v>4.9500570776255701</v>
      </c>
      <c r="M108">
        <f t="shared" si="46"/>
        <v>4.9799999999999995</v>
      </c>
      <c r="N108">
        <f t="shared" si="46"/>
        <v>5.01</v>
      </c>
      <c r="O108">
        <f t="shared" si="46"/>
        <v>5.04</v>
      </c>
      <c r="P108">
        <f t="shared" si="46"/>
        <v>5.07</v>
      </c>
      <c r="Q108">
        <f t="shared" si="46"/>
        <v>5.099885844748858</v>
      </c>
      <c r="R108">
        <f t="shared" si="46"/>
        <v>5.1450000000000005</v>
      </c>
      <c r="S108">
        <f t="shared" si="46"/>
        <v>5.1899999999999995</v>
      </c>
      <c r="T108">
        <f t="shared" si="46"/>
        <v>5.2350000000000003</v>
      </c>
      <c r="U108">
        <f t="shared" si="46"/>
        <v>5.28</v>
      </c>
      <c r="V108">
        <f t="shared" si="46"/>
        <v>5.3248668188736676</v>
      </c>
      <c r="W108">
        <f t="shared" si="46"/>
        <v>5.37</v>
      </c>
      <c r="X108">
        <f t="shared" si="46"/>
        <v>5.415</v>
      </c>
      <c r="Y108">
        <f t="shared" si="46"/>
        <v>5.46</v>
      </c>
      <c r="Z108">
        <f t="shared" si="46"/>
        <v>5.5049999999999999</v>
      </c>
      <c r="AA108">
        <f t="shared" si="46"/>
        <v>5.5498477929984773</v>
      </c>
    </row>
    <row r="109" spans="1:27" x14ac:dyDescent="0.2">
      <c r="A109" t="s">
        <v>84</v>
      </c>
      <c r="B109">
        <f t="shared" si="38"/>
        <v>2</v>
      </c>
      <c r="C109" s="27" t="s">
        <v>247</v>
      </c>
      <c r="D109" s="27" t="s">
        <v>266</v>
      </c>
      <c r="E109" s="27" t="str">
        <f t="shared" si="36"/>
        <v>D3PWRTRN</v>
      </c>
      <c r="F109">
        <v>1.5</v>
      </c>
      <c r="G109">
        <f t="shared" ref="G109:AA109" si="47">G73*$F109/$F73</f>
        <v>0</v>
      </c>
      <c r="H109">
        <f t="shared" si="47"/>
        <v>0</v>
      </c>
      <c r="I109">
        <f t="shared" si="47"/>
        <v>0</v>
      </c>
      <c r="J109">
        <f t="shared" si="47"/>
        <v>0</v>
      </c>
      <c r="K109">
        <f t="shared" si="47"/>
        <v>0</v>
      </c>
      <c r="L109">
        <f t="shared" si="47"/>
        <v>0</v>
      </c>
      <c r="M109">
        <f t="shared" si="47"/>
        <v>0</v>
      </c>
      <c r="N109">
        <f t="shared" si="47"/>
        <v>0</v>
      </c>
      <c r="O109">
        <f t="shared" si="47"/>
        <v>0</v>
      </c>
      <c r="P109">
        <f t="shared" si="47"/>
        <v>0</v>
      </c>
      <c r="Q109">
        <f t="shared" si="47"/>
        <v>0</v>
      </c>
      <c r="R109">
        <f t="shared" si="47"/>
        <v>0</v>
      </c>
      <c r="S109">
        <f t="shared" si="47"/>
        <v>0</v>
      </c>
      <c r="T109">
        <f t="shared" si="47"/>
        <v>0</v>
      </c>
      <c r="U109">
        <f t="shared" si="47"/>
        <v>0</v>
      </c>
      <c r="V109">
        <f t="shared" si="47"/>
        <v>0</v>
      </c>
      <c r="W109">
        <f t="shared" si="47"/>
        <v>0</v>
      </c>
      <c r="X109">
        <f t="shared" si="47"/>
        <v>0</v>
      </c>
      <c r="Y109">
        <f t="shared" si="47"/>
        <v>0</v>
      </c>
      <c r="Z109">
        <f t="shared" si="47"/>
        <v>0</v>
      </c>
      <c r="AA109">
        <f t="shared" si="47"/>
        <v>0</v>
      </c>
    </row>
    <row r="110" spans="1:27" x14ac:dyDescent="0.2">
      <c r="A110" t="s">
        <v>84</v>
      </c>
      <c r="B110">
        <f t="shared" si="38"/>
        <v>2</v>
      </c>
      <c r="C110" s="27" t="s">
        <v>267</v>
      </c>
      <c r="D110" s="27" t="s">
        <v>267</v>
      </c>
      <c r="E110" s="27" t="str">
        <f t="shared" si="36"/>
        <v>D3IMPELC</v>
      </c>
      <c r="F110">
        <v>1.5</v>
      </c>
      <c r="G110">
        <f t="shared" ref="G110:AA110" si="48">G74*$F110/$F74</f>
        <v>1498.5</v>
      </c>
      <c r="H110">
        <f t="shared" si="48"/>
        <v>1498.5</v>
      </c>
      <c r="I110">
        <f t="shared" si="48"/>
        <v>1498.5</v>
      </c>
      <c r="J110">
        <f t="shared" si="48"/>
        <v>1498.5</v>
      </c>
      <c r="K110">
        <f t="shared" si="48"/>
        <v>1498.5</v>
      </c>
      <c r="L110">
        <f t="shared" si="48"/>
        <v>1498.5</v>
      </c>
      <c r="M110">
        <f t="shared" si="48"/>
        <v>1498.5</v>
      </c>
      <c r="N110">
        <f t="shared" si="48"/>
        <v>1498.5</v>
      </c>
      <c r="O110">
        <f t="shared" si="48"/>
        <v>1498.5</v>
      </c>
      <c r="P110">
        <f t="shared" si="48"/>
        <v>1498.5</v>
      </c>
      <c r="Q110">
        <f t="shared" si="48"/>
        <v>1498.5</v>
      </c>
      <c r="R110">
        <f t="shared" si="48"/>
        <v>1498.5</v>
      </c>
      <c r="S110">
        <f t="shared" si="48"/>
        <v>1498.5</v>
      </c>
      <c r="T110">
        <f t="shared" si="48"/>
        <v>1498.5</v>
      </c>
      <c r="U110">
        <f t="shared" si="48"/>
        <v>1498.5</v>
      </c>
      <c r="V110">
        <f t="shared" si="48"/>
        <v>1498.5</v>
      </c>
      <c r="W110">
        <f t="shared" si="48"/>
        <v>1498.5</v>
      </c>
      <c r="X110">
        <f t="shared" si="48"/>
        <v>1498.5</v>
      </c>
      <c r="Y110">
        <f t="shared" si="48"/>
        <v>1498.5</v>
      </c>
      <c r="Z110">
        <f t="shared" si="48"/>
        <v>1498.5</v>
      </c>
      <c r="AA110">
        <f t="shared" si="48"/>
        <v>1498.5</v>
      </c>
    </row>
    <row r="111" spans="1:27" s="31" customFormat="1" x14ac:dyDescent="0.2">
      <c r="A111" s="31" t="s">
        <v>225</v>
      </c>
      <c r="B111" s="31">
        <v>3</v>
      </c>
    </row>
    <row r="112" spans="1:27" x14ac:dyDescent="0.2">
      <c r="A112" t="s">
        <v>52</v>
      </c>
      <c r="B112">
        <f>B$111</f>
        <v>3</v>
      </c>
      <c r="C112" s="27" t="s">
        <v>248</v>
      </c>
      <c r="D112" s="27" t="s">
        <v>249</v>
      </c>
      <c r="E112" s="27" t="str">
        <f t="shared" ref="E112:E122" si="49">A112&amp;D112</f>
        <v>D1BM00X00</v>
      </c>
      <c r="F112">
        <v>1.3</v>
      </c>
      <c r="G112">
        <f>G40*$F112/$F40</f>
        <v>0</v>
      </c>
      <c r="H112">
        <f t="shared" ref="H112:AA122" si="50">H40*$F112/$F40</f>
        <v>0</v>
      </c>
      <c r="I112">
        <f t="shared" si="50"/>
        <v>0</v>
      </c>
      <c r="J112">
        <f t="shared" si="50"/>
        <v>0</v>
      </c>
      <c r="K112">
        <f t="shared" si="50"/>
        <v>0</v>
      </c>
      <c r="L112">
        <f t="shared" si="50"/>
        <v>0</v>
      </c>
      <c r="M112">
        <f t="shared" si="50"/>
        <v>0</v>
      </c>
      <c r="N112">
        <f t="shared" si="50"/>
        <v>0</v>
      </c>
      <c r="O112">
        <f t="shared" si="50"/>
        <v>0</v>
      </c>
      <c r="P112">
        <f t="shared" si="50"/>
        <v>0</v>
      </c>
      <c r="Q112">
        <f t="shared" si="50"/>
        <v>0</v>
      </c>
      <c r="R112">
        <f t="shared" si="50"/>
        <v>0</v>
      </c>
      <c r="S112">
        <f t="shared" si="50"/>
        <v>0</v>
      </c>
      <c r="T112">
        <f t="shared" si="50"/>
        <v>0</v>
      </c>
      <c r="U112">
        <f t="shared" si="50"/>
        <v>0</v>
      </c>
      <c r="V112">
        <f t="shared" si="50"/>
        <v>0</v>
      </c>
      <c r="W112">
        <f t="shared" si="50"/>
        <v>0</v>
      </c>
      <c r="X112">
        <f t="shared" si="50"/>
        <v>0</v>
      </c>
      <c r="Y112">
        <f t="shared" si="50"/>
        <v>0</v>
      </c>
      <c r="Z112">
        <f t="shared" si="50"/>
        <v>0</v>
      </c>
      <c r="AA112">
        <f t="shared" si="50"/>
        <v>0</v>
      </c>
    </row>
    <row r="113" spans="1:27" x14ac:dyDescent="0.2">
      <c r="A113" t="s">
        <v>52</v>
      </c>
      <c r="B113">
        <f t="shared" ref="B113:B122" si="51">B$111</f>
        <v>3</v>
      </c>
      <c r="C113" s="27" t="s">
        <v>250</v>
      </c>
      <c r="D113" s="27" t="s">
        <v>251</v>
      </c>
      <c r="E113" s="27" t="str">
        <f t="shared" si="49"/>
        <v>D1BW00X00</v>
      </c>
      <c r="F113">
        <f>$F$112</f>
        <v>1.3</v>
      </c>
      <c r="G113">
        <f t="shared" ref="G113:V122" si="52">G41*$F113/$F41</f>
        <v>13.39</v>
      </c>
      <c r="H113">
        <f t="shared" si="52"/>
        <v>13.39</v>
      </c>
      <c r="I113">
        <f t="shared" si="52"/>
        <v>13.39</v>
      </c>
      <c r="J113">
        <f t="shared" si="52"/>
        <v>13.39</v>
      </c>
      <c r="K113">
        <f t="shared" si="52"/>
        <v>13.39</v>
      </c>
      <c r="L113">
        <f t="shared" si="52"/>
        <v>13.39</v>
      </c>
      <c r="M113">
        <f t="shared" si="52"/>
        <v>13.39</v>
      </c>
      <c r="N113">
        <f t="shared" si="52"/>
        <v>13.39</v>
      </c>
      <c r="O113">
        <f t="shared" si="52"/>
        <v>13.39</v>
      </c>
      <c r="P113">
        <f t="shared" si="52"/>
        <v>13.39</v>
      </c>
      <c r="Q113">
        <f t="shared" si="52"/>
        <v>13.39</v>
      </c>
      <c r="R113">
        <f t="shared" si="52"/>
        <v>13.39</v>
      </c>
      <c r="S113">
        <f t="shared" si="52"/>
        <v>13.39</v>
      </c>
      <c r="T113">
        <f t="shared" si="52"/>
        <v>13.39</v>
      </c>
      <c r="U113">
        <f t="shared" si="52"/>
        <v>13.39</v>
      </c>
      <c r="V113">
        <f t="shared" si="52"/>
        <v>13.39</v>
      </c>
      <c r="W113">
        <f t="shared" si="50"/>
        <v>13.39</v>
      </c>
      <c r="X113">
        <f t="shared" si="50"/>
        <v>13.39</v>
      </c>
      <c r="Y113">
        <f t="shared" si="50"/>
        <v>13.39</v>
      </c>
      <c r="Z113">
        <f t="shared" si="50"/>
        <v>13.39</v>
      </c>
      <c r="AA113">
        <f t="shared" si="50"/>
        <v>13.39</v>
      </c>
    </row>
    <row r="114" spans="1:27" x14ac:dyDescent="0.2">
      <c r="A114" t="s">
        <v>52</v>
      </c>
      <c r="B114">
        <f t="shared" si="51"/>
        <v>3</v>
      </c>
      <c r="C114" s="28" t="s">
        <v>252</v>
      </c>
      <c r="D114" s="28" t="s">
        <v>253</v>
      </c>
      <c r="E114" s="27" t="str">
        <f t="shared" si="49"/>
        <v>D1HY00X00</v>
      </c>
      <c r="F114">
        <v>1</v>
      </c>
      <c r="G114">
        <f t="shared" si="52"/>
        <v>1E-3</v>
      </c>
      <c r="H114">
        <f t="shared" si="50"/>
        <v>1E-3</v>
      </c>
      <c r="I114">
        <f t="shared" si="50"/>
        <v>1E-3</v>
      </c>
      <c r="J114">
        <f t="shared" si="50"/>
        <v>1E-3</v>
      </c>
      <c r="K114">
        <f t="shared" si="50"/>
        <v>1E-3</v>
      </c>
      <c r="L114">
        <f t="shared" si="50"/>
        <v>1E-3</v>
      </c>
      <c r="M114">
        <f t="shared" si="50"/>
        <v>1E-3</v>
      </c>
      <c r="N114">
        <f t="shared" si="50"/>
        <v>1E-3</v>
      </c>
      <c r="O114">
        <f t="shared" si="50"/>
        <v>1E-3</v>
      </c>
      <c r="P114">
        <f t="shared" si="50"/>
        <v>1E-3</v>
      </c>
      <c r="Q114">
        <f t="shared" si="50"/>
        <v>1E-3</v>
      </c>
      <c r="R114">
        <f t="shared" si="50"/>
        <v>1E-3</v>
      </c>
      <c r="S114">
        <f t="shared" si="50"/>
        <v>1E-3</v>
      </c>
      <c r="T114">
        <f t="shared" si="50"/>
        <v>1E-3</v>
      </c>
      <c r="U114">
        <f t="shared" si="50"/>
        <v>1E-3</v>
      </c>
      <c r="V114">
        <f t="shared" si="50"/>
        <v>1E-3</v>
      </c>
      <c r="W114">
        <f t="shared" si="50"/>
        <v>1E-3</v>
      </c>
      <c r="X114">
        <f t="shared" si="50"/>
        <v>1E-3</v>
      </c>
      <c r="Y114">
        <f t="shared" si="50"/>
        <v>1E-3</v>
      </c>
      <c r="Z114">
        <f t="shared" si="50"/>
        <v>1E-3</v>
      </c>
      <c r="AA114">
        <f t="shared" si="50"/>
        <v>1E-3</v>
      </c>
    </row>
    <row r="115" spans="1:27" x14ac:dyDescent="0.2">
      <c r="A115" t="s">
        <v>52</v>
      </c>
      <c r="B115">
        <f t="shared" si="51"/>
        <v>3</v>
      </c>
      <c r="C115" s="29" t="s">
        <v>254</v>
      </c>
      <c r="D115" s="29" t="s">
        <v>255</v>
      </c>
      <c r="E115" s="27" t="str">
        <f t="shared" si="49"/>
        <v>D1SO00X00</v>
      </c>
      <c r="F115">
        <v>1</v>
      </c>
      <c r="G115">
        <f t="shared" si="52"/>
        <v>1E-3</v>
      </c>
      <c r="H115">
        <f t="shared" si="50"/>
        <v>1E-3</v>
      </c>
      <c r="I115">
        <f t="shared" si="50"/>
        <v>1E-3</v>
      </c>
      <c r="J115">
        <f t="shared" si="50"/>
        <v>1E-3</v>
      </c>
      <c r="K115">
        <f t="shared" si="50"/>
        <v>1E-3</v>
      </c>
      <c r="L115">
        <f t="shared" si="50"/>
        <v>1E-3</v>
      </c>
      <c r="M115">
        <f t="shared" si="50"/>
        <v>1E-3</v>
      </c>
      <c r="N115">
        <f t="shared" si="50"/>
        <v>1E-3</v>
      </c>
      <c r="O115">
        <f t="shared" si="50"/>
        <v>1E-3</v>
      </c>
      <c r="P115">
        <f t="shared" si="50"/>
        <v>1E-3</v>
      </c>
      <c r="Q115">
        <f t="shared" si="50"/>
        <v>1E-3</v>
      </c>
      <c r="R115">
        <f t="shared" si="50"/>
        <v>1E-3</v>
      </c>
      <c r="S115">
        <f t="shared" si="50"/>
        <v>1E-3</v>
      </c>
      <c r="T115">
        <f t="shared" si="50"/>
        <v>1E-3</v>
      </c>
      <c r="U115">
        <f t="shared" si="50"/>
        <v>1E-3</v>
      </c>
      <c r="V115">
        <f t="shared" si="50"/>
        <v>1E-3</v>
      </c>
      <c r="W115">
        <f t="shared" si="50"/>
        <v>1E-3</v>
      </c>
      <c r="X115">
        <f t="shared" si="50"/>
        <v>1E-3</v>
      </c>
      <c r="Y115">
        <f t="shared" si="50"/>
        <v>1E-3</v>
      </c>
      <c r="Z115">
        <f t="shared" si="50"/>
        <v>1E-3</v>
      </c>
      <c r="AA115">
        <f t="shared" si="50"/>
        <v>1E-3</v>
      </c>
    </row>
    <row r="116" spans="1:27" x14ac:dyDescent="0.2">
      <c r="A116" t="s">
        <v>52</v>
      </c>
      <c r="B116">
        <f t="shared" si="51"/>
        <v>3</v>
      </c>
      <c r="C116" s="30" t="s">
        <v>256</v>
      </c>
      <c r="D116" s="30" t="s">
        <v>257</v>
      </c>
      <c r="E116" s="27" t="str">
        <f t="shared" si="49"/>
        <v>D1WD00X00</v>
      </c>
      <c r="F116">
        <v>1</v>
      </c>
      <c r="G116">
        <f t="shared" si="52"/>
        <v>1E-3</v>
      </c>
      <c r="H116">
        <f t="shared" si="50"/>
        <v>1E-3</v>
      </c>
      <c r="I116">
        <f t="shared" si="50"/>
        <v>1E-3</v>
      </c>
      <c r="J116">
        <f t="shared" si="50"/>
        <v>1E-3</v>
      </c>
      <c r="K116">
        <f t="shared" si="50"/>
        <v>1E-3</v>
      </c>
      <c r="L116">
        <f t="shared" si="50"/>
        <v>1E-3</v>
      </c>
      <c r="M116">
        <f t="shared" si="50"/>
        <v>1E-3</v>
      </c>
      <c r="N116">
        <f t="shared" si="50"/>
        <v>1E-3</v>
      </c>
      <c r="O116">
        <f t="shared" si="50"/>
        <v>1E-3</v>
      </c>
      <c r="P116">
        <f t="shared" si="50"/>
        <v>1E-3</v>
      </c>
      <c r="Q116">
        <f t="shared" si="50"/>
        <v>1E-3</v>
      </c>
      <c r="R116">
        <f t="shared" si="50"/>
        <v>1E-3</v>
      </c>
      <c r="S116">
        <f t="shared" si="50"/>
        <v>1E-3</v>
      </c>
      <c r="T116">
        <f t="shared" si="50"/>
        <v>1E-3</v>
      </c>
      <c r="U116">
        <f t="shared" si="50"/>
        <v>1E-3</v>
      </c>
      <c r="V116">
        <f t="shared" si="50"/>
        <v>1E-3</v>
      </c>
      <c r="W116">
        <f t="shared" si="50"/>
        <v>1E-3</v>
      </c>
      <c r="X116">
        <f t="shared" si="50"/>
        <v>1E-3</v>
      </c>
      <c r="Y116">
        <f t="shared" si="50"/>
        <v>1E-3</v>
      </c>
      <c r="Z116">
        <f t="shared" si="50"/>
        <v>1E-3</v>
      </c>
      <c r="AA116">
        <f t="shared" si="50"/>
        <v>1E-3</v>
      </c>
    </row>
    <row r="117" spans="1:27" x14ac:dyDescent="0.2">
      <c r="A117" t="s">
        <v>52</v>
      </c>
      <c r="B117">
        <f t="shared" si="51"/>
        <v>3</v>
      </c>
      <c r="C117" s="27" t="s">
        <v>258</v>
      </c>
      <c r="D117" s="27" t="s">
        <v>259</v>
      </c>
      <c r="E117" s="27" t="str">
        <f t="shared" si="49"/>
        <v>D1HF00I00</v>
      </c>
      <c r="F117">
        <f t="shared" ref="F117:F122" si="53">$F$112</f>
        <v>1.3</v>
      </c>
      <c r="G117">
        <f t="shared" si="52"/>
        <v>12.08980213089802</v>
      </c>
      <c r="H117">
        <f t="shared" si="50"/>
        <v>12.610032978183662</v>
      </c>
      <c r="I117">
        <f t="shared" si="50"/>
        <v>13.129851598173516</v>
      </c>
      <c r="J117">
        <f t="shared" si="50"/>
        <v>13.650082445459157</v>
      </c>
      <c r="K117">
        <f t="shared" si="50"/>
        <v>14.169901065449011</v>
      </c>
      <c r="L117">
        <f t="shared" si="50"/>
        <v>14.690131912734651</v>
      </c>
      <c r="M117">
        <f t="shared" si="50"/>
        <v>15.209999999999999</v>
      </c>
      <c r="N117">
        <f t="shared" si="50"/>
        <v>15.73</v>
      </c>
      <c r="O117">
        <f t="shared" si="50"/>
        <v>16.25</v>
      </c>
      <c r="P117">
        <f t="shared" si="50"/>
        <v>16.77</v>
      </c>
      <c r="Q117">
        <f t="shared" si="50"/>
        <v>17.290049467275495</v>
      </c>
      <c r="R117">
        <f t="shared" si="50"/>
        <v>17.498000000000001</v>
      </c>
      <c r="S117">
        <f t="shared" si="50"/>
        <v>17.706</v>
      </c>
      <c r="T117">
        <f t="shared" si="50"/>
        <v>17.914000000000001</v>
      </c>
      <c r="U117">
        <f t="shared" si="50"/>
        <v>18.122</v>
      </c>
      <c r="V117">
        <f t="shared" si="50"/>
        <v>18.330098934550989</v>
      </c>
      <c r="W117">
        <f t="shared" si="50"/>
        <v>18.538</v>
      </c>
      <c r="X117">
        <f t="shared" si="50"/>
        <v>18.746000000000002</v>
      </c>
      <c r="Y117">
        <f t="shared" si="50"/>
        <v>18.954000000000001</v>
      </c>
      <c r="Z117">
        <f t="shared" si="50"/>
        <v>19.162000000000003</v>
      </c>
      <c r="AA117">
        <f t="shared" si="50"/>
        <v>19.370148401826484</v>
      </c>
    </row>
    <row r="118" spans="1:27" x14ac:dyDescent="0.2">
      <c r="A118" t="s">
        <v>52</v>
      </c>
      <c r="B118">
        <f t="shared" si="51"/>
        <v>3</v>
      </c>
      <c r="C118" s="27" t="s">
        <v>260</v>
      </c>
      <c r="D118" s="27" t="s">
        <v>261</v>
      </c>
      <c r="E118" s="27" t="str">
        <f t="shared" si="49"/>
        <v>D1DS00I00</v>
      </c>
      <c r="F118">
        <f t="shared" si="53"/>
        <v>1.3</v>
      </c>
      <c r="G118">
        <f t="shared" si="52"/>
        <v>17.723300355149672</v>
      </c>
      <c r="H118">
        <f t="shared" si="50"/>
        <v>18.485920852359207</v>
      </c>
      <c r="I118">
        <f t="shared" si="50"/>
        <v>19.248541349568747</v>
      </c>
      <c r="J118">
        <f t="shared" si="50"/>
        <v>20.011161846778286</v>
      </c>
      <c r="K118">
        <f t="shared" si="50"/>
        <v>20.774194571283612</v>
      </c>
      <c r="L118">
        <f t="shared" si="50"/>
        <v>21.536815068493155</v>
      </c>
      <c r="M118">
        <f t="shared" si="50"/>
        <v>22.294999999999998</v>
      </c>
      <c r="N118">
        <f t="shared" si="50"/>
        <v>23.061999999999998</v>
      </c>
      <c r="O118">
        <f t="shared" si="50"/>
        <v>23.828999999999997</v>
      </c>
      <c r="P118">
        <f t="shared" si="50"/>
        <v>24.596000000000004</v>
      </c>
      <c r="Q118">
        <f t="shared" si="50"/>
        <v>25.349917554540845</v>
      </c>
      <c r="R118">
        <f t="shared" si="50"/>
        <v>25.649000000000001</v>
      </c>
      <c r="S118">
        <f t="shared" si="50"/>
        <v>25.948</v>
      </c>
      <c r="T118">
        <f t="shared" si="50"/>
        <v>26.247000000000003</v>
      </c>
      <c r="U118">
        <f t="shared" si="50"/>
        <v>26.546000000000003</v>
      </c>
      <c r="V118">
        <f t="shared" si="50"/>
        <v>26.845065956367328</v>
      </c>
      <c r="W118">
        <f t="shared" si="50"/>
        <v>27.143999999999998</v>
      </c>
      <c r="X118">
        <f t="shared" si="50"/>
        <v>27.443000000000001</v>
      </c>
      <c r="Y118">
        <f t="shared" si="50"/>
        <v>27.742000000000001</v>
      </c>
      <c r="Z118">
        <f t="shared" si="50"/>
        <v>28.041</v>
      </c>
      <c r="AA118">
        <f t="shared" si="50"/>
        <v>28.339802130898022</v>
      </c>
    </row>
    <row r="119" spans="1:27" x14ac:dyDescent="0.2">
      <c r="A119" t="s">
        <v>52</v>
      </c>
      <c r="B119">
        <f t="shared" si="51"/>
        <v>3</v>
      </c>
      <c r="C119" s="27" t="s">
        <v>262</v>
      </c>
      <c r="D119" s="27" t="s">
        <v>263</v>
      </c>
      <c r="E119" s="27" t="str">
        <f t="shared" si="49"/>
        <v>D1NG00X00</v>
      </c>
      <c r="F119">
        <f t="shared" si="53"/>
        <v>1.3</v>
      </c>
      <c r="G119">
        <f t="shared" si="52"/>
        <v>9.6201484018264836</v>
      </c>
      <c r="H119">
        <f t="shared" si="50"/>
        <v>9.8279109589041092</v>
      </c>
      <c r="I119">
        <f t="shared" si="50"/>
        <v>10.036085743277523</v>
      </c>
      <c r="J119">
        <f t="shared" si="50"/>
        <v>10.24384830035515</v>
      </c>
      <c r="K119">
        <f t="shared" si="50"/>
        <v>10.452023084728564</v>
      </c>
      <c r="L119">
        <f t="shared" si="50"/>
        <v>10.66019786910198</v>
      </c>
      <c r="M119">
        <f t="shared" si="50"/>
        <v>10.868</v>
      </c>
      <c r="N119">
        <f t="shared" si="50"/>
        <v>11.076000000000001</v>
      </c>
      <c r="O119">
        <f t="shared" si="50"/>
        <v>11.284000000000001</v>
      </c>
      <c r="P119">
        <f t="shared" si="50"/>
        <v>11.492000000000001</v>
      </c>
      <c r="Q119">
        <f t="shared" si="50"/>
        <v>11.699835109081684</v>
      </c>
      <c r="R119">
        <f t="shared" si="50"/>
        <v>11.986000000000001</v>
      </c>
      <c r="S119">
        <f t="shared" si="50"/>
        <v>12.272</v>
      </c>
      <c r="T119">
        <f t="shared" si="50"/>
        <v>12.558</v>
      </c>
      <c r="U119">
        <f t="shared" si="50"/>
        <v>12.844000000000001</v>
      </c>
      <c r="V119">
        <f t="shared" si="50"/>
        <v>13.129851598173516</v>
      </c>
      <c r="W119">
        <f t="shared" si="50"/>
        <v>13.416</v>
      </c>
      <c r="X119">
        <f t="shared" si="50"/>
        <v>13.702</v>
      </c>
      <c r="Y119">
        <f t="shared" si="50"/>
        <v>13.988</v>
      </c>
      <c r="Z119">
        <f t="shared" si="50"/>
        <v>14.274000000000001</v>
      </c>
      <c r="AA119">
        <f t="shared" si="50"/>
        <v>14.559868087265347</v>
      </c>
    </row>
    <row r="120" spans="1:27" x14ac:dyDescent="0.2">
      <c r="A120" t="s">
        <v>52</v>
      </c>
      <c r="B120">
        <f t="shared" si="51"/>
        <v>3</v>
      </c>
      <c r="C120" s="27" t="s">
        <v>264</v>
      </c>
      <c r="D120" s="27" t="s">
        <v>265</v>
      </c>
      <c r="E120" s="27" t="str">
        <f t="shared" si="49"/>
        <v>D1CO00X00</v>
      </c>
      <c r="F120">
        <f t="shared" si="53"/>
        <v>1.3</v>
      </c>
      <c r="G120">
        <f t="shared" si="52"/>
        <v>4.1601978691019781</v>
      </c>
      <c r="H120">
        <f t="shared" si="50"/>
        <v>4.1861681887366817</v>
      </c>
      <c r="I120">
        <f t="shared" si="50"/>
        <v>4.2121385083713854</v>
      </c>
      <c r="J120">
        <f t="shared" si="50"/>
        <v>4.2381088280060881</v>
      </c>
      <c r="K120">
        <f t="shared" si="50"/>
        <v>4.2640791476407909</v>
      </c>
      <c r="L120">
        <f t="shared" si="50"/>
        <v>4.2900494672754945</v>
      </c>
      <c r="M120">
        <f t="shared" si="50"/>
        <v>4.3159999999999998</v>
      </c>
      <c r="N120">
        <f t="shared" si="50"/>
        <v>4.3419999999999996</v>
      </c>
      <c r="O120">
        <f t="shared" si="50"/>
        <v>4.3680000000000003</v>
      </c>
      <c r="P120">
        <f t="shared" si="50"/>
        <v>4.3940000000000001</v>
      </c>
      <c r="Q120">
        <f t="shared" si="50"/>
        <v>4.4199010654490101</v>
      </c>
      <c r="R120">
        <f t="shared" si="50"/>
        <v>4.4590000000000005</v>
      </c>
      <c r="S120">
        <f t="shared" si="50"/>
        <v>4.4980000000000002</v>
      </c>
      <c r="T120">
        <f t="shared" si="50"/>
        <v>4.5370000000000008</v>
      </c>
      <c r="U120">
        <f t="shared" si="50"/>
        <v>4.5760000000000005</v>
      </c>
      <c r="V120">
        <f t="shared" si="50"/>
        <v>4.6148845763571789</v>
      </c>
      <c r="W120">
        <f t="shared" si="50"/>
        <v>4.6539999999999999</v>
      </c>
      <c r="X120">
        <f t="shared" si="50"/>
        <v>4.6929999999999996</v>
      </c>
      <c r="Y120">
        <f t="shared" si="50"/>
        <v>4.7320000000000002</v>
      </c>
      <c r="Z120">
        <f t="shared" si="50"/>
        <v>4.7709999999999999</v>
      </c>
      <c r="AA120">
        <f t="shared" si="50"/>
        <v>4.8098680872653476</v>
      </c>
    </row>
    <row r="121" spans="1:27" x14ac:dyDescent="0.2">
      <c r="A121" t="s">
        <v>52</v>
      </c>
      <c r="B121">
        <f t="shared" si="51"/>
        <v>3</v>
      </c>
      <c r="C121" s="27" t="s">
        <v>247</v>
      </c>
      <c r="D121" s="27" t="s">
        <v>266</v>
      </c>
      <c r="E121" s="27" t="str">
        <f t="shared" si="49"/>
        <v>D1PWRTRN</v>
      </c>
      <c r="F121">
        <f t="shared" si="53"/>
        <v>1.3</v>
      </c>
      <c r="G121">
        <f t="shared" si="52"/>
        <v>0</v>
      </c>
      <c r="H121">
        <f t="shared" si="50"/>
        <v>0</v>
      </c>
      <c r="I121">
        <f t="shared" si="50"/>
        <v>0</v>
      </c>
      <c r="J121">
        <f t="shared" si="50"/>
        <v>0</v>
      </c>
      <c r="K121">
        <f t="shared" si="50"/>
        <v>0</v>
      </c>
      <c r="L121">
        <f t="shared" si="50"/>
        <v>0</v>
      </c>
      <c r="M121">
        <f t="shared" si="50"/>
        <v>0</v>
      </c>
      <c r="N121">
        <f t="shared" si="50"/>
        <v>0</v>
      </c>
      <c r="O121">
        <f t="shared" si="50"/>
        <v>0</v>
      </c>
      <c r="P121">
        <f t="shared" si="50"/>
        <v>0</v>
      </c>
      <c r="Q121">
        <f t="shared" si="50"/>
        <v>0</v>
      </c>
      <c r="R121">
        <f t="shared" si="50"/>
        <v>0</v>
      </c>
      <c r="S121">
        <f t="shared" si="50"/>
        <v>0</v>
      </c>
      <c r="T121">
        <f t="shared" si="50"/>
        <v>0</v>
      </c>
      <c r="U121">
        <f t="shared" si="50"/>
        <v>0</v>
      </c>
      <c r="V121">
        <f t="shared" si="50"/>
        <v>0</v>
      </c>
      <c r="W121">
        <f t="shared" si="50"/>
        <v>0</v>
      </c>
      <c r="X121">
        <f t="shared" si="50"/>
        <v>0</v>
      </c>
      <c r="Y121">
        <f t="shared" si="50"/>
        <v>0</v>
      </c>
      <c r="Z121">
        <f t="shared" si="50"/>
        <v>0</v>
      </c>
      <c r="AA121">
        <f t="shared" si="50"/>
        <v>0</v>
      </c>
    </row>
    <row r="122" spans="1:27" x14ac:dyDescent="0.2">
      <c r="A122" t="s">
        <v>52</v>
      </c>
      <c r="B122">
        <f t="shared" si="51"/>
        <v>3</v>
      </c>
      <c r="C122" s="27" t="s">
        <v>267</v>
      </c>
      <c r="D122" s="27" t="s">
        <v>267</v>
      </c>
      <c r="E122" s="27" t="str">
        <f t="shared" si="49"/>
        <v>D1IMPELC</v>
      </c>
      <c r="F122">
        <f t="shared" si="53"/>
        <v>1.3</v>
      </c>
      <c r="G122">
        <f t="shared" si="52"/>
        <v>1298.7</v>
      </c>
      <c r="H122">
        <f t="shared" si="50"/>
        <v>1298.7</v>
      </c>
      <c r="I122">
        <f t="shared" si="50"/>
        <v>1298.7</v>
      </c>
      <c r="J122">
        <f t="shared" si="50"/>
        <v>1298.7</v>
      </c>
      <c r="K122">
        <f t="shared" si="50"/>
        <v>1298.7</v>
      </c>
      <c r="L122">
        <f t="shared" si="50"/>
        <v>1298.7</v>
      </c>
      <c r="M122">
        <f t="shared" si="50"/>
        <v>1298.7</v>
      </c>
      <c r="N122">
        <f t="shared" si="50"/>
        <v>1298.7</v>
      </c>
      <c r="O122">
        <f t="shared" si="50"/>
        <v>1298.7</v>
      </c>
      <c r="P122">
        <f t="shared" si="50"/>
        <v>1298.7</v>
      </c>
      <c r="Q122">
        <f t="shared" si="50"/>
        <v>1298.7</v>
      </c>
      <c r="R122">
        <f t="shared" si="50"/>
        <v>1298.7</v>
      </c>
      <c r="S122">
        <f t="shared" si="50"/>
        <v>1298.7</v>
      </c>
      <c r="T122">
        <f t="shared" si="50"/>
        <v>1298.7</v>
      </c>
      <c r="U122">
        <f t="shared" si="50"/>
        <v>1298.7</v>
      </c>
      <c r="V122">
        <f t="shared" si="50"/>
        <v>1298.7</v>
      </c>
      <c r="W122">
        <f t="shared" si="50"/>
        <v>1298.7</v>
      </c>
      <c r="X122">
        <f t="shared" si="50"/>
        <v>1298.7</v>
      </c>
      <c r="Y122">
        <f t="shared" si="50"/>
        <v>1298.7</v>
      </c>
      <c r="Z122">
        <f t="shared" si="50"/>
        <v>1298.7</v>
      </c>
      <c r="AA122">
        <f t="shared" si="50"/>
        <v>1298.7</v>
      </c>
    </row>
    <row r="124" spans="1:27" x14ac:dyDescent="0.2">
      <c r="A124" t="s">
        <v>79</v>
      </c>
      <c r="B124">
        <f>B$111</f>
        <v>3</v>
      </c>
      <c r="C124" s="27" t="s">
        <v>248</v>
      </c>
      <c r="D124" s="27" t="s">
        <v>249</v>
      </c>
      <c r="E124" s="27" t="str">
        <f t="shared" ref="E124:E134" si="54">A124&amp;D124</f>
        <v>D2BM00X00</v>
      </c>
      <c r="F124">
        <f>$F$112</f>
        <v>1.3</v>
      </c>
      <c r="G124">
        <f>G52*$F124/$F52</f>
        <v>0</v>
      </c>
      <c r="H124">
        <f t="shared" ref="H124:AA124" si="55">H52*$F124/$F52</f>
        <v>0</v>
      </c>
      <c r="I124">
        <f t="shared" si="55"/>
        <v>0</v>
      </c>
      <c r="J124">
        <f t="shared" si="55"/>
        <v>0</v>
      </c>
      <c r="K124">
        <f t="shared" si="55"/>
        <v>0</v>
      </c>
      <c r="L124">
        <f t="shared" si="55"/>
        <v>0</v>
      </c>
      <c r="M124">
        <f t="shared" si="55"/>
        <v>0</v>
      </c>
      <c r="N124">
        <f t="shared" si="55"/>
        <v>0</v>
      </c>
      <c r="O124">
        <f t="shared" si="55"/>
        <v>0</v>
      </c>
      <c r="P124">
        <f t="shared" si="55"/>
        <v>0</v>
      </c>
      <c r="Q124">
        <f t="shared" si="55"/>
        <v>0</v>
      </c>
      <c r="R124">
        <f t="shared" si="55"/>
        <v>0</v>
      </c>
      <c r="S124">
        <f t="shared" si="55"/>
        <v>0</v>
      </c>
      <c r="T124">
        <f t="shared" si="55"/>
        <v>0</v>
      </c>
      <c r="U124">
        <f t="shared" si="55"/>
        <v>0</v>
      </c>
      <c r="V124">
        <f t="shared" si="55"/>
        <v>0</v>
      </c>
      <c r="W124">
        <f t="shared" si="55"/>
        <v>0</v>
      </c>
      <c r="X124">
        <f t="shared" si="55"/>
        <v>0</v>
      </c>
      <c r="Y124">
        <f t="shared" si="55"/>
        <v>0</v>
      </c>
      <c r="Z124">
        <f t="shared" si="55"/>
        <v>0</v>
      </c>
      <c r="AA124">
        <f t="shared" si="55"/>
        <v>0</v>
      </c>
    </row>
    <row r="125" spans="1:27" x14ac:dyDescent="0.2">
      <c r="A125" t="s">
        <v>79</v>
      </c>
      <c r="B125">
        <f t="shared" ref="B125:B134" si="56">B$111</f>
        <v>3</v>
      </c>
      <c r="C125" s="27" t="s">
        <v>250</v>
      </c>
      <c r="D125" s="27" t="s">
        <v>251</v>
      </c>
      <c r="E125" s="27" t="str">
        <f t="shared" si="54"/>
        <v>D2BW00X00</v>
      </c>
      <c r="F125">
        <f>$F$112</f>
        <v>1.3</v>
      </c>
      <c r="G125">
        <f t="shared" ref="G125:AA125" si="57">G53*$F125/$F53</f>
        <v>13.39</v>
      </c>
      <c r="H125">
        <f t="shared" si="57"/>
        <v>13.39</v>
      </c>
      <c r="I125">
        <f t="shared" si="57"/>
        <v>13.39</v>
      </c>
      <c r="J125">
        <f t="shared" si="57"/>
        <v>13.39</v>
      </c>
      <c r="K125">
        <f t="shared" si="57"/>
        <v>13.39</v>
      </c>
      <c r="L125">
        <f t="shared" si="57"/>
        <v>13.39</v>
      </c>
      <c r="M125">
        <f t="shared" si="57"/>
        <v>13.39</v>
      </c>
      <c r="N125">
        <f t="shared" si="57"/>
        <v>13.39</v>
      </c>
      <c r="O125">
        <f t="shared" si="57"/>
        <v>13.39</v>
      </c>
      <c r="P125">
        <f t="shared" si="57"/>
        <v>13.39</v>
      </c>
      <c r="Q125">
        <f t="shared" si="57"/>
        <v>13.39</v>
      </c>
      <c r="R125">
        <f t="shared" si="57"/>
        <v>13.39</v>
      </c>
      <c r="S125">
        <f t="shared" si="57"/>
        <v>13.39</v>
      </c>
      <c r="T125">
        <f t="shared" si="57"/>
        <v>13.39</v>
      </c>
      <c r="U125">
        <f t="shared" si="57"/>
        <v>13.39</v>
      </c>
      <c r="V125">
        <f t="shared" si="57"/>
        <v>13.39</v>
      </c>
      <c r="W125">
        <f t="shared" si="57"/>
        <v>13.39</v>
      </c>
      <c r="X125">
        <f t="shared" si="57"/>
        <v>13.39</v>
      </c>
      <c r="Y125">
        <f t="shared" si="57"/>
        <v>13.39</v>
      </c>
      <c r="Z125">
        <f t="shared" si="57"/>
        <v>13.39</v>
      </c>
      <c r="AA125">
        <f t="shared" si="57"/>
        <v>13.39</v>
      </c>
    </row>
    <row r="126" spans="1:27" x14ac:dyDescent="0.2">
      <c r="A126" t="s">
        <v>79</v>
      </c>
      <c r="B126">
        <f t="shared" si="56"/>
        <v>3</v>
      </c>
      <c r="C126" s="28" t="s">
        <v>252</v>
      </c>
      <c r="D126" s="28" t="s">
        <v>253</v>
      </c>
      <c r="E126" s="27" t="str">
        <f t="shared" si="54"/>
        <v>D2HY00X00</v>
      </c>
      <c r="F126">
        <v>1</v>
      </c>
      <c r="G126">
        <f t="shared" ref="G126:AA126" si="58">G54*$F126/$F54</f>
        <v>1E-3</v>
      </c>
      <c r="H126">
        <f t="shared" si="58"/>
        <v>1E-3</v>
      </c>
      <c r="I126">
        <f t="shared" si="58"/>
        <v>1E-3</v>
      </c>
      <c r="J126">
        <f t="shared" si="58"/>
        <v>1E-3</v>
      </c>
      <c r="K126">
        <f t="shared" si="58"/>
        <v>1E-3</v>
      </c>
      <c r="L126">
        <f t="shared" si="58"/>
        <v>1E-3</v>
      </c>
      <c r="M126">
        <f t="shared" si="58"/>
        <v>1E-3</v>
      </c>
      <c r="N126">
        <f t="shared" si="58"/>
        <v>1E-3</v>
      </c>
      <c r="O126">
        <f t="shared" si="58"/>
        <v>1E-3</v>
      </c>
      <c r="P126">
        <f t="shared" si="58"/>
        <v>1E-3</v>
      </c>
      <c r="Q126">
        <f t="shared" si="58"/>
        <v>1E-3</v>
      </c>
      <c r="R126">
        <f t="shared" si="58"/>
        <v>1E-3</v>
      </c>
      <c r="S126">
        <f t="shared" si="58"/>
        <v>1E-3</v>
      </c>
      <c r="T126">
        <f t="shared" si="58"/>
        <v>1E-3</v>
      </c>
      <c r="U126">
        <f t="shared" si="58"/>
        <v>1E-3</v>
      </c>
      <c r="V126">
        <f t="shared" si="58"/>
        <v>1E-3</v>
      </c>
      <c r="W126">
        <f t="shared" si="58"/>
        <v>1E-3</v>
      </c>
      <c r="X126">
        <f t="shared" si="58"/>
        <v>1E-3</v>
      </c>
      <c r="Y126">
        <f t="shared" si="58"/>
        <v>1E-3</v>
      </c>
      <c r="Z126">
        <f t="shared" si="58"/>
        <v>1E-3</v>
      </c>
      <c r="AA126">
        <f t="shared" si="58"/>
        <v>1E-3</v>
      </c>
    </row>
    <row r="127" spans="1:27" x14ac:dyDescent="0.2">
      <c r="A127" t="s">
        <v>79</v>
      </c>
      <c r="B127">
        <f t="shared" si="56"/>
        <v>3</v>
      </c>
      <c r="C127" s="29" t="s">
        <v>254</v>
      </c>
      <c r="D127" s="29" t="s">
        <v>255</v>
      </c>
      <c r="E127" s="27" t="str">
        <f t="shared" si="54"/>
        <v>D2SO00X00</v>
      </c>
      <c r="F127">
        <v>1</v>
      </c>
      <c r="G127">
        <f t="shared" ref="G127:AA127" si="59">G55*$F127/$F55</f>
        <v>1E-3</v>
      </c>
      <c r="H127">
        <f t="shared" si="59"/>
        <v>1E-3</v>
      </c>
      <c r="I127">
        <f t="shared" si="59"/>
        <v>1E-3</v>
      </c>
      <c r="J127">
        <f t="shared" si="59"/>
        <v>1E-3</v>
      </c>
      <c r="K127">
        <f t="shared" si="59"/>
        <v>1E-3</v>
      </c>
      <c r="L127">
        <f t="shared" si="59"/>
        <v>1E-3</v>
      </c>
      <c r="M127">
        <f t="shared" si="59"/>
        <v>1E-3</v>
      </c>
      <c r="N127">
        <f t="shared" si="59"/>
        <v>1E-3</v>
      </c>
      <c r="O127">
        <f t="shared" si="59"/>
        <v>1E-3</v>
      </c>
      <c r="P127">
        <f t="shared" si="59"/>
        <v>1E-3</v>
      </c>
      <c r="Q127">
        <f t="shared" si="59"/>
        <v>1E-3</v>
      </c>
      <c r="R127">
        <f t="shared" si="59"/>
        <v>1E-3</v>
      </c>
      <c r="S127">
        <f t="shared" si="59"/>
        <v>1E-3</v>
      </c>
      <c r="T127">
        <f t="shared" si="59"/>
        <v>1E-3</v>
      </c>
      <c r="U127">
        <f t="shared" si="59"/>
        <v>1E-3</v>
      </c>
      <c r="V127">
        <f t="shared" si="59"/>
        <v>1E-3</v>
      </c>
      <c r="W127">
        <f t="shared" si="59"/>
        <v>1E-3</v>
      </c>
      <c r="X127">
        <f t="shared" si="59"/>
        <v>1E-3</v>
      </c>
      <c r="Y127">
        <f t="shared" si="59"/>
        <v>1E-3</v>
      </c>
      <c r="Z127">
        <f t="shared" si="59"/>
        <v>1E-3</v>
      </c>
      <c r="AA127">
        <f t="shared" si="59"/>
        <v>1E-3</v>
      </c>
    </row>
    <row r="128" spans="1:27" x14ac:dyDescent="0.2">
      <c r="A128" t="s">
        <v>79</v>
      </c>
      <c r="B128">
        <f t="shared" si="56"/>
        <v>3</v>
      </c>
      <c r="C128" s="30" t="s">
        <v>256</v>
      </c>
      <c r="D128" s="30" t="s">
        <v>257</v>
      </c>
      <c r="E128" s="27" t="str">
        <f t="shared" si="54"/>
        <v>D2WD00X00</v>
      </c>
      <c r="F128">
        <v>1</v>
      </c>
      <c r="G128">
        <f t="shared" ref="G128:AA128" si="60">G56*$F128/$F56</f>
        <v>1E-3</v>
      </c>
      <c r="H128">
        <f t="shared" si="60"/>
        <v>1E-3</v>
      </c>
      <c r="I128">
        <f t="shared" si="60"/>
        <v>1E-3</v>
      </c>
      <c r="J128">
        <f t="shared" si="60"/>
        <v>1E-3</v>
      </c>
      <c r="K128">
        <f t="shared" si="60"/>
        <v>1E-3</v>
      </c>
      <c r="L128">
        <f t="shared" si="60"/>
        <v>1E-3</v>
      </c>
      <c r="M128">
        <f t="shared" si="60"/>
        <v>1E-3</v>
      </c>
      <c r="N128">
        <f t="shared" si="60"/>
        <v>1E-3</v>
      </c>
      <c r="O128">
        <f t="shared" si="60"/>
        <v>1E-3</v>
      </c>
      <c r="P128">
        <f t="shared" si="60"/>
        <v>1E-3</v>
      </c>
      <c r="Q128">
        <f t="shared" si="60"/>
        <v>1E-3</v>
      </c>
      <c r="R128">
        <f t="shared" si="60"/>
        <v>1E-3</v>
      </c>
      <c r="S128">
        <f t="shared" si="60"/>
        <v>1E-3</v>
      </c>
      <c r="T128">
        <f t="shared" si="60"/>
        <v>1E-3</v>
      </c>
      <c r="U128">
        <f t="shared" si="60"/>
        <v>1E-3</v>
      </c>
      <c r="V128">
        <f t="shared" si="60"/>
        <v>1E-3</v>
      </c>
      <c r="W128">
        <f t="shared" si="60"/>
        <v>1E-3</v>
      </c>
      <c r="X128">
        <f t="shared" si="60"/>
        <v>1E-3</v>
      </c>
      <c r="Y128">
        <f t="shared" si="60"/>
        <v>1E-3</v>
      </c>
      <c r="Z128">
        <f t="shared" si="60"/>
        <v>1E-3</v>
      </c>
      <c r="AA128">
        <f t="shared" si="60"/>
        <v>1E-3</v>
      </c>
    </row>
    <row r="129" spans="1:27" x14ac:dyDescent="0.2">
      <c r="A129" t="s">
        <v>79</v>
      </c>
      <c r="B129">
        <f t="shared" si="56"/>
        <v>3</v>
      </c>
      <c r="C129" s="27" t="s">
        <v>258</v>
      </c>
      <c r="D129" s="27" t="s">
        <v>259</v>
      </c>
      <c r="E129" s="27" t="str">
        <f t="shared" si="54"/>
        <v>D2HF00I00</v>
      </c>
      <c r="F129">
        <f t="shared" ref="F129:F134" si="61">$F$112</f>
        <v>1.3</v>
      </c>
      <c r="G129">
        <f t="shared" ref="G129:AA129" si="62">G57*$F129/$F57</f>
        <v>12.08980213089802</v>
      </c>
      <c r="H129">
        <f t="shared" si="62"/>
        <v>12.610032978183662</v>
      </c>
      <c r="I129">
        <f t="shared" si="62"/>
        <v>13.129851598173516</v>
      </c>
      <c r="J129">
        <f t="shared" si="62"/>
        <v>13.650082445459157</v>
      </c>
      <c r="K129">
        <f t="shared" si="62"/>
        <v>14.169901065449011</v>
      </c>
      <c r="L129">
        <f t="shared" si="62"/>
        <v>14.690131912734651</v>
      </c>
      <c r="M129">
        <f t="shared" si="62"/>
        <v>15.209999999999999</v>
      </c>
      <c r="N129">
        <f t="shared" si="62"/>
        <v>15.73</v>
      </c>
      <c r="O129">
        <f t="shared" si="62"/>
        <v>16.25</v>
      </c>
      <c r="P129">
        <f t="shared" si="62"/>
        <v>16.77</v>
      </c>
      <c r="Q129">
        <f t="shared" si="62"/>
        <v>17.290049467275495</v>
      </c>
      <c r="R129">
        <f t="shared" si="62"/>
        <v>17.498000000000001</v>
      </c>
      <c r="S129">
        <f t="shared" si="62"/>
        <v>17.706</v>
      </c>
      <c r="T129">
        <f t="shared" si="62"/>
        <v>17.914000000000001</v>
      </c>
      <c r="U129">
        <f t="shared" si="62"/>
        <v>18.122</v>
      </c>
      <c r="V129">
        <f t="shared" si="62"/>
        <v>18.330098934550989</v>
      </c>
      <c r="W129">
        <f t="shared" si="62"/>
        <v>18.538</v>
      </c>
      <c r="X129">
        <f t="shared" si="62"/>
        <v>18.746000000000002</v>
      </c>
      <c r="Y129">
        <f t="shared" si="62"/>
        <v>18.954000000000001</v>
      </c>
      <c r="Z129">
        <f t="shared" si="62"/>
        <v>19.162000000000003</v>
      </c>
      <c r="AA129">
        <f t="shared" si="62"/>
        <v>19.370148401826484</v>
      </c>
    </row>
    <row r="130" spans="1:27" x14ac:dyDescent="0.2">
      <c r="A130" t="s">
        <v>79</v>
      </c>
      <c r="B130">
        <f t="shared" si="56"/>
        <v>3</v>
      </c>
      <c r="C130" s="27" t="s">
        <v>260</v>
      </c>
      <c r="D130" s="27" t="s">
        <v>261</v>
      </c>
      <c r="E130" s="27" t="str">
        <f t="shared" si="54"/>
        <v>D2DS00I00</v>
      </c>
      <c r="F130">
        <f t="shared" si="61"/>
        <v>1.3</v>
      </c>
      <c r="G130">
        <f t="shared" ref="G130:AA130" si="63">G58*$F130/$F58</f>
        <v>17.723300355149672</v>
      </c>
      <c r="H130">
        <f t="shared" si="63"/>
        <v>18.485920852359207</v>
      </c>
      <c r="I130">
        <f t="shared" si="63"/>
        <v>19.248541349568747</v>
      </c>
      <c r="J130">
        <f t="shared" si="63"/>
        <v>20.011161846778286</v>
      </c>
      <c r="K130">
        <f t="shared" si="63"/>
        <v>20.774194571283612</v>
      </c>
      <c r="L130">
        <f t="shared" si="63"/>
        <v>21.536815068493155</v>
      </c>
      <c r="M130">
        <f t="shared" si="63"/>
        <v>22.294999999999998</v>
      </c>
      <c r="N130">
        <f t="shared" si="63"/>
        <v>23.061999999999998</v>
      </c>
      <c r="O130">
        <f t="shared" si="63"/>
        <v>23.828999999999997</v>
      </c>
      <c r="P130">
        <f t="shared" si="63"/>
        <v>24.596000000000004</v>
      </c>
      <c r="Q130">
        <f t="shared" si="63"/>
        <v>25.349917554540845</v>
      </c>
      <c r="R130">
        <f t="shared" si="63"/>
        <v>25.649000000000001</v>
      </c>
      <c r="S130">
        <f t="shared" si="63"/>
        <v>25.948</v>
      </c>
      <c r="T130">
        <f t="shared" si="63"/>
        <v>26.247000000000003</v>
      </c>
      <c r="U130">
        <f t="shared" si="63"/>
        <v>26.546000000000003</v>
      </c>
      <c r="V130">
        <f t="shared" si="63"/>
        <v>26.845065956367328</v>
      </c>
      <c r="W130">
        <f t="shared" si="63"/>
        <v>27.143999999999998</v>
      </c>
      <c r="X130">
        <f t="shared" si="63"/>
        <v>27.443000000000001</v>
      </c>
      <c r="Y130">
        <f t="shared" si="63"/>
        <v>27.742000000000001</v>
      </c>
      <c r="Z130">
        <f t="shared" si="63"/>
        <v>28.041</v>
      </c>
      <c r="AA130">
        <f t="shared" si="63"/>
        <v>28.339802130898022</v>
      </c>
    </row>
    <row r="131" spans="1:27" x14ac:dyDescent="0.2">
      <c r="A131" t="s">
        <v>79</v>
      </c>
      <c r="B131">
        <f t="shared" si="56"/>
        <v>3</v>
      </c>
      <c r="C131" s="27" t="s">
        <v>262</v>
      </c>
      <c r="D131" s="27" t="s">
        <v>263</v>
      </c>
      <c r="E131" s="27" t="str">
        <f t="shared" si="54"/>
        <v>D2NG00X00</v>
      </c>
      <c r="F131">
        <f t="shared" si="61"/>
        <v>1.3</v>
      </c>
      <c r="G131">
        <f t="shared" ref="G131:AA131" si="64">G59*$F131/$F59</f>
        <v>9.6201484018264836</v>
      </c>
      <c r="H131">
        <f t="shared" si="64"/>
        <v>9.8279109589041092</v>
      </c>
      <c r="I131">
        <f t="shared" si="64"/>
        <v>10.036085743277523</v>
      </c>
      <c r="J131">
        <f t="shared" si="64"/>
        <v>10.24384830035515</v>
      </c>
      <c r="K131">
        <f t="shared" si="64"/>
        <v>10.452023084728564</v>
      </c>
      <c r="L131">
        <f t="shared" si="64"/>
        <v>10.66019786910198</v>
      </c>
      <c r="M131">
        <f t="shared" si="64"/>
        <v>10.868</v>
      </c>
      <c r="N131">
        <f t="shared" si="64"/>
        <v>11.076000000000001</v>
      </c>
      <c r="O131">
        <f t="shared" si="64"/>
        <v>11.284000000000001</v>
      </c>
      <c r="P131">
        <f t="shared" si="64"/>
        <v>11.492000000000001</v>
      </c>
      <c r="Q131">
        <f t="shared" si="64"/>
        <v>11.699835109081684</v>
      </c>
      <c r="R131">
        <f t="shared" si="64"/>
        <v>11.986000000000001</v>
      </c>
      <c r="S131">
        <f t="shared" si="64"/>
        <v>12.272</v>
      </c>
      <c r="T131">
        <f t="shared" si="64"/>
        <v>12.558</v>
      </c>
      <c r="U131">
        <f t="shared" si="64"/>
        <v>12.844000000000001</v>
      </c>
      <c r="V131">
        <f t="shared" si="64"/>
        <v>13.129851598173516</v>
      </c>
      <c r="W131">
        <f t="shared" si="64"/>
        <v>13.416</v>
      </c>
      <c r="X131">
        <f t="shared" si="64"/>
        <v>13.702</v>
      </c>
      <c r="Y131">
        <f t="shared" si="64"/>
        <v>13.988</v>
      </c>
      <c r="Z131">
        <f t="shared" si="64"/>
        <v>14.274000000000001</v>
      </c>
      <c r="AA131">
        <f t="shared" si="64"/>
        <v>14.559868087265347</v>
      </c>
    </row>
    <row r="132" spans="1:27" x14ac:dyDescent="0.2">
      <c r="A132" t="s">
        <v>79</v>
      </c>
      <c r="B132">
        <f t="shared" si="56"/>
        <v>3</v>
      </c>
      <c r="C132" s="27" t="s">
        <v>264</v>
      </c>
      <c r="D132" s="27" t="s">
        <v>265</v>
      </c>
      <c r="E132" s="27" t="str">
        <f t="shared" si="54"/>
        <v>D2CO00X00</v>
      </c>
      <c r="F132">
        <f t="shared" si="61"/>
        <v>1.3</v>
      </c>
      <c r="G132">
        <f t="shared" ref="G132:AA132" si="65">G60*$F132/$F60</f>
        <v>4.1601978691019781</v>
      </c>
      <c r="H132">
        <f t="shared" si="65"/>
        <v>4.1861681887366817</v>
      </c>
      <c r="I132">
        <f t="shared" si="65"/>
        <v>4.2121385083713854</v>
      </c>
      <c r="J132">
        <f t="shared" si="65"/>
        <v>4.2381088280060881</v>
      </c>
      <c r="K132">
        <f t="shared" si="65"/>
        <v>4.2640791476407909</v>
      </c>
      <c r="L132">
        <f t="shared" si="65"/>
        <v>4.2900494672754945</v>
      </c>
      <c r="M132">
        <f t="shared" si="65"/>
        <v>4.3159999999999998</v>
      </c>
      <c r="N132">
        <f t="shared" si="65"/>
        <v>4.3419999999999996</v>
      </c>
      <c r="O132">
        <f t="shared" si="65"/>
        <v>4.3680000000000003</v>
      </c>
      <c r="P132">
        <f t="shared" si="65"/>
        <v>4.3940000000000001</v>
      </c>
      <c r="Q132">
        <f t="shared" si="65"/>
        <v>4.4199010654490101</v>
      </c>
      <c r="R132">
        <f t="shared" si="65"/>
        <v>4.4590000000000005</v>
      </c>
      <c r="S132">
        <f t="shared" si="65"/>
        <v>4.4980000000000002</v>
      </c>
      <c r="T132">
        <f t="shared" si="65"/>
        <v>4.5370000000000008</v>
      </c>
      <c r="U132">
        <f t="shared" si="65"/>
        <v>4.5760000000000005</v>
      </c>
      <c r="V132">
        <f t="shared" si="65"/>
        <v>4.6148845763571789</v>
      </c>
      <c r="W132">
        <f t="shared" si="65"/>
        <v>4.6539999999999999</v>
      </c>
      <c r="X132">
        <f t="shared" si="65"/>
        <v>4.6929999999999996</v>
      </c>
      <c r="Y132">
        <f t="shared" si="65"/>
        <v>4.7320000000000002</v>
      </c>
      <c r="Z132">
        <f t="shared" si="65"/>
        <v>4.7709999999999999</v>
      </c>
      <c r="AA132">
        <f t="shared" si="65"/>
        <v>4.8098680872653476</v>
      </c>
    </row>
    <row r="133" spans="1:27" x14ac:dyDescent="0.2">
      <c r="A133" t="s">
        <v>79</v>
      </c>
      <c r="B133">
        <f t="shared" si="56"/>
        <v>3</v>
      </c>
      <c r="C133" s="27" t="s">
        <v>247</v>
      </c>
      <c r="D133" s="27" t="s">
        <v>266</v>
      </c>
      <c r="E133" s="27" t="str">
        <f t="shared" si="54"/>
        <v>D2PWRTRN</v>
      </c>
      <c r="F133">
        <f t="shared" si="61"/>
        <v>1.3</v>
      </c>
      <c r="G133">
        <f t="shared" ref="G133:AA133" si="66">G61*$F133/$F61</f>
        <v>0</v>
      </c>
      <c r="H133">
        <f t="shared" si="66"/>
        <v>0</v>
      </c>
      <c r="I133">
        <f t="shared" si="66"/>
        <v>0</v>
      </c>
      <c r="J133">
        <f t="shared" si="66"/>
        <v>0</v>
      </c>
      <c r="K133">
        <f t="shared" si="66"/>
        <v>0</v>
      </c>
      <c r="L133">
        <f t="shared" si="66"/>
        <v>0</v>
      </c>
      <c r="M133">
        <f t="shared" si="66"/>
        <v>0</v>
      </c>
      <c r="N133">
        <f t="shared" si="66"/>
        <v>0</v>
      </c>
      <c r="O133">
        <f t="shared" si="66"/>
        <v>0</v>
      </c>
      <c r="P133">
        <f t="shared" si="66"/>
        <v>0</v>
      </c>
      <c r="Q133">
        <f t="shared" si="66"/>
        <v>0</v>
      </c>
      <c r="R133">
        <f t="shared" si="66"/>
        <v>0</v>
      </c>
      <c r="S133">
        <f t="shared" si="66"/>
        <v>0</v>
      </c>
      <c r="T133">
        <f t="shared" si="66"/>
        <v>0</v>
      </c>
      <c r="U133">
        <f t="shared" si="66"/>
        <v>0</v>
      </c>
      <c r="V133">
        <f t="shared" si="66"/>
        <v>0</v>
      </c>
      <c r="W133">
        <f t="shared" si="66"/>
        <v>0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</row>
    <row r="134" spans="1:27" x14ac:dyDescent="0.2">
      <c r="A134" t="s">
        <v>79</v>
      </c>
      <c r="B134">
        <f t="shared" si="56"/>
        <v>3</v>
      </c>
      <c r="C134" s="27" t="s">
        <v>267</v>
      </c>
      <c r="D134" s="27" t="s">
        <v>267</v>
      </c>
      <c r="E134" s="27" t="str">
        <f t="shared" si="54"/>
        <v>D2IMPELC</v>
      </c>
      <c r="F134">
        <f t="shared" si="61"/>
        <v>1.3</v>
      </c>
      <c r="G134">
        <f t="shared" ref="G134:AA134" si="67">G62*$F134/$F62</f>
        <v>1298.7</v>
      </c>
      <c r="H134">
        <f t="shared" si="67"/>
        <v>1298.7</v>
      </c>
      <c r="I134">
        <f t="shared" si="67"/>
        <v>1298.7</v>
      </c>
      <c r="J134">
        <f t="shared" si="67"/>
        <v>1298.7</v>
      </c>
      <c r="K134">
        <f t="shared" si="67"/>
        <v>1298.7</v>
      </c>
      <c r="L134">
        <f t="shared" si="67"/>
        <v>1298.7</v>
      </c>
      <c r="M134">
        <f t="shared" si="67"/>
        <v>1298.7</v>
      </c>
      <c r="N134">
        <f t="shared" si="67"/>
        <v>1298.7</v>
      </c>
      <c r="O134">
        <f t="shared" si="67"/>
        <v>1298.7</v>
      </c>
      <c r="P134">
        <f t="shared" si="67"/>
        <v>1298.7</v>
      </c>
      <c r="Q134">
        <f t="shared" si="67"/>
        <v>1298.7</v>
      </c>
      <c r="R134">
        <f t="shared" si="67"/>
        <v>1298.7</v>
      </c>
      <c r="S134">
        <f t="shared" si="67"/>
        <v>1298.7</v>
      </c>
      <c r="T134">
        <f t="shared" si="67"/>
        <v>1298.7</v>
      </c>
      <c r="U134">
        <f t="shared" si="67"/>
        <v>1298.7</v>
      </c>
      <c r="V134">
        <f t="shared" si="67"/>
        <v>1298.7</v>
      </c>
      <c r="W134">
        <f t="shared" si="67"/>
        <v>1298.7</v>
      </c>
      <c r="X134">
        <f t="shared" si="67"/>
        <v>1298.7</v>
      </c>
      <c r="Y134">
        <f t="shared" si="67"/>
        <v>1298.7</v>
      </c>
      <c r="Z134">
        <f t="shared" si="67"/>
        <v>1298.7</v>
      </c>
      <c r="AA134">
        <f t="shared" si="67"/>
        <v>1298.7</v>
      </c>
    </row>
    <row r="136" spans="1:27" x14ac:dyDescent="0.2">
      <c r="A136" t="s">
        <v>84</v>
      </c>
      <c r="B136">
        <f>B$111</f>
        <v>3</v>
      </c>
      <c r="C136" s="27" t="s">
        <v>248</v>
      </c>
      <c r="D136" s="27" t="s">
        <v>249</v>
      </c>
      <c r="E136" s="27" t="str">
        <f t="shared" ref="E136:E146" si="68">A136&amp;D136</f>
        <v>D3BM00X00</v>
      </c>
      <c r="F136">
        <f>$F$112</f>
        <v>1.3</v>
      </c>
      <c r="G136">
        <f>G64*$F136/$F64</f>
        <v>0</v>
      </c>
      <c r="H136">
        <f t="shared" ref="H136:AA136" si="69">H64*$F136/$F64</f>
        <v>0</v>
      </c>
      <c r="I136">
        <f t="shared" si="69"/>
        <v>0</v>
      </c>
      <c r="J136">
        <f t="shared" si="69"/>
        <v>0</v>
      </c>
      <c r="K136">
        <f t="shared" si="69"/>
        <v>0</v>
      </c>
      <c r="L136">
        <f t="shared" si="69"/>
        <v>0</v>
      </c>
      <c r="M136">
        <f t="shared" si="69"/>
        <v>0</v>
      </c>
      <c r="N136">
        <f t="shared" si="69"/>
        <v>0</v>
      </c>
      <c r="O136">
        <f t="shared" si="69"/>
        <v>0</v>
      </c>
      <c r="P136">
        <f t="shared" si="69"/>
        <v>0</v>
      </c>
      <c r="Q136">
        <f t="shared" si="69"/>
        <v>0</v>
      </c>
      <c r="R136">
        <f t="shared" si="69"/>
        <v>0</v>
      </c>
      <c r="S136">
        <f t="shared" si="69"/>
        <v>0</v>
      </c>
      <c r="T136">
        <f t="shared" si="69"/>
        <v>0</v>
      </c>
      <c r="U136">
        <f t="shared" si="69"/>
        <v>0</v>
      </c>
      <c r="V136">
        <f t="shared" si="69"/>
        <v>0</v>
      </c>
      <c r="W136">
        <f t="shared" si="69"/>
        <v>0</v>
      </c>
      <c r="X136">
        <f t="shared" si="69"/>
        <v>0</v>
      </c>
      <c r="Y136">
        <f t="shared" si="69"/>
        <v>0</v>
      </c>
      <c r="Z136">
        <f t="shared" si="69"/>
        <v>0</v>
      </c>
      <c r="AA136">
        <f t="shared" si="69"/>
        <v>0</v>
      </c>
    </row>
    <row r="137" spans="1:27" x14ac:dyDescent="0.2">
      <c r="A137" t="s">
        <v>84</v>
      </c>
      <c r="B137">
        <f t="shared" ref="B137:B146" si="70">B$111</f>
        <v>3</v>
      </c>
      <c r="C137" s="27" t="s">
        <v>250</v>
      </c>
      <c r="D137" s="27" t="s">
        <v>251</v>
      </c>
      <c r="E137" s="27" t="str">
        <f t="shared" si="68"/>
        <v>D3BW00X00</v>
      </c>
      <c r="F137">
        <f>$F$112</f>
        <v>1.3</v>
      </c>
      <c r="G137">
        <f t="shared" ref="G137:AA137" si="71">G65*$F137/$F65</f>
        <v>13.39</v>
      </c>
      <c r="H137">
        <f t="shared" si="71"/>
        <v>13.39</v>
      </c>
      <c r="I137">
        <f t="shared" si="71"/>
        <v>13.39</v>
      </c>
      <c r="J137">
        <f t="shared" si="71"/>
        <v>13.39</v>
      </c>
      <c r="K137">
        <f t="shared" si="71"/>
        <v>13.39</v>
      </c>
      <c r="L137">
        <f t="shared" si="71"/>
        <v>13.39</v>
      </c>
      <c r="M137">
        <f t="shared" si="71"/>
        <v>13.39</v>
      </c>
      <c r="N137">
        <f t="shared" si="71"/>
        <v>13.39</v>
      </c>
      <c r="O137">
        <f t="shared" si="71"/>
        <v>13.39</v>
      </c>
      <c r="P137">
        <f t="shared" si="71"/>
        <v>13.39</v>
      </c>
      <c r="Q137">
        <f t="shared" si="71"/>
        <v>13.39</v>
      </c>
      <c r="R137">
        <f t="shared" si="71"/>
        <v>13.39</v>
      </c>
      <c r="S137">
        <f t="shared" si="71"/>
        <v>13.39</v>
      </c>
      <c r="T137">
        <f t="shared" si="71"/>
        <v>13.39</v>
      </c>
      <c r="U137">
        <f t="shared" si="71"/>
        <v>13.39</v>
      </c>
      <c r="V137">
        <f t="shared" si="71"/>
        <v>13.39</v>
      </c>
      <c r="W137">
        <f t="shared" si="71"/>
        <v>13.39</v>
      </c>
      <c r="X137">
        <f t="shared" si="71"/>
        <v>13.39</v>
      </c>
      <c r="Y137">
        <f t="shared" si="71"/>
        <v>13.39</v>
      </c>
      <c r="Z137">
        <f t="shared" si="71"/>
        <v>13.39</v>
      </c>
      <c r="AA137">
        <f t="shared" si="71"/>
        <v>13.39</v>
      </c>
    </row>
    <row r="138" spans="1:27" x14ac:dyDescent="0.2">
      <c r="A138" t="s">
        <v>84</v>
      </c>
      <c r="B138">
        <f t="shared" si="70"/>
        <v>3</v>
      </c>
      <c r="C138" s="28" t="s">
        <v>252</v>
      </c>
      <c r="D138" s="28" t="s">
        <v>253</v>
      </c>
      <c r="E138" s="27" t="str">
        <f t="shared" si="68"/>
        <v>D3HY00X00</v>
      </c>
      <c r="F138">
        <v>1</v>
      </c>
      <c r="G138">
        <f t="shared" ref="G138:AA138" si="72">G66*$F138/$F66</f>
        <v>1E-3</v>
      </c>
      <c r="H138">
        <f t="shared" si="72"/>
        <v>1E-3</v>
      </c>
      <c r="I138">
        <f t="shared" si="72"/>
        <v>1E-3</v>
      </c>
      <c r="J138">
        <f t="shared" si="72"/>
        <v>1E-3</v>
      </c>
      <c r="K138">
        <f t="shared" si="72"/>
        <v>1E-3</v>
      </c>
      <c r="L138">
        <f t="shared" si="72"/>
        <v>1E-3</v>
      </c>
      <c r="M138">
        <f t="shared" si="72"/>
        <v>1E-3</v>
      </c>
      <c r="N138">
        <f t="shared" si="72"/>
        <v>1E-3</v>
      </c>
      <c r="O138">
        <f t="shared" si="72"/>
        <v>1E-3</v>
      </c>
      <c r="P138">
        <f t="shared" si="72"/>
        <v>1E-3</v>
      </c>
      <c r="Q138">
        <f t="shared" si="72"/>
        <v>1E-3</v>
      </c>
      <c r="R138">
        <f t="shared" si="72"/>
        <v>1E-3</v>
      </c>
      <c r="S138">
        <f t="shared" si="72"/>
        <v>1E-3</v>
      </c>
      <c r="T138">
        <f t="shared" si="72"/>
        <v>1E-3</v>
      </c>
      <c r="U138">
        <f t="shared" si="72"/>
        <v>1E-3</v>
      </c>
      <c r="V138">
        <f t="shared" si="72"/>
        <v>1E-3</v>
      </c>
      <c r="W138">
        <f t="shared" si="72"/>
        <v>1E-3</v>
      </c>
      <c r="X138">
        <f t="shared" si="72"/>
        <v>1E-3</v>
      </c>
      <c r="Y138">
        <f t="shared" si="72"/>
        <v>1E-3</v>
      </c>
      <c r="Z138">
        <f t="shared" si="72"/>
        <v>1E-3</v>
      </c>
      <c r="AA138">
        <f t="shared" si="72"/>
        <v>1E-3</v>
      </c>
    </row>
    <row r="139" spans="1:27" x14ac:dyDescent="0.2">
      <c r="A139" t="s">
        <v>84</v>
      </c>
      <c r="B139">
        <f t="shared" si="70"/>
        <v>3</v>
      </c>
      <c r="C139" s="29" t="s">
        <v>254</v>
      </c>
      <c r="D139" s="29" t="s">
        <v>255</v>
      </c>
      <c r="E139" s="27" t="str">
        <f t="shared" si="68"/>
        <v>D3SO00X00</v>
      </c>
      <c r="F139">
        <v>1</v>
      </c>
      <c r="G139">
        <f t="shared" ref="G139:AA139" si="73">G67*$F139/$F67</f>
        <v>1E-3</v>
      </c>
      <c r="H139">
        <f t="shared" si="73"/>
        <v>1E-3</v>
      </c>
      <c r="I139">
        <f t="shared" si="73"/>
        <v>1E-3</v>
      </c>
      <c r="J139">
        <f t="shared" si="73"/>
        <v>1E-3</v>
      </c>
      <c r="K139">
        <f t="shared" si="73"/>
        <v>1E-3</v>
      </c>
      <c r="L139">
        <f t="shared" si="73"/>
        <v>1E-3</v>
      </c>
      <c r="M139">
        <f t="shared" si="73"/>
        <v>1E-3</v>
      </c>
      <c r="N139">
        <f t="shared" si="73"/>
        <v>1E-3</v>
      </c>
      <c r="O139">
        <f t="shared" si="73"/>
        <v>1E-3</v>
      </c>
      <c r="P139">
        <f t="shared" si="73"/>
        <v>1E-3</v>
      </c>
      <c r="Q139">
        <f t="shared" si="73"/>
        <v>1E-3</v>
      </c>
      <c r="R139">
        <f t="shared" si="73"/>
        <v>1E-3</v>
      </c>
      <c r="S139">
        <f t="shared" si="73"/>
        <v>1E-3</v>
      </c>
      <c r="T139">
        <f t="shared" si="73"/>
        <v>1E-3</v>
      </c>
      <c r="U139">
        <f t="shared" si="73"/>
        <v>1E-3</v>
      </c>
      <c r="V139">
        <f t="shared" si="73"/>
        <v>1E-3</v>
      </c>
      <c r="W139">
        <f t="shared" si="73"/>
        <v>1E-3</v>
      </c>
      <c r="X139">
        <f t="shared" si="73"/>
        <v>1E-3</v>
      </c>
      <c r="Y139">
        <f t="shared" si="73"/>
        <v>1E-3</v>
      </c>
      <c r="Z139">
        <f t="shared" si="73"/>
        <v>1E-3</v>
      </c>
      <c r="AA139">
        <f t="shared" si="73"/>
        <v>1E-3</v>
      </c>
    </row>
    <row r="140" spans="1:27" x14ac:dyDescent="0.2">
      <c r="A140" t="s">
        <v>84</v>
      </c>
      <c r="B140">
        <f t="shared" si="70"/>
        <v>3</v>
      </c>
      <c r="C140" s="30" t="s">
        <v>256</v>
      </c>
      <c r="D140" s="30" t="s">
        <v>257</v>
      </c>
      <c r="E140" s="27" t="str">
        <f t="shared" si="68"/>
        <v>D3WD00X00</v>
      </c>
      <c r="F140">
        <v>1</v>
      </c>
      <c r="G140">
        <f t="shared" ref="G140:AA140" si="74">G68*$F140/$F68</f>
        <v>1E-3</v>
      </c>
      <c r="H140">
        <f t="shared" si="74"/>
        <v>1E-3</v>
      </c>
      <c r="I140">
        <f t="shared" si="74"/>
        <v>1E-3</v>
      </c>
      <c r="J140">
        <f t="shared" si="74"/>
        <v>1E-3</v>
      </c>
      <c r="K140">
        <f t="shared" si="74"/>
        <v>1E-3</v>
      </c>
      <c r="L140">
        <f t="shared" si="74"/>
        <v>1E-3</v>
      </c>
      <c r="M140">
        <f t="shared" si="74"/>
        <v>1E-3</v>
      </c>
      <c r="N140">
        <f t="shared" si="74"/>
        <v>1E-3</v>
      </c>
      <c r="O140">
        <f t="shared" si="74"/>
        <v>1E-3</v>
      </c>
      <c r="P140">
        <f t="shared" si="74"/>
        <v>1E-3</v>
      </c>
      <c r="Q140">
        <f t="shared" si="74"/>
        <v>1E-3</v>
      </c>
      <c r="R140">
        <f t="shared" si="74"/>
        <v>1E-3</v>
      </c>
      <c r="S140">
        <f t="shared" si="74"/>
        <v>1E-3</v>
      </c>
      <c r="T140">
        <f t="shared" si="74"/>
        <v>1E-3</v>
      </c>
      <c r="U140">
        <f t="shared" si="74"/>
        <v>1E-3</v>
      </c>
      <c r="V140">
        <f t="shared" si="74"/>
        <v>1E-3</v>
      </c>
      <c r="W140">
        <f t="shared" si="74"/>
        <v>1E-3</v>
      </c>
      <c r="X140">
        <f t="shared" si="74"/>
        <v>1E-3</v>
      </c>
      <c r="Y140">
        <f t="shared" si="74"/>
        <v>1E-3</v>
      </c>
      <c r="Z140">
        <f t="shared" si="74"/>
        <v>1E-3</v>
      </c>
      <c r="AA140">
        <f t="shared" si="74"/>
        <v>1E-3</v>
      </c>
    </row>
    <row r="141" spans="1:27" x14ac:dyDescent="0.2">
      <c r="A141" t="s">
        <v>84</v>
      </c>
      <c r="B141">
        <f t="shared" si="70"/>
        <v>3</v>
      </c>
      <c r="C141" s="27" t="s">
        <v>258</v>
      </c>
      <c r="D141" s="27" t="s">
        <v>259</v>
      </c>
      <c r="E141" s="27" t="str">
        <f t="shared" si="68"/>
        <v>D3HF00I00</v>
      </c>
      <c r="F141">
        <f t="shared" ref="F141:F146" si="75">$F$112</f>
        <v>1.3</v>
      </c>
      <c r="G141">
        <f t="shared" ref="G141:AA141" si="76">G69*$F141/$F69</f>
        <v>12.08980213089802</v>
      </c>
      <c r="H141">
        <f t="shared" si="76"/>
        <v>12.610032978183662</v>
      </c>
      <c r="I141">
        <f t="shared" si="76"/>
        <v>13.129851598173516</v>
      </c>
      <c r="J141">
        <f t="shared" si="76"/>
        <v>13.650082445459157</v>
      </c>
      <c r="K141">
        <f t="shared" si="76"/>
        <v>14.169901065449011</v>
      </c>
      <c r="L141">
        <f t="shared" si="76"/>
        <v>14.690131912734651</v>
      </c>
      <c r="M141">
        <f t="shared" si="76"/>
        <v>15.209999999999999</v>
      </c>
      <c r="N141">
        <f t="shared" si="76"/>
        <v>15.73</v>
      </c>
      <c r="O141">
        <f t="shared" si="76"/>
        <v>16.25</v>
      </c>
      <c r="P141">
        <f t="shared" si="76"/>
        <v>16.77</v>
      </c>
      <c r="Q141">
        <f t="shared" si="76"/>
        <v>17.290049467275495</v>
      </c>
      <c r="R141">
        <f t="shared" si="76"/>
        <v>17.498000000000001</v>
      </c>
      <c r="S141">
        <f t="shared" si="76"/>
        <v>17.706</v>
      </c>
      <c r="T141">
        <f t="shared" si="76"/>
        <v>17.914000000000001</v>
      </c>
      <c r="U141">
        <f t="shared" si="76"/>
        <v>18.122</v>
      </c>
      <c r="V141">
        <f t="shared" si="76"/>
        <v>18.330098934550989</v>
      </c>
      <c r="W141">
        <f t="shared" si="76"/>
        <v>18.538</v>
      </c>
      <c r="X141">
        <f t="shared" si="76"/>
        <v>18.746000000000002</v>
      </c>
      <c r="Y141">
        <f t="shared" si="76"/>
        <v>18.954000000000001</v>
      </c>
      <c r="Z141">
        <f t="shared" si="76"/>
        <v>19.162000000000003</v>
      </c>
      <c r="AA141">
        <f t="shared" si="76"/>
        <v>19.370148401826484</v>
      </c>
    </row>
    <row r="142" spans="1:27" x14ac:dyDescent="0.2">
      <c r="A142" t="s">
        <v>84</v>
      </c>
      <c r="B142">
        <f t="shared" si="70"/>
        <v>3</v>
      </c>
      <c r="C142" s="27" t="s">
        <v>260</v>
      </c>
      <c r="D142" s="27" t="s">
        <v>261</v>
      </c>
      <c r="E142" s="27" t="str">
        <f t="shared" si="68"/>
        <v>D3DS00I00</v>
      </c>
      <c r="F142">
        <f t="shared" si="75"/>
        <v>1.3</v>
      </c>
      <c r="G142">
        <f t="shared" ref="G142:AA142" si="77">G70*$F142/$F70</f>
        <v>17.723300355149672</v>
      </c>
      <c r="H142">
        <f t="shared" si="77"/>
        <v>18.485920852359207</v>
      </c>
      <c r="I142">
        <f t="shared" si="77"/>
        <v>19.248541349568747</v>
      </c>
      <c r="J142">
        <f t="shared" si="77"/>
        <v>20.011161846778286</v>
      </c>
      <c r="K142">
        <f t="shared" si="77"/>
        <v>20.774194571283612</v>
      </c>
      <c r="L142">
        <f t="shared" si="77"/>
        <v>21.536815068493155</v>
      </c>
      <c r="M142">
        <f t="shared" si="77"/>
        <v>22.294999999999998</v>
      </c>
      <c r="N142">
        <f t="shared" si="77"/>
        <v>23.061999999999998</v>
      </c>
      <c r="O142">
        <f t="shared" si="77"/>
        <v>23.828999999999997</v>
      </c>
      <c r="P142">
        <f t="shared" si="77"/>
        <v>24.596000000000004</v>
      </c>
      <c r="Q142">
        <f t="shared" si="77"/>
        <v>25.349917554540845</v>
      </c>
      <c r="R142">
        <f t="shared" si="77"/>
        <v>25.649000000000001</v>
      </c>
      <c r="S142">
        <f t="shared" si="77"/>
        <v>25.948</v>
      </c>
      <c r="T142">
        <f t="shared" si="77"/>
        <v>26.247000000000003</v>
      </c>
      <c r="U142">
        <f t="shared" si="77"/>
        <v>26.546000000000003</v>
      </c>
      <c r="V142">
        <f t="shared" si="77"/>
        <v>26.845065956367328</v>
      </c>
      <c r="W142">
        <f t="shared" si="77"/>
        <v>27.143999999999998</v>
      </c>
      <c r="X142">
        <f t="shared" si="77"/>
        <v>27.443000000000001</v>
      </c>
      <c r="Y142">
        <f t="shared" si="77"/>
        <v>27.742000000000001</v>
      </c>
      <c r="Z142">
        <f t="shared" si="77"/>
        <v>28.041</v>
      </c>
      <c r="AA142">
        <f t="shared" si="77"/>
        <v>28.339802130898022</v>
      </c>
    </row>
    <row r="143" spans="1:27" x14ac:dyDescent="0.2">
      <c r="A143" t="s">
        <v>84</v>
      </c>
      <c r="B143">
        <f t="shared" si="70"/>
        <v>3</v>
      </c>
      <c r="C143" s="27" t="s">
        <v>262</v>
      </c>
      <c r="D143" s="27" t="s">
        <v>263</v>
      </c>
      <c r="E143" s="27" t="str">
        <f t="shared" si="68"/>
        <v>D3NG00X00</v>
      </c>
      <c r="F143">
        <f t="shared" si="75"/>
        <v>1.3</v>
      </c>
      <c r="G143">
        <f t="shared" ref="G143:AA143" si="78">G71*$F143/$F71</f>
        <v>9.6201484018264836</v>
      </c>
      <c r="H143">
        <f t="shared" si="78"/>
        <v>9.8279109589041092</v>
      </c>
      <c r="I143">
        <f t="shared" si="78"/>
        <v>10.036085743277523</v>
      </c>
      <c r="J143">
        <f t="shared" si="78"/>
        <v>10.24384830035515</v>
      </c>
      <c r="K143">
        <f t="shared" si="78"/>
        <v>10.452023084728564</v>
      </c>
      <c r="L143">
        <f t="shared" si="78"/>
        <v>10.66019786910198</v>
      </c>
      <c r="M143">
        <f t="shared" si="78"/>
        <v>10.868</v>
      </c>
      <c r="N143">
        <f t="shared" si="78"/>
        <v>11.076000000000001</v>
      </c>
      <c r="O143">
        <f t="shared" si="78"/>
        <v>11.284000000000001</v>
      </c>
      <c r="P143">
        <f t="shared" si="78"/>
        <v>11.492000000000001</v>
      </c>
      <c r="Q143">
        <f t="shared" si="78"/>
        <v>11.699835109081684</v>
      </c>
      <c r="R143">
        <f t="shared" si="78"/>
        <v>11.986000000000001</v>
      </c>
      <c r="S143">
        <f t="shared" si="78"/>
        <v>12.272</v>
      </c>
      <c r="T143">
        <f t="shared" si="78"/>
        <v>12.558</v>
      </c>
      <c r="U143">
        <f t="shared" si="78"/>
        <v>12.844000000000001</v>
      </c>
      <c r="V143">
        <f t="shared" si="78"/>
        <v>13.129851598173516</v>
      </c>
      <c r="W143">
        <f t="shared" si="78"/>
        <v>13.416</v>
      </c>
      <c r="X143">
        <f t="shared" si="78"/>
        <v>13.702</v>
      </c>
      <c r="Y143">
        <f t="shared" si="78"/>
        <v>13.988</v>
      </c>
      <c r="Z143">
        <f t="shared" si="78"/>
        <v>14.274000000000001</v>
      </c>
      <c r="AA143">
        <f t="shared" si="78"/>
        <v>14.559868087265347</v>
      </c>
    </row>
    <row r="144" spans="1:27" x14ac:dyDescent="0.2">
      <c r="A144" t="s">
        <v>84</v>
      </c>
      <c r="B144">
        <f t="shared" si="70"/>
        <v>3</v>
      </c>
      <c r="C144" s="27" t="s">
        <v>264</v>
      </c>
      <c r="D144" s="27" t="s">
        <v>265</v>
      </c>
      <c r="E144" s="27" t="str">
        <f t="shared" si="68"/>
        <v>D3CO00X00</v>
      </c>
      <c r="F144">
        <f t="shared" si="75"/>
        <v>1.3</v>
      </c>
      <c r="G144">
        <f t="shared" ref="G144:AA144" si="79">G72*$F144/$F72</f>
        <v>4.1601978691019781</v>
      </c>
      <c r="H144">
        <f t="shared" si="79"/>
        <v>4.1861681887366817</v>
      </c>
      <c r="I144">
        <f t="shared" si="79"/>
        <v>4.2121385083713854</v>
      </c>
      <c r="J144">
        <f t="shared" si="79"/>
        <v>4.2381088280060881</v>
      </c>
      <c r="K144">
        <f t="shared" si="79"/>
        <v>4.2640791476407909</v>
      </c>
      <c r="L144">
        <f t="shared" si="79"/>
        <v>4.2900494672754945</v>
      </c>
      <c r="M144">
        <f t="shared" si="79"/>
        <v>4.3159999999999998</v>
      </c>
      <c r="N144">
        <f t="shared" si="79"/>
        <v>4.3419999999999996</v>
      </c>
      <c r="O144">
        <f t="shared" si="79"/>
        <v>4.3680000000000003</v>
      </c>
      <c r="P144">
        <f t="shared" si="79"/>
        <v>4.3940000000000001</v>
      </c>
      <c r="Q144">
        <f t="shared" si="79"/>
        <v>4.4199010654490101</v>
      </c>
      <c r="R144">
        <f t="shared" si="79"/>
        <v>4.4590000000000005</v>
      </c>
      <c r="S144">
        <f t="shared" si="79"/>
        <v>4.4980000000000002</v>
      </c>
      <c r="T144">
        <f t="shared" si="79"/>
        <v>4.5370000000000008</v>
      </c>
      <c r="U144">
        <f t="shared" si="79"/>
        <v>4.5760000000000005</v>
      </c>
      <c r="V144">
        <f t="shared" si="79"/>
        <v>4.6148845763571789</v>
      </c>
      <c r="W144">
        <f t="shared" si="79"/>
        <v>4.6539999999999999</v>
      </c>
      <c r="X144">
        <f t="shared" si="79"/>
        <v>4.6929999999999996</v>
      </c>
      <c r="Y144">
        <f t="shared" si="79"/>
        <v>4.7320000000000002</v>
      </c>
      <c r="Z144">
        <f t="shared" si="79"/>
        <v>4.7709999999999999</v>
      </c>
      <c r="AA144">
        <f t="shared" si="79"/>
        <v>4.8098680872653476</v>
      </c>
    </row>
    <row r="145" spans="1:27" x14ac:dyDescent="0.2">
      <c r="A145" t="s">
        <v>84</v>
      </c>
      <c r="B145">
        <f t="shared" si="70"/>
        <v>3</v>
      </c>
      <c r="C145" s="27" t="s">
        <v>247</v>
      </c>
      <c r="D145" s="27" t="s">
        <v>266</v>
      </c>
      <c r="E145" s="27" t="str">
        <f t="shared" si="68"/>
        <v>D3PWRTRN</v>
      </c>
      <c r="F145">
        <f t="shared" si="75"/>
        <v>1.3</v>
      </c>
      <c r="G145">
        <f t="shared" ref="G145:AA145" si="80">G73*$F145/$F73</f>
        <v>0</v>
      </c>
      <c r="H145">
        <f t="shared" si="80"/>
        <v>0</v>
      </c>
      <c r="I145">
        <f t="shared" si="80"/>
        <v>0</v>
      </c>
      <c r="J145">
        <f t="shared" si="80"/>
        <v>0</v>
      </c>
      <c r="K145">
        <f t="shared" si="80"/>
        <v>0</v>
      </c>
      <c r="L145">
        <f t="shared" si="80"/>
        <v>0</v>
      </c>
      <c r="M145">
        <f t="shared" si="80"/>
        <v>0</v>
      </c>
      <c r="N145">
        <f t="shared" si="80"/>
        <v>0</v>
      </c>
      <c r="O145">
        <f t="shared" si="80"/>
        <v>0</v>
      </c>
      <c r="P145">
        <f t="shared" si="80"/>
        <v>0</v>
      </c>
      <c r="Q145">
        <f t="shared" si="80"/>
        <v>0</v>
      </c>
      <c r="R145">
        <f t="shared" si="80"/>
        <v>0</v>
      </c>
      <c r="S145">
        <f t="shared" si="80"/>
        <v>0</v>
      </c>
      <c r="T145">
        <f t="shared" si="80"/>
        <v>0</v>
      </c>
      <c r="U145">
        <f t="shared" si="80"/>
        <v>0</v>
      </c>
      <c r="V145">
        <f t="shared" si="80"/>
        <v>0</v>
      </c>
      <c r="W145">
        <f t="shared" si="80"/>
        <v>0</v>
      </c>
      <c r="X145">
        <f t="shared" si="80"/>
        <v>0</v>
      </c>
      <c r="Y145">
        <f t="shared" si="80"/>
        <v>0</v>
      </c>
      <c r="Z145">
        <f t="shared" si="80"/>
        <v>0</v>
      </c>
      <c r="AA145">
        <f t="shared" si="80"/>
        <v>0</v>
      </c>
    </row>
    <row r="146" spans="1:27" x14ac:dyDescent="0.2">
      <c r="A146" t="s">
        <v>84</v>
      </c>
      <c r="B146">
        <f t="shared" si="70"/>
        <v>3</v>
      </c>
      <c r="C146" s="27" t="s">
        <v>267</v>
      </c>
      <c r="D146" s="27" t="s">
        <v>267</v>
      </c>
      <c r="E146" s="27" t="str">
        <f t="shared" si="68"/>
        <v>D3IMPELC</v>
      </c>
      <c r="F146">
        <f t="shared" si="75"/>
        <v>1.3</v>
      </c>
      <c r="G146">
        <f t="shared" ref="G146:AA146" si="81">G74*$F146/$F74</f>
        <v>1298.7</v>
      </c>
      <c r="H146">
        <f t="shared" si="81"/>
        <v>1298.7</v>
      </c>
      <c r="I146">
        <f t="shared" si="81"/>
        <v>1298.7</v>
      </c>
      <c r="J146">
        <f t="shared" si="81"/>
        <v>1298.7</v>
      </c>
      <c r="K146">
        <f t="shared" si="81"/>
        <v>1298.7</v>
      </c>
      <c r="L146">
        <f t="shared" si="81"/>
        <v>1298.7</v>
      </c>
      <c r="M146">
        <f t="shared" si="81"/>
        <v>1298.7</v>
      </c>
      <c r="N146">
        <f t="shared" si="81"/>
        <v>1298.7</v>
      </c>
      <c r="O146">
        <f t="shared" si="81"/>
        <v>1298.7</v>
      </c>
      <c r="P146">
        <f t="shared" si="81"/>
        <v>1298.7</v>
      </c>
      <c r="Q146">
        <f t="shared" si="81"/>
        <v>1298.7</v>
      </c>
      <c r="R146">
        <f t="shared" si="81"/>
        <v>1298.7</v>
      </c>
      <c r="S146">
        <f t="shared" si="81"/>
        <v>1298.7</v>
      </c>
      <c r="T146">
        <f t="shared" si="81"/>
        <v>1298.7</v>
      </c>
      <c r="U146">
        <f t="shared" si="81"/>
        <v>1298.7</v>
      </c>
      <c r="V146">
        <f t="shared" si="81"/>
        <v>1298.7</v>
      </c>
      <c r="W146">
        <f t="shared" si="81"/>
        <v>1298.7</v>
      </c>
      <c r="X146">
        <f t="shared" si="81"/>
        <v>1298.7</v>
      </c>
      <c r="Y146">
        <f t="shared" si="81"/>
        <v>1298.7</v>
      </c>
      <c r="Z146">
        <f t="shared" si="81"/>
        <v>1298.7</v>
      </c>
      <c r="AA146">
        <f t="shared" si="81"/>
        <v>1298.7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CFEB-BA6C-BE49-8236-4C29F9E2BCB4}">
  <dimension ref="A1:BA13"/>
  <sheetViews>
    <sheetView topLeftCell="V1" workbookViewId="0">
      <selection activeCell="L2" sqref="L2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ht="17" customHeight="1" x14ac:dyDescent="0.2">
      <c r="A2" t="s">
        <v>52</v>
      </c>
      <c r="B2" s="4" t="s">
        <v>53</v>
      </c>
      <c r="C2" t="s">
        <v>54</v>
      </c>
      <c r="D2" t="str">
        <f t="shared" ref="D2:D13" si="0">A2&amp;C2</f>
        <v>D1DSRC00</v>
      </c>
      <c r="E2" t="str">
        <f>LEFT(D2,4)&amp;"00"</f>
        <v>D1DS00</v>
      </c>
      <c r="F2" t="str">
        <f>A2&amp;"ELC01"</f>
        <v>D1ELC01</v>
      </c>
      <c r="G2" s="1" t="s">
        <v>55</v>
      </c>
      <c r="H2" s="1"/>
      <c r="I2">
        <v>25</v>
      </c>
      <c r="J2">
        <v>31.536000000000001</v>
      </c>
      <c r="K2">
        <v>2020</v>
      </c>
      <c r="L2">
        <f>1/0.35</f>
        <v>2.8571428571428572</v>
      </c>
      <c r="M2">
        <v>0.05</v>
      </c>
      <c r="N2">
        <v>0.89400000000000002</v>
      </c>
      <c r="O2">
        <v>1086</v>
      </c>
      <c r="P2">
        <v>1086</v>
      </c>
      <c r="Q2">
        <v>1086</v>
      </c>
      <c r="R2">
        <v>1086</v>
      </c>
      <c r="S2">
        <v>1086</v>
      </c>
      <c r="T2">
        <v>1086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</row>
    <row r="3" spans="1:53" ht="17" customHeight="1" x14ac:dyDescent="0.2">
      <c r="A3" t="s">
        <v>52</v>
      </c>
      <c r="B3" s="4" t="s">
        <v>57</v>
      </c>
      <c r="C3" t="s">
        <v>58</v>
      </c>
      <c r="D3" t="str">
        <f t="shared" si="0"/>
        <v>D1HFRC00</v>
      </c>
      <c r="E3" t="str">
        <f t="shared" ref="E3:E13" si="1">LEFT(D3,4)&amp;"00"</f>
        <v>D1HF00</v>
      </c>
      <c r="F3" t="str">
        <f t="shared" ref="F3:F13" si="2">A3&amp;"ELC01"</f>
        <v>D1ELC01</v>
      </c>
      <c r="G3" s="1" t="s">
        <v>55</v>
      </c>
      <c r="H3" s="1"/>
      <c r="I3">
        <v>25</v>
      </c>
      <c r="J3">
        <v>31.536000000000001</v>
      </c>
      <c r="K3">
        <v>2022</v>
      </c>
      <c r="L3">
        <f>1/0.35</f>
        <v>2.8571428571428572</v>
      </c>
      <c r="M3">
        <v>0.05</v>
      </c>
      <c r="N3">
        <v>0.89</v>
      </c>
      <c r="O3">
        <v>1086</v>
      </c>
      <c r="P3">
        <v>1086</v>
      </c>
      <c r="Q3">
        <v>1086</v>
      </c>
      <c r="R3">
        <v>1086</v>
      </c>
      <c r="S3">
        <v>1086</v>
      </c>
      <c r="T3">
        <v>1086</v>
      </c>
      <c r="U3">
        <v>33</v>
      </c>
      <c r="V3">
        <v>33</v>
      </c>
      <c r="W3">
        <v>33</v>
      </c>
      <c r="X3">
        <v>33</v>
      </c>
      <c r="Y3">
        <v>33</v>
      </c>
      <c r="Z3">
        <v>33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56</v>
      </c>
    </row>
    <row r="4" spans="1:53" ht="17" customHeight="1" x14ac:dyDescent="0.2">
      <c r="A4" t="s">
        <v>52</v>
      </c>
      <c r="B4" s="4" t="s">
        <v>59</v>
      </c>
      <c r="C4" t="s">
        <v>60</v>
      </c>
      <c r="D4" t="str">
        <f t="shared" si="0"/>
        <v>D1NGSC00</v>
      </c>
      <c r="E4" t="str">
        <f t="shared" si="1"/>
        <v>D1NG00</v>
      </c>
      <c r="F4" t="str">
        <f t="shared" si="2"/>
        <v>D1ELC01</v>
      </c>
      <c r="G4" s="1" t="s">
        <v>55</v>
      </c>
      <c r="H4" s="1"/>
      <c r="I4">
        <v>25</v>
      </c>
      <c r="J4">
        <v>31.536000000000001</v>
      </c>
      <c r="K4">
        <v>2024</v>
      </c>
      <c r="L4">
        <f>1/0.35</f>
        <v>2.8571428571428572</v>
      </c>
      <c r="M4">
        <v>0.05</v>
      </c>
      <c r="N4">
        <v>0.92</v>
      </c>
      <c r="O4">
        <v>795</v>
      </c>
      <c r="P4">
        <v>795</v>
      </c>
      <c r="Q4">
        <v>795</v>
      </c>
      <c r="R4">
        <v>795</v>
      </c>
      <c r="S4">
        <v>795</v>
      </c>
      <c r="T4">
        <v>795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56</v>
      </c>
    </row>
    <row r="5" spans="1:53" ht="17" customHeight="1" x14ac:dyDescent="0.2">
      <c r="A5" t="s">
        <v>52</v>
      </c>
      <c r="B5" s="4" t="s">
        <v>61</v>
      </c>
      <c r="C5" t="s">
        <v>62</v>
      </c>
      <c r="D5" t="str">
        <f t="shared" si="0"/>
        <v>D1NGCC00</v>
      </c>
      <c r="E5" t="str">
        <f t="shared" si="1"/>
        <v>D1NG00</v>
      </c>
      <c r="F5" t="str">
        <f t="shared" si="2"/>
        <v>D1ELC01</v>
      </c>
      <c r="G5" s="1" t="s">
        <v>55</v>
      </c>
      <c r="H5" s="1"/>
      <c r="I5">
        <v>30</v>
      </c>
      <c r="J5">
        <v>31.536000000000001</v>
      </c>
      <c r="K5">
        <v>2024</v>
      </c>
      <c r="L5">
        <f>1/0.58</f>
        <v>1.7241379310344829</v>
      </c>
      <c r="M5">
        <v>0.15</v>
      </c>
      <c r="N5">
        <v>0.92</v>
      </c>
      <c r="O5">
        <v>1014</v>
      </c>
      <c r="P5">
        <v>1014</v>
      </c>
      <c r="Q5">
        <v>1014</v>
      </c>
      <c r="R5">
        <v>1014</v>
      </c>
      <c r="S5">
        <v>1014</v>
      </c>
      <c r="T5">
        <v>1014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56</v>
      </c>
    </row>
    <row r="6" spans="1:53" ht="17" customHeight="1" x14ac:dyDescent="0.2">
      <c r="A6" t="s">
        <v>52</v>
      </c>
      <c r="B6" s="4" t="s">
        <v>63</v>
      </c>
      <c r="C6" t="s">
        <v>64</v>
      </c>
      <c r="D6" t="str">
        <f t="shared" si="0"/>
        <v>D1NGRC00</v>
      </c>
      <c r="E6" t="str">
        <f t="shared" si="1"/>
        <v>D1NG00</v>
      </c>
      <c r="F6" t="str">
        <f t="shared" si="2"/>
        <v>D1ELC01</v>
      </c>
      <c r="G6" s="1" t="s">
        <v>55</v>
      </c>
      <c r="H6" s="1"/>
      <c r="I6">
        <v>25</v>
      </c>
      <c r="J6">
        <v>31.536000000000001</v>
      </c>
      <c r="K6">
        <v>2024</v>
      </c>
      <c r="L6">
        <f>1/0.45</f>
        <v>2.2222222222222223</v>
      </c>
      <c r="M6">
        <v>0.05</v>
      </c>
      <c r="N6">
        <v>0.92</v>
      </c>
      <c r="O6">
        <v>1086</v>
      </c>
      <c r="P6">
        <v>1086</v>
      </c>
      <c r="Q6">
        <v>1086</v>
      </c>
      <c r="R6">
        <v>1086</v>
      </c>
      <c r="S6">
        <v>1086</v>
      </c>
      <c r="T6">
        <v>1086</v>
      </c>
      <c r="U6">
        <v>33</v>
      </c>
      <c r="V6">
        <v>33</v>
      </c>
      <c r="W6">
        <v>33</v>
      </c>
      <c r="X6">
        <v>33</v>
      </c>
      <c r="Y6">
        <v>33</v>
      </c>
      <c r="Z6">
        <v>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56</v>
      </c>
    </row>
    <row r="7" spans="1:53" x14ac:dyDescent="0.2">
      <c r="A7" t="s">
        <v>52</v>
      </c>
      <c r="B7" s="4" t="s">
        <v>65</v>
      </c>
      <c r="C7" t="s">
        <v>66</v>
      </c>
      <c r="D7" t="str">
        <f t="shared" si="0"/>
        <v>D1BMST00</v>
      </c>
      <c r="E7" t="str">
        <f t="shared" si="1"/>
        <v>D1BM00</v>
      </c>
      <c r="F7" t="str">
        <f t="shared" si="2"/>
        <v>D1ELC01</v>
      </c>
      <c r="G7" s="1" t="s">
        <v>55</v>
      </c>
      <c r="H7" s="1"/>
      <c r="I7">
        <v>25</v>
      </c>
      <c r="J7">
        <v>31.536000000000001</v>
      </c>
      <c r="K7">
        <v>2024</v>
      </c>
      <c r="L7">
        <f>1/0.26</f>
        <v>3.8461538461538458</v>
      </c>
      <c r="M7">
        <v>0.2</v>
      </c>
      <c r="N7">
        <v>0.81799999999999995</v>
      </c>
      <c r="O7">
        <v>2412</v>
      </c>
      <c r="P7">
        <v>2412</v>
      </c>
      <c r="Q7">
        <v>2412</v>
      </c>
      <c r="R7">
        <v>2412</v>
      </c>
      <c r="S7">
        <v>2412</v>
      </c>
      <c r="T7">
        <v>2412</v>
      </c>
      <c r="U7">
        <v>77.180000000000007</v>
      </c>
      <c r="V7">
        <v>77.180000000000007</v>
      </c>
      <c r="W7">
        <v>77.180000000000007</v>
      </c>
      <c r="X7">
        <v>77.180000000000007</v>
      </c>
      <c r="Y7">
        <v>77.180000000000007</v>
      </c>
      <c r="Z7">
        <v>77.180000000000007</v>
      </c>
      <c r="AA7">
        <v>4.47</v>
      </c>
      <c r="AB7">
        <v>4.47</v>
      </c>
      <c r="AC7">
        <v>4.47</v>
      </c>
      <c r="AD7">
        <v>4.47</v>
      </c>
      <c r="AE7">
        <v>4.47</v>
      </c>
      <c r="AF7">
        <v>4.47</v>
      </c>
      <c r="AG7">
        <v>4.47</v>
      </c>
      <c r="AH7">
        <v>4.47</v>
      </c>
      <c r="AI7">
        <v>4.47</v>
      </c>
      <c r="AJ7">
        <v>4.47</v>
      </c>
      <c r="AK7">
        <v>4.47</v>
      </c>
      <c r="AL7">
        <v>4.47</v>
      </c>
      <c r="AM7">
        <v>4.47</v>
      </c>
      <c r="AN7">
        <v>4.47</v>
      </c>
      <c r="AO7">
        <v>4.47</v>
      </c>
      <c r="AP7">
        <v>4.47</v>
      </c>
      <c r="AQ7">
        <v>4.47</v>
      </c>
      <c r="AR7">
        <v>4.47</v>
      </c>
      <c r="AS7">
        <v>4.47</v>
      </c>
      <c r="AT7">
        <v>4.47</v>
      </c>
      <c r="AU7">
        <v>4.47</v>
      </c>
      <c r="AV7">
        <v>4.47</v>
      </c>
      <c r="AW7">
        <v>4.47</v>
      </c>
      <c r="AX7">
        <v>4.47</v>
      </c>
      <c r="AY7">
        <v>4.47</v>
      </c>
      <c r="AZ7">
        <v>4.47</v>
      </c>
      <c r="BA7" t="s">
        <v>56</v>
      </c>
    </row>
    <row r="8" spans="1:53" x14ac:dyDescent="0.2">
      <c r="A8" t="s">
        <v>52</v>
      </c>
      <c r="B8" s="4" t="s">
        <v>67</v>
      </c>
      <c r="C8" t="s">
        <v>68</v>
      </c>
      <c r="D8" t="str">
        <f t="shared" si="0"/>
        <v>D1BWST00</v>
      </c>
      <c r="E8" t="str">
        <f t="shared" si="1"/>
        <v>D1BW00</v>
      </c>
      <c r="F8" t="str">
        <f t="shared" si="2"/>
        <v>D1ELC01</v>
      </c>
      <c r="G8" s="1" t="s">
        <v>55</v>
      </c>
      <c r="H8" s="1"/>
      <c r="I8">
        <v>15</v>
      </c>
      <c r="J8">
        <v>31.536000000000001</v>
      </c>
      <c r="K8">
        <v>2024</v>
      </c>
      <c r="L8">
        <f>1/0.26</f>
        <v>3.8461538461538458</v>
      </c>
      <c r="M8">
        <v>0.2</v>
      </c>
      <c r="N8">
        <v>0.81799999999999995</v>
      </c>
      <c r="O8">
        <v>2412</v>
      </c>
      <c r="P8">
        <v>2412</v>
      </c>
      <c r="Q8">
        <v>2412</v>
      </c>
      <c r="R8">
        <v>2412</v>
      </c>
      <c r="S8">
        <v>2412</v>
      </c>
      <c r="T8">
        <v>2412</v>
      </c>
      <c r="U8">
        <v>77.180000000000007</v>
      </c>
      <c r="V8">
        <v>77.180000000000007</v>
      </c>
      <c r="W8">
        <v>77.180000000000007</v>
      </c>
      <c r="X8">
        <v>77.180000000000007</v>
      </c>
      <c r="Y8">
        <v>77.180000000000007</v>
      </c>
      <c r="Z8">
        <v>77.180000000000007</v>
      </c>
      <c r="AA8">
        <v>4.47</v>
      </c>
      <c r="AB8">
        <v>4.47</v>
      </c>
      <c r="AC8">
        <v>4.47</v>
      </c>
      <c r="AD8">
        <v>4.47</v>
      </c>
      <c r="AE8">
        <v>4.47</v>
      </c>
      <c r="AF8">
        <v>4.47</v>
      </c>
      <c r="AG8">
        <v>4.47</v>
      </c>
      <c r="AH8">
        <v>4.47</v>
      </c>
      <c r="AI8">
        <v>4.47</v>
      </c>
      <c r="AJ8">
        <v>4.47</v>
      </c>
      <c r="AK8">
        <v>4.47</v>
      </c>
      <c r="AL8">
        <v>4.47</v>
      </c>
      <c r="AM8">
        <v>4.47</v>
      </c>
      <c r="AN8">
        <v>4.47</v>
      </c>
      <c r="AO8">
        <v>4.47</v>
      </c>
      <c r="AP8">
        <v>4.47</v>
      </c>
      <c r="AQ8">
        <v>4.47</v>
      </c>
      <c r="AR8">
        <v>4.47</v>
      </c>
      <c r="AS8">
        <v>4.47</v>
      </c>
      <c r="AT8">
        <v>4.47</v>
      </c>
      <c r="AU8">
        <v>4.47</v>
      </c>
      <c r="AV8">
        <v>4.47</v>
      </c>
      <c r="AW8">
        <v>4.47</v>
      </c>
      <c r="AX8">
        <v>4.47</v>
      </c>
      <c r="AY8">
        <v>4.47</v>
      </c>
      <c r="AZ8">
        <v>4.47</v>
      </c>
      <c r="BA8" t="s">
        <v>56</v>
      </c>
    </row>
    <row r="9" spans="1:53" x14ac:dyDescent="0.2">
      <c r="A9" t="s">
        <v>52</v>
      </c>
      <c r="B9" s="4" t="s">
        <v>69</v>
      </c>
      <c r="C9" t="s">
        <v>70</v>
      </c>
      <c r="D9" t="str">
        <f t="shared" si="0"/>
        <v>D1SOPC00</v>
      </c>
      <c r="E9" t="str">
        <f t="shared" si="1"/>
        <v>D1SO00</v>
      </c>
      <c r="F9" t="str">
        <f t="shared" si="2"/>
        <v>D1ELC01</v>
      </c>
      <c r="G9" s="1" t="s">
        <v>55</v>
      </c>
      <c r="H9" s="1"/>
      <c r="I9">
        <v>25</v>
      </c>
      <c r="J9">
        <v>31.536000000000001</v>
      </c>
      <c r="K9">
        <v>2022</v>
      </c>
      <c r="L9">
        <v>1</v>
      </c>
      <c r="M9">
        <v>0</v>
      </c>
      <c r="N9">
        <v>1</v>
      </c>
      <c r="O9">
        <f>2771+(P9-2771)*2/5</f>
        <v>2311</v>
      </c>
      <c r="P9">
        <v>1621</v>
      </c>
      <c r="Q9">
        <v>1157.52</v>
      </c>
      <c r="R9">
        <v>1042.24</v>
      </c>
      <c r="S9">
        <v>941.07</v>
      </c>
      <c r="T9">
        <v>850.5</v>
      </c>
      <c r="U9">
        <f>32.48+(V9-32.48)*2/5</f>
        <v>27.087999999999997</v>
      </c>
      <c r="V9">
        <v>19</v>
      </c>
      <c r="W9">
        <v>13.57</v>
      </c>
      <c r="X9">
        <v>12.22</v>
      </c>
      <c r="Y9">
        <v>11.03</v>
      </c>
      <c r="Z9">
        <v>9.9700000000000006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56</v>
      </c>
    </row>
    <row r="10" spans="1:53" x14ac:dyDescent="0.2">
      <c r="A10" t="s">
        <v>52</v>
      </c>
      <c r="B10" t="s">
        <v>71</v>
      </c>
      <c r="C10" t="s">
        <v>72</v>
      </c>
      <c r="D10" t="str">
        <f t="shared" si="0"/>
        <v>D1SOTN00</v>
      </c>
      <c r="E10" t="str">
        <f t="shared" si="1"/>
        <v>D1SO00</v>
      </c>
      <c r="F10" t="str">
        <f t="shared" si="2"/>
        <v>D1ELC01</v>
      </c>
      <c r="G10" s="1" t="s">
        <v>55</v>
      </c>
      <c r="H10" s="1"/>
      <c r="I10">
        <v>30</v>
      </c>
      <c r="J10">
        <v>31.536000000000001</v>
      </c>
      <c r="K10">
        <v>2024</v>
      </c>
      <c r="L10">
        <v>1</v>
      </c>
      <c r="M10">
        <v>0</v>
      </c>
      <c r="N10">
        <v>1</v>
      </c>
      <c r="O10">
        <f>6051+(P10-6051)*2/5</f>
        <v>5253.8</v>
      </c>
      <c r="P10">
        <v>4058</v>
      </c>
      <c r="Q10">
        <v>3269</v>
      </c>
      <c r="R10">
        <v>2634</v>
      </c>
      <c r="S10">
        <v>2598</v>
      </c>
      <c r="T10">
        <v>2562</v>
      </c>
      <c r="U10">
        <f>90.96+(V10-90.96)*2/5</f>
        <v>78.975999999999999</v>
      </c>
      <c r="V10">
        <v>61</v>
      </c>
      <c r="W10">
        <v>49.14</v>
      </c>
      <c r="X10">
        <v>39.590000000000003</v>
      </c>
      <c r="Y10">
        <v>39.049999999999997</v>
      </c>
      <c r="Z10">
        <v>38.51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56</v>
      </c>
    </row>
    <row r="11" spans="1:53" x14ac:dyDescent="0.2">
      <c r="A11" t="s">
        <v>52</v>
      </c>
      <c r="B11" t="s">
        <v>73</v>
      </c>
      <c r="C11" t="s">
        <v>74</v>
      </c>
      <c r="D11" t="str">
        <f t="shared" si="0"/>
        <v>D1SOTS00</v>
      </c>
      <c r="E11" t="str">
        <f t="shared" si="1"/>
        <v>D1SO00</v>
      </c>
      <c r="F11" t="str">
        <f t="shared" si="2"/>
        <v>D1ELC01</v>
      </c>
      <c r="G11" s="1" t="s">
        <v>55</v>
      </c>
      <c r="H11" s="1"/>
      <c r="I11">
        <v>30</v>
      </c>
      <c r="J11">
        <v>31.536000000000001</v>
      </c>
      <c r="K11">
        <v>2024</v>
      </c>
      <c r="L11">
        <v>1</v>
      </c>
      <c r="M11">
        <v>0</v>
      </c>
      <c r="N11">
        <v>1</v>
      </c>
      <c r="O11">
        <f>8645+(P11-8645)*2/5</f>
        <v>7505.8</v>
      </c>
      <c r="P11">
        <v>5797</v>
      </c>
      <c r="Q11">
        <v>4670</v>
      </c>
      <c r="R11">
        <v>3763</v>
      </c>
      <c r="S11">
        <v>3711</v>
      </c>
      <c r="T11">
        <v>3660</v>
      </c>
      <c r="U11">
        <f>128.25+(V11-128.25)*2/5</f>
        <v>111.35</v>
      </c>
      <c r="V11">
        <v>86</v>
      </c>
      <c r="W11">
        <v>69.28</v>
      </c>
      <c r="X11">
        <v>55.83</v>
      </c>
      <c r="Y11">
        <v>55.05</v>
      </c>
      <c r="Z11">
        <v>54.3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56</v>
      </c>
    </row>
    <row r="12" spans="1:53" x14ac:dyDescent="0.2">
      <c r="A12" t="s">
        <v>52</v>
      </c>
      <c r="B12" t="s">
        <v>75</v>
      </c>
      <c r="C12" t="s">
        <v>76</v>
      </c>
      <c r="D12" t="str">
        <f t="shared" si="0"/>
        <v>D1NGSO00</v>
      </c>
      <c r="E12" t="str">
        <f t="shared" si="1"/>
        <v>D1NG00</v>
      </c>
      <c r="F12" t="str">
        <f t="shared" si="2"/>
        <v>D1ELC01</v>
      </c>
      <c r="G12" s="1" t="s">
        <v>55</v>
      </c>
      <c r="H12" s="1"/>
      <c r="I12">
        <v>30</v>
      </c>
      <c r="J12">
        <v>31.536000000000001</v>
      </c>
      <c r="K12">
        <v>2050</v>
      </c>
      <c r="L12">
        <f>1/0.53</f>
        <v>1.8867924528301885</v>
      </c>
      <c r="M12">
        <v>0</v>
      </c>
      <c r="N12">
        <v>0.92200000000000004</v>
      </c>
      <c r="O12">
        <v>6051</v>
      </c>
      <c r="P12">
        <f>O12</f>
        <v>6051</v>
      </c>
      <c r="Q12">
        <f t="shared" ref="Q12:T12" si="3">P12</f>
        <v>6051</v>
      </c>
      <c r="R12">
        <f t="shared" si="3"/>
        <v>6051</v>
      </c>
      <c r="S12">
        <f t="shared" si="3"/>
        <v>6051</v>
      </c>
      <c r="T12">
        <f t="shared" si="3"/>
        <v>6051</v>
      </c>
      <c r="U12">
        <v>60.51</v>
      </c>
      <c r="V12">
        <v>60.51</v>
      </c>
      <c r="W12">
        <v>60.51</v>
      </c>
      <c r="X12">
        <v>60.51</v>
      </c>
      <c r="Y12">
        <v>60.51</v>
      </c>
      <c r="Z12">
        <v>60.51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56</v>
      </c>
    </row>
    <row r="13" spans="1:53" x14ac:dyDescent="0.2">
      <c r="A13" t="s">
        <v>52</v>
      </c>
      <c r="B13" t="s">
        <v>77</v>
      </c>
      <c r="C13" t="s">
        <v>78</v>
      </c>
      <c r="D13" t="str">
        <f t="shared" si="0"/>
        <v>D1WDLC00</v>
      </c>
      <c r="E13" t="str">
        <f t="shared" si="1"/>
        <v>D1WD00</v>
      </c>
      <c r="F13" t="str">
        <f t="shared" si="2"/>
        <v>D1ELC01</v>
      </c>
      <c r="G13" s="1" t="s">
        <v>55</v>
      </c>
      <c r="H13" s="1"/>
      <c r="I13">
        <v>25</v>
      </c>
      <c r="J13">
        <v>31.536000000000001</v>
      </c>
      <c r="K13">
        <v>2024</v>
      </c>
      <c r="L13">
        <v>1</v>
      </c>
      <c r="M13">
        <v>0</v>
      </c>
      <c r="N13">
        <v>1</v>
      </c>
      <c r="O13">
        <f>2180+(1451-2180)*2/5</f>
        <v>1888.4</v>
      </c>
      <c r="P13">
        <v>1451</v>
      </c>
      <c r="Q13">
        <v>1160.6099999999999</v>
      </c>
      <c r="R13">
        <v>1059.26</v>
      </c>
      <c r="S13">
        <v>909.19</v>
      </c>
      <c r="T13">
        <v>909.19</v>
      </c>
      <c r="U13">
        <f>90.14+(V13-90.14)*2/5</f>
        <v>78.084000000000003</v>
      </c>
      <c r="V13">
        <v>60</v>
      </c>
      <c r="W13">
        <v>47.99</v>
      </c>
      <c r="X13">
        <v>43.8</v>
      </c>
      <c r="Y13">
        <v>37.6</v>
      </c>
      <c r="Z13">
        <v>37.6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1BF-5335-2B4B-B775-0ACF30CC498D}">
  <dimension ref="B1:BE13"/>
  <sheetViews>
    <sheetView workbookViewId="0">
      <selection activeCell="S26" sqref="S26"/>
    </sheetView>
  </sheetViews>
  <sheetFormatPr baseColWidth="10" defaultRowHeight="16" x14ac:dyDescent="0.2"/>
  <cols>
    <col min="4" max="4" width="21" customWidth="1"/>
  </cols>
  <sheetData>
    <row r="1" spans="2:5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7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Q1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</row>
    <row r="2" spans="2:57" ht="17" customHeight="1" x14ac:dyDescent="0.2">
      <c r="C2" t="s">
        <v>101</v>
      </c>
      <c r="D2" s="4" t="s">
        <v>53</v>
      </c>
      <c r="E2" t="s">
        <v>196</v>
      </c>
      <c r="F2" t="s">
        <v>82</v>
      </c>
      <c r="I2" s="1" t="s">
        <v>55</v>
      </c>
      <c r="J2" s="1"/>
      <c r="K2">
        <v>25</v>
      </c>
      <c r="L2">
        <v>31.536000000000001</v>
      </c>
      <c r="M2">
        <v>2023</v>
      </c>
      <c r="N2">
        <f>1/0.35</f>
        <v>2.8571428571428572</v>
      </c>
      <c r="O2">
        <v>0.05</v>
      </c>
      <c r="Q2">
        <v>0.89400000000000002</v>
      </c>
      <c r="S2">
        <f>1086*NOTES!G10</f>
        <v>1162.02</v>
      </c>
      <c r="T2">
        <f t="shared" ref="T2:T8" si="0">S2</f>
        <v>1162.02</v>
      </c>
      <c r="U2">
        <f t="shared" ref="U2:X2" si="1">T2</f>
        <v>1162.02</v>
      </c>
      <c r="V2">
        <f t="shared" si="1"/>
        <v>1162.02</v>
      </c>
      <c r="W2">
        <f t="shared" si="1"/>
        <v>1162.02</v>
      </c>
      <c r="X2">
        <f t="shared" si="1"/>
        <v>1162.02</v>
      </c>
      <c r="Y2">
        <f>33*NOTES!G10</f>
        <v>35.31</v>
      </c>
      <c r="Z2">
        <f>Y2</f>
        <v>35.31</v>
      </c>
      <c r="AA2">
        <f t="shared" ref="AA2:AD2" si="2">Z2</f>
        <v>35.31</v>
      </c>
      <c r="AB2">
        <f t="shared" si="2"/>
        <v>35.31</v>
      </c>
      <c r="AC2">
        <f t="shared" si="2"/>
        <v>35.31</v>
      </c>
      <c r="AD2">
        <f t="shared" si="2"/>
        <v>35.31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56</v>
      </c>
    </row>
    <row r="3" spans="2:57" ht="17" customHeight="1" x14ac:dyDescent="0.2">
      <c r="C3" t="s">
        <v>101</v>
      </c>
      <c r="D3" s="4" t="s">
        <v>57</v>
      </c>
      <c r="E3" t="s">
        <v>197</v>
      </c>
      <c r="F3" t="s">
        <v>82</v>
      </c>
      <c r="I3" s="1" t="s">
        <v>55</v>
      </c>
      <c r="J3" s="1"/>
      <c r="K3">
        <v>25</v>
      </c>
      <c r="L3">
        <v>31.536000000000001</v>
      </c>
      <c r="M3">
        <v>2023</v>
      </c>
      <c r="N3">
        <f>1/0.35</f>
        <v>2.8571428571428572</v>
      </c>
      <c r="O3">
        <v>0.05</v>
      </c>
      <c r="Q3">
        <v>0.89</v>
      </c>
      <c r="S3">
        <f>1086*NOTES!G10</f>
        <v>1162.02</v>
      </c>
      <c r="T3">
        <f t="shared" si="0"/>
        <v>1162.02</v>
      </c>
      <c r="U3">
        <f t="shared" ref="U3:X3" si="3">T3</f>
        <v>1162.02</v>
      </c>
      <c r="V3">
        <f t="shared" si="3"/>
        <v>1162.02</v>
      </c>
      <c r="W3">
        <f t="shared" si="3"/>
        <v>1162.02</v>
      </c>
      <c r="X3">
        <f t="shared" si="3"/>
        <v>1162.02</v>
      </c>
      <c r="Y3">
        <f>33*NOTES!G10</f>
        <v>35.31</v>
      </c>
      <c r="Z3">
        <f>Y3</f>
        <v>35.31</v>
      </c>
      <c r="AA3">
        <f t="shared" ref="AA3:AD3" si="4">Z3</f>
        <v>35.31</v>
      </c>
      <c r="AB3">
        <f t="shared" si="4"/>
        <v>35.31</v>
      </c>
      <c r="AC3">
        <f t="shared" si="4"/>
        <v>35.31</v>
      </c>
      <c r="AD3">
        <f t="shared" si="4"/>
        <v>35.31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56</v>
      </c>
    </row>
    <row r="4" spans="2:57" ht="17" customHeight="1" x14ac:dyDescent="0.2">
      <c r="C4" t="s">
        <v>101</v>
      </c>
      <c r="D4" s="4" t="s">
        <v>59</v>
      </c>
      <c r="E4" t="s">
        <v>212</v>
      </c>
      <c r="F4" t="s">
        <v>82</v>
      </c>
      <c r="I4" s="1" t="s">
        <v>55</v>
      </c>
      <c r="J4" s="1"/>
      <c r="K4">
        <v>25</v>
      </c>
      <c r="L4">
        <v>31.536000000000001</v>
      </c>
      <c r="M4">
        <v>2024</v>
      </c>
      <c r="N4">
        <f>1/0.35</f>
        <v>2.8571428571428572</v>
      </c>
      <c r="O4">
        <v>0.05</v>
      </c>
      <c r="Q4">
        <v>0.92</v>
      </c>
      <c r="S4">
        <f>795*NOTES!G10</f>
        <v>850.65000000000009</v>
      </c>
      <c r="T4">
        <f t="shared" si="0"/>
        <v>850.65000000000009</v>
      </c>
      <c r="U4">
        <f t="shared" ref="U4:X4" si="5">T4</f>
        <v>850.65000000000009</v>
      </c>
      <c r="V4">
        <f t="shared" si="5"/>
        <v>850.65000000000009</v>
      </c>
      <c r="W4">
        <f t="shared" si="5"/>
        <v>850.65000000000009</v>
      </c>
      <c r="X4">
        <f t="shared" si="5"/>
        <v>850.65000000000009</v>
      </c>
      <c r="Y4">
        <f>24*NOTES!G10</f>
        <v>25.68</v>
      </c>
      <c r="Z4">
        <f t="shared" ref="Z4:AD6" si="6">Y4</f>
        <v>25.68</v>
      </c>
      <c r="AA4">
        <f t="shared" si="6"/>
        <v>25.68</v>
      </c>
      <c r="AB4">
        <f t="shared" si="6"/>
        <v>25.68</v>
      </c>
      <c r="AC4">
        <f t="shared" si="6"/>
        <v>25.68</v>
      </c>
      <c r="AD4">
        <f t="shared" si="6"/>
        <v>25.68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56</v>
      </c>
    </row>
    <row r="5" spans="2:57" ht="17" customHeight="1" x14ac:dyDescent="0.2">
      <c r="C5" t="s">
        <v>101</v>
      </c>
      <c r="D5" s="4" t="s">
        <v>61</v>
      </c>
      <c r="E5" t="s">
        <v>62</v>
      </c>
      <c r="F5" t="s">
        <v>82</v>
      </c>
      <c r="I5" s="1" t="s">
        <v>55</v>
      </c>
      <c r="J5" s="1"/>
      <c r="K5">
        <v>30</v>
      </c>
      <c r="L5">
        <v>31.536000000000001</v>
      </c>
      <c r="M5">
        <v>2024</v>
      </c>
      <c r="N5">
        <f>1/0.58</f>
        <v>1.7241379310344829</v>
      </c>
      <c r="O5">
        <v>0.15</v>
      </c>
      <c r="Q5">
        <v>0.92</v>
      </c>
      <c r="S5">
        <f>1014*NOTES!G10</f>
        <v>1084.98</v>
      </c>
      <c r="T5">
        <f t="shared" si="0"/>
        <v>1084.98</v>
      </c>
      <c r="U5">
        <f t="shared" ref="U5:X5" si="7">T5</f>
        <v>1084.98</v>
      </c>
      <c r="V5">
        <f t="shared" si="7"/>
        <v>1084.98</v>
      </c>
      <c r="W5">
        <f t="shared" si="7"/>
        <v>1084.98</v>
      </c>
      <c r="X5">
        <f t="shared" si="7"/>
        <v>1084.98</v>
      </c>
      <c r="Y5">
        <f>30*NOTES!G10</f>
        <v>32.1</v>
      </c>
      <c r="Z5">
        <f t="shared" si="6"/>
        <v>32.1</v>
      </c>
      <c r="AA5">
        <f t="shared" si="6"/>
        <v>32.1</v>
      </c>
      <c r="AB5">
        <f t="shared" si="6"/>
        <v>32.1</v>
      </c>
      <c r="AC5">
        <f t="shared" si="6"/>
        <v>32.1</v>
      </c>
      <c r="AD5">
        <f t="shared" si="6"/>
        <v>32.1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56</v>
      </c>
    </row>
    <row r="6" spans="2:57" ht="17" customHeight="1" x14ac:dyDescent="0.2">
      <c r="C6" t="s">
        <v>101</v>
      </c>
      <c r="D6" s="4" t="s">
        <v>63</v>
      </c>
      <c r="E6" t="s">
        <v>213</v>
      </c>
      <c r="F6" t="s">
        <v>82</v>
      </c>
      <c r="I6" s="1" t="s">
        <v>55</v>
      </c>
      <c r="J6" s="1"/>
      <c r="K6">
        <v>25</v>
      </c>
      <c r="L6">
        <v>31.536000000000001</v>
      </c>
      <c r="M6">
        <v>2024</v>
      </c>
      <c r="N6">
        <f>1/0.45</f>
        <v>2.2222222222222223</v>
      </c>
      <c r="O6">
        <v>0.05</v>
      </c>
      <c r="Q6">
        <v>0.92</v>
      </c>
      <c r="S6">
        <f>1086*NOTES!G10</f>
        <v>1162.02</v>
      </c>
      <c r="T6">
        <f t="shared" si="0"/>
        <v>1162.02</v>
      </c>
      <c r="U6">
        <f t="shared" ref="U6:X6" si="8">T6</f>
        <v>1162.02</v>
      </c>
      <c r="V6">
        <f t="shared" si="8"/>
        <v>1162.02</v>
      </c>
      <c r="W6">
        <f t="shared" si="8"/>
        <v>1162.02</v>
      </c>
      <c r="X6">
        <f t="shared" si="8"/>
        <v>1162.02</v>
      </c>
      <c r="Y6">
        <f>33*NOTES!G10</f>
        <v>35.31</v>
      </c>
      <c r="Z6">
        <f t="shared" si="6"/>
        <v>35.31</v>
      </c>
      <c r="AA6">
        <v>33</v>
      </c>
      <c r="AB6">
        <v>33</v>
      </c>
      <c r="AC6">
        <v>33</v>
      </c>
      <c r="AD6">
        <v>33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56</v>
      </c>
    </row>
    <row r="7" spans="2:57" x14ac:dyDescent="0.2">
      <c r="C7" t="s">
        <v>101</v>
      </c>
      <c r="D7" s="4" t="s">
        <v>65</v>
      </c>
      <c r="E7" t="s">
        <v>214</v>
      </c>
      <c r="F7" t="s">
        <v>82</v>
      </c>
      <c r="I7" s="1" t="s">
        <v>55</v>
      </c>
      <c r="J7" s="1"/>
      <c r="K7">
        <v>25</v>
      </c>
      <c r="L7">
        <v>31.536000000000001</v>
      </c>
      <c r="M7">
        <v>2024</v>
      </c>
      <c r="N7">
        <f>1/0.26</f>
        <v>3.8461538461538458</v>
      </c>
      <c r="O7">
        <v>0.2</v>
      </c>
      <c r="Q7">
        <v>0.81799999999999995</v>
      </c>
      <c r="S7">
        <f>2412*NOTES!G10</f>
        <v>2580.84</v>
      </c>
      <c r="T7">
        <f t="shared" si="0"/>
        <v>2580.84</v>
      </c>
      <c r="U7">
        <f t="shared" ref="U7:X7" si="9">T7</f>
        <v>2580.84</v>
      </c>
      <c r="V7">
        <f t="shared" si="9"/>
        <v>2580.84</v>
      </c>
      <c r="W7">
        <f t="shared" si="9"/>
        <v>2580.84</v>
      </c>
      <c r="X7">
        <f t="shared" si="9"/>
        <v>2580.84</v>
      </c>
      <c r="Y7">
        <f>77.18*NOTES!G10</f>
        <v>82.582600000000014</v>
      </c>
      <c r="Z7">
        <f t="shared" ref="Z7" si="10">Y7</f>
        <v>82.582600000000014</v>
      </c>
      <c r="AA7">
        <v>77.180000000000007</v>
      </c>
      <c r="AB7">
        <v>77.180000000000007</v>
      </c>
      <c r="AC7">
        <v>77.180000000000007</v>
      </c>
      <c r="AD7">
        <v>77.180000000000007</v>
      </c>
      <c r="AE7">
        <v>4.47</v>
      </c>
      <c r="AF7">
        <v>4.47</v>
      </c>
      <c r="AG7">
        <v>4.47</v>
      </c>
      <c r="AH7">
        <v>4.47</v>
      </c>
      <c r="AI7">
        <v>4.47</v>
      </c>
      <c r="AJ7">
        <v>4.47</v>
      </c>
      <c r="AK7">
        <v>4.47</v>
      </c>
      <c r="AL7">
        <v>4.47</v>
      </c>
      <c r="AM7">
        <v>4.47</v>
      </c>
      <c r="AN7">
        <v>4.47</v>
      </c>
      <c r="AO7">
        <v>4.47</v>
      </c>
      <c r="AP7">
        <v>4.47</v>
      </c>
      <c r="AQ7">
        <v>4.47</v>
      </c>
      <c r="AR7">
        <v>4.47</v>
      </c>
      <c r="AS7">
        <v>4.47</v>
      </c>
      <c r="AT7">
        <v>4.47</v>
      </c>
      <c r="AU7">
        <v>4.47</v>
      </c>
      <c r="AV7">
        <v>4.47</v>
      </c>
      <c r="AW7">
        <v>4.47</v>
      </c>
      <c r="AX7">
        <v>4.47</v>
      </c>
      <c r="AY7">
        <v>4.47</v>
      </c>
      <c r="AZ7">
        <v>4.47</v>
      </c>
      <c r="BA7">
        <v>4.47</v>
      </c>
      <c r="BB7">
        <v>4.47</v>
      </c>
      <c r="BC7">
        <v>4.47</v>
      </c>
      <c r="BD7">
        <v>4.47</v>
      </c>
      <c r="BE7" t="s">
        <v>56</v>
      </c>
    </row>
    <row r="8" spans="2:57" x14ac:dyDescent="0.2">
      <c r="C8" t="s">
        <v>101</v>
      </c>
      <c r="D8" s="4" t="s">
        <v>67</v>
      </c>
      <c r="E8" t="s">
        <v>215</v>
      </c>
      <c r="F8" t="s">
        <v>82</v>
      </c>
      <c r="I8" s="1" t="s">
        <v>55</v>
      </c>
      <c r="J8" s="1"/>
      <c r="K8">
        <v>15</v>
      </c>
      <c r="L8">
        <v>31.536000000000001</v>
      </c>
      <c r="M8">
        <v>2024</v>
      </c>
      <c r="N8">
        <f>1/0.26</f>
        <v>3.8461538461538458</v>
      </c>
      <c r="O8">
        <v>0.2</v>
      </c>
      <c r="Q8">
        <v>0.81799999999999995</v>
      </c>
      <c r="S8">
        <f>2412*NOTES!G10</f>
        <v>2580.84</v>
      </c>
      <c r="T8">
        <f t="shared" si="0"/>
        <v>2580.84</v>
      </c>
      <c r="U8">
        <f t="shared" ref="U8:X8" si="11">T8</f>
        <v>2580.84</v>
      </c>
      <c r="V8">
        <f t="shared" si="11"/>
        <v>2580.84</v>
      </c>
      <c r="W8">
        <f t="shared" si="11"/>
        <v>2580.84</v>
      </c>
      <c r="X8">
        <f t="shared" si="11"/>
        <v>2580.84</v>
      </c>
      <c r="Y8">
        <f>77.18*NOTES!G10</f>
        <v>82.582600000000014</v>
      </c>
      <c r="Z8">
        <f t="shared" ref="Z8:AD9" si="12">Y8</f>
        <v>82.582600000000014</v>
      </c>
      <c r="AA8">
        <v>77.180000000000007</v>
      </c>
      <c r="AB8">
        <v>77.180000000000007</v>
      </c>
      <c r="AC8">
        <v>77.180000000000007</v>
      </c>
      <c r="AD8">
        <v>77.180000000000007</v>
      </c>
      <c r="AE8">
        <v>4.47</v>
      </c>
      <c r="AF8">
        <v>4.47</v>
      </c>
      <c r="AG8">
        <v>4.47</v>
      </c>
      <c r="AH8">
        <v>4.47</v>
      </c>
      <c r="AI8">
        <v>4.47</v>
      </c>
      <c r="AJ8">
        <v>4.47</v>
      </c>
      <c r="AK8">
        <v>4.47</v>
      </c>
      <c r="AL8">
        <v>4.47</v>
      </c>
      <c r="AM8">
        <v>4.47</v>
      </c>
      <c r="AN8">
        <v>4.47</v>
      </c>
      <c r="AO8">
        <v>4.47</v>
      </c>
      <c r="AP8">
        <v>4.47</v>
      </c>
      <c r="AQ8">
        <v>4.47</v>
      </c>
      <c r="AR8">
        <v>4.47</v>
      </c>
      <c r="AS8">
        <v>4.47</v>
      </c>
      <c r="AT8">
        <v>4.47</v>
      </c>
      <c r="AU8">
        <v>4.47</v>
      </c>
      <c r="AV8">
        <v>4.47</v>
      </c>
      <c r="AW8">
        <v>4.47</v>
      </c>
      <c r="AX8">
        <v>4.47</v>
      </c>
      <c r="AY8">
        <v>4.47</v>
      </c>
      <c r="AZ8">
        <v>4.47</v>
      </c>
      <c r="BA8">
        <v>4.47</v>
      </c>
      <c r="BB8">
        <v>4.47</v>
      </c>
      <c r="BC8">
        <v>4.47</v>
      </c>
      <c r="BD8">
        <v>4.47</v>
      </c>
      <c r="BE8" t="s">
        <v>56</v>
      </c>
    </row>
    <row r="9" spans="2:57" x14ac:dyDescent="0.2">
      <c r="B9" t="s">
        <v>224</v>
      </c>
      <c r="C9" t="s">
        <v>101</v>
      </c>
      <c r="D9" s="4" t="s">
        <v>69</v>
      </c>
      <c r="E9" t="s">
        <v>70</v>
      </c>
      <c r="F9" t="s">
        <v>82</v>
      </c>
      <c r="I9" s="1" t="s">
        <v>55</v>
      </c>
      <c r="J9" s="1"/>
      <c r="K9">
        <v>25</v>
      </c>
      <c r="L9">
        <v>31.536000000000001</v>
      </c>
      <c r="M9">
        <v>2023</v>
      </c>
      <c r="N9">
        <v>1</v>
      </c>
      <c r="O9">
        <v>0</v>
      </c>
      <c r="Q9">
        <v>1</v>
      </c>
      <c r="S9">
        <f>(2771+(T9-2771)*2/5)*NOTES!G10</f>
        <v>2521.3351600000001</v>
      </c>
      <c r="T9">
        <f>1621*1.07</f>
        <v>1734.47</v>
      </c>
      <c r="U9">
        <f>1157.52*1.07</f>
        <v>1238.5463999999999</v>
      </c>
      <c r="V9">
        <f>1042.24*1.07</f>
        <v>1115.1968000000002</v>
      </c>
      <c r="W9">
        <f>941.07*1.07</f>
        <v>1006.9449000000001</v>
      </c>
      <c r="X9">
        <f>850.5*1.07</f>
        <v>910.03500000000008</v>
      </c>
      <c r="Y9">
        <f>(32.48+(19-32.48)*2/5)*NOTES!G10</f>
        <v>28.984159999999999</v>
      </c>
      <c r="Z9">
        <f t="shared" si="12"/>
        <v>28.984159999999999</v>
      </c>
      <c r="AA9">
        <f t="shared" si="12"/>
        <v>28.984159999999999</v>
      </c>
      <c r="AB9">
        <f t="shared" si="12"/>
        <v>28.984159999999999</v>
      </c>
      <c r="AC9">
        <f t="shared" si="12"/>
        <v>28.984159999999999</v>
      </c>
      <c r="AD9">
        <f t="shared" si="12"/>
        <v>28.984159999999999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56</v>
      </c>
    </row>
    <row r="10" spans="2:57" x14ac:dyDescent="0.2">
      <c r="B10" t="s">
        <v>224</v>
      </c>
      <c r="C10" t="s">
        <v>101</v>
      </c>
      <c r="D10" t="s">
        <v>71</v>
      </c>
      <c r="E10" t="s">
        <v>72</v>
      </c>
      <c r="F10" t="s">
        <v>82</v>
      </c>
      <c r="I10" s="1" t="s">
        <v>55</v>
      </c>
      <c r="J10" s="1"/>
      <c r="K10">
        <v>25</v>
      </c>
      <c r="L10">
        <v>31.536000000000001</v>
      </c>
      <c r="M10">
        <v>2024</v>
      </c>
      <c r="N10">
        <v>1</v>
      </c>
      <c r="O10">
        <v>0</v>
      </c>
      <c r="Q10">
        <v>1</v>
      </c>
      <c r="S10">
        <f>6051+(T10-6051)*2/5</f>
        <v>5253.8</v>
      </c>
      <c r="T10">
        <v>4058</v>
      </c>
      <c r="U10">
        <v>3269</v>
      </c>
      <c r="V10">
        <v>2634</v>
      </c>
      <c r="W10">
        <v>2598</v>
      </c>
      <c r="X10">
        <v>2562</v>
      </c>
      <c r="Y10">
        <f>90.96+(Z10-90.96)*2/5</f>
        <v>78.975999999999999</v>
      </c>
      <c r="Z10">
        <v>61</v>
      </c>
      <c r="AA10">
        <v>49.14</v>
      </c>
      <c r="AB10">
        <v>39.590000000000003</v>
      </c>
      <c r="AC10">
        <v>39.049999999999997</v>
      </c>
      <c r="AD10">
        <v>38.51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56</v>
      </c>
    </row>
    <row r="11" spans="2:57" x14ac:dyDescent="0.2">
      <c r="B11" t="s">
        <v>224</v>
      </c>
      <c r="C11" t="s">
        <v>101</v>
      </c>
      <c r="D11" t="s">
        <v>73</v>
      </c>
      <c r="E11" t="s">
        <v>74</v>
      </c>
      <c r="F11" t="s">
        <v>82</v>
      </c>
      <c r="I11" s="1" t="s">
        <v>55</v>
      </c>
      <c r="J11" s="1"/>
      <c r="K11">
        <v>25</v>
      </c>
      <c r="L11">
        <v>31.536000000000001</v>
      </c>
      <c r="M11">
        <v>2024</v>
      </c>
      <c r="N11">
        <v>1</v>
      </c>
      <c r="O11">
        <v>0</v>
      </c>
      <c r="Q11">
        <v>1</v>
      </c>
      <c r="S11">
        <f>8645+(T11-8645)*2/5</f>
        <v>7505.8</v>
      </c>
      <c r="T11">
        <v>5797</v>
      </c>
      <c r="U11">
        <v>4670</v>
      </c>
      <c r="V11">
        <v>3763</v>
      </c>
      <c r="W11">
        <v>3711</v>
      </c>
      <c r="X11">
        <v>3660</v>
      </c>
      <c r="Y11">
        <f>128.25+(Z11-128.25)*2/5</f>
        <v>111.35</v>
      </c>
      <c r="Z11">
        <v>86</v>
      </c>
      <c r="AA11">
        <v>69.28</v>
      </c>
      <c r="AB11">
        <v>55.83</v>
      </c>
      <c r="AC11">
        <v>55.05</v>
      </c>
      <c r="AD11">
        <v>54.3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56</v>
      </c>
    </row>
    <row r="12" spans="2:57" x14ac:dyDescent="0.2">
      <c r="B12" t="s">
        <v>224</v>
      </c>
      <c r="C12" t="s">
        <v>101</v>
      </c>
      <c r="D12" t="s">
        <v>75</v>
      </c>
      <c r="E12" t="s">
        <v>76</v>
      </c>
      <c r="F12" t="s">
        <v>82</v>
      </c>
      <c r="I12" s="1" t="s">
        <v>55</v>
      </c>
      <c r="J12" s="1"/>
      <c r="K12">
        <v>25</v>
      </c>
      <c r="L12">
        <v>31.536000000000001</v>
      </c>
      <c r="M12">
        <v>2050</v>
      </c>
      <c r="N12">
        <f>1/0.53</f>
        <v>1.8867924528301885</v>
      </c>
      <c r="O12">
        <v>0</v>
      </c>
      <c r="Q12">
        <v>0.92200000000000004</v>
      </c>
      <c r="S12">
        <v>6051</v>
      </c>
      <c r="T12">
        <f>S12</f>
        <v>6051</v>
      </c>
      <c r="U12">
        <f t="shared" ref="U12:X12" si="13">T12</f>
        <v>6051</v>
      </c>
      <c r="V12">
        <f t="shared" si="13"/>
        <v>6051</v>
      </c>
      <c r="W12">
        <f t="shared" si="13"/>
        <v>6051</v>
      </c>
      <c r="X12">
        <f t="shared" si="13"/>
        <v>6051</v>
      </c>
      <c r="Y12">
        <v>60.51</v>
      </c>
      <c r="Z12">
        <v>60.51</v>
      </c>
      <c r="AA12">
        <v>60.51</v>
      </c>
      <c r="AB12">
        <v>60.51</v>
      </c>
      <c r="AC12">
        <v>60.51</v>
      </c>
      <c r="AD12">
        <v>60.51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56</v>
      </c>
    </row>
    <row r="13" spans="2:57" x14ac:dyDescent="0.2">
      <c r="B13" t="s">
        <v>224</v>
      </c>
      <c r="C13" t="s">
        <v>101</v>
      </c>
      <c r="D13" t="s">
        <v>77</v>
      </c>
      <c r="E13" t="s">
        <v>78</v>
      </c>
      <c r="F13" t="s">
        <v>82</v>
      </c>
      <c r="I13" s="1" t="s">
        <v>55</v>
      </c>
      <c r="J13" s="1"/>
      <c r="K13">
        <v>25</v>
      </c>
      <c r="L13">
        <v>31.536000000000001</v>
      </c>
      <c r="M13">
        <v>2024</v>
      </c>
      <c r="N13">
        <v>1</v>
      </c>
      <c r="O13">
        <v>0</v>
      </c>
      <c r="Q13">
        <v>1</v>
      </c>
      <c r="S13">
        <f>2180+(1451-2180)*2/5</f>
        <v>1888.4</v>
      </c>
      <c r="T13">
        <v>1451</v>
      </c>
      <c r="U13">
        <v>1160.6099999999999</v>
      </c>
      <c r="V13">
        <v>1059.26</v>
      </c>
      <c r="W13">
        <v>909.19</v>
      </c>
      <c r="X13">
        <v>909.19</v>
      </c>
      <c r="Y13">
        <f>90.14+(Z13-90.14)*2/5</f>
        <v>78.084000000000003</v>
      </c>
      <c r="Z13">
        <v>60</v>
      </c>
      <c r="AA13">
        <v>47.99</v>
      </c>
      <c r="AB13">
        <v>43.8</v>
      </c>
      <c r="AC13">
        <v>37.6</v>
      </c>
      <c r="AD13">
        <v>37.6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F0AD-6108-1E49-ABB3-1B7DF11AD54F}">
  <dimension ref="A1:BF66"/>
  <sheetViews>
    <sheetView topLeftCell="F1" workbookViewId="0">
      <pane ySplit="1" topLeftCell="A2" activePane="bottomLeft" state="frozen"/>
      <selection pane="bottomLeft" activeCell="J16" sqref="J16"/>
    </sheetView>
  </sheetViews>
  <sheetFormatPr baseColWidth="10" defaultRowHeight="16" x14ac:dyDescent="0.2"/>
  <cols>
    <col min="4" max="4" width="25.6640625" customWidth="1"/>
    <col min="10" max="10" width="11.6640625" bestFit="1" customWidth="1"/>
    <col min="20" max="20" width="15" customWidth="1"/>
    <col min="21" max="58" width="10.83203125" customWidth="1"/>
  </cols>
  <sheetData>
    <row r="1" spans="1:58" s="5" customFormat="1" ht="43" customHeight="1" x14ac:dyDescent="0.2">
      <c r="A1" s="5" t="s">
        <v>99</v>
      </c>
      <c r="B1" s="5" t="s">
        <v>100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216</v>
      </c>
      <c r="K1" s="5" t="s">
        <v>8</v>
      </c>
      <c r="L1" s="5" t="s">
        <v>9</v>
      </c>
      <c r="M1" s="5" t="s">
        <v>7</v>
      </c>
      <c r="N1" s="5" t="s">
        <v>10</v>
      </c>
      <c r="O1" s="5" t="s">
        <v>11</v>
      </c>
      <c r="P1" s="5" t="s">
        <v>12</v>
      </c>
      <c r="Q1" s="5" t="s">
        <v>199</v>
      </c>
      <c r="R1" s="5" t="s">
        <v>218</v>
      </c>
      <c r="S1" s="5" t="s">
        <v>312</v>
      </c>
      <c r="T1" s="7" t="s">
        <v>88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7" t="s">
        <v>45</v>
      </c>
      <c r="BA1" s="7" t="s">
        <v>46</v>
      </c>
      <c r="BB1" s="7" t="s">
        <v>47</v>
      </c>
      <c r="BC1" s="7" t="s">
        <v>48</v>
      </c>
      <c r="BD1" s="7" t="s">
        <v>49</v>
      </c>
      <c r="BE1" s="7" t="s">
        <v>50</v>
      </c>
      <c r="BF1" s="7" t="s">
        <v>51</v>
      </c>
    </row>
    <row r="2" spans="1:58" s="11" customFormat="1" ht="17" customHeight="1" x14ac:dyDescent="0.2">
      <c r="A2">
        <v>-5.8487</v>
      </c>
      <c r="B2">
        <v>13.056100000000001</v>
      </c>
      <c r="C2" s="11" t="s">
        <v>52</v>
      </c>
      <c r="D2" s="12" t="s">
        <v>398</v>
      </c>
      <c r="E2" s="11" t="s">
        <v>135</v>
      </c>
      <c r="F2" s="11" t="str">
        <f t="shared" ref="F2:F9" si="0">C2&amp;E2</f>
        <v>D1DSBC01</v>
      </c>
      <c r="G2" s="11" t="str">
        <f>LEFT(F2,4)&amp;"00"</f>
        <v>D1DS00</v>
      </c>
      <c r="H2" s="11" t="str">
        <f>C2&amp;"ELC01"</f>
        <v>D1ELC01</v>
      </c>
      <c r="I2" s="11" t="s">
        <v>80</v>
      </c>
      <c r="J2" s="62">
        <v>2.2499999999999999E-2</v>
      </c>
      <c r="K2" s="11">
        <v>31</v>
      </c>
      <c r="L2" s="11">
        <v>31.536000000000001</v>
      </c>
      <c r="M2" s="11">
        <v>2010</v>
      </c>
      <c r="N2" s="11">
        <f>1/0.35</f>
        <v>2.8571428571428572</v>
      </c>
      <c r="O2" s="11">
        <v>0.05</v>
      </c>
      <c r="P2" s="11">
        <v>0.8</v>
      </c>
      <c r="Q2" s="11">
        <v>0.89400000000000002</v>
      </c>
      <c r="R2" s="11">
        <v>2.2499999999999999E-2</v>
      </c>
      <c r="S2" s="11">
        <f>R2</f>
        <v>2.2499999999999999E-2</v>
      </c>
      <c r="T2" s="11">
        <f>[2]IRENA_QGIS_Power_Plants!$W$6</f>
        <v>1024.5</v>
      </c>
      <c r="U2" s="11">
        <f>T2</f>
        <v>1024.5</v>
      </c>
      <c r="V2" s="11">
        <f t="shared" ref="V2:Y4" si="1">U2</f>
        <v>1024.5</v>
      </c>
      <c r="W2" s="11">
        <f t="shared" si="1"/>
        <v>1024.5</v>
      </c>
      <c r="X2" s="11">
        <f t="shared" si="1"/>
        <v>1024.5</v>
      </c>
      <c r="Y2" s="11">
        <f t="shared" si="1"/>
        <v>1024.5</v>
      </c>
      <c r="Z2" s="11">
        <v>33</v>
      </c>
      <c r="AA2" s="11">
        <f>Z2</f>
        <v>33</v>
      </c>
      <c r="AB2" s="11">
        <f t="shared" ref="AB2:AE4" si="2">AA2</f>
        <v>33</v>
      </c>
      <c r="AC2" s="11">
        <f t="shared" si="2"/>
        <v>33</v>
      </c>
      <c r="AD2" s="11">
        <f t="shared" si="2"/>
        <v>33</v>
      </c>
      <c r="AE2" s="11">
        <f t="shared" si="2"/>
        <v>33</v>
      </c>
    </row>
    <row r="3" spans="1:58" s="11" customFormat="1" ht="17" customHeight="1" x14ac:dyDescent="0.2">
      <c r="A3">
        <v>-5.5161300000000004</v>
      </c>
      <c r="B3">
        <v>13.62162</v>
      </c>
      <c r="C3" s="11" t="s">
        <v>52</v>
      </c>
      <c r="D3" s="12" t="s">
        <v>93</v>
      </c>
      <c r="E3" s="11" t="s">
        <v>91</v>
      </c>
      <c r="F3" s="11" t="str">
        <f t="shared" si="0"/>
        <v>D1HYIC01</v>
      </c>
      <c r="G3" s="11" t="str">
        <f>LEFT(F3,4)&amp;"00"</f>
        <v>D1HY00</v>
      </c>
      <c r="H3" s="11" t="str">
        <f t="shared" ref="H3:H58" si="3">C3&amp;"ELC01"</f>
        <v>D1ELC01</v>
      </c>
      <c r="I3" s="11" t="s">
        <v>80</v>
      </c>
      <c r="J3" s="62">
        <v>0.29599999999999999</v>
      </c>
      <c r="K3" s="11">
        <v>80</v>
      </c>
      <c r="L3" s="11">
        <v>31.536000000000001</v>
      </c>
      <c r="M3" s="11">
        <v>1971</v>
      </c>
      <c r="N3" s="11">
        <v>1</v>
      </c>
      <c r="O3" s="11">
        <v>0</v>
      </c>
      <c r="P3" s="11">
        <v>0.4</v>
      </c>
      <c r="Q3" s="11">
        <v>0.6</v>
      </c>
      <c r="R3" s="11">
        <v>0.35099999999999998</v>
      </c>
      <c r="S3" s="11">
        <f>(351-55)/1000</f>
        <v>0.29599999999999999</v>
      </c>
      <c r="T3" s="11">
        <v>2830.2</v>
      </c>
      <c r="U3" s="11">
        <f>T3</f>
        <v>2830.2</v>
      </c>
      <c r="V3" s="11">
        <f t="shared" si="1"/>
        <v>2830.2</v>
      </c>
      <c r="W3" s="11">
        <f t="shared" si="1"/>
        <v>2830.2</v>
      </c>
      <c r="X3" s="11">
        <f t="shared" si="1"/>
        <v>2830.2</v>
      </c>
      <c r="Y3" s="11">
        <f t="shared" si="1"/>
        <v>2830.2</v>
      </c>
      <c r="Z3" s="11">
        <v>90</v>
      </c>
      <c r="AA3" s="11">
        <f>Z3</f>
        <v>90</v>
      </c>
      <c r="AB3" s="11">
        <f t="shared" si="2"/>
        <v>90</v>
      </c>
      <c r="AC3" s="11">
        <f t="shared" si="2"/>
        <v>90</v>
      </c>
      <c r="AD3" s="11">
        <f t="shared" si="2"/>
        <v>90</v>
      </c>
      <c r="AE3" s="11">
        <f t="shared" si="2"/>
        <v>90</v>
      </c>
    </row>
    <row r="4" spans="1:58" s="11" customFormat="1" ht="17" customHeight="1" x14ac:dyDescent="0.2">
      <c r="A4">
        <v>-5.5269727580000003</v>
      </c>
      <c r="B4">
        <v>13.62090111</v>
      </c>
      <c r="C4" s="11" t="s">
        <v>52</v>
      </c>
      <c r="D4" s="12" t="s">
        <v>94</v>
      </c>
      <c r="E4" s="11" t="s">
        <v>90</v>
      </c>
      <c r="F4" s="11" t="str">
        <f t="shared" si="0"/>
        <v>D1HYIC02</v>
      </c>
      <c r="G4" s="11" t="str">
        <f>LEFT(F4,4)&amp;"00"</f>
        <v>D1HY00</v>
      </c>
      <c r="H4" s="11" t="str">
        <f t="shared" si="3"/>
        <v>D1ELC01</v>
      </c>
      <c r="I4" s="11" t="s">
        <v>80</v>
      </c>
      <c r="J4" s="62">
        <v>1.056</v>
      </c>
      <c r="K4" s="11">
        <v>80</v>
      </c>
      <c r="L4" s="11">
        <v>31.536000000000001</v>
      </c>
      <c r="M4" s="11">
        <v>1982</v>
      </c>
      <c r="N4" s="11">
        <v>1</v>
      </c>
      <c r="O4" s="11">
        <v>0</v>
      </c>
      <c r="P4" s="11">
        <v>0.4</v>
      </c>
      <c r="Q4" s="11">
        <v>0.6</v>
      </c>
      <c r="R4" s="11">
        <v>1.4239999999999999</v>
      </c>
      <c r="S4" s="11">
        <f>1056/1000</f>
        <v>1.056</v>
      </c>
      <c r="T4" s="11">
        <v>2830.2</v>
      </c>
      <c r="U4" s="11">
        <f>T4</f>
        <v>2830.2</v>
      </c>
      <c r="V4" s="11">
        <f t="shared" si="1"/>
        <v>2830.2</v>
      </c>
      <c r="W4" s="11">
        <f t="shared" si="1"/>
        <v>2830.2</v>
      </c>
      <c r="X4" s="11">
        <f t="shared" si="1"/>
        <v>2830.2</v>
      </c>
      <c r="Y4" s="11">
        <f t="shared" si="1"/>
        <v>2830.2</v>
      </c>
      <c r="Z4" s="11">
        <v>90</v>
      </c>
      <c r="AA4" s="11">
        <f>Z4</f>
        <v>90</v>
      </c>
      <c r="AB4" s="11">
        <f t="shared" si="2"/>
        <v>90</v>
      </c>
      <c r="AC4" s="11">
        <f t="shared" si="2"/>
        <v>90</v>
      </c>
      <c r="AD4" s="11">
        <f t="shared" si="2"/>
        <v>90</v>
      </c>
      <c r="AE4" s="11">
        <f t="shared" si="2"/>
        <v>90</v>
      </c>
    </row>
    <row r="5" spans="1:58" s="11" customFormat="1" ht="17" customHeight="1" x14ac:dyDescent="0.2">
      <c r="A5">
        <v>-5.82</v>
      </c>
      <c r="B5">
        <v>13.48</v>
      </c>
      <c r="C5" s="11" t="s">
        <v>52</v>
      </c>
      <c r="D5" s="12" t="s">
        <v>397</v>
      </c>
      <c r="E5" s="11" t="s">
        <v>97</v>
      </c>
      <c r="F5" s="11" t="str">
        <f t="shared" si="0"/>
        <v>D1HYZC01</v>
      </c>
      <c r="G5" s="11" t="str">
        <f t="shared" ref="G5:G9" si="4">LEFT(F5,4)&amp;"00"</f>
        <v>D1HY00</v>
      </c>
      <c r="H5" s="11" t="str">
        <f t="shared" si="3"/>
        <v>D1ELC01</v>
      </c>
      <c r="I5" s="11" t="s">
        <v>80</v>
      </c>
      <c r="J5" s="62">
        <v>3.1E-2</v>
      </c>
      <c r="K5" s="11">
        <v>100</v>
      </c>
      <c r="L5" s="11">
        <v>31.536000000000001</v>
      </c>
      <c r="M5" s="11">
        <v>1965</v>
      </c>
      <c r="N5" s="11">
        <v>1</v>
      </c>
      <c r="O5" s="11">
        <v>0</v>
      </c>
      <c r="P5" s="11">
        <v>0.2344</v>
      </c>
      <c r="Q5" s="11">
        <v>0.6</v>
      </c>
      <c r="R5" s="11">
        <v>7.4999999999999997E-2</v>
      </c>
      <c r="S5" s="11">
        <f>(13+18)/1000</f>
        <v>3.1E-2</v>
      </c>
      <c r="T5" s="11">
        <v>2830.2</v>
      </c>
      <c r="U5" s="11">
        <f t="shared" ref="U5:Y5" si="5">T5</f>
        <v>2830.2</v>
      </c>
      <c r="V5" s="11">
        <f t="shared" si="5"/>
        <v>2830.2</v>
      </c>
      <c r="W5" s="11">
        <f t="shared" si="5"/>
        <v>2830.2</v>
      </c>
      <c r="X5" s="11">
        <f t="shared" si="5"/>
        <v>2830.2</v>
      </c>
      <c r="Y5" s="11">
        <f t="shared" si="5"/>
        <v>2830.2</v>
      </c>
      <c r="Z5" s="11">
        <v>90</v>
      </c>
      <c r="AA5" s="11">
        <f t="shared" ref="AA5:AE5" si="6">Z5</f>
        <v>90</v>
      </c>
      <c r="AB5" s="11">
        <f t="shared" si="6"/>
        <v>90</v>
      </c>
      <c r="AC5" s="11">
        <f t="shared" si="6"/>
        <v>90</v>
      </c>
      <c r="AD5" s="11">
        <f t="shared" si="6"/>
        <v>90</v>
      </c>
      <c r="AE5" s="11">
        <f t="shared" si="6"/>
        <v>90</v>
      </c>
    </row>
    <row r="6" spans="1:58" s="11" customFormat="1" ht="17" customHeight="1" x14ac:dyDescent="0.2">
      <c r="A6">
        <v>-4.770556</v>
      </c>
      <c r="B6">
        <v>14.893889</v>
      </c>
      <c r="C6" s="11" t="s">
        <v>52</v>
      </c>
      <c r="D6" s="12" t="s">
        <v>92</v>
      </c>
      <c r="E6" s="11" t="s">
        <v>98</v>
      </c>
      <c r="F6" s="11" t="str">
        <f t="shared" si="0"/>
        <v>D1HYZC02</v>
      </c>
      <c r="G6" s="11" t="str">
        <f t="shared" si="4"/>
        <v>D1HY00</v>
      </c>
      <c r="H6" s="11" t="str">
        <f t="shared" si="3"/>
        <v>D1ELC01</v>
      </c>
      <c r="I6" s="11" t="s">
        <v>80</v>
      </c>
      <c r="J6" s="62">
        <v>0.15</v>
      </c>
      <c r="K6" s="11">
        <v>80</v>
      </c>
      <c r="L6" s="11">
        <v>31.536000000000001</v>
      </c>
      <c r="M6" s="11">
        <v>2019</v>
      </c>
      <c r="N6" s="11">
        <v>1</v>
      </c>
      <c r="O6" s="11">
        <v>0</v>
      </c>
      <c r="P6" s="11">
        <v>0.32</v>
      </c>
      <c r="Q6" s="11">
        <v>0.6</v>
      </c>
      <c r="R6" s="11">
        <v>0.15</v>
      </c>
      <c r="S6" s="11">
        <f>R6</f>
        <v>0.15</v>
      </c>
      <c r="T6" s="11">
        <v>2830.2</v>
      </c>
      <c r="U6" s="11">
        <f t="shared" ref="U6:Y6" si="7">T6</f>
        <v>2830.2</v>
      </c>
      <c r="V6" s="11">
        <f t="shared" si="7"/>
        <v>2830.2</v>
      </c>
      <c r="W6" s="11">
        <f t="shared" si="7"/>
        <v>2830.2</v>
      </c>
      <c r="X6" s="11">
        <f t="shared" si="7"/>
        <v>2830.2</v>
      </c>
      <c r="Y6" s="11">
        <f t="shared" si="7"/>
        <v>2830.2</v>
      </c>
      <c r="Z6" s="11">
        <v>90</v>
      </c>
      <c r="AA6" s="11">
        <f t="shared" ref="AA6:AE6" si="8">Z6</f>
        <v>90</v>
      </c>
      <c r="AB6" s="11">
        <f t="shared" si="8"/>
        <v>90</v>
      </c>
      <c r="AC6" s="11">
        <f t="shared" si="8"/>
        <v>90</v>
      </c>
      <c r="AD6" s="11">
        <f t="shared" si="8"/>
        <v>90</v>
      </c>
      <c r="AE6" s="11">
        <f t="shared" si="8"/>
        <v>90</v>
      </c>
    </row>
    <row r="7" spans="1:58" s="11" customFormat="1" ht="17" customHeight="1" x14ac:dyDescent="0.2">
      <c r="A7">
        <v>-4.8419439999999998</v>
      </c>
      <c r="B7">
        <v>14.960556</v>
      </c>
      <c r="C7" s="11" t="s">
        <v>52</v>
      </c>
      <c r="D7" s="12" t="s">
        <v>96</v>
      </c>
      <c r="E7" s="11" t="s">
        <v>181</v>
      </c>
      <c r="F7" s="11" t="str">
        <f t="shared" si="0"/>
        <v>D1HYSC01</v>
      </c>
      <c r="G7" s="11" t="str">
        <f t="shared" si="4"/>
        <v>D1HY00</v>
      </c>
      <c r="H7" s="11" t="str">
        <f t="shared" si="3"/>
        <v>D1ELC01</v>
      </c>
      <c r="I7" s="11" t="s">
        <v>80</v>
      </c>
      <c r="J7" s="62">
        <v>0</v>
      </c>
      <c r="K7" s="11">
        <v>120</v>
      </c>
      <c r="L7" s="11">
        <v>31.536000000000001</v>
      </c>
      <c r="M7" s="11">
        <v>1932</v>
      </c>
      <c r="N7" s="11">
        <v>1</v>
      </c>
      <c r="O7" s="11">
        <v>0</v>
      </c>
      <c r="P7" s="11">
        <v>0.45</v>
      </c>
      <c r="Q7" s="11">
        <v>0.6</v>
      </c>
      <c r="R7" s="11">
        <v>1.2E-2</v>
      </c>
      <c r="S7" s="11">
        <f>R7</f>
        <v>1.2E-2</v>
      </c>
      <c r="T7" s="11">
        <v>2830.2</v>
      </c>
      <c r="U7" s="11">
        <f t="shared" ref="U7:Y7" si="9">T7</f>
        <v>2830.2</v>
      </c>
      <c r="V7" s="11">
        <f t="shared" si="9"/>
        <v>2830.2</v>
      </c>
      <c r="W7" s="11">
        <f t="shared" si="9"/>
        <v>2830.2</v>
      </c>
      <c r="X7" s="11">
        <f t="shared" si="9"/>
        <v>2830.2</v>
      </c>
      <c r="Y7" s="11">
        <f t="shared" si="9"/>
        <v>2830.2</v>
      </c>
      <c r="Z7" s="11">
        <v>90</v>
      </c>
      <c r="AA7" s="11">
        <f t="shared" ref="AA7:AE10" si="10">Z7</f>
        <v>90</v>
      </c>
      <c r="AB7" s="11">
        <f t="shared" si="10"/>
        <v>90</v>
      </c>
      <c r="AC7" s="11">
        <f t="shared" si="10"/>
        <v>90</v>
      </c>
      <c r="AD7" s="11">
        <f t="shared" si="10"/>
        <v>90</v>
      </c>
      <c r="AE7" s="11">
        <f t="shared" si="10"/>
        <v>90</v>
      </c>
    </row>
    <row r="8" spans="1:58" s="18" customFormat="1" ht="17" customHeight="1" x14ac:dyDescent="0.2">
      <c r="A8">
        <v>-6.3581000000000003</v>
      </c>
      <c r="B8">
        <v>22.447199999999999</v>
      </c>
      <c r="C8" s="18" t="s">
        <v>396</v>
      </c>
      <c r="D8" s="19" t="s">
        <v>204</v>
      </c>
      <c r="E8" s="18" t="s">
        <v>205</v>
      </c>
      <c r="F8" s="18" t="str">
        <f t="shared" si="0"/>
        <v>CentralHYKC05</v>
      </c>
      <c r="G8" s="18" t="str">
        <f t="shared" si="4"/>
        <v>Cent00</v>
      </c>
      <c r="H8" s="18" t="str">
        <f t="shared" si="3"/>
        <v>CentralELC01</v>
      </c>
      <c r="I8" s="18" t="s">
        <v>95</v>
      </c>
      <c r="J8" s="63">
        <v>6.4000000000000001E-2</v>
      </c>
      <c r="K8" s="18">
        <v>50</v>
      </c>
      <c r="L8" s="11">
        <v>31.536000000000001</v>
      </c>
      <c r="M8" s="18">
        <v>2022</v>
      </c>
      <c r="N8" s="18">
        <v>1</v>
      </c>
      <c r="O8" s="18">
        <v>0</v>
      </c>
      <c r="R8" s="18">
        <v>6.4000000000000001E-2</v>
      </c>
      <c r="S8" s="11">
        <f>R8</f>
        <v>6.4000000000000001E-2</v>
      </c>
    </row>
    <row r="9" spans="1:58" s="54" customFormat="1" ht="17" customHeight="1" x14ac:dyDescent="0.2">
      <c r="A9" s="53" t="s">
        <v>399</v>
      </c>
      <c r="B9" s="53" t="s">
        <v>400</v>
      </c>
      <c r="C9" s="54" t="s">
        <v>79</v>
      </c>
      <c r="D9" s="55" t="s">
        <v>401</v>
      </c>
      <c r="E9" s="54" t="s">
        <v>191</v>
      </c>
      <c r="F9" s="54" t="str">
        <f t="shared" si="0"/>
        <v>D2HYBC01</v>
      </c>
      <c r="G9" s="54" t="str">
        <f t="shared" si="4"/>
        <v>D2HY00</v>
      </c>
      <c r="H9" s="54" t="str">
        <f t="shared" si="3"/>
        <v>D2ELC01</v>
      </c>
      <c r="I9" s="54" t="s">
        <v>80</v>
      </c>
      <c r="J9" s="64">
        <v>0.06</v>
      </c>
      <c r="K9" s="54">
        <v>50</v>
      </c>
      <c r="L9" s="54">
        <f>L8</f>
        <v>31.536000000000001</v>
      </c>
      <c r="M9" s="54">
        <v>2021</v>
      </c>
      <c r="N9" s="54">
        <v>1</v>
      </c>
      <c r="O9" s="54">
        <v>0</v>
      </c>
      <c r="P9" s="54">
        <v>0.4</v>
      </c>
      <c r="Q9" s="54">
        <v>0.6</v>
      </c>
      <c r="R9" s="54">
        <v>0.24</v>
      </c>
      <c r="S9" s="54">
        <v>0.06</v>
      </c>
      <c r="T9" s="54">
        <v>2830.2</v>
      </c>
      <c r="U9" s="54">
        <f>T9</f>
        <v>2830.2</v>
      </c>
      <c r="V9" s="54">
        <f t="shared" ref="V9" si="11">U9</f>
        <v>2830.2</v>
      </c>
      <c r="W9" s="54">
        <f t="shared" ref="W9" si="12">V9</f>
        <v>2830.2</v>
      </c>
      <c r="X9" s="54">
        <f t="shared" ref="X9" si="13">W9</f>
        <v>2830.2</v>
      </c>
      <c r="Y9" s="54">
        <f t="shared" ref="Y9" si="14">X9</f>
        <v>2830.2</v>
      </c>
      <c r="Z9" s="54">
        <v>90</v>
      </c>
      <c r="AA9" s="54">
        <f t="shared" ref="AA9" si="15">Z9</f>
        <v>90</v>
      </c>
      <c r="AB9" s="54">
        <f t="shared" ref="AB9" si="16">AA9</f>
        <v>90</v>
      </c>
      <c r="AC9" s="54">
        <f t="shared" ref="AC9" si="17">AB9</f>
        <v>90</v>
      </c>
      <c r="AD9" s="54">
        <f t="shared" ref="AD9" si="18">AC9</f>
        <v>90</v>
      </c>
      <c r="AE9" s="54">
        <f t="shared" ref="AE9" si="19">AD9</f>
        <v>90</v>
      </c>
    </row>
    <row r="10" spans="1:58" s="2" customFormat="1" x14ac:dyDescent="0.2">
      <c r="A10" s="2">
        <v>-10.718400000000001</v>
      </c>
      <c r="B10" s="2">
        <v>27.283899999999999</v>
      </c>
      <c r="C10" s="2" t="s">
        <v>79</v>
      </c>
      <c r="D10" s="2" t="s">
        <v>102</v>
      </c>
      <c r="E10" s="2" t="s">
        <v>106</v>
      </c>
      <c r="F10" s="2" t="str">
        <f>C10&amp;E10</f>
        <v>D2HYKC01</v>
      </c>
      <c r="G10" s="2" t="str">
        <f>LEFT(F10,4)&amp;"00"</f>
        <v>D2HY00</v>
      </c>
      <c r="H10" s="2" t="str">
        <f t="shared" si="3"/>
        <v>D2ELC01</v>
      </c>
      <c r="I10" s="2" t="s">
        <v>80</v>
      </c>
      <c r="J10" s="65">
        <v>2.5999999999999999E-2</v>
      </c>
      <c r="K10" s="2">
        <v>110</v>
      </c>
      <c r="L10" s="2">
        <v>31.536000000000001</v>
      </c>
      <c r="M10" s="2">
        <v>1950</v>
      </c>
      <c r="N10" s="2">
        <v>1</v>
      </c>
      <c r="O10" s="2">
        <v>0</v>
      </c>
      <c r="P10" s="2">
        <v>0.4</v>
      </c>
      <c r="Q10" s="11">
        <v>0.6</v>
      </c>
      <c r="R10" s="2">
        <v>4.2119999999999998E-2</v>
      </c>
      <c r="S10" s="2">
        <v>7.4999999999999997E-2</v>
      </c>
      <c r="T10" s="2">
        <v>2830.2</v>
      </c>
      <c r="U10" s="2">
        <f>T10</f>
        <v>2830.2</v>
      </c>
      <c r="V10" s="2">
        <f t="shared" ref="V10:Y10" si="20">U10</f>
        <v>2830.2</v>
      </c>
      <c r="W10" s="2">
        <f t="shared" si="20"/>
        <v>2830.2</v>
      </c>
      <c r="X10" s="2">
        <f t="shared" si="20"/>
        <v>2830.2</v>
      </c>
      <c r="Y10" s="2">
        <f t="shared" si="20"/>
        <v>2830.2</v>
      </c>
      <c r="Z10" s="2">
        <v>90</v>
      </c>
      <c r="AA10" s="2">
        <f t="shared" si="10"/>
        <v>90</v>
      </c>
      <c r="AB10" s="2">
        <f t="shared" si="10"/>
        <v>90</v>
      </c>
      <c r="AC10" s="2">
        <f t="shared" si="10"/>
        <v>90</v>
      </c>
      <c r="AD10" s="2">
        <f t="shared" si="10"/>
        <v>90</v>
      </c>
      <c r="AE10" s="2">
        <f t="shared" si="10"/>
        <v>90</v>
      </c>
    </row>
    <row r="11" spans="1:58" s="2" customFormat="1" x14ac:dyDescent="0.2">
      <c r="A11" s="2">
        <v>-10.745200000000001</v>
      </c>
      <c r="B11" s="2">
        <v>27.244700000000002</v>
      </c>
      <c r="C11" s="2" t="str">
        <f>C10</f>
        <v>D2</v>
      </c>
      <c r="D11" s="2" t="s">
        <v>103</v>
      </c>
      <c r="E11" s="2" t="s">
        <v>107</v>
      </c>
      <c r="F11" s="2" t="str">
        <f t="shared" ref="F11:F13" si="21">C11&amp;E11</f>
        <v>D2HYMC01</v>
      </c>
      <c r="G11" s="2" t="str">
        <f>G10</f>
        <v>D2HY00</v>
      </c>
      <c r="H11" s="2" t="str">
        <f t="shared" si="3"/>
        <v>D2ELC01</v>
      </c>
      <c r="I11" s="2" t="s">
        <v>80</v>
      </c>
      <c r="J11" s="65">
        <v>0</v>
      </c>
      <c r="K11" s="2">
        <v>100</v>
      </c>
      <c r="L11" s="2">
        <v>31.536000000000001</v>
      </c>
      <c r="M11" s="2">
        <v>1954</v>
      </c>
      <c r="N11" s="2">
        <f t="shared" ref="N11:O13" si="22">N5</f>
        <v>1</v>
      </c>
      <c r="O11" s="2">
        <f t="shared" si="22"/>
        <v>0</v>
      </c>
      <c r="P11" s="2">
        <v>0.4</v>
      </c>
      <c r="Q11" s="2">
        <f>Q5</f>
        <v>0.6</v>
      </c>
      <c r="R11" s="2">
        <v>6.8000000000000005E-2</v>
      </c>
      <c r="S11" s="2">
        <v>7.1999999999999995E-2</v>
      </c>
      <c r="T11" s="2">
        <v>2830.2</v>
      </c>
      <c r="U11" s="2">
        <f t="shared" ref="U11:Y11" si="23">T11</f>
        <v>2830.2</v>
      </c>
      <c r="V11" s="2">
        <f t="shared" si="23"/>
        <v>2830.2</v>
      </c>
      <c r="W11" s="2">
        <f t="shared" si="23"/>
        <v>2830.2</v>
      </c>
      <c r="X11" s="2">
        <f t="shared" si="23"/>
        <v>2830.2</v>
      </c>
      <c r="Y11" s="2">
        <f t="shared" si="23"/>
        <v>2830.2</v>
      </c>
      <c r="Z11" s="2">
        <v>90</v>
      </c>
      <c r="AA11" s="2">
        <f t="shared" ref="AA11:AE11" si="24">Z11</f>
        <v>90</v>
      </c>
      <c r="AB11" s="2">
        <f t="shared" si="24"/>
        <v>90</v>
      </c>
      <c r="AC11" s="2">
        <f t="shared" si="24"/>
        <v>90</v>
      </c>
      <c r="AD11" s="2">
        <f t="shared" si="24"/>
        <v>90</v>
      </c>
      <c r="AE11" s="2">
        <f t="shared" si="24"/>
        <v>90</v>
      </c>
    </row>
    <row r="12" spans="1:58" s="2" customFormat="1" x14ac:dyDescent="0.2">
      <c r="A12" s="2">
        <v>-10.5</v>
      </c>
      <c r="B12" s="2">
        <v>25.466699999999999</v>
      </c>
      <c r="C12" s="2" t="str">
        <f t="shared" ref="C12:C25" si="25">C11</f>
        <v>D2</v>
      </c>
      <c r="D12" s="2" t="s">
        <v>104</v>
      </c>
      <c r="E12" s="2" t="s">
        <v>108</v>
      </c>
      <c r="F12" s="2" t="str">
        <f t="shared" si="21"/>
        <v>D2HYKC02</v>
      </c>
      <c r="G12" s="2" t="str">
        <f t="shared" ref="G12:G13" si="26">G11</f>
        <v>D2HY00</v>
      </c>
      <c r="H12" s="2" t="str">
        <f t="shared" si="3"/>
        <v>D2ELC01</v>
      </c>
      <c r="I12" s="2" t="s">
        <v>80</v>
      </c>
      <c r="J12" s="65">
        <v>0.1</v>
      </c>
      <c r="K12" s="2">
        <v>100</v>
      </c>
      <c r="L12" s="2">
        <v>31.536000000000001</v>
      </c>
      <c r="M12" s="2">
        <v>1954</v>
      </c>
      <c r="N12" s="2">
        <f t="shared" si="22"/>
        <v>1</v>
      </c>
      <c r="O12" s="2">
        <f t="shared" si="22"/>
        <v>0</v>
      </c>
      <c r="P12" s="2">
        <v>0.4</v>
      </c>
      <c r="Q12" s="2">
        <f>Q6</f>
        <v>0.6</v>
      </c>
      <c r="R12" s="2">
        <v>0.11</v>
      </c>
      <c r="S12" s="2">
        <v>7.4999999999999997E-2</v>
      </c>
      <c r="T12" s="2">
        <v>2830.2</v>
      </c>
      <c r="U12" s="2">
        <f t="shared" ref="U12:Y12" si="27">T12</f>
        <v>2830.2</v>
      </c>
      <c r="V12" s="2">
        <f t="shared" si="27"/>
        <v>2830.2</v>
      </c>
      <c r="W12" s="2">
        <f t="shared" si="27"/>
        <v>2830.2</v>
      </c>
      <c r="X12" s="2">
        <f t="shared" si="27"/>
        <v>2830.2</v>
      </c>
      <c r="Y12" s="2">
        <f t="shared" si="27"/>
        <v>2830.2</v>
      </c>
      <c r="Z12" s="2">
        <v>90</v>
      </c>
      <c r="AA12" s="2">
        <f t="shared" ref="AA12:AE12" si="28">Z12</f>
        <v>90</v>
      </c>
      <c r="AB12" s="2">
        <f t="shared" si="28"/>
        <v>90</v>
      </c>
      <c r="AC12" s="2">
        <f t="shared" si="28"/>
        <v>90</v>
      </c>
      <c r="AD12" s="2">
        <f t="shared" si="28"/>
        <v>90</v>
      </c>
      <c r="AE12" s="2">
        <f t="shared" si="28"/>
        <v>90</v>
      </c>
    </row>
    <row r="13" spans="1:58" s="2" customFormat="1" x14ac:dyDescent="0.2">
      <c r="A13" s="2">
        <v>-10.3253</v>
      </c>
      <c r="B13" s="2">
        <v>25.427700000000002</v>
      </c>
      <c r="C13" s="2" t="str">
        <f t="shared" si="25"/>
        <v>D2</v>
      </c>
      <c r="D13" s="2" t="s">
        <v>105</v>
      </c>
      <c r="E13" s="2" t="s">
        <v>186</v>
      </c>
      <c r="F13" s="2" t="str">
        <f t="shared" si="21"/>
        <v>D2HYKC03</v>
      </c>
      <c r="G13" s="2" t="str">
        <f t="shared" si="26"/>
        <v>D2HY00</v>
      </c>
      <c r="H13" s="2" t="str">
        <f t="shared" si="3"/>
        <v>D2ELC01</v>
      </c>
      <c r="I13" s="2" t="s">
        <v>80</v>
      </c>
      <c r="J13" s="65">
        <v>0.18630000000000002</v>
      </c>
      <c r="K13" s="2">
        <v>100</v>
      </c>
      <c r="L13" s="2">
        <v>31.536000000000001</v>
      </c>
      <c r="M13" s="2">
        <v>1957</v>
      </c>
      <c r="N13" s="2">
        <f t="shared" si="22"/>
        <v>1</v>
      </c>
      <c r="O13" s="2">
        <f t="shared" si="22"/>
        <v>0</v>
      </c>
      <c r="P13" s="2">
        <v>0.4</v>
      </c>
      <c r="Q13" s="11">
        <v>0.6</v>
      </c>
      <c r="R13" s="2">
        <v>0.248</v>
      </c>
      <c r="S13" s="2">
        <f>62.1*3/1000</f>
        <v>0.18630000000000002</v>
      </c>
      <c r="T13" s="2">
        <v>2830.2</v>
      </c>
      <c r="U13" s="2">
        <f t="shared" ref="U13:Y13" si="29">T13</f>
        <v>2830.2</v>
      </c>
      <c r="V13" s="2">
        <f t="shared" si="29"/>
        <v>2830.2</v>
      </c>
      <c r="W13" s="2">
        <f t="shared" si="29"/>
        <v>2830.2</v>
      </c>
      <c r="X13" s="2">
        <f t="shared" si="29"/>
        <v>2830.2</v>
      </c>
      <c r="Y13" s="2">
        <f t="shared" si="29"/>
        <v>2830.2</v>
      </c>
      <c r="Z13" s="2">
        <v>90</v>
      </c>
      <c r="AA13" s="2">
        <f t="shared" ref="AA13:AE24" si="30">Z13</f>
        <v>90</v>
      </c>
      <c r="AB13" s="2">
        <f t="shared" si="30"/>
        <v>90</v>
      </c>
      <c r="AC13" s="2">
        <f t="shared" si="30"/>
        <v>90</v>
      </c>
      <c r="AD13" s="2">
        <f t="shared" si="30"/>
        <v>90</v>
      </c>
      <c r="AE13" s="2">
        <f t="shared" si="30"/>
        <v>90</v>
      </c>
    </row>
    <row r="14" spans="1:58" s="14" customFormat="1" x14ac:dyDescent="0.2">
      <c r="A14" s="14">
        <v>-1.6585000000000001</v>
      </c>
      <c r="B14" s="14">
        <v>29.220500000000001</v>
      </c>
      <c r="C14" s="14" t="s">
        <v>84</v>
      </c>
      <c r="D14" s="48" t="s">
        <v>109</v>
      </c>
      <c r="E14" s="14" t="s">
        <v>136</v>
      </c>
      <c r="F14" s="14" t="str">
        <f>C14&amp;E14</f>
        <v>D3DSBC02</v>
      </c>
      <c r="G14" s="14" t="str">
        <f>LEFT(F14,4)&amp;"00"</f>
        <v>D3DS00</v>
      </c>
      <c r="H14" s="14" t="str">
        <f t="shared" si="3"/>
        <v>D3ELC01</v>
      </c>
      <c r="I14" s="14" t="s">
        <v>80</v>
      </c>
      <c r="J14" s="61">
        <v>1.6000000000000001E-3</v>
      </c>
      <c r="K14" s="14">
        <f>31</f>
        <v>31</v>
      </c>
      <c r="L14" s="14">
        <v>31.536000000000001</v>
      </c>
      <c r="M14" s="14">
        <v>2010</v>
      </c>
      <c r="N14" s="14">
        <v>0.35</v>
      </c>
      <c r="O14" s="14">
        <v>0.5</v>
      </c>
      <c r="P14" s="14">
        <v>0.8</v>
      </c>
      <c r="Q14" s="14">
        <v>0.89</v>
      </c>
      <c r="R14" s="14">
        <v>1.6000000000000001E-3</v>
      </c>
      <c r="T14" s="14">
        <v>1024.5</v>
      </c>
      <c r="U14" s="14">
        <f>T14</f>
        <v>1024.5</v>
      </c>
      <c r="V14" s="14">
        <f t="shared" ref="V14:Y14" si="31">U14</f>
        <v>1024.5</v>
      </c>
      <c r="W14" s="14">
        <f t="shared" si="31"/>
        <v>1024.5</v>
      </c>
      <c r="X14" s="14">
        <f t="shared" si="31"/>
        <v>1024.5</v>
      </c>
      <c r="Y14" s="14">
        <f t="shared" si="31"/>
        <v>1024.5</v>
      </c>
      <c r="Z14" s="14">
        <v>33</v>
      </c>
      <c r="AA14" s="14">
        <f t="shared" si="30"/>
        <v>33</v>
      </c>
      <c r="AB14" s="14">
        <f t="shared" si="30"/>
        <v>33</v>
      </c>
      <c r="AC14" s="14">
        <f t="shared" si="30"/>
        <v>33</v>
      </c>
      <c r="AD14" s="14">
        <f t="shared" si="30"/>
        <v>33</v>
      </c>
      <c r="AE14" s="14">
        <f t="shared" si="30"/>
        <v>33</v>
      </c>
    </row>
    <row r="15" spans="1:58" s="14" customFormat="1" x14ac:dyDescent="0.2">
      <c r="A15" s="14">
        <v>-1.6585000000000001</v>
      </c>
      <c r="B15" s="14">
        <v>29.220500000000001</v>
      </c>
      <c r="C15" s="14" t="str">
        <f t="shared" si="25"/>
        <v>D3</v>
      </c>
      <c r="D15" s="49" t="s">
        <v>110</v>
      </c>
      <c r="E15" s="14" t="s">
        <v>137</v>
      </c>
      <c r="F15" s="14" t="str">
        <f t="shared" ref="F15:F24" si="32">C15&amp;E15</f>
        <v>D3DSBC03</v>
      </c>
      <c r="G15" s="14" t="str">
        <f t="shared" ref="G15:G58" si="33">LEFT(F15,4)&amp;"00"</f>
        <v>D3DS00</v>
      </c>
      <c r="H15" s="14" t="str">
        <f t="shared" si="3"/>
        <v>D3ELC01</v>
      </c>
      <c r="I15" s="14" t="s">
        <v>80</v>
      </c>
      <c r="J15" s="61">
        <v>5.9999999999999995E-4</v>
      </c>
      <c r="K15" s="14">
        <v>31</v>
      </c>
      <c r="L15" s="14">
        <v>31.536000000000001</v>
      </c>
      <c r="M15" s="14">
        <v>2010</v>
      </c>
      <c r="N15" s="14">
        <v>0.35</v>
      </c>
      <c r="O15" s="14">
        <v>0.5</v>
      </c>
      <c r="P15" s="14">
        <v>0.8</v>
      </c>
      <c r="Q15" s="14">
        <v>0.89</v>
      </c>
      <c r="R15" s="14">
        <v>5.9999999999999995E-4</v>
      </c>
      <c r="T15" s="14">
        <v>1024.5</v>
      </c>
      <c r="U15" s="14">
        <f t="shared" ref="U15:Y15" si="34">T15</f>
        <v>1024.5</v>
      </c>
      <c r="V15" s="14">
        <f t="shared" si="34"/>
        <v>1024.5</v>
      </c>
      <c r="W15" s="14">
        <f t="shared" si="34"/>
        <v>1024.5</v>
      </c>
      <c r="X15" s="14">
        <f t="shared" si="34"/>
        <v>1024.5</v>
      </c>
      <c r="Y15" s="14">
        <f t="shared" si="34"/>
        <v>1024.5</v>
      </c>
      <c r="Z15" s="14">
        <v>33</v>
      </c>
      <c r="AA15" s="14">
        <f t="shared" ref="AA15:AD15" si="35">Z15</f>
        <v>33</v>
      </c>
      <c r="AB15" s="14">
        <f t="shared" si="35"/>
        <v>33</v>
      </c>
      <c r="AC15" s="14">
        <f t="shared" si="35"/>
        <v>33</v>
      </c>
      <c r="AD15" s="14">
        <f t="shared" si="35"/>
        <v>33</v>
      </c>
      <c r="AE15" s="14">
        <f t="shared" si="30"/>
        <v>33</v>
      </c>
    </row>
    <row r="16" spans="1:58" s="14" customFormat="1" x14ac:dyDescent="0.2">
      <c r="A16" s="14">
        <v>-1.6585000000000001</v>
      </c>
      <c r="B16" s="14">
        <v>29.220500000000001</v>
      </c>
      <c r="C16" s="14" t="str">
        <f t="shared" si="25"/>
        <v>D3</v>
      </c>
      <c r="D16" s="49" t="s">
        <v>111</v>
      </c>
      <c r="E16" s="14" t="s">
        <v>138</v>
      </c>
      <c r="F16" s="14" t="str">
        <f t="shared" si="32"/>
        <v>D3DSBC04</v>
      </c>
      <c r="G16" s="14" t="str">
        <f t="shared" si="33"/>
        <v>D3DS00</v>
      </c>
      <c r="H16" s="14" t="str">
        <f t="shared" si="3"/>
        <v>D3ELC01</v>
      </c>
      <c r="I16" s="14" t="s">
        <v>80</v>
      </c>
      <c r="J16" s="61">
        <v>8.0000000000000004E-4</v>
      </c>
      <c r="K16" s="14">
        <v>31</v>
      </c>
      <c r="L16" s="14">
        <v>31.536000000000001</v>
      </c>
      <c r="M16" s="14">
        <v>2010</v>
      </c>
      <c r="N16" s="14">
        <v>0.35</v>
      </c>
      <c r="O16" s="14">
        <v>0.5</v>
      </c>
      <c r="P16" s="14">
        <v>0.8</v>
      </c>
      <c r="Q16" s="14">
        <v>0.89</v>
      </c>
      <c r="R16" s="14">
        <v>8.0000000000000004E-4</v>
      </c>
      <c r="T16" s="14">
        <v>1024.5</v>
      </c>
      <c r="U16" s="14">
        <f t="shared" ref="U16:Y16" si="36">T16</f>
        <v>1024.5</v>
      </c>
      <c r="V16" s="14">
        <f t="shared" si="36"/>
        <v>1024.5</v>
      </c>
      <c r="W16" s="14">
        <f t="shared" si="36"/>
        <v>1024.5</v>
      </c>
      <c r="X16" s="14">
        <f t="shared" si="36"/>
        <v>1024.5</v>
      </c>
      <c r="Y16" s="14">
        <f t="shared" si="36"/>
        <v>1024.5</v>
      </c>
      <c r="Z16" s="14">
        <v>33</v>
      </c>
      <c r="AA16" s="14">
        <f t="shared" ref="AA16:AD16" si="37">Z16</f>
        <v>33</v>
      </c>
      <c r="AB16" s="14">
        <f t="shared" si="37"/>
        <v>33</v>
      </c>
      <c r="AC16" s="14">
        <f t="shared" si="37"/>
        <v>33</v>
      </c>
      <c r="AD16" s="14">
        <f t="shared" si="37"/>
        <v>33</v>
      </c>
      <c r="AE16" s="14">
        <f t="shared" si="30"/>
        <v>33</v>
      </c>
    </row>
    <row r="17" spans="1:57" s="14" customFormat="1" x14ac:dyDescent="0.2">
      <c r="A17" s="14">
        <v>-1.6585000000000001</v>
      </c>
      <c r="B17" s="14">
        <v>29.220500000000001</v>
      </c>
      <c r="C17" s="14" t="str">
        <f t="shared" si="25"/>
        <v>D3</v>
      </c>
      <c r="D17" s="49" t="s">
        <v>112</v>
      </c>
      <c r="E17" s="14" t="s">
        <v>139</v>
      </c>
      <c r="F17" s="14" t="str">
        <f t="shared" si="32"/>
        <v>D3DSBC05</v>
      </c>
      <c r="G17" s="14" t="str">
        <f t="shared" si="33"/>
        <v>D3DS00</v>
      </c>
      <c r="H17" s="14" t="str">
        <f t="shared" si="3"/>
        <v>D3ELC01</v>
      </c>
      <c r="I17" s="14" t="s">
        <v>80</v>
      </c>
      <c r="J17" s="61">
        <v>4.0000000000000002E-4</v>
      </c>
      <c r="K17" s="14">
        <v>31</v>
      </c>
      <c r="L17" s="14">
        <v>31.536000000000001</v>
      </c>
      <c r="M17" s="14">
        <v>2010</v>
      </c>
      <c r="N17" s="14">
        <v>0.35</v>
      </c>
      <c r="O17" s="14">
        <v>0.5</v>
      </c>
      <c r="P17" s="14">
        <v>0.8</v>
      </c>
      <c r="Q17" s="14">
        <v>0.89</v>
      </c>
      <c r="R17" s="14">
        <v>4.0000000000000002E-4</v>
      </c>
      <c r="T17" s="14">
        <v>1024.5</v>
      </c>
      <c r="U17" s="14">
        <f t="shared" ref="U17:Y17" si="38">T17</f>
        <v>1024.5</v>
      </c>
      <c r="V17" s="14">
        <f t="shared" si="38"/>
        <v>1024.5</v>
      </c>
      <c r="W17" s="14">
        <f t="shared" si="38"/>
        <v>1024.5</v>
      </c>
      <c r="X17" s="14">
        <f t="shared" si="38"/>
        <v>1024.5</v>
      </c>
      <c r="Y17" s="14">
        <f t="shared" si="38"/>
        <v>1024.5</v>
      </c>
      <c r="Z17" s="14">
        <v>33</v>
      </c>
      <c r="AA17" s="14">
        <f t="shared" ref="AA17:AD17" si="39">Z17</f>
        <v>33</v>
      </c>
      <c r="AB17" s="14">
        <f t="shared" si="39"/>
        <v>33</v>
      </c>
      <c r="AC17" s="14">
        <f t="shared" si="39"/>
        <v>33</v>
      </c>
      <c r="AD17" s="14">
        <f t="shared" si="39"/>
        <v>33</v>
      </c>
      <c r="AE17" s="14">
        <f t="shared" si="30"/>
        <v>33</v>
      </c>
    </row>
    <row r="18" spans="1:57" s="14" customFormat="1" x14ac:dyDescent="0.2">
      <c r="A18" s="14">
        <v>-1.6585000000000001</v>
      </c>
      <c r="B18" s="14">
        <v>29.220500000000001</v>
      </c>
      <c r="C18" s="14" t="str">
        <f t="shared" si="25"/>
        <v>D3</v>
      </c>
      <c r="D18" s="49" t="s">
        <v>113</v>
      </c>
      <c r="E18" s="14" t="s">
        <v>140</v>
      </c>
      <c r="F18" s="14" t="str">
        <f t="shared" si="32"/>
        <v>D3DSBC06</v>
      </c>
      <c r="G18" s="14" t="str">
        <f t="shared" si="33"/>
        <v>D3DS00</v>
      </c>
      <c r="H18" s="14" t="str">
        <f t="shared" si="3"/>
        <v>D3ELC01</v>
      </c>
      <c r="I18" s="14" t="s">
        <v>80</v>
      </c>
      <c r="J18" s="61">
        <v>1.8E-3</v>
      </c>
      <c r="K18" s="14">
        <v>31</v>
      </c>
      <c r="L18" s="14">
        <v>31.536000000000001</v>
      </c>
      <c r="M18" s="14">
        <v>2010</v>
      </c>
      <c r="N18" s="14">
        <v>0.35</v>
      </c>
      <c r="O18" s="14">
        <v>0.5</v>
      </c>
      <c r="P18" s="14">
        <v>0.8</v>
      </c>
      <c r="Q18" s="14">
        <v>0.89</v>
      </c>
      <c r="R18" s="14">
        <v>1.8E-3</v>
      </c>
      <c r="T18" s="14">
        <v>1024.5</v>
      </c>
      <c r="U18" s="14">
        <f t="shared" ref="U18:Y18" si="40">T18</f>
        <v>1024.5</v>
      </c>
      <c r="V18" s="14">
        <f t="shared" si="40"/>
        <v>1024.5</v>
      </c>
      <c r="W18" s="14">
        <f t="shared" si="40"/>
        <v>1024.5</v>
      </c>
      <c r="X18" s="14">
        <f t="shared" si="40"/>
        <v>1024.5</v>
      </c>
      <c r="Y18" s="14">
        <f t="shared" si="40"/>
        <v>1024.5</v>
      </c>
      <c r="Z18" s="14">
        <v>33</v>
      </c>
      <c r="AA18" s="14">
        <f t="shared" ref="AA18:AD18" si="41">Z18</f>
        <v>33</v>
      </c>
      <c r="AB18" s="14">
        <f t="shared" si="41"/>
        <v>33</v>
      </c>
      <c r="AC18" s="14">
        <f t="shared" si="41"/>
        <v>33</v>
      </c>
      <c r="AD18" s="14">
        <f t="shared" si="41"/>
        <v>33</v>
      </c>
      <c r="AE18" s="14">
        <f t="shared" si="30"/>
        <v>33</v>
      </c>
    </row>
    <row r="19" spans="1:57" s="14" customFormat="1" x14ac:dyDescent="0.2">
      <c r="A19" s="14">
        <v>-1.6585000000000001</v>
      </c>
      <c r="B19" s="14">
        <v>29.220500000000001</v>
      </c>
      <c r="C19" s="14" t="str">
        <f t="shared" si="25"/>
        <v>D3</v>
      </c>
      <c r="D19" s="14" t="s">
        <v>114</v>
      </c>
      <c r="E19" s="14" t="s">
        <v>155</v>
      </c>
      <c r="F19" s="14" t="str">
        <f t="shared" si="32"/>
        <v>D3DSBC07</v>
      </c>
      <c r="G19" s="14" t="str">
        <f t="shared" si="33"/>
        <v>D3DS00</v>
      </c>
      <c r="H19" s="14" t="str">
        <f t="shared" si="3"/>
        <v>D3ELC01</v>
      </c>
      <c r="I19" s="14" t="s">
        <v>80</v>
      </c>
      <c r="J19" s="61">
        <v>2.9999999999999997E-4</v>
      </c>
      <c r="K19" s="14">
        <v>66</v>
      </c>
      <c r="L19" s="14">
        <v>31.536000000000001</v>
      </c>
      <c r="M19" s="14">
        <v>1975</v>
      </c>
      <c r="N19" s="14">
        <v>0.35</v>
      </c>
      <c r="O19" s="14">
        <v>0.5</v>
      </c>
      <c r="P19" s="14">
        <v>0.8</v>
      </c>
      <c r="Q19" s="14">
        <v>0.89</v>
      </c>
      <c r="R19" s="14">
        <v>2.9999999999999997E-4</v>
      </c>
      <c r="T19" s="14">
        <v>1024.5</v>
      </c>
      <c r="U19" s="14">
        <f t="shared" ref="U19:Y19" si="42">T19</f>
        <v>1024.5</v>
      </c>
      <c r="V19" s="14">
        <f t="shared" si="42"/>
        <v>1024.5</v>
      </c>
      <c r="W19" s="14">
        <f t="shared" si="42"/>
        <v>1024.5</v>
      </c>
      <c r="X19" s="14">
        <f t="shared" si="42"/>
        <v>1024.5</v>
      </c>
      <c r="Y19" s="14">
        <f t="shared" si="42"/>
        <v>1024.5</v>
      </c>
      <c r="Z19" s="14">
        <v>33</v>
      </c>
      <c r="AA19" s="14">
        <f t="shared" ref="AA19:AD19" si="43">Z19</f>
        <v>33</v>
      </c>
      <c r="AB19" s="14">
        <f t="shared" si="43"/>
        <v>33</v>
      </c>
      <c r="AC19" s="14">
        <f t="shared" si="43"/>
        <v>33</v>
      </c>
      <c r="AD19" s="14">
        <f t="shared" si="43"/>
        <v>33</v>
      </c>
      <c r="AE19" s="14">
        <f t="shared" si="30"/>
        <v>33</v>
      </c>
    </row>
    <row r="20" spans="1:57" s="14" customFormat="1" x14ac:dyDescent="0.2">
      <c r="A20" s="14">
        <v>-1.6585000000000001</v>
      </c>
      <c r="B20" s="14">
        <v>29.220500000000001</v>
      </c>
      <c r="C20" s="14" t="str">
        <f t="shared" si="25"/>
        <v>D3</v>
      </c>
      <c r="D20" s="49" t="s">
        <v>115</v>
      </c>
      <c r="E20" s="14" t="s">
        <v>141</v>
      </c>
      <c r="F20" s="14" t="str">
        <f t="shared" si="32"/>
        <v>D3DSGC01</v>
      </c>
      <c r="G20" s="14" t="str">
        <f t="shared" si="33"/>
        <v>D3DS00</v>
      </c>
      <c r="H20" s="14" t="str">
        <f t="shared" si="3"/>
        <v>D3ELC01</v>
      </c>
      <c r="I20" s="14" t="s">
        <v>80</v>
      </c>
      <c r="J20" s="61">
        <v>0</v>
      </c>
      <c r="K20" s="14">
        <v>31</v>
      </c>
      <c r="L20" s="14">
        <v>31.536000000000001</v>
      </c>
      <c r="M20" s="14">
        <v>2010</v>
      </c>
      <c r="N20" s="14">
        <v>0.35</v>
      </c>
      <c r="O20" s="14">
        <v>0.5</v>
      </c>
      <c r="P20" s="14">
        <v>0.8</v>
      </c>
      <c r="Q20" s="14">
        <v>0.89</v>
      </c>
      <c r="R20" s="14">
        <v>4.7999999999999996E-3</v>
      </c>
      <c r="S20" s="14">
        <v>0</v>
      </c>
      <c r="T20" s="14">
        <v>1024.5</v>
      </c>
      <c r="U20" s="14">
        <f t="shared" ref="U20:Y20" si="44">T20</f>
        <v>1024.5</v>
      </c>
      <c r="V20" s="14">
        <f t="shared" si="44"/>
        <v>1024.5</v>
      </c>
      <c r="W20" s="14">
        <f t="shared" si="44"/>
        <v>1024.5</v>
      </c>
      <c r="X20" s="14">
        <f t="shared" si="44"/>
        <v>1024.5</v>
      </c>
      <c r="Y20" s="14">
        <f t="shared" si="44"/>
        <v>1024.5</v>
      </c>
      <c r="Z20" s="14">
        <v>33</v>
      </c>
      <c r="AA20" s="14">
        <f t="shared" ref="AA20:AD20" si="45">Z20</f>
        <v>33</v>
      </c>
      <c r="AB20" s="14">
        <f t="shared" si="45"/>
        <v>33</v>
      </c>
      <c r="AC20" s="14">
        <f t="shared" si="45"/>
        <v>33</v>
      </c>
      <c r="AD20" s="14">
        <f t="shared" si="45"/>
        <v>33</v>
      </c>
      <c r="AE20" s="14">
        <f t="shared" si="30"/>
        <v>33</v>
      </c>
    </row>
    <row r="21" spans="1:57" s="14" customFormat="1" x14ac:dyDescent="0.2">
      <c r="A21" s="14">
        <v>-1.6585000000000001</v>
      </c>
      <c r="B21" s="14">
        <v>29.220500000000001</v>
      </c>
      <c r="C21" s="14" t="str">
        <f t="shared" si="25"/>
        <v>D3</v>
      </c>
      <c r="D21" s="48" t="s">
        <v>116</v>
      </c>
      <c r="E21" s="14" t="s">
        <v>142</v>
      </c>
      <c r="F21" s="14" t="str">
        <f t="shared" si="32"/>
        <v>D3DSGC02</v>
      </c>
      <c r="G21" s="14" t="str">
        <f t="shared" si="33"/>
        <v>D3DS00</v>
      </c>
      <c r="H21" s="14" t="str">
        <f t="shared" si="3"/>
        <v>D3ELC01</v>
      </c>
      <c r="I21" s="14" t="s">
        <v>80</v>
      </c>
      <c r="J21" s="61">
        <v>9.5999999999999992E-3</v>
      </c>
      <c r="K21" s="14">
        <v>31</v>
      </c>
      <c r="L21" s="14">
        <v>31.536000000000001</v>
      </c>
      <c r="M21" s="14">
        <v>2010</v>
      </c>
      <c r="N21" s="14">
        <v>0.35</v>
      </c>
      <c r="O21" s="14">
        <v>0.5</v>
      </c>
      <c r="P21" s="14">
        <v>0.8</v>
      </c>
      <c r="Q21" s="14">
        <v>0.89</v>
      </c>
      <c r="R21" s="14">
        <v>9.5999999999999992E-3</v>
      </c>
      <c r="T21" s="14">
        <v>1024.5</v>
      </c>
      <c r="U21" s="14">
        <f t="shared" ref="U21:Y22" si="46">T21</f>
        <v>1024.5</v>
      </c>
      <c r="V21" s="14">
        <f t="shared" si="46"/>
        <v>1024.5</v>
      </c>
      <c r="W21" s="14">
        <f t="shared" si="46"/>
        <v>1024.5</v>
      </c>
      <c r="X21" s="14">
        <f t="shared" si="46"/>
        <v>1024.5</v>
      </c>
      <c r="Y21" s="14">
        <f t="shared" si="46"/>
        <v>1024.5</v>
      </c>
      <c r="Z21" s="14">
        <v>33</v>
      </c>
      <c r="AA21" s="14">
        <f t="shared" ref="AA21:AD24" si="47">Z21</f>
        <v>33</v>
      </c>
      <c r="AB21" s="14">
        <f t="shared" si="47"/>
        <v>33</v>
      </c>
      <c r="AC21" s="14">
        <f t="shared" si="47"/>
        <v>33</v>
      </c>
      <c r="AD21" s="14">
        <f t="shared" si="47"/>
        <v>33</v>
      </c>
      <c r="AE21" s="14">
        <f t="shared" si="30"/>
        <v>33</v>
      </c>
    </row>
    <row r="22" spans="1:57" s="14" customFormat="1" x14ac:dyDescent="0.2">
      <c r="A22" s="14">
        <v>-2.5083332999999999</v>
      </c>
      <c r="B22" s="14">
        <v>28.860833299999999</v>
      </c>
      <c r="C22" s="14" t="str">
        <f t="shared" si="25"/>
        <v>D3</v>
      </c>
      <c r="D22" s="14" t="s">
        <v>117</v>
      </c>
      <c r="E22" s="14" t="s">
        <v>119</v>
      </c>
      <c r="F22" s="14" t="str">
        <f t="shared" si="32"/>
        <v>D3HYRC01</v>
      </c>
      <c r="G22" s="14" t="str">
        <f t="shared" si="33"/>
        <v>D3HY00</v>
      </c>
      <c r="H22" s="14" t="str">
        <f t="shared" si="3"/>
        <v>D3ELC01</v>
      </c>
      <c r="I22" s="14" t="s">
        <v>80</v>
      </c>
      <c r="J22" s="61">
        <v>0.01</v>
      </c>
      <c r="K22" s="14">
        <v>50</v>
      </c>
      <c r="L22" s="14">
        <v>31.536000000000001</v>
      </c>
      <c r="M22" s="14">
        <v>2010</v>
      </c>
      <c r="N22" s="14">
        <v>1</v>
      </c>
      <c r="O22" s="14">
        <v>0</v>
      </c>
      <c r="P22" s="14">
        <v>0.22</v>
      </c>
      <c r="Q22" s="14">
        <v>1</v>
      </c>
      <c r="R22" s="14">
        <v>2.8000000000000001E-2</v>
      </c>
      <c r="S22" s="14">
        <f>23.5/2</f>
        <v>11.75</v>
      </c>
      <c r="T22" s="14">
        <v>2830.2</v>
      </c>
      <c r="U22" s="14">
        <f t="shared" si="46"/>
        <v>2830.2</v>
      </c>
      <c r="V22" s="14">
        <f t="shared" si="46"/>
        <v>2830.2</v>
      </c>
      <c r="W22" s="14">
        <f t="shared" si="46"/>
        <v>2830.2</v>
      </c>
      <c r="X22" s="14">
        <f t="shared" si="46"/>
        <v>2830.2</v>
      </c>
      <c r="Y22" s="14">
        <f t="shared" si="46"/>
        <v>2830.2</v>
      </c>
      <c r="Z22" s="14">
        <v>90</v>
      </c>
      <c r="AA22" s="14">
        <f t="shared" si="47"/>
        <v>90</v>
      </c>
      <c r="AB22" s="14">
        <f t="shared" si="47"/>
        <v>90</v>
      </c>
      <c r="AC22" s="14">
        <f t="shared" si="47"/>
        <v>90</v>
      </c>
      <c r="AD22" s="14">
        <f t="shared" si="47"/>
        <v>90</v>
      </c>
      <c r="AE22" s="14">
        <f t="shared" si="30"/>
        <v>90</v>
      </c>
    </row>
    <row r="23" spans="1:57" s="14" customFormat="1" x14ac:dyDescent="0.2">
      <c r="A23" s="14">
        <v>-2.5083332999999999</v>
      </c>
      <c r="B23" s="14">
        <v>28.860833299999999</v>
      </c>
      <c r="C23" s="14" t="str">
        <f t="shared" si="25"/>
        <v>D3</v>
      </c>
      <c r="D23" s="14" t="s">
        <v>118</v>
      </c>
      <c r="E23" s="14" t="s">
        <v>120</v>
      </c>
      <c r="F23" s="14" t="str">
        <f t="shared" si="32"/>
        <v>D3HYRC02</v>
      </c>
      <c r="G23" s="14" t="str">
        <f t="shared" si="33"/>
        <v>D3HY00</v>
      </c>
      <c r="H23" s="14" t="str">
        <f t="shared" si="3"/>
        <v>D3ELC01</v>
      </c>
      <c r="I23" s="14" t="s">
        <v>80</v>
      </c>
      <c r="J23" s="61">
        <f>0.044/3</f>
        <v>1.4666666666666666E-2</v>
      </c>
      <c r="K23" s="14">
        <v>50</v>
      </c>
      <c r="L23" s="14">
        <v>31.536000000000001</v>
      </c>
      <c r="M23" s="14">
        <v>2010</v>
      </c>
      <c r="N23" s="14">
        <v>1</v>
      </c>
      <c r="O23" s="14">
        <v>0</v>
      </c>
      <c r="P23" s="14">
        <v>0.2</v>
      </c>
      <c r="Q23" s="14">
        <v>1</v>
      </c>
      <c r="R23" s="14">
        <v>2.8199999999999999E-2</v>
      </c>
      <c r="T23" s="14">
        <v>2830.2</v>
      </c>
      <c r="U23" s="14">
        <f t="shared" ref="U23:Y23" si="48">T23</f>
        <v>2830.2</v>
      </c>
      <c r="V23" s="14">
        <f t="shared" si="48"/>
        <v>2830.2</v>
      </c>
      <c r="W23" s="14">
        <f t="shared" si="48"/>
        <v>2830.2</v>
      </c>
      <c r="X23" s="14">
        <f t="shared" si="48"/>
        <v>2830.2</v>
      </c>
      <c r="Y23" s="14">
        <f t="shared" si="48"/>
        <v>2830.2</v>
      </c>
      <c r="Z23" s="14">
        <v>90</v>
      </c>
      <c r="AA23" s="14">
        <f t="shared" si="47"/>
        <v>90</v>
      </c>
      <c r="AB23" s="14">
        <f t="shared" si="47"/>
        <v>90</v>
      </c>
      <c r="AC23" s="14">
        <f t="shared" si="47"/>
        <v>90</v>
      </c>
      <c r="AD23" s="14">
        <f t="shared" si="47"/>
        <v>90</v>
      </c>
      <c r="AE23" s="14">
        <f t="shared" si="30"/>
        <v>90</v>
      </c>
    </row>
    <row r="24" spans="1:57" s="14" customFormat="1" x14ac:dyDescent="0.2">
      <c r="A24" s="14">
        <v>-2.5083332999999999</v>
      </c>
      <c r="B24" s="14">
        <v>28.860833299999999</v>
      </c>
      <c r="C24" s="14" t="str">
        <f t="shared" si="25"/>
        <v>D3</v>
      </c>
      <c r="D24" s="14" t="s">
        <v>407</v>
      </c>
      <c r="E24" s="14" t="s">
        <v>121</v>
      </c>
      <c r="F24" s="14" t="str">
        <f t="shared" si="32"/>
        <v>D3HYRC03</v>
      </c>
      <c r="G24" s="14" t="str">
        <f t="shared" si="33"/>
        <v>D3HY00</v>
      </c>
      <c r="H24" s="14" t="str">
        <f t="shared" si="3"/>
        <v>D3ELC01</v>
      </c>
      <c r="I24" s="14" t="s">
        <v>406</v>
      </c>
      <c r="J24" s="61">
        <f>206/3/1000</f>
        <v>6.8666666666666668E-2</v>
      </c>
      <c r="K24" s="14">
        <v>50</v>
      </c>
      <c r="L24" s="14">
        <v>31.536000000000001</v>
      </c>
      <c r="M24" s="14">
        <v>2024</v>
      </c>
      <c r="N24" s="14">
        <v>1</v>
      </c>
      <c r="O24" s="14">
        <v>0</v>
      </c>
      <c r="P24" s="14">
        <v>0.6</v>
      </c>
      <c r="Q24" s="14">
        <v>1</v>
      </c>
      <c r="R24" s="14">
        <f>147/3/1000</f>
        <v>4.9000000000000002E-2</v>
      </c>
      <c r="T24" s="14">
        <f>'Hydro Large New'!T51</f>
        <v>3183</v>
      </c>
      <c r="U24" s="14">
        <f t="shared" ref="U24:Y24" si="49">T24</f>
        <v>3183</v>
      </c>
      <c r="V24" s="14">
        <f t="shared" si="49"/>
        <v>3183</v>
      </c>
      <c r="W24" s="14">
        <f t="shared" si="49"/>
        <v>3183</v>
      </c>
      <c r="X24" s="14">
        <f t="shared" si="49"/>
        <v>3183</v>
      </c>
      <c r="Y24" s="14">
        <f t="shared" si="49"/>
        <v>3183</v>
      </c>
      <c r="Z24" s="14">
        <v>90</v>
      </c>
      <c r="AA24" s="14">
        <f t="shared" si="47"/>
        <v>90</v>
      </c>
      <c r="AB24" s="14">
        <f t="shared" si="47"/>
        <v>90</v>
      </c>
      <c r="AC24" s="14">
        <f t="shared" si="47"/>
        <v>90</v>
      </c>
      <c r="AD24" s="14">
        <f t="shared" si="47"/>
        <v>90</v>
      </c>
      <c r="AE24" s="14">
        <f t="shared" si="30"/>
        <v>90</v>
      </c>
    </row>
    <row r="25" spans="1:57" s="14" customFormat="1" x14ac:dyDescent="0.2">
      <c r="A25" s="14">
        <v>-2.5083332999999999</v>
      </c>
      <c r="B25" s="14">
        <v>28.860833299999999</v>
      </c>
      <c r="C25" s="14" t="str">
        <f t="shared" si="25"/>
        <v>D3</v>
      </c>
      <c r="D25" s="14" t="s">
        <v>405</v>
      </c>
      <c r="E25" s="14" t="s">
        <v>408</v>
      </c>
      <c r="F25" s="14" t="str">
        <f t="shared" ref="F25" si="50">C25&amp;E25</f>
        <v>D3HYOC01</v>
      </c>
      <c r="G25" s="14" t="str">
        <f t="shared" ref="G25" si="51">LEFT(F25,4)&amp;"00"</f>
        <v>D3HY00</v>
      </c>
      <c r="H25" s="14" t="str">
        <f t="shared" ref="H25" si="52">C25&amp;"ELC01"</f>
        <v>D3ELC01</v>
      </c>
      <c r="I25" s="14" t="s">
        <v>80</v>
      </c>
      <c r="J25" s="61">
        <v>2.1999999999999999E-2</v>
      </c>
      <c r="K25" s="14">
        <v>50</v>
      </c>
      <c r="L25" s="14">
        <v>31.536000000000001</v>
      </c>
      <c r="M25" s="14">
        <v>2019</v>
      </c>
      <c r="N25" s="14">
        <v>1</v>
      </c>
      <c r="O25" s="14">
        <v>0</v>
      </c>
      <c r="P25" s="14">
        <v>0.4</v>
      </c>
      <c r="Q25" s="14">
        <v>1</v>
      </c>
      <c r="R25" s="14">
        <f>J25</f>
        <v>2.1999999999999999E-2</v>
      </c>
      <c r="T25" s="14">
        <v>2830.2</v>
      </c>
      <c r="U25" s="14">
        <f t="shared" ref="U25" si="53">T25</f>
        <v>2830.2</v>
      </c>
      <c r="V25" s="14">
        <f t="shared" ref="V25" si="54">U25</f>
        <v>2830.2</v>
      </c>
      <c r="W25" s="14">
        <f t="shared" ref="W25" si="55">V25</f>
        <v>2830.2</v>
      </c>
      <c r="X25" s="14">
        <f t="shared" ref="X25" si="56">W25</f>
        <v>2830.2</v>
      </c>
      <c r="Y25" s="14">
        <f t="shared" ref="Y25" si="57">X25</f>
        <v>2830.2</v>
      </c>
      <c r="Z25" s="14">
        <v>90</v>
      </c>
      <c r="AA25" s="14">
        <f t="shared" ref="AA25" si="58">Z25</f>
        <v>90</v>
      </c>
      <c r="AB25" s="14">
        <f t="shared" ref="AB25" si="59">AA25</f>
        <v>90</v>
      </c>
      <c r="AC25" s="14">
        <f t="shared" ref="AC25" si="60">AB25</f>
        <v>90</v>
      </c>
      <c r="AD25" s="14">
        <f t="shared" ref="AD25" si="61">AC25</f>
        <v>90</v>
      </c>
      <c r="AE25" s="14">
        <f t="shared" ref="AE25" si="62">AD25</f>
        <v>90</v>
      </c>
    </row>
    <row r="26" spans="1:57" x14ac:dyDescent="0.2">
      <c r="A26" t="s">
        <v>313</v>
      </c>
      <c r="C26" t="s">
        <v>87</v>
      </c>
      <c r="D26" t="str">
        <f>[2]IRENA_QGIS_Power_Plants!$E$2</f>
        <v>P_DRC_Gecamines_Coal_500</v>
      </c>
      <c r="H26" s="11" t="str">
        <f>C26&amp;"ELC01"</f>
        <v>D3XELC01</v>
      </c>
      <c r="I26" t="str">
        <f>[2]IRENA_QGIS_Power_Plants!$F$2</f>
        <v>Candidate</v>
      </c>
      <c r="J26" s="11">
        <v>0.5</v>
      </c>
      <c r="K26">
        <v>35</v>
      </c>
      <c r="L26">
        <v>31.536000000000001</v>
      </c>
      <c r="M26">
        <v>202</v>
      </c>
      <c r="N26">
        <v>0.39</v>
      </c>
      <c r="O26">
        <v>0.85</v>
      </c>
      <c r="Q26">
        <v>0.92200000000000004</v>
      </c>
      <c r="R26">
        <v>0.5</v>
      </c>
      <c r="T26">
        <v>3527.4</v>
      </c>
      <c r="U26">
        <f>T26</f>
        <v>3527.4</v>
      </c>
      <c r="V26">
        <f>U26</f>
        <v>3527.4</v>
      </c>
      <c r="W26">
        <f>V26</f>
        <v>3527.4</v>
      </c>
      <c r="X26">
        <f>W26</f>
        <v>3527.4</v>
      </c>
      <c r="Y26">
        <f>X26</f>
        <v>3527.4</v>
      </c>
      <c r="Z26">
        <v>112</v>
      </c>
      <c r="AA26">
        <f>Z26</f>
        <v>112</v>
      </c>
      <c r="AB26">
        <f>AA26</f>
        <v>112</v>
      </c>
      <c r="AC26">
        <f>AB26</f>
        <v>112</v>
      </c>
      <c r="AD26">
        <f>AC26</f>
        <v>112</v>
      </c>
      <c r="AE26">
        <f>AD26</f>
        <v>112</v>
      </c>
      <c r="AF26">
        <v>0</v>
      </c>
      <c r="AG26">
        <f>AF26</f>
        <v>0</v>
      </c>
      <c r="AH26">
        <f t="shared" ref="AH26:BE26" si="63">AG26</f>
        <v>0</v>
      </c>
      <c r="AI26">
        <f t="shared" si="63"/>
        <v>0</v>
      </c>
      <c r="AJ26">
        <f t="shared" si="63"/>
        <v>0</v>
      </c>
      <c r="AK26">
        <f t="shared" si="63"/>
        <v>0</v>
      </c>
      <c r="AL26">
        <f t="shared" si="63"/>
        <v>0</v>
      </c>
      <c r="AM26">
        <f t="shared" si="63"/>
        <v>0</v>
      </c>
      <c r="AN26">
        <f t="shared" si="63"/>
        <v>0</v>
      </c>
      <c r="AO26">
        <f t="shared" si="63"/>
        <v>0</v>
      </c>
      <c r="AP26">
        <f t="shared" si="63"/>
        <v>0</v>
      </c>
      <c r="AQ26">
        <f t="shared" si="63"/>
        <v>0</v>
      </c>
      <c r="AR26">
        <f t="shared" si="63"/>
        <v>0</v>
      </c>
      <c r="AS26">
        <f t="shared" si="63"/>
        <v>0</v>
      </c>
      <c r="AT26">
        <f t="shared" si="63"/>
        <v>0</v>
      </c>
      <c r="AU26">
        <f t="shared" si="63"/>
        <v>0</v>
      </c>
      <c r="AV26">
        <f t="shared" si="63"/>
        <v>0</v>
      </c>
      <c r="AW26">
        <f t="shared" si="63"/>
        <v>0</v>
      </c>
      <c r="AX26">
        <f t="shared" si="63"/>
        <v>0</v>
      </c>
      <c r="AY26">
        <f t="shared" si="63"/>
        <v>0</v>
      </c>
      <c r="AZ26">
        <f t="shared" si="63"/>
        <v>0</v>
      </c>
      <c r="BA26">
        <f t="shared" si="63"/>
        <v>0</v>
      </c>
      <c r="BB26">
        <f t="shared" si="63"/>
        <v>0</v>
      </c>
      <c r="BC26">
        <f t="shared" si="63"/>
        <v>0</v>
      </c>
      <c r="BD26">
        <f t="shared" si="63"/>
        <v>0</v>
      </c>
      <c r="BE26">
        <f t="shared" si="63"/>
        <v>0</v>
      </c>
    </row>
    <row r="27" spans="1:57" s="20" customFormat="1" x14ac:dyDescent="0.2">
      <c r="A27" s="20">
        <v>-5.8963000000000001</v>
      </c>
      <c r="B27" s="20">
        <v>22.416599999999999</v>
      </c>
      <c r="C27" s="20" t="s">
        <v>85</v>
      </c>
      <c r="D27" s="20" t="s">
        <v>122</v>
      </c>
      <c r="E27" s="20" t="s">
        <v>143</v>
      </c>
      <c r="F27" s="20" t="str">
        <f t="shared" ref="F27" si="64">C27&amp;E27</f>
        <v>D4DSIC01</v>
      </c>
      <c r="G27" s="20" t="str">
        <f t="shared" si="33"/>
        <v>D4DS00</v>
      </c>
      <c r="H27" s="20" t="str">
        <f t="shared" si="3"/>
        <v>D4ELC01</v>
      </c>
      <c r="I27" s="20" t="s">
        <v>80</v>
      </c>
      <c r="J27" s="20">
        <v>2.0000000000000001E-4</v>
      </c>
      <c r="K27" s="21">
        <v>31</v>
      </c>
      <c r="L27" s="20">
        <v>31.536000000000001</v>
      </c>
      <c r="M27" s="20">
        <v>2010</v>
      </c>
      <c r="N27" s="20">
        <f>1/0.35</f>
        <v>2.8571428571428572</v>
      </c>
      <c r="O27" s="20">
        <v>0</v>
      </c>
      <c r="P27" s="20">
        <v>0.8</v>
      </c>
      <c r="Q27" s="20">
        <v>0.89</v>
      </c>
      <c r="R27" s="20">
        <v>2.0000000000000001E-4</v>
      </c>
      <c r="T27" s="20">
        <v>1024.5</v>
      </c>
      <c r="U27" s="20">
        <f>T27</f>
        <v>1024.5</v>
      </c>
      <c r="V27" s="20">
        <f t="shared" ref="V27:Y27" si="65">U27</f>
        <v>1024.5</v>
      </c>
      <c r="W27" s="20">
        <f t="shared" si="65"/>
        <v>1024.5</v>
      </c>
      <c r="X27" s="20">
        <f t="shared" si="65"/>
        <v>1024.5</v>
      </c>
      <c r="Y27" s="20">
        <f t="shared" si="65"/>
        <v>1024.5</v>
      </c>
      <c r="Z27" s="20">
        <v>33</v>
      </c>
      <c r="AA27" s="20">
        <f>Z27</f>
        <v>33</v>
      </c>
      <c r="AB27" s="20">
        <f t="shared" ref="AB27:AD27" si="66">AA27</f>
        <v>33</v>
      </c>
      <c r="AC27" s="20">
        <f t="shared" si="66"/>
        <v>33</v>
      </c>
      <c r="AD27" s="20">
        <f t="shared" si="66"/>
        <v>33</v>
      </c>
      <c r="AE27" s="20">
        <f>AD27</f>
        <v>33</v>
      </c>
    </row>
    <row r="28" spans="1:57" s="20" customFormat="1" x14ac:dyDescent="0.2">
      <c r="A28" s="20">
        <v>-5.8963000000000001</v>
      </c>
      <c r="B28" s="20">
        <v>22.416599999999999</v>
      </c>
      <c r="C28" s="20" t="s">
        <v>85</v>
      </c>
      <c r="D28" s="20" t="s">
        <v>123</v>
      </c>
      <c r="E28" s="20" t="s">
        <v>145</v>
      </c>
      <c r="F28" s="20" t="str">
        <f t="shared" ref="F28:F58" si="67">C28&amp;E28</f>
        <v>D4DSKC01</v>
      </c>
      <c r="G28" s="20" t="str">
        <f t="shared" si="33"/>
        <v>D4DS00</v>
      </c>
      <c r="H28" s="20" t="str">
        <f t="shared" si="3"/>
        <v>D4ELC01</v>
      </c>
      <c r="I28" s="20" t="s">
        <v>80</v>
      </c>
      <c r="J28" s="20">
        <v>8.0000000000000004E-4</v>
      </c>
      <c r="K28" s="21">
        <v>31</v>
      </c>
      <c r="L28" s="20">
        <v>31.536000000000001</v>
      </c>
      <c r="M28" s="20">
        <v>2010</v>
      </c>
      <c r="N28" s="20">
        <f t="shared" ref="N28:N38" si="68">1/0.35</f>
        <v>2.8571428571428572</v>
      </c>
      <c r="O28" s="20">
        <v>0</v>
      </c>
      <c r="P28" s="20">
        <v>0.8</v>
      </c>
      <c r="Q28" s="20">
        <v>0.89</v>
      </c>
      <c r="R28" s="20">
        <v>8.0000000000000004E-4</v>
      </c>
      <c r="T28" s="20">
        <v>1024.5</v>
      </c>
      <c r="U28" s="20">
        <f t="shared" ref="U28:Y28" si="69">T28</f>
        <v>1024.5</v>
      </c>
      <c r="V28" s="20">
        <f t="shared" si="69"/>
        <v>1024.5</v>
      </c>
      <c r="W28" s="20">
        <f t="shared" si="69"/>
        <v>1024.5</v>
      </c>
      <c r="X28" s="20">
        <f t="shared" si="69"/>
        <v>1024.5</v>
      </c>
      <c r="Y28" s="20">
        <f t="shared" si="69"/>
        <v>1024.5</v>
      </c>
      <c r="Z28" s="20">
        <v>33</v>
      </c>
      <c r="AA28" s="20">
        <f t="shared" ref="AA28:AE45" si="70">Z28</f>
        <v>33</v>
      </c>
      <c r="AB28" s="20">
        <f t="shared" si="70"/>
        <v>33</v>
      </c>
      <c r="AC28" s="20">
        <f t="shared" si="70"/>
        <v>33</v>
      </c>
      <c r="AD28" s="20">
        <f t="shared" si="70"/>
        <v>33</v>
      </c>
      <c r="AE28" s="20">
        <f t="shared" si="70"/>
        <v>33</v>
      </c>
    </row>
    <row r="29" spans="1:57" s="20" customFormat="1" x14ac:dyDescent="0.2">
      <c r="A29" s="20">
        <v>-5.8963000000000001</v>
      </c>
      <c r="B29" s="20">
        <v>22.416599999999999</v>
      </c>
      <c r="C29" s="20" t="s">
        <v>85</v>
      </c>
      <c r="D29" s="20" t="s">
        <v>124</v>
      </c>
      <c r="E29" s="20" t="s">
        <v>144</v>
      </c>
      <c r="F29" s="20" t="str">
        <f t="shared" si="67"/>
        <v>D4DSKC02</v>
      </c>
      <c r="G29" s="20" t="str">
        <f t="shared" si="33"/>
        <v>D4DS00</v>
      </c>
      <c r="H29" s="20" t="str">
        <f t="shared" si="3"/>
        <v>D4ELC01</v>
      </c>
      <c r="I29" s="20" t="s">
        <v>80</v>
      </c>
      <c r="J29" s="20">
        <v>1.1999999999999999E-3</v>
      </c>
      <c r="K29" s="21">
        <v>31</v>
      </c>
      <c r="L29" s="20">
        <v>31.536000000000001</v>
      </c>
      <c r="M29" s="20">
        <v>2010</v>
      </c>
      <c r="N29" s="20">
        <f t="shared" si="68"/>
        <v>2.8571428571428572</v>
      </c>
      <c r="O29" s="20">
        <v>0</v>
      </c>
      <c r="P29" s="20">
        <v>0.8</v>
      </c>
      <c r="Q29" s="20">
        <v>0.89</v>
      </c>
      <c r="R29" s="20">
        <v>1.1999999999999999E-3</v>
      </c>
      <c r="T29" s="20">
        <v>1024.5</v>
      </c>
      <c r="U29" s="20">
        <f t="shared" ref="U29:Y29" si="71">T29</f>
        <v>1024.5</v>
      </c>
      <c r="V29" s="20">
        <f t="shared" si="71"/>
        <v>1024.5</v>
      </c>
      <c r="W29" s="20">
        <f t="shared" si="71"/>
        <v>1024.5</v>
      </c>
      <c r="X29" s="20">
        <f t="shared" si="71"/>
        <v>1024.5</v>
      </c>
      <c r="Y29" s="20">
        <f t="shared" si="71"/>
        <v>1024.5</v>
      </c>
      <c r="Z29" s="20">
        <v>33</v>
      </c>
      <c r="AA29" s="20">
        <f t="shared" ref="AA29:AD29" si="72">Z29</f>
        <v>33</v>
      </c>
      <c r="AB29" s="20">
        <f t="shared" si="72"/>
        <v>33</v>
      </c>
      <c r="AC29" s="20">
        <f t="shared" si="72"/>
        <v>33</v>
      </c>
      <c r="AD29" s="20">
        <f t="shared" si="72"/>
        <v>33</v>
      </c>
      <c r="AE29" s="20">
        <f t="shared" si="70"/>
        <v>33</v>
      </c>
    </row>
    <row r="30" spans="1:57" s="20" customFormat="1" x14ac:dyDescent="0.2">
      <c r="A30" s="20">
        <v>-5.8963000000000001</v>
      </c>
      <c r="B30" s="20">
        <v>22.416599999999999</v>
      </c>
      <c r="C30" s="20" t="s">
        <v>85</v>
      </c>
      <c r="D30" s="20" t="s">
        <v>125</v>
      </c>
      <c r="E30" s="20" t="s">
        <v>146</v>
      </c>
      <c r="F30" s="20" t="str">
        <f t="shared" si="67"/>
        <v>D4DSKC03</v>
      </c>
      <c r="G30" s="20" t="str">
        <f t="shared" si="33"/>
        <v>D4DS00</v>
      </c>
      <c r="H30" s="20" t="str">
        <f t="shared" si="3"/>
        <v>D4ELC01</v>
      </c>
      <c r="I30" s="20" t="s">
        <v>80</v>
      </c>
      <c r="J30" s="20">
        <v>2.3999999999999998E-3</v>
      </c>
      <c r="K30" s="21">
        <v>31</v>
      </c>
      <c r="L30" s="20">
        <v>31.536000000000001</v>
      </c>
      <c r="M30" s="20">
        <v>2010</v>
      </c>
      <c r="N30" s="20">
        <f t="shared" si="68"/>
        <v>2.8571428571428572</v>
      </c>
      <c r="O30" s="20">
        <v>0</v>
      </c>
      <c r="P30" s="20">
        <v>0.8</v>
      </c>
      <c r="Q30" s="20">
        <v>0.89</v>
      </c>
      <c r="R30" s="20">
        <v>2.3999999999999998E-3</v>
      </c>
      <c r="T30" s="20">
        <v>1024.5</v>
      </c>
      <c r="U30" s="20">
        <f t="shared" ref="U30:Y30" si="73">T30</f>
        <v>1024.5</v>
      </c>
      <c r="V30" s="20">
        <f t="shared" si="73"/>
        <v>1024.5</v>
      </c>
      <c r="W30" s="20">
        <f t="shared" si="73"/>
        <v>1024.5</v>
      </c>
      <c r="X30" s="20">
        <f t="shared" si="73"/>
        <v>1024.5</v>
      </c>
      <c r="Y30" s="20">
        <f t="shared" si="73"/>
        <v>1024.5</v>
      </c>
      <c r="Z30" s="20">
        <v>33</v>
      </c>
      <c r="AA30" s="20">
        <f t="shared" ref="AA30:AD30" si="74">Z30</f>
        <v>33</v>
      </c>
      <c r="AB30" s="20">
        <f t="shared" si="74"/>
        <v>33</v>
      </c>
      <c r="AC30" s="20">
        <f t="shared" si="74"/>
        <v>33</v>
      </c>
      <c r="AD30" s="20">
        <f t="shared" si="74"/>
        <v>33</v>
      </c>
      <c r="AE30" s="20">
        <f t="shared" si="70"/>
        <v>33</v>
      </c>
    </row>
    <row r="31" spans="1:57" s="20" customFormat="1" x14ac:dyDescent="0.2">
      <c r="A31" s="20">
        <v>-5.8963000000000001</v>
      </c>
      <c r="B31" s="20">
        <v>22.416599999999999</v>
      </c>
      <c r="C31" s="20" t="s">
        <v>85</v>
      </c>
      <c r="D31" s="20" t="s">
        <v>126</v>
      </c>
      <c r="E31" s="20" t="s">
        <v>147</v>
      </c>
      <c r="F31" s="20" t="str">
        <f t="shared" si="67"/>
        <v>D4DSKC04</v>
      </c>
      <c r="G31" s="20" t="str">
        <f t="shared" si="33"/>
        <v>D4DS00</v>
      </c>
      <c r="H31" s="20" t="str">
        <f t="shared" si="3"/>
        <v>D4ELC01</v>
      </c>
      <c r="I31" s="20" t="s">
        <v>80</v>
      </c>
      <c r="J31" s="20">
        <v>8.0999999999999996E-3</v>
      </c>
      <c r="K31" s="21">
        <v>31</v>
      </c>
      <c r="L31" s="20">
        <v>31.536000000000001</v>
      </c>
      <c r="M31" s="20">
        <v>2010</v>
      </c>
      <c r="N31" s="20">
        <f t="shared" si="68"/>
        <v>2.8571428571428572</v>
      </c>
      <c r="O31" s="20">
        <v>0</v>
      </c>
      <c r="P31" s="20">
        <v>0.8</v>
      </c>
      <c r="Q31" s="20">
        <v>0.89</v>
      </c>
      <c r="R31" s="20">
        <v>8.0999999999999996E-3</v>
      </c>
      <c r="T31" s="20">
        <v>1024.5</v>
      </c>
      <c r="U31" s="20">
        <f t="shared" ref="U31:Y31" si="75">T31</f>
        <v>1024.5</v>
      </c>
      <c r="V31" s="20">
        <f t="shared" si="75"/>
        <v>1024.5</v>
      </c>
      <c r="W31" s="20">
        <f t="shared" si="75"/>
        <v>1024.5</v>
      </c>
      <c r="X31" s="20">
        <f t="shared" si="75"/>
        <v>1024.5</v>
      </c>
      <c r="Y31" s="20">
        <f t="shared" si="75"/>
        <v>1024.5</v>
      </c>
      <c r="Z31" s="20">
        <v>33</v>
      </c>
      <c r="AA31" s="20">
        <f t="shared" ref="AA31:AD31" si="76">Z31</f>
        <v>33</v>
      </c>
      <c r="AB31" s="20">
        <f t="shared" si="76"/>
        <v>33</v>
      </c>
      <c r="AC31" s="20">
        <f t="shared" si="76"/>
        <v>33</v>
      </c>
      <c r="AD31" s="20">
        <f t="shared" si="76"/>
        <v>33</v>
      </c>
      <c r="AE31" s="20">
        <f t="shared" si="70"/>
        <v>33</v>
      </c>
    </row>
    <row r="32" spans="1:57" s="20" customFormat="1" x14ac:dyDescent="0.2">
      <c r="A32" s="20">
        <v>-5.8963000000000001</v>
      </c>
      <c r="B32" s="20">
        <v>22.416599999999999</v>
      </c>
      <c r="C32" s="20" t="s">
        <v>85</v>
      </c>
      <c r="D32" s="20" t="s">
        <v>127</v>
      </c>
      <c r="E32" s="20" t="s">
        <v>148</v>
      </c>
      <c r="F32" s="20" t="str">
        <f t="shared" si="67"/>
        <v>D4DSKC05</v>
      </c>
      <c r="G32" s="20" t="str">
        <f t="shared" si="33"/>
        <v>D4DS00</v>
      </c>
      <c r="H32" s="20" t="str">
        <f t="shared" si="3"/>
        <v>D4ELC01</v>
      </c>
      <c r="I32" s="20" t="s">
        <v>80</v>
      </c>
      <c r="J32" s="20">
        <v>4.0000000000000002E-4</v>
      </c>
      <c r="K32" s="21">
        <v>31</v>
      </c>
      <c r="L32" s="20">
        <v>31.536000000000001</v>
      </c>
      <c r="M32" s="20">
        <v>2010</v>
      </c>
      <c r="N32" s="20">
        <f t="shared" si="68"/>
        <v>2.8571428571428572</v>
      </c>
      <c r="O32" s="20">
        <v>0</v>
      </c>
      <c r="P32" s="20">
        <v>0.8</v>
      </c>
      <c r="Q32" s="20">
        <v>0.89</v>
      </c>
      <c r="R32" s="20">
        <v>4.0000000000000002E-4</v>
      </c>
      <c r="T32" s="20">
        <v>1024.5</v>
      </c>
      <c r="U32" s="20">
        <f t="shared" ref="U32:Y32" si="77">T32</f>
        <v>1024.5</v>
      </c>
      <c r="V32" s="20">
        <f t="shared" si="77"/>
        <v>1024.5</v>
      </c>
      <c r="W32" s="20">
        <f t="shared" si="77"/>
        <v>1024.5</v>
      </c>
      <c r="X32" s="20">
        <f t="shared" si="77"/>
        <v>1024.5</v>
      </c>
      <c r="Y32" s="20">
        <f t="shared" si="77"/>
        <v>1024.5</v>
      </c>
      <c r="Z32" s="20">
        <v>33</v>
      </c>
      <c r="AA32" s="20">
        <f t="shared" ref="AA32:AD32" si="78">Z32</f>
        <v>33</v>
      </c>
      <c r="AB32" s="20">
        <f t="shared" si="78"/>
        <v>33</v>
      </c>
      <c r="AC32" s="20">
        <f t="shared" si="78"/>
        <v>33</v>
      </c>
      <c r="AD32" s="20">
        <f t="shared" si="78"/>
        <v>33</v>
      </c>
      <c r="AE32" s="20">
        <f t="shared" si="70"/>
        <v>33</v>
      </c>
    </row>
    <row r="33" spans="1:31" s="20" customFormat="1" x14ac:dyDescent="0.2">
      <c r="A33" s="20">
        <v>-5.8963000000000001</v>
      </c>
      <c r="B33" s="20">
        <v>22.416599999999999</v>
      </c>
      <c r="C33" s="20" t="s">
        <v>85</v>
      </c>
      <c r="D33" s="20" t="s">
        <v>128</v>
      </c>
      <c r="E33" s="20" t="s">
        <v>149</v>
      </c>
      <c r="F33" s="20" t="str">
        <f t="shared" si="67"/>
        <v>D4DSKC06</v>
      </c>
      <c r="G33" s="20" t="str">
        <f t="shared" si="33"/>
        <v>D4DS00</v>
      </c>
      <c r="H33" s="20" t="str">
        <f t="shared" si="3"/>
        <v>D4ELC01</v>
      </c>
      <c r="I33" s="20" t="s">
        <v>80</v>
      </c>
      <c r="J33" s="20">
        <v>1.1999999999999999E-3</v>
      </c>
      <c r="K33" s="21">
        <v>31</v>
      </c>
      <c r="L33" s="20">
        <v>31.536000000000001</v>
      </c>
      <c r="M33" s="20">
        <v>2010</v>
      </c>
      <c r="N33" s="20">
        <f t="shared" si="68"/>
        <v>2.8571428571428572</v>
      </c>
      <c r="O33" s="20">
        <v>0</v>
      </c>
      <c r="P33" s="20">
        <v>0.8</v>
      </c>
      <c r="Q33" s="20">
        <v>0.89</v>
      </c>
      <c r="R33" s="20">
        <v>1.1999999999999999E-3</v>
      </c>
      <c r="T33" s="20">
        <v>1024.5</v>
      </c>
      <c r="U33" s="20">
        <f t="shared" ref="U33:Y33" si="79">T33</f>
        <v>1024.5</v>
      </c>
      <c r="V33" s="20">
        <f t="shared" si="79"/>
        <v>1024.5</v>
      </c>
      <c r="W33" s="20">
        <f t="shared" si="79"/>
        <v>1024.5</v>
      </c>
      <c r="X33" s="20">
        <f t="shared" si="79"/>
        <v>1024.5</v>
      </c>
      <c r="Y33" s="20">
        <f t="shared" si="79"/>
        <v>1024.5</v>
      </c>
      <c r="Z33" s="20">
        <v>33</v>
      </c>
      <c r="AA33" s="20">
        <f t="shared" ref="AA33:AD33" si="80">Z33</f>
        <v>33</v>
      </c>
      <c r="AB33" s="20">
        <f t="shared" si="80"/>
        <v>33</v>
      </c>
      <c r="AC33" s="20">
        <f t="shared" si="80"/>
        <v>33</v>
      </c>
      <c r="AD33" s="20">
        <f t="shared" si="80"/>
        <v>33</v>
      </c>
      <c r="AE33" s="20">
        <f t="shared" si="70"/>
        <v>33</v>
      </c>
    </row>
    <row r="34" spans="1:31" s="20" customFormat="1" x14ac:dyDescent="0.2">
      <c r="A34" s="20">
        <v>-5.8963000000000001</v>
      </c>
      <c r="B34" s="20">
        <v>22.416599999999999</v>
      </c>
      <c r="C34" s="20" t="s">
        <v>85</v>
      </c>
      <c r="D34" s="20" t="s">
        <v>129</v>
      </c>
      <c r="E34" s="20" t="s">
        <v>150</v>
      </c>
      <c r="F34" s="20" t="str">
        <f t="shared" si="67"/>
        <v>D4DSKC07</v>
      </c>
      <c r="G34" s="20" t="str">
        <f t="shared" si="33"/>
        <v>D4DS00</v>
      </c>
      <c r="H34" s="20" t="str">
        <f t="shared" si="3"/>
        <v>D4ELC01</v>
      </c>
      <c r="I34" s="20" t="s">
        <v>80</v>
      </c>
      <c r="J34" s="20">
        <v>1.8E-3</v>
      </c>
      <c r="K34" s="21">
        <v>31</v>
      </c>
      <c r="L34" s="20">
        <v>31.536000000000001</v>
      </c>
      <c r="M34" s="20">
        <v>2010</v>
      </c>
      <c r="N34" s="20">
        <f t="shared" si="68"/>
        <v>2.8571428571428572</v>
      </c>
      <c r="O34" s="20">
        <v>0</v>
      </c>
      <c r="P34" s="20">
        <v>0.8</v>
      </c>
      <c r="Q34" s="20">
        <v>0.89</v>
      </c>
      <c r="R34" s="20">
        <v>1.8E-3</v>
      </c>
      <c r="T34" s="20">
        <v>1024.5</v>
      </c>
      <c r="U34" s="20">
        <f t="shared" ref="U34:Y34" si="81">T34</f>
        <v>1024.5</v>
      </c>
      <c r="V34" s="20">
        <f t="shared" si="81"/>
        <v>1024.5</v>
      </c>
      <c r="W34" s="20">
        <f t="shared" si="81"/>
        <v>1024.5</v>
      </c>
      <c r="X34" s="20">
        <f t="shared" si="81"/>
        <v>1024.5</v>
      </c>
      <c r="Y34" s="20">
        <f t="shared" si="81"/>
        <v>1024.5</v>
      </c>
      <c r="Z34" s="20">
        <v>33</v>
      </c>
      <c r="AA34" s="20">
        <f t="shared" ref="AA34:AD34" si="82">Z34</f>
        <v>33</v>
      </c>
      <c r="AB34" s="20">
        <f t="shared" si="82"/>
        <v>33</v>
      </c>
      <c r="AC34" s="20">
        <f t="shared" si="82"/>
        <v>33</v>
      </c>
      <c r="AD34" s="20">
        <f t="shared" si="82"/>
        <v>33</v>
      </c>
      <c r="AE34" s="20">
        <f t="shared" si="70"/>
        <v>33</v>
      </c>
    </row>
    <row r="35" spans="1:31" s="20" customFormat="1" x14ac:dyDescent="0.2">
      <c r="A35" s="20">
        <v>-6.1360299999999999</v>
      </c>
      <c r="B35" s="20">
        <v>23.589790000000001</v>
      </c>
      <c r="C35" s="20" t="s">
        <v>85</v>
      </c>
      <c r="D35" s="20" t="s">
        <v>130</v>
      </c>
      <c r="E35" s="20" t="s">
        <v>151</v>
      </c>
      <c r="F35" s="20" t="str">
        <f t="shared" si="67"/>
        <v>D4DSMC01</v>
      </c>
      <c r="G35" s="20" t="str">
        <f t="shared" si="33"/>
        <v>D4DS00</v>
      </c>
      <c r="H35" s="20" t="str">
        <f t="shared" si="3"/>
        <v>D4ELC01</v>
      </c>
      <c r="I35" s="20" t="s">
        <v>80</v>
      </c>
      <c r="J35" s="20">
        <v>6.9000000000000008E-3</v>
      </c>
      <c r="K35" s="21">
        <v>31</v>
      </c>
      <c r="L35" s="20">
        <v>31.536000000000001</v>
      </c>
      <c r="M35" s="20">
        <v>2010</v>
      </c>
      <c r="N35" s="20">
        <f t="shared" si="68"/>
        <v>2.8571428571428572</v>
      </c>
      <c r="O35" s="20">
        <v>0</v>
      </c>
      <c r="P35" s="20">
        <v>0.8</v>
      </c>
      <c r="Q35" s="20">
        <v>0.89</v>
      </c>
      <c r="R35" s="20">
        <v>6.9000000000000008E-3</v>
      </c>
      <c r="T35" s="20">
        <v>1024.5</v>
      </c>
      <c r="U35" s="20">
        <f t="shared" ref="U35:Y35" si="83">T35</f>
        <v>1024.5</v>
      </c>
      <c r="V35" s="20">
        <f t="shared" si="83"/>
        <v>1024.5</v>
      </c>
      <c r="W35" s="20">
        <f t="shared" si="83"/>
        <v>1024.5</v>
      </c>
      <c r="X35" s="20">
        <f t="shared" si="83"/>
        <v>1024.5</v>
      </c>
      <c r="Y35" s="20">
        <f t="shared" si="83"/>
        <v>1024.5</v>
      </c>
      <c r="Z35" s="20">
        <v>33</v>
      </c>
      <c r="AA35" s="20">
        <f t="shared" ref="AA35:AD35" si="84">Z35</f>
        <v>33</v>
      </c>
      <c r="AB35" s="20">
        <f t="shared" si="84"/>
        <v>33</v>
      </c>
      <c r="AC35" s="20">
        <f t="shared" si="84"/>
        <v>33</v>
      </c>
      <c r="AD35" s="20">
        <f t="shared" si="84"/>
        <v>33</v>
      </c>
      <c r="AE35" s="20">
        <f t="shared" si="70"/>
        <v>33</v>
      </c>
    </row>
    <row r="36" spans="1:31" s="20" customFormat="1" x14ac:dyDescent="0.2">
      <c r="A36" s="20">
        <v>-6.1360299999999999</v>
      </c>
      <c r="B36" s="20">
        <v>23.589790000000001</v>
      </c>
      <c r="C36" s="20" t="s">
        <v>85</v>
      </c>
      <c r="D36" s="20" t="s">
        <v>131</v>
      </c>
      <c r="E36" s="20" t="s">
        <v>152</v>
      </c>
      <c r="F36" s="20" t="str">
        <f t="shared" si="67"/>
        <v>D4DSMC02</v>
      </c>
      <c r="G36" s="20" t="str">
        <f t="shared" si="33"/>
        <v>D4DS00</v>
      </c>
      <c r="H36" s="20" t="str">
        <f t="shared" si="3"/>
        <v>D4ELC01</v>
      </c>
      <c r="I36" s="20" t="s">
        <v>80</v>
      </c>
      <c r="J36" s="20">
        <v>1.29E-2</v>
      </c>
      <c r="K36" s="21">
        <v>31</v>
      </c>
      <c r="L36" s="20">
        <v>31.536000000000001</v>
      </c>
      <c r="M36" s="20">
        <v>2010</v>
      </c>
      <c r="N36" s="20">
        <f t="shared" si="68"/>
        <v>2.8571428571428572</v>
      </c>
      <c r="O36" s="20">
        <v>0</v>
      </c>
      <c r="P36" s="20">
        <v>0.8</v>
      </c>
      <c r="Q36" s="20">
        <v>0.89</v>
      </c>
      <c r="R36" s="20">
        <v>1.29E-2</v>
      </c>
      <c r="T36" s="20">
        <v>1024.5</v>
      </c>
      <c r="U36" s="20">
        <f t="shared" ref="U36:Y36" si="85">T36</f>
        <v>1024.5</v>
      </c>
      <c r="V36" s="20">
        <f t="shared" si="85"/>
        <v>1024.5</v>
      </c>
      <c r="W36" s="20">
        <f t="shared" si="85"/>
        <v>1024.5</v>
      </c>
      <c r="X36" s="20">
        <f t="shared" si="85"/>
        <v>1024.5</v>
      </c>
      <c r="Y36" s="20">
        <f t="shared" si="85"/>
        <v>1024.5</v>
      </c>
      <c r="Z36" s="20">
        <v>33</v>
      </c>
      <c r="AA36" s="20">
        <f t="shared" ref="AA36:AD36" si="86">Z36</f>
        <v>33</v>
      </c>
      <c r="AB36" s="20">
        <f t="shared" si="86"/>
        <v>33</v>
      </c>
      <c r="AC36" s="20">
        <f t="shared" si="86"/>
        <v>33</v>
      </c>
      <c r="AD36" s="20">
        <f t="shared" si="86"/>
        <v>33</v>
      </c>
      <c r="AE36" s="20">
        <f t="shared" si="70"/>
        <v>33</v>
      </c>
    </row>
    <row r="37" spans="1:31" s="20" customFormat="1" x14ac:dyDescent="0.2">
      <c r="A37" s="20">
        <v>-6.1360299999999999</v>
      </c>
      <c r="B37" s="20">
        <v>23.589790000000001</v>
      </c>
      <c r="C37" s="20" t="s">
        <v>85</v>
      </c>
      <c r="D37" s="20" t="s">
        <v>132</v>
      </c>
      <c r="E37" s="20" t="s">
        <v>153</v>
      </c>
      <c r="F37" s="20" t="str">
        <f t="shared" si="67"/>
        <v>D4DSMC03</v>
      </c>
      <c r="G37" s="20" t="str">
        <f t="shared" si="33"/>
        <v>D4DS00</v>
      </c>
      <c r="H37" s="20" t="str">
        <f t="shared" si="3"/>
        <v>D4ELC01</v>
      </c>
      <c r="I37" s="20" t="s">
        <v>80</v>
      </c>
      <c r="J37" s="20">
        <v>8.0000000000000004E-4</v>
      </c>
      <c r="K37" s="21">
        <v>31</v>
      </c>
      <c r="L37" s="20">
        <v>31.536000000000001</v>
      </c>
      <c r="M37" s="20">
        <v>2010</v>
      </c>
      <c r="N37" s="20">
        <f t="shared" si="68"/>
        <v>2.8571428571428572</v>
      </c>
      <c r="O37" s="20">
        <v>0</v>
      </c>
      <c r="P37" s="20">
        <v>0.8</v>
      </c>
      <c r="Q37" s="20">
        <v>0.89</v>
      </c>
      <c r="R37" s="20">
        <v>8.0000000000000004E-4</v>
      </c>
      <c r="T37" s="20">
        <v>1024.5</v>
      </c>
      <c r="U37" s="20">
        <f t="shared" ref="U37:Y37" si="87">T37</f>
        <v>1024.5</v>
      </c>
      <c r="V37" s="20">
        <f t="shared" si="87"/>
        <v>1024.5</v>
      </c>
      <c r="W37" s="20">
        <f t="shared" si="87"/>
        <v>1024.5</v>
      </c>
      <c r="X37" s="20">
        <f t="shared" si="87"/>
        <v>1024.5</v>
      </c>
      <c r="Y37" s="20">
        <f t="shared" si="87"/>
        <v>1024.5</v>
      </c>
      <c r="Z37" s="20">
        <v>33</v>
      </c>
      <c r="AA37" s="20">
        <f t="shared" ref="AA37:AD37" si="88">Z37</f>
        <v>33</v>
      </c>
      <c r="AB37" s="20">
        <f t="shared" si="88"/>
        <v>33</v>
      </c>
      <c r="AC37" s="20">
        <f t="shared" si="88"/>
        <v>33</v>
      </c>
      <c r="AD37" s="20">
        <f t="shared" si="88"/>
        <v>33</v>
      </c>
      <c r="AE37" s="20">
        <f t="shared" si="70"/>
        <v>33</v>
      </c>
    </row>
    <row r="38" spans="1:31" s="20" customFormat="1" x14ac:dyDescent="0.2">
      <c r="A38" s="20">
        <v>-6.1360299999999999</v>
      </c>
      <c r="B38" s="20">
        <v>23.589790000000001</v>
      </c>
      <c r="C38" s="20" t="s">
        <v>85</v>
      </c>
      <c r="D38" s="20" t="s">
        <v>133</v>
      </c>
      <c r="E38" s="20" t="s">
        <v>154</v>
      </c>
      <c r="F38" s="20" t="str">
        <f t="shared" si="67"/>
        <v>D4DSZC01</v>
      </c>
      <c r="G38" s="20" t="str">
        <f t="shared" si="33"/>
        <v>D4DS00</v>
      </c>
      <c r="H38" s="20" t="str">
        <f t="shared" si="3"/>
        <v>D4ELC01</v>
      </c>
      <c r="I38" s="20" t="s">
        <v>80</v>
      </c>
      <c r="J38" s="20">
        <v>7.4999999999999997E-2</v>
      </c>
      <c r="K38" s="21">
        <v>31</v>
      </c>
      <c r="L38" s="20">
        <v>31.536000000000001</v>
      </c>
      <c r="M38" s="20">
        <v>1965</v>
      </c>
      <c r="N38" s="20">
        <f t="shared" si="68"/>
        <v>2.8571428571428572</v>
      </c>
      <c r="O38" s="20">
        <v>0</v>
      </c>
      <c r="P38" s="20">
        <v>0.8</v>
      </c>
      <c r="Q38" s="20">
        <v>0.89</v>
      </c>
      <c r="R38" s="20">
        <v>7.4999999999999997E-2</v>
      </c>
      <c r="T38" s="20">
        <v>1024.5</v>
      </c>
      <c r="U38" s="20">
        <f t="shared" ref="U38:Y38" si="89">T38</f>
        <v>1024.5</v>
      </c>
      <c r="V38" s="20">
        <f t="shared" si="89"/>
        <v>1024.5</v>
      </c>
      <c r="W38" s="20">
        <f t="shared" si="89"/>
        <v>1024.5</v>
      </c>
      <c r="X38" s="20">
        <f t="shared" si="89"/>
        <v>1024.5</v>
      </c>
      <c r="Y38" s="20">
        <f t="shared" si="89"/>
        <v>1024.5</v>
      </c>
      <c r="Z38" s="20">
        <v>33</v>
      </c>
      <c r="AA38" s="20">
        <f t="shared" ref="AA38:AD38" si="90">Z38</f>
        <v>33</v>
      </c>
      <c r="AB38" s="20">
        <f t="shared" si="90"/>
        <v>33</v>
      </c>
      <c r="AC38" s="20">
        <f t="shared" si="90"/>
        <v>33</v>
      </c>
      <c r="AD38" s="20">
        <f t="shared" si="90"/>
        <v>33</v>
      </c>
      <c r="AE38" s="20">
        <f t="shared" si="70"/>
        <v>33</v>
      </c>
    </row>
    <row r="39" spans="1:31" s="20" customFormat="1" x14ac:dyDescent="0.2">
      <c r="A39" s="20">
        <v>-6.1360299999999999</v>
      </c>
      <c r="B39" s="20">
        <v>23.589790000000001</v>
      </c>
      <c r="C39" s="20" t="s">
        <v>85</v>
      </c>
      <c r="D39" s="20" t="s">
        <v>134</v>
      </c>
      <c r="E39" s="20" t="s">
        <v>60</v>
      </c>
      <c r="F39" s="20" t="str">
        <f t="shared" si="67"/>
        <v>D4NGSC00</v>
      </c>
      <c r="G39" s="20" t="str">
        <f t="shared" si="33"/>
        <v>D4NG00</v>
      </c>
      <c r="H39" s="20" t="str">
        <f t="shared" si="3"/>
        <v>D4ELC01</v>
      </c>
      <c r="I39" s="20" t="s">
        <v>80</v>
      </c>
      <c r="J39" s="20">
        <v>4.7999999999999996E-3</v>
      </c>
      <c r="K39" s="21">
        <v>35</v>
      </c>
      <c r="L39" s="20">
        <v>31.536000000000001</v>
      </c>
      <c r="M39" s="20">
        <v>1992</v>
      </c>
      <c r="N39" s="20">
        <f>1/0.45</f>
        <v>2.2222222222222223</v>
      </c>
      <c r="O39" s="20">
        <v>0</v>
      </c>
      <c r="P39" s="20">
        <v>0.85</v>
      </c>
      <c r="Q39" s="20">
        <v>0.92</v>
      </c>
      <c r="R39" s="20">
        <v>4.7999999999999996E-3</v>
      </c>
      <c r="T39" s="20">
        <v>1024.5</v>
      </c>
      <c r="U39" s="20">
        <f t="shared" ref="U39:Y40" si="91">T39</f>
        <v>1024.5</v>
      </c>
      <c r="V39" s="20">
        <f t="shared" si="91"/>
        <v>1024.5</v>
      </c>
      <c r="W39" s="20">
        <f t="shared" si="91"/>
        <v>1024.5</v>
      </c>
      <c r="X39" s="20">
        <f t="shared" si="91"/>
        <v>1024.5</v>
      </c>
      <c r="Y39" s="20">
        <f t="shared" si="91"/>
        <v>1024.5</v>
      </c>
      <c r="Z39" s="20">
        <v>33</v>
      </c>
      <c r="AA39" s="20">
        <f t="shared" ref="AA39:AD40" si="92">Z39</f>
        <v>33</v>
      </c>
      <c r="AB39" s="20">
        <f t="shared" si="92"/>
        <v>33</v>
      </c>
      <c r="AC39" s="20">
        <f t="shared" si="92"/>
        <v>33</v>
      </c>
      <c r="AD39" s="20">
        <f t="shared" si="92"/>
        <v>33</v>
      </c>
      <c r="AE39" s="20">
        <f t="shared" si="70"/>
        <v>33</v>
      </c>
    </row>
    <row r="40" spans="1:31" s="15" customFormat="1" x14ac:dyDescent="0.2">
      <c r="A40" s="15">
        <v>2.1512229999999999</v>
      </c>
      <c r="B40" s="15">
        <v>21.518832</v>
      </c>
      <c r="C40" s="15" t="s">
        <v>86</v>
      </c>
      <c r="D40" s="15" t="s">
        <v>156</v>
      </c>
      <c r="E40" s="15" t="s">
        <v>172</v>
      </c>
      <c r="F40" s="15" t="str">
        <f t="shared" si="67"/>
        <v>D5DSKC08</v>
      </c>
      <c r="G40" s="15" t="str">
        <f t="shared" si="33"/>
        <v>D5DS00</v>
      </c>
      <c r="H40" s="15" t="str">
        <f t="shared" si="3"/>
        <v>D5ELC01</v>
      </c>
      <c r="I40" s="15" t="s">
        <v>80</v>
      </c>
      <c r="J40" s="15">
        <v>5.9999999999999995E-4</v>
      </c>
      <c r="K40" s="16">
        <v>31</v>
      </c>
      <c r="L40" s="15">
        <v>31.536000000000001</v>
      </c>
      <c r="M40" s="15">
        <v>2010</v>
      </c>
      <c r="N40" s="15">
        <f>1/0.35</f>
        <v>2.8571428571428572</v>
      </c>
      <c r="O40" s="15">
        <v>0.8</v>
      </c>
      <c r="P40" s="15">
        <v>0.8</v>
      </c>
      <c r="Q40" s="15">
        <v>0.89</v>
      </c>
      <c r="R40" s="15">
        <v>5.9999999999999995E-4</v>
      </c>
      <c r="T40" s="15">
        <v>1024.5</v>
      </c>
      <c r="U40" s="15">
        <f t="shared" si="91"/>
        <v>1024.5</v>
      </c>
      <c r="V40" s="15">
        <f t="shared" si="91"/>
        <v>1024.5</v>
      </c>
      <c r="W40" s="15">
        <f t="shared" si="91"/>
        <v>1024.5</v>
      </c>
      <c r="X40" s="15">
        <f t="shared" si="91"/>
        <v>1024.5</v>
      </c>
      <c r="Y40" s="15">
        <f t="shared" si="91"/>
        <v>1024.5</v>
      </c>
      <c r="Z40" s="15">
        <v>33</v>
      </c>
      <c r="AA40" s="15">
        <f t="shared" si="92"/>
        <v>33</v>
      </c>
      <c r="AB40" s="15">
        <f t="shared" si="92"/>
        <v>33</v>
      </c>
      <c r="AC40" s="15">
        <f t="shared" si="92"/>
        <v>33</v>
      </c>
      <c r="AD40" s="15">
        <f t="shared" si="92"/>
        <v>33</v>
      </c>
      <c r="AE40" s="20">
        <f t="shared" si="70"/>
        <v>33</v>
      </c>
    </row>
    <row r="41" spans="1:31" s="15" customFormat="1" x14ac:dyDescent="0.2">
      <c r="A41" s="15">
        <v>0.51527999999999996</v>
      </c>
      <c r="B41" s="15">
        <v>25.190989999999999</v>
      </c>
      <c r="C41" s="15" t="s">
        <v>86</v>
      </c>
      <c r="D41" s="15" t="s">
        <v>157</v>
      </c>
      <c r="E41" s="15" t="s">
        <v>173</v>
      </c>
      <c r="F41" s="15" t="str">
        <f t="shared" si="67"/>
        <v>D5DSKC09</v>
      </c>
      <c r="G41" s="15" t="str">
        <f t="shared" si="33"/>
        <v>D5DS00</v>
      </c>
      <c r="H41" s="15" t="str">
        <f t="shared" si="3"/>
        <v>D5ELC01</v>
      </c>
      <c r="I41" s="15" t="s">
        <v>80</v>
      </c>
      <c r="J41" s="15">
        <v>5.1200000000000002E-2</v>
      </c>
      <c r="K41" s="16">
        <v>31</v>
      </c>
      <c r="L41" s="15">
        <v>31.536000000000001</v>
      </c>
      <c r="M41" s="15">
        <v>2010</v>
      </c>
      <c r="N41" s="15">
        <f t="shared" ref="N41:N47" si="93">1/0.35</f>
        <v>2.8571428571428572</v>
      </c>
      <c r="O41" s="15">
        <v>0.8</v>
      </c>
      <c r="P41" s="15">
        <v>0.8</v>
      </c>
      <c r="Q41" s="15">
        <v>0.89</v>
      </c>
      <c r="R41" s="15">
        <v>5.1200000000000002E-2</v>
      </c>
      <c r="T41" s="15">
        <v>1024.5</v>
      </c>
      <c r="U41" s="15">
        <f t="shared" ref="U41:Y41" si="94">T41</f>
        <v>1024.5</v>
      </c>
      <c r="V41" s="15">
        <f t="shared" si="94"/>
        <v>1024.5</v>
      </c>
      <c r="W41" s="15">
        <f t="shared" si="94"/>
        <v>1024.5</v>
      </c>
      <c r="X41" s="15">
        <f t="shared" si="94"/>
        <v>1024.5</v>
      </c>
      <c r="Y41" s="15">
        <f t="shared" si="94"/>
        <v>1024.5</v>
      </c>
      <c r="Z41" s="15">
        <v>33</v>
      </c>
      <c r="AA41" s="15">
        <f t="shared" ref="AA41:AD41" si="95">Z41</f>
        <v>33</v>
      </c>
      <c r="AB41" s="15">
        <f t="shared" si="95"/>
        <v>33</v>
      </c>
      <c r="AC41" s="15">
        <f t="shared" si="95"/>
        <v>33</v>
      </c>
      <c r="AD41" s="15">
        <f t="shared" si="95"/>
        <v>33</v>
      </c>
      <c r="AE41" s="20">
        <f t="shared" si="70"/>
        <v>33</v>
      </c>
    </row>
    <row r="42" spans="1:31" s="15" customFormat="1" x14ac:dyDescent="0.2">
      <c r="A42" s="15">
        <v>2.1512229999999999</v>
      </c>
      <c r="B42" s="15">
        <v>21.518832</v>
      </c>
      <c r="C42" s="15" t="s">
        <v>86</v>
      </c>
      <c r="D42" s="15" t="s">
        <v>158</v>
      </c>
      <c r="E42" s="15" t="s">
        <v>174</v>
      </c>
      <c r="F42" s="15" t="str">
        <f t="shared" si="67"/>
        <v>D5DSKC10</v>
      </c>
      <c r="G42" s="15" t="str">
        <f t="shared" si="33"/>
        <v>D5DS00</v>
      </c>
      <c r="H42" s="15" t="str">
        <f t="shared" si="3"/>
        <v>D5ELC01</v>
      </c>
      <c r="I42" s="15" t="s">
        <v>80</v>
      </c>
      <c r="J42" s="15">
        <v>2.9999999999999997E-4</v>
      </c>
      <c r="K42" s="16">
        <v>31</v>
      </c>
      <c r="L42" s="15">
        <v>31.536000000000001</v>
      </c>
      <c r="M42" s="15">
        <v>2010</v>
      </c>
      <c r="N42" s="15">
        <f t="shared" si="93"/>
        <v>2.8571428571428572</v>
      </c>
      <c r="O42" s="15">
        <v>0.8</v>
      </c>
      <c r="P42" s="15">
        <v>0.8</v>
      </c>
      <c r="Q42" s="15">
        <v>0.89</v>
      </c>
      <c r="R42" s="15">
        <v>2.9999999999999997E-4</v>
      </c>
      <c r="T42" s="15">
        <v>1024.5</v>
      </c>
      <c r="U42" s="15">
        <f t="shared" ref="U42:Y42" si="96">T42</f>
        <v>1024.5</v>
      </c>
      <c r="V42" s="15">
        <f t="shared" si="96"/>
        <v>1024.5</v>
      </c>
      <c r="W42" s="15">
        <f t="shared" si="96"/>
        <v>1024.5</v>
      </c>
      <c r="X42" s="15">
        <f t="shared" si="96"/>
        <v>1024.5</v>
      </c>
      <c r="Y42" s="15">
        <f t="shared" si="96"/>
        <v>1024.5</v>
      </c>
      <c r="Z42" s="15">
        <v>33</v>
      </c>
      <c r="AA42" s="15">
        <f t="shared" ref="AA42:AD42" si="97">Z42</f>
        <v>33</v>
      </c>
      <c r="AB42" s="15">
        <f t="shared" si="97"/>
        <v>33</v>
      </c>
      <c r="AC42" s="15">
        <f t="shared" si="97"/>
        <v>33</v>
      </c>
      <c r="AD42" s="15">
        <f t="shared" si="97"/>
        <v>33</v>
      </c>
      <c r="AE42" s="20">
        <f t="shared" si="70"/>
        <v>33</v>
      </c>
    </row>
    <row r="43" spans="1:31" s="15" customFormat="1" x14ac:dyDescent="0.2">
      <c r="A43" s="15">
        <v>2.1512229999999999</v>
      </c>
      <c r="B43" s="15">
        <v>21.518832</v>
      </c>
      <c r="C43" s="15" t="s">
        <v>86</v>
      </c>
      <c r="D43" s="15" t="s">
        <v>159</v>
      </c>
      <c r="E43" s="15" t="s">
        <v>175</v>
      </c>
      <c r="F43" s="15" t="str">
        <f t="shared" si="67"/>
        <v>D5DSLC01</v>
      </c>
      <c r="G43" s="15" t="str">
        <f t="shared" si="33"/>
        <v>D5DS00</v>
      </c>
      <c r="H43" s="15" t="str">
        <f t="shared" si="3"/>
        <v>D5ELC01</v>
      </c>
      <c r="I43" s="15" t="s">
        <v>80</v>
      </c>
      <c r="J43" s="15">
        <v>1.2999999999999999E-3</v>
      </c>
      <c r="K43" s="16">
        <v>31</v>
      </c>
      <c r="L43" s="15">
        <v>31.536000000000001</v>
      </c>
      <c r="M43" s="15">
        <v>2010</v>
      </c>
      <c r="N43" s="15">
        <f t="shared" si="93"/>
        <v>2.8571428571428572</v>
      </c>
      <c r="O43" s="15">
        <v>0.8</v>
      </c>
      <c r="P43" s="15">
        <v>0.8</v>
      </c>
      <c r="Q43" s="15">
        <v>0.89</v>
      </c>
      <c r="R43" s="15">
        <v>1.2999999999999999E-3</v>
      </c>
      <c r="T43" s="15">
        <v>1024.5</v>
      </c>
      <c r="U43" s="15">
        <f t="shared" ref="U43:Y43" si="98">T43</f>
        <v>1024.5</v>
      </c>
      <c r="V43" s="15">
        <f t="shared" si="98"/>
        <v>1024.5</v>
      </c>
      <c r="W43" s="15">
        <f t="shared" si="98"/>
        <v>1024.5</v>
      </c>
      <c r="X43" s="15">
        <f t="shared" si="98"/>
        <v>1024.5</v>
      </c>
      <c r="Y43" s="15">
        <f t="shared" si="98"/>
        <v>1024.5</v>
      </c>
      <c r="Z43" s="15">
        <v>33</v>
      </c>
      <c r="AA43" s="15">
        <f t="shared" ref="AA43:AD43" si="99">Z43</f>
        <v>33</v>
      </c>
      <c r="AB43" s="15">
        <f t="shared" si="99"/>
        <v>33</v>
      </c>
      <c r="AC43" s="15">
        <f t="shared" si="99"/>
        <v>33</v>
      </c>
      <c r="AD43" s="15">
        <f t="shared" si="99"/>
        <v>33</v>
      </c>
      <c r="AE43" s="20">
        <f t="shared" si="70"/>
        <v>33</v>
      </c>
    </row>
    <row r="44" spans="1:31" s="15" customFormat="1" x14ac:dyDescent="0.2">
      <c r="A44" s="15">
        <v>2.1512229999999999</v>
      </c>
      <c r="B44" s="15">
        <v>21.518832</v>
      </c>
      <c r="C44" s="15" t="s">
        <v>86</v>
      </c>
      <c r="D44" s="15" t="s">
        <v>160</v>
      </c>
      <c r="E44" s="15" t="s">
        <v>176</v>
      </c>
      <c r="F44" s="15" t="str">
        <f t="shared" si="67"/>
        <v>D5DSLC02</v>
      </c>
      <c r="G44" s="15" t="str">
        <f t="shared" si="33"/>
        <v>D5DS00</v>
      </c>
      <c r="H44" s="15" t="str">
        <f t="shared" si="3"/>
        <v>D5ELC01</v>
      </c>
      <c r="I44" s="15" t="s">
        <v>80</v>
      </c>
      <c r="J44" s="15">
        <v>1.6000000000000001E-3</v>
      </c>
      <c r="K44" s="16">
        <v>31</v>
      </c>
      <c r="L44" s="15">
        <v>31.536000000000001</v>
      </c>
      <c r="M44" s="15">
        <v>2010</v>
      </c>
      <c r="N44" s="15">
        <f t="shared" si="93"/>
        <v>2.8571428571428572</v>
      </c>
      <c r="O44" s="15">
        <v>0.8</v>
      </c>
      <c r="P44" s="15">
        <v>0.8</v>
      </c>
      <c r="Q44" s="15">
        <v>0.89</v>
      </c>
      <c r="R44" s="15">
        <v>1.6000000000000001E-3</v>
      </c>
      <c r="T44" s="15">
        <v>1024.5</v>
      </c>
      <c r="U44" s="15">
        <f t="shared" ref="U44:Y44" si="100">T44</f>
        <v>1024.5</v>
      </c>
      <c r="V44" s="15">
        <f t="shared" si="100"/>
        <v>1024.5</v>
      </c>
      <c r="W44" s="15">
        <f t="shared" si="100"/>
        <v>1024.5</v>
      </c>
      <c r="X44" s="15">
        <f t="shared" si="100"/>
        <v>1024.5</v>
      </c>
      <c r="Y44" s="15">
        <f t="shared" si="100"/>
        <v>1024.5</v>
      </c>
      <c r="Z44" s="15">
        <v>33</v>
      </c>
      <c r="AA44" s="15">
        <f t="shared" ref="AA44:AD44" si="101">Z44</f>
        <v>33</v>
      </c>
      <c r="AB44" s="15">
        <f t="shared" si="101"/>
        <v>33</v>
      </c>
      <c r="AC44" s="15">
        <f t="shared" si="101"/>
        <v>33</v>
      </c>
      <c r="AD44" s="15">
        <f t="shared" si="101"/>
        <v>33</v>
      </c>
      <c r="AE44" s="20">
        <f>AD44</f>
        <v>33</v>
      </c>
    </row>
    <row r="45" spans="1:31" s="15" customFormat="1" x14ac:dyDescent="0.2">
      <c r="A45" s="15">
        <v>2.1512229999999999</v>
      </c>
      <c r="B45" s="15">
        <v>21.518832</v>
      </c>
      <c r="C45" s="15" t="s">
        <v>86</v>
      </c>
      <c r="D45" s="15" t="s">
        <v>161</v>
      </c>
      <c r="E45" s="15" t="s">
        <v>177</v>
      </c>
      <c r="F45" s="15" t="str">
        <f t="shared" si="67"/>
        <v>D5DSLC03</v>
      </c>
      <c r="G45" s="15" t="str">
        <f t="shared" si="33"/>
        <v>D5DS00</v>
      </c>
      <c r="H45" s="15" t="str">
        <f t="shared" si="3"/>
        <v>D5ELC01</v>
      </c>
      <c r="I45" s="15" t="s">
        <v>80</v>
      </c>
      <c r="J45" s="15">
        <v>8.4000000000000012E-3</v>
      </c>
      <c r="K45" s="16">
        <v>31</v>
      </c>
      <c r="L45" s="15">
        <v>31.536000000000001</v>
      </c>
      <c r="M45" s="15">
        <v>2010</v>
      </c>
      <c r="N45" s="15">
        <f t="shared" si="93"/>
        <v>2.8571428571428572</v>
      </c>
      <c r="O45" s="15">
        <v>0.8</v>
      </c>
      <c r="P45" s="15">
        <v>0.8</v>
      </c>
      <c r="Q45" s="15">
        <v>0.89</v>
      </c>
      <c r="R45" s="15">
        <v>8.4000000000000012E-3</v>
      </c>
      <c r="T45" s="15">
        <v>1024.5</v>
      </c>
      <c r="U45" s="15">
        <f t="shared" ref="U45:Y45" si="102">T45</f>
        <v>1024.5</v>
      </c>
      <c r="V45" s="15">
        <f t="shared" si="102"/>
        <v>1024.5</v>
      </c>
      <c r="W45" s="15">
        <f t="shared" si="102"/>
        <v>1024.5</v>
      </c>
      <c r="X45" s="15">
        <f t="shared" si="102"/>
        <v>1024.5</v>
      </c>
      <c r="Y45" s="15">
        <f t="shared" si="102"/>
        <v>1024.5</v>
      </c>
      <c r="Z45" s="15">
        <v>33</v>
      </c>
      <c r="AA45" s="15">
        <f t="shared" ref="AA45:AD45" si="103">Z45</f>
        <v>33</v>
      </c>
      <c r="AB45" s="15">
        <f t="shared" si="103"/>
        <v>33</v>
      </c>
      <c r="AC45" s="15">
        <f t="shared" si="103"/>
        <v>33</v>
      </c>
      <c r="AD45" s="15">
        <f t="shared" si="103"/>
        <v>33</v>
      </c>
      <c r="AE45" s="20">
        <f t="shared" si="70"/>
        <v>33</v>
      </c>
    </row>
    <row r="46" spans="1:31" s="15" customFormat="1" x14ac:dyDescent="0.2">
      <c r="A46" s="15">
        <v>2.1512229999999999</v>
      </c>
      <c r="B46" s="15">
        <v>21.518832</v>
      </c>
      <c r="C46" s="15" t="s">
        <v>86</v>
      </c>
      <c r="D46" s="15" t="s">
        <v>162</v>
      </c>
      <c r="E46" s="15" t="s">
        <v>178</v>
      </c>
      <c r="F46" s="15" t="str">
        <f t="shared" si="67"/>
        <v>D5DSLC04</v>
      </c>
      <c r="G46" s="15" t="str">
        <f t="shared" si="33"/>
        <v>D5DS00</v>
      </c>
      <c r="H46" s="15" t="str">
        <f t="shared" si="3"/>
        <v>D5ELC01</v>
      </c>
      <c r="I46" s="15" t="s">
        <v>80</v>
      </c>
      <c r="J46" s="15">
        <v>2.9999999999999997E-4</v>
      </c>
      <c r="K46" s="16">
        <v>31</v>
      </c>
      <c r="L46" s="15">
        <v>31.536000000000001</v>
      </c>
      <c r="M46" s="15">
        <v>2010</v>
      </c>
      <c r="N46" s="15">
        <f t="shared" si="93"/>
        <v>2.8571428571428572</v>
      </c>
      <c r="O46" s="15">
        <v>0.8</v>
      </c>
      <c r="P46" s="15">
        <v>0.8</v>
      </c>
      <c r="Q46" s="15">
        <v>0.89</v>
      </c>
      <c r="R46" s="15">
        <v>2.9999999999999997E-4</v>
      </c>
      <c r="T46" s="15">
        <v>1024.5</v>
      </c>
      <c r="U46" s="15">
        <f t="shared" ref="U46:Y46" si="104">T46</f>
        <v>1024.5</v>
      </c>
      <c r="V46" s="15">
        <f t="shared" si="104"/>
        <v>1024.5</v>
      </c>
      <c r="W46" s="15">
        <f t="shared" si="104"/>
        <v>1024.5</v>
      </c>
      <c r="X46" s="15">
        <f t="shared" si="104"/>
        <v>1024.5</v>
      </c>
      <c r="Y46" s="15">
        <f t="shared" si="104"/>
        <v>1024.5</v>
      </c>
      <c r="Z46" s="15">
        <v>33</v>
      </c>
      <c r="AA46" s="15">
        <f t="shared" ref="AA46:AE55" si="105">Z46</f>
        <v>33</v>
      </c>
      <c r="AB46" s="15">
        <f t="shared" si="105"/>
        <v>33</v>
      </c>
      <c r="AC46" s="15">
        <f t="shared" si="105"/>
        <v>33</v>
      </c>
      <c r="AD46" s="15">
        <f t="shared" si="105"/>
        <v>33</v>
      </c>
      <c r="AE46" s="20">
        <f t="shared" si="105"/>
        <v>33</v>
      </c>
    </row>
    <row r="47" spans="1:31" s="15" customFormat="1" x14ac:dyDescent="0.2">
      <c r="A47" s="15">
        <v>2.1512229999999999</v>
      </c>
      <c r="B47" s="15">
        <v>21.518832</v>
      </c>
      <c r="C47" s="15" t="s">
        <v>86</v>
      </c>
      <c r="D47" s="15" t="s">
        <v>163</v>
      </c>
      <c r="E47" s="15" t="s">
        <v>179</v>
      </c>
      <c r="F47" s="15" t="str">
        <f t="shared" si="67"/>
        <v>D5DSLC05</v>
      </c>
      <c r="G47" s="15" t="str">
        <f t="shared" si="33"/>
        <v>D5DS00</v>
      </c>
      <c r="H47" s="15" t="str">
        <f t="shared" si="3"/>
        <v>D5ELC01</v>
      </c>
      <c r="I47" s="15" t="s">
        <v>80</v>
      </c>
      <c r="J47" s="15">
        <v>1.1999999999999999E-3</v>
      </c>
      <c r="K47" s="16">
        <v>31</v>
      </c>
      <c r="L47" s="15">
        <v>31.536000000000001</v>
      </c>
      <c r="M47" s="15">
        <v>2010</v>
      </c>
      <c r="N47" s="15">
        <f t="shared" si="93"/>
        <v>2.8571428571428572</v>
      </c>
      <c r="O47" s="15">
        <v>0.8</v>
      </c>
      <c r="P47" s="15">
        <v>0.8</v>
      </c>
      <c r="Q47" s="15">
        <v>0.89</v>
      </c>
      <c r="R47" s="15">
        <v>1.1999999999999999E-3</v>
      </c>
      <c r="T47" s="15">
        <v>1024.5</v>
      </c>
      <c r="U47" s="15">
        <f t="shared" ref="U47:Y49" si="106">T47</f>
        <v>1024.5</v>
      </c>
      <c r="V47" s="15">
        <f t="shared" si="106"/>
        <v>1024.5</v>
      </c>
      <c r="W47" s="15">
        <f t="shared" si="106"/>
        <v>1024.5</v>
      </c>
      <c r="X47" s="15">
        <f t="shared" si="106"/>
        <v>1024.5</v>
      </c>
      <c r="Y47" s="15">
        <f t="shared" si="106"/>
        <v>1024.5</v>
      </c>
      <c r="Z47" s="15">
        <v>33</v>
      </c>
      <c r="AA47" s="15">
        <f t="shared" ref="AA47:AD47" si="107">Z47</f>
        <v>33</v>
      </c>
      <c r="AB47" s="15">
        <f t="shared" si="107"/>
        <v>33</v>
      </c>
      <c r="AC47" s="15">
        <f t="shared" si="107"/>
        <v>33</v>
      </c>
      <c r="AD47" s="15">
        <f t="shared" si="107"/>
        <v>33</v>
      </c>
      <c r="AE47" s="20">
        <f t="shared" si="105"/>
        <v>33</v>
      </c>
    </row>
    <row r="48" spans="1:31" s="15" customFormat="1" x14ac:dyDescent="0.2">
      <c r="A48" s="15">
        <v>-7.3</v>
      </c>
      <c r="B48" s="15">
        <v>27.45</v>
      </c>
      <c r="C48" s="15" t="s">
        <v>86</v>
      </c>
      <c r="D48" s="15" t="s">
        <v>164</v>
      </c>
      <c r="E48" s="15" t="s">
        <v>180</v>
      </c>
      <c r="F48" s="15" t="str">
        <f t="shared" si="67"/>
        <v>D5DSTC01</v>
      </c>
      <c r="G48" s="15" t="str">
        <f t="shared" si="33"/>
        <v>D5DS00</v>
      </c>
      <c r="H48" s="15" t="str">
        <f t="shared" si="3"/>
        <v>D5ELC01</v>
      </c>
      <c r="I48" s="15" t="s">
        <v>80</v>
      </c>
      <c r="J48" s="15">
        <v>2.9499999999999998E-2</v>
      </c>
      <c r="K48" s="16">
        <v>27</v>
      </c>
      <c r="L48" s="15">
        <v>31.536000000000001</v>
      </c>
      <c r="M48" s="15">
        <v>2014</v>
      </c>
      <c r="N48" s="15">
        <f>1/0.35</f>
        <v>2.8571428571428572</v>
      </c>
      <c r="O48" s="15">
        <v>0.8</v>
      </c>
      <c r="P48" s="15">
        <v>0.8</v>
      </c>
      <c r="Q48" s="15">
        <v>0.89</v>
      </c>
      <c r="R48" s="15">
        <v>2.9499999999999998E-2</v>
      </c>
      <c r="T48" s="15">
        <v>1024.5</v>
      </c>
      <c r="U48" s="15">
        <f t="shared" si="106"/>
        <v>1024.5</v>
      </c>
      <c r="V48" s="15">
        <f t="shared" si="106"/>
        <v>1024.5</v>
      </c>
      <c r="W48" s="15">
        <f t="shared" si="106"/>
        <v>1024.5</v>
      </c>
      <c r="X48" s="15">
        <f t="shared" si="106"/>
        <v>1024.5</v>
      </c>
      <c r="Y48" s="15">
        <f t="shared" si="106"/>
        <v>1024.5</v>
      </c>
      <c r="Z48" s="15">
        <v>33</v>
      </c>
      <c r="AA48" s="15">
        <f t="shared" ref="AA48:AD49" si="108">Z48</f>
        <v>33</v>
      </c>
      <c r="AB48" s="15">
        <f t="shared" si="108"/>
        <v>33</v>
      </c>
      <c r="AC48" s="15">
        <f t="shared" si="108"/>
        <v>33</v>
      </c>
      <c r="AD48" s="15">
        <f t="shared" si="108"/>
        <v>33</v>
      </c>
      <c r="AE48" s="20">
        <f t="shared" si="105"/>
        <v>33</v>
      </c>
    </row>
    <row r="49" spans="1:31" s="15" customFormat="1" x14ac:dyDescent="0.2">
      <c r="A49" s="15">
        <v>1.56</v>
      </c>
      <c r="B49" s="15">
        <v>30.24</v>
      </c>
      <c r="C49" s="15" t="s">
        <v>86</v>
      </c>
      <c r="D49" s="15" t="s">
        <v>168</v>
      </c>
      <c r="E49" s="15" t="s">
        <v>182</v>
      </c>
      <c r="F49" s="15" t="str">
        <f t="shared" si="67"/>
        <v>D5HYSC02</v>
      </c>
      <c r="G49" s="15" t="str">
        <f t="shared" si="33"/>
        <v>D5HY00</v>
      </c>
      <c r="H49" s="15" t="str">
        <f t="shared" si="3"/>
        <v>D5ELC01</v>
      </c>
      <c r="I49" s="15" t="s">
        <v>80</v>
      </c>
      <c r="J49" s="15">
        <v>2.5499999999999998E-2</v>
      </c>
      <c r="K49" s="16">
        <v>117</v>
      </c>
      <c r="L49" s="15">
        <v>31.536000000000001</v>
      </c>
      <c r="M49" s="15">
        <v>1924</v>
      </c>
      <c r="N49" s="15">
        <v>1</v>
      </c>
      <c r="O49" s="15">
        <v>0.45</v>
      </c>
      <c r="P49" s="15">
        <v>0.45</v>
      </c>
      <c r="Q49" s="15">
        <v>1</v>
      </c>
      <c r="R49" s="15">
        <v>2.5499999999999998E-2</v>
      </c>
      <c r="T49" s="15">
        <v>2830.2</v>
      </c>
      <c r="U49" s="15">
        <f t="shared" si="106"/>
        <v>2830.2</v>
      </c>
      <c r="V49" s="15">
        <f t="shared" si="106"/>
        <v>2830.2</v>
      </c>
      <c r="W49" s="15">
        <f t="shared" si="106"/>
        <v>2830.2</v>
      </c>
      <c r="X49" s="15">
        <f t="shared" si="106"/>
        <v>2830.2</v>
      </c>
      <c r="Y49" s="15">
        <f t="shared" si="106"/>
        <v>2830.2</v>
      </c>
      <c r="Z49" s="15">
        <v>90</v>
      </c>
      <c r="AA49" s="15">
        <f t="shared" si="108"/>
        <v>90</v>
      </c>
      <c r="AB49" s="15">
        <f t="shared" si="108"/>
        <v>90</v>
      </c>
      <c r="AC49" s="15">
        <f t="shared" si="108"/>
        <v>90</v>
      </c>
      <c r="AD49" s="15">
        <f t="shared" si="108"/>
        <v>90</v>
      </c>
      <c r="AE49" s="20">
        <f t="shared" si="105"/>
        <v>90</v>
      </c>
    </row>
    <row r="50" spans="1:31" s="15" customFormat="1" x14ac:dyDescent="0.2">
      <c r="A50" s="15">
        <v>0.53749999999999998</v>
      </c>
      <c r="B50" s="15">
        <v>25.1875</v>
      </c>
      <c r="C50" s="15" t="s">
        <v>86</v>
      </c>
      <c r="D50" s="15" t="s">
        <v>167</v>
      </c>
      <c r="E50" s="15" t="s">
        <v>183</v>
      </c>
      <c r="F50" s="15" t="str">
        <f t="shared" si="67"/>
        <v>D5HYTC01</v>
      </c>
      <c r="G50" s="15" t="str">
        <f t="shared" si="33"/>
        <v>D5HY00</v>
      </c>
      <c r="H50" s="15" t="str">
        <f t="shared" si="3"/>
        <v>D5ELC01</v>
      </c>
      <c r="I50" s="15" t="s">
        <v>80</v>
      </c>
      <c r="J50" s="15">
        <v>1.265E-2</v>
      </c>
      <c r="K50" s="16">
        <v>86</v>
      </c>
      <c r="L50" s="15">
        <v>31.536000000000001</v>
      </c>
      <c r="M50" s="15">
        <v>1955</v>
      </c>
      <c r="N50" s="15">
        <v>1</v>
      </c>
      <c r="O50" s="15">
        <v>0.45</v>
      </c>
      <c r="P50" s="15">
        <v>0.45</v>
      </c>
      <c r="Q50" s="15">
        <v>0.45</v>
      </c>
      <c r="R50" s="15">
        <v>1.9649999999999997E-2</v>
      </c>
      <c r="S50" s="15">
        <f>(6.15+6.5)/1000</f>
        <v>1.265E-2</v>
      </c>
      <c r="T50" s="15">
        <v>2830.2</v>
      </c>
      <c r="U50" s="15">
        <f t="shared" ref="U50:Y50" si="109">T50</f>
        <v>2830.2</v>
      </c>
      <c r="V50" s="15">
        <f t="shared" si="109"/>
        <v>2830.2</v>
      </c>
      <c r="W50" s="15">
        <f t="shared" si="109"/>
        <v>2830.2</v>
      </c>
      <c r="X50" s="15">
        <f t="shared" si="109"/>
        <v>2830.2</v>
      </c>
      <c r="Y50" s="15">
        <f t="shared" si="109"/>
        <v>2830.2</v>
      </c>
      <c r="Z50" s="15">
        <v>90</v>
      </c>
      <c r="AA50" s="15">
        <f t="shared" ref="AA50:AD50" si="110">Z50</f>
        <v>90</v>
      </c>
      <c r="AB50" s="15">
        <f t="shared" si="110"/>
        <v>90</v>
      </c>
      <c r="AC50" s="15">
        <f t="shared" si="110"/>
        <v>90</v>
      </c>
      <c r="AD50" s="15">
        <f t="shared" si="110"/>
        <v>90</v>
      </c>
      <c r="AE50" s="20">
        <f t="shared" si="105"/>
        <v>90</v>
      </c>
    </row>
    <row r="51" spans="1:31" s="15" customFormat="1" x14ac:dyDescent="0.2">
      <c r="A51" s="15">
        <v>4.4166999999999996</v>
      </c>
      <c r="B51" s="15">
        <v>18.7944</v>
      </c>
      <c r="C51" s="15" t="s">
        <v>86</v>
      </c>
      <c r="D51" s="15" t="s">
        <v>165</v>
      </c>
      <c r="E51" s="15" t="s">
        <v>184</v>
      </c>
      <c r="F51" s="15" t="str">
        <f t="shared" si="67"/>
        <v>D5HYMC02</v>
      </c>
      <c r="G51" s="15" t="str">
        <f t="shared" si="33"/>
        <v>D5HY00</v>
      </c>
      <c r="H51" s="15" t="str">
        <f t="shared" si="3"/>
        <v>D5ELC01</v>
      </c>
      <c r="I51" s="15" t="s">
        <v>80</v>
      </c>
      <c r="J51" s="15">
        <v>3.0000000000000001E-3</v>
      </c>
      <c r="K51" s="16">
        <v>54</v>
      </c>
      <c r="L51" s="15">
        <v>31.536000000000001</v>
      </c>
      <c r="M51" s="15">
        <v>1987</v>
      </c>
      <c r="N51" s="15">
        <v>1</v>
      </c>
      <c r="O51" s="15">
        <v>0.4</v>
      </c>
      <c r="P51" s="15">
        <v>0.4</v>
      </c>
      <c r="Q51" s="15">
        <v>0.4</v>
      </c>
      <c r="R51" s="15">
        <v>1.14E-2</v>
      </c>
      <c r="S51" s="15">
        <f>3/1000</f>
        <v>3.0000000000000001E-3</v>
      </c>
      <c r="T51" s="15">
        <v>2830.2</v>
      </c>
      <c r="U51" s="15">
        <f t="shared" ref="U51:Y51" si="111">T51</f>
        <v>2830.2</v>
      </c>
      <c r="V51" s="15">
        <f t="shared" si="111"/>
        <v>2830.2</v>
      </c>
      <c r="W51" s="15">
        <f t="shared" si="111"/>
        <v>2830.2</v>
      </c>
      <c r="X51" s="15">
        <f t="shared" si="111"/>
        <v>2830.2</v>
      </c>
      <c r="Y51" s="15">
        <f t="shared" si="111"/>
        <v>2830.2</v>
      </c>
      <c r="Z51" s="15">
        <v>90</v>
      </c>
      <c r="AA51" s="15">
        <f t="shared" ref="AA51:AD51" si="112">Z51</f>
        <v>90</v>
      </c>
      <c r="AB51" s="15">
        <f t="shared" si="112"/>
        <v>90</v>
      </c>
      <c r="AC51" s="15">
        <f t="shared" si="112"/>
        <v>90</v>
      </c>
      <c r="AD51" s="15">
        <f t="shared" si="112"/>
        <v>90</v>
      </c>
      <c r="AE51" s="20">
        <f t="shared" si="105"/>
        <v>90</v>
      </c>
    </row>
    <row r="52" spans="1:31" s="15" customFormat="1" x14ac:dyDescent="0.2">
      <c r="A52" s="15">
        <v>-7.6666999999999996</v>
      </c>
      <c r="B52" s="15">
        <v>28.166699999999999</v>
      </c>
      <c r="C52" s="15" t="s">
        <v>86</v>
      </c>
      <c r="D52" s="15" t="s">
        <v>166</v>
      </c>
      <c r="E52" s="15" t="s">
        <v>185</v>
      </c>
      <c r="F52" s="15" t="str">
        <f t="shared" si="67"/>
        <v>D5HYPC01</v>
      </c>
      <c r="G52" s="15" t="str">
        <f t="shared" si="33"/>
        <v>D5HY00</v>
      </c>
      <c r="H52" s="15" t="str">
        <f t="shared" si="3"/>
        <v>D5ELC01</v>
      </c>
      <c r="I52" s="15" t="s">
        <v>80</v>
      </c>
      <c r="J52" s="15">
        <v>2.9499999999999998E-2</v>
      </c>
      <c r="K52" s="16">
        <v>50</v>
      </c>
      <c r="L52" s="15">
        <v>31.536000000000001</v>
      </c>
      <c r="M52" s="15">
        <v>2014</v>
      </c>
      <c r="N52" s="15">
        <v>1</v>
      </c>
      <c r="O52" s="15">
        <v>0.02</v>
      </c>
      <c r="P52" s="15">
        <v>0.02</v>
      </c>
      <c r="Q52" s="15">
        <v>1</v>
      </c>
      <c r="R52" s="15">
        <v>2.9499999999999998E-2</v>
      </c>
      <c r="T52" s="15">
        <v>2830.2</v>
      </c>
      <c r="U52" s="15">
        <f t="shared" ref="U52:Y52" si="113">T52</f>
        <v>2830.2</v>
      </c>
      <c r="V52" s="15">
        <f t="shared" si="113"/>
        <v>2830.2</v>
      </c>
      <c r="W52" s="15">
        <f t="shared" si="113"/>
        <v>2830.2</v>
      </c>
      <c r="X52" s="15">
        <f t="shared" si="113"/>
        <v>2830.2</v>
      </c>
      <c r="Y52" s="15">
        <f t="shared" si="113"/>
        <v>2830.2</v>
      </c>
      <c r="Z52" s="15">
        <v>90</v>
      </c>
      <c r="AA52" s="15">
        <f t="shared" ref="AA52:AD52" si="114">Z52</f>
        <v>90</v>
      </c>
      <c r="AB52" s="15">
        <f t="shared" si="114"/>
        <v>90</v>
      </c>
      <c r="AC52" s="15">
        <f t="shared" si="114"/>
        <v>90</v>
      </c>
      <c r="AD52" s="15">
        <f t="shared" si="114"/>
        <v>90</v>
      </c>
      <c r="AE52" s="20">
        <f t="shared" si="105"/>
        <v>90</v>
      </c>
    </row>
    <row r="53" spans="1:31" s="15" customFormat="1" x14ac:dyDescent="0.2">
      <c r="A53" s="15" t="s">
        <v>193</v>
      </c>
      <c r="B53" s="15" t="s">
        <v>193</v>
      </c>
      <c r="C53" s="15" t="s">
        <v>86</v>
      </c>
      <c r="D53" s="15" t="s">
        <v>169</v>
      </c>
      <c r="E53" s="15" t="s">
        <v>186</v>
      </c>
      <c r="F53" s="15" t="str">
        <f t="shared" si="67"/>
        <v>D5HYKC03</v>
      </c>
      <c r="G53" s="15" t="str">
        <f t="shared" si="33"/>
        <v>D5HY00</v>
      </c>
      <c r="H53" s="15" t="str">
        <f t="shared" si="3"/>
        <v>D5ELC01</v>
      </c>
      <c r="I53" s="15" t="s">
        <v>95</v>
      </c>
      <c r="J53" s="15">
        <v>0.2</v>
      </c>
      <c r="K53" s="16">
        <v>24</v>
      </c>
      <c r="L53" s="15">
        <v>31.536000000000001</v>
      </c>
      <c r="M53" s="15" t="s">
        <v>194</v>
      </c>
      <c r="N53" s="15">
        <v>1</v>
      </c>
      <c r="O53" s="15" t="s">
        <v>195</v>
      </c>
      <c r="P53" s="17">
        <v>1</v>
      </c>
      <c r="Q53" s="15" t="s">
        <v>195</v>
      </c>
      <c r="R53" s="15">
        <v>0.2</v>
      </c>
      <c r="T53" s="15">
        <v>2042.5</v>
      </c>
      <c r="U53" s="15">
        <f t="shared" ref="U53:Y53" si="115">T53</f>
        <v>2042.5</v>
      </c>
      <c r="V53" s="15">
        <f t="shared" si="115"/>
        <v>2042.5</v>
      </c>
      <c r="W53" s="15">
        <f t="shared" si="115"/>
        <v>2042.5</v>
      </c>
      <c r="X53" s="15">
        <f t="shared" si="115"/>
        <v>2042.5</v>
      </c>
      <c r="Y53" s="15">
        <f t="shared" si="115"/>
        <v>2042.5</v>
      </c>
      <c r="Z53" s="15">
        <v>28.145</v>
      </c>
      <c r="AA53" s="15">
        <f t="shared" ref="AA53:AD53" si="116">Z53</f>
        <v>28.145</v>
      </c>
      <c r="AB53" s="15">
        <f t="shared" si="116"/>
        <v>28.145</v>
      </c>
      <c r="AC53" s="15">
        <f t="shared" si="116"/>
        <v>28.145</v>
      </c>
      <c r="AD53" s="15">
        <f t="shared" si="116"/>
        <v>28.145</v>
      </c>
      <c r="AE53" s="20">
        <f t="shared" si="105"/>
        <v>28.145</v>
      </c>
    </row>
    <row r="54" spans="1:31" s="15" customFormat="1" x14ac:dyDescent="0.2">
      <c r="A54" s="15" t="s">
        <v>193</v>
      </c>
      <c r="B54" s="15" t="s">
        <v>193</v>
      </c>
      <c r="C54" s="15" t="s">
        <v>86</v>
      </c>
      <c r="D54" s="15" t="s">
        <v>170</v>
      </c>
      <c r="E54" s="15" t="s">
        <v>187</v>
      </c>
      <c r="F54" s="15" t="str">
        <f t="shared" si="67"/>
        <v>D5HYLC01</v>
      </c>
      <c r="G54" s="15" t="str">
        <f t="shared" si="33"/>
        <v>D5HY00</v>
      </c>
      <c r="H54" s="15" t="str">
        <f t="shared" si="3"/>
        <v>D5ELC01</v>
      </c>
      <c r="I54" s="15" t="s">
        <v>95</v>
      </c>
      <c r="J54" s="15">
        <v>0.2</v>
      </c>
      <c r="K54" s="16">
        <v>24</v>
      </c>
      <c r="L54" s="15">
        <v>31.536000000000001</v>
      </c>
      <c r="M54" s="15" t="s">
        <v>194</v>
      </c>
      <c r="N54" s="15">
        <v>1</v>
      </c>
      <c r="O54" s="15" t="s">
        <v>195</v>
      </c>
      <c r="P54" s="17">
        <v>1</v>
      </c>
      <c r="Q54" s="15" t="s">
        <v>195</v>
      </c>
      <c r="R54" s="15">
        <v>0.2</v>
      </c>
      <c r="T54" s="15">
        <v>2042.5</v>
      </c>
      <c r="U54" s="15">
        <f t="shared" ref="U54:Y54" si="117">T54</f>
        <v>2042.5</v>
      </c>
      <c r="V54" s="15">
        <f t="shared" si="117"/>
        <v>2042.5</v>
      </c>
      <c r="W54" s="15">
        <f t="shared" si="117"/>
        <v>2042.5</v>
      </c>
      <c r="X54" s="15">
        <f t="shared" si="117"/>
        <v>2042.5</v>
      </c>
      <c r="Y54" s="15">
        <f t="shared" si="117"/>
        <v>2042.5</v>
      </c>
      <c r="Z54" s="15">
        <v>28.145</v>
      </c>
      <c r="AA54" s="15">
        <f t="shared" ref="AA54:AD54" si="118">Z54</f>
        <v>28.145</v>
      </c>
      <c r="AB54" s="15">
        <f t="shared" si="118"/>
        <v>28.145</v>
      </c>
      <c r="AC54" s="15">
        <f t="shared" si="118"/>
        <v>28.145</v>
      </c>
      <c r="AD54" s="15">
        <f t="shared" si="118"/>
        <v>28.145</v>
      </c>
      <c r="AE54" s="20">
        <f t="shared" si="105"/>
        <v>28.145</v>
      </c>
    </row>
    <row r="55" spans="1:31" s="15" customFormat="1" x14ac:dyDescent="0.2">
      <c r="A55" s="15" t="s">
        <v>193</v>
      </c>
      <c r="B55" s="15" t="s">
        <v>193</v>
      </c>
      <c r="C55" s="15" t="s">
        <v>86</v>
      </c>
      <c r="D55" s="15" t="s">
        <v>171</v>
      </c>
      <c r="E55" s="15" t="s">
        <v>188</v>
      </c>
      <c r="F55" s="15" t="str">
        <f t="shared" si="67"/>
        <v>D5HYLC02</v>
      </c>
      <c r="G55" s="15" t="str">
        <f t="shared" si="33"/>
        <v>D5HY00</v>
      </c>
      <c r="H55" s="15" t="str">
        <f t="shared" si="3"/>
        <v>D5ELC01</v>
      </c>
      <c r="I55" s="15" t="s">
        <v>95</v>
      </c>
      <c r="J55" s="15">
        <v>0.2</v>
      </c>
      <c r="K55" s="16">
        <v>24</v>
      </c>
      <c r="L55" s="15">
        <v>31.536000000000001</v>
      </c>
      <c r="M55" s="15" t="s">
        <v>194</v>
      </c>
      <c r="N55" s="15">
        <v>1</v>
      </c>
      <c r="O55" s="15" t="s">
        <v>195</v>
      </c>
      <c r="P55" s="17">
        <v>1</v>
      </c>
      <c r="Q55" s="15" t="s">
        <v>195</v>
      </c>
      <c r="R55" s="15">
        <v>0.2</v>
      </c>
      <c r="T55" s="15">
        <v>2042.5</v>
      </c>
      <c r="U55" s="15">
        <f t="shared" ref="U55:Y55" si="119">T55</f>
        <v>2042.5</v>
      </c>
      <c r="V55" s="15">
        <f t="shared" si="119"/>
        <v>2042.5</v>
      </c>
      <c r="W55" s="15">
        <f t="shared" si="119"/>
        <v>2042.5</v>
      </c>
      <c r="X55" s="15">
        <f t="shared" si="119"/>
        <v>2042.5</v>
      </c>
      <c r="Y55" s="15">
        <f t="shared" si="119"/>
        <v>2042.5</v>
      </c>
      <c r="Z55" s="15">
        <v>28.145</v>
      </c>
      <c r="AA55" s="15">
        <f t="shared" ref="AA55:AD55" si="120">Z55</f>
        <v>28.145</v>
      </c>
      <c r="AB55" s="15">
        <f t="shared" si="120"/>
        <v>28.145</v>
      </c>
      <c r="AC55" s="15">
        <f t="shared" si="120"/>
        <v>28.145</v>
      </c>
      <c r="AD55" s="15">
        <f t="shared" si="120"/>
        <v>28.145</v>
      </c>
      <c r="AE55" s="20">
        <f t="shared" si="105"/>
        <v>28.145</v>
      </c>
    </row>
    <row r="56" spans="1:31" s="15" customFormat="1" x14ac:dyDescent="0.2">
      <c r="A56" s="15">
        <v>1.5669999999999999</v>
      </c>
      <c r="B56" s="15">
        <v>30.183</v>
      </c>
      <c r="C56" s="15" t="s">
        <v>86</v>
      </c>
      <c r="D56" s="15" t="s">
        <v>189</v>
      </c>
      <c r="E56" s="15" t="s">
        <v>191</v>
      </c>
      <c r="F56" s="15" t="str">
        <f t="shared" si="67"/>
        <v>D5HYBC01</v>
      </c>
      <c r="G56" s="15" t="str">
        <f t="shared" si="33"/>
        <v>D5HY00</v>
      </c>
      <c r="H56" s="15" t="str">
        <f t="shared" si="3"/>
        <v>D5ELC01</v>
      </c>
      <c r="I56" s="15" t="s">
        <v>80</v>
      </c>
      <c r="J56" s="15">
        <v>1.8200000000000004E-2</v>
      </c>
      <c r="K56" s="15">
        <v>50</v>
      </c>
      <c r="L56" s="15">
        <v>31.536000000000001</v>
      </c>
      <c r="M56" s="15">
        <v>1992</v>
      </c>
      <c r="N56" s="15">
        <v>1</v>
      </c>
      <c r="O56" s="15">
        <v>0.4</v>
      </c>
      <c r="P56" s="15">
        <v>0.4</v>
      </c>
      <c r="Q56" s="15">
        <v>0.63</v>
      </c>
      <c r="R56" s="15">
        <v>1.8200000000000004E-2</v>
      </c>
      <c r="T56" s="15">
        <v>2830.2</v>
      </c>
      <c r="U56" s="15">
        <f t="shared" ref="U56:Y56" si="121">T56</f>
        <v>2830.2</v>
      </c>
      <c r="V56" s="15">
        <f t="shared" si="121"/>
        <v>2830.2</v>
      </c>
      <c r="W56" s="15">
        <f t="shared" si="121"/>
        <v>2830.2</v>
      </c>
      <c r="X56" s="15">
        <f t="shared" si="121"/>
        <v>2830.2</v>
      </c>
      <c r="Y56" s="15">
        <f t="shared" si="121"/>
        <v>2830.2</v>
      </c>
      <c r="Z56" s="15">
        <v>90</v>
      </c>
      <c r="AA56" s="15">
        <f t="shared" ref="AA56:AD56" si="122">Z56</f>
        <v>90</v>
      </c>
      <c r="AB56" s="15">
        <f t="shared" si="122"/>
        <v>90</v>
      </c>
      <c r="AC56" s="15">
        <f t="shared" si="122"/>
        <v>90</v>
      </c>
      <c r="AD56" s="15">
        <f t="shared" si="122"/>
        <v>90</v>
      </c>
    </row>
    <row r="57" spans="1:31" s="15" customFormat="1" x14ac:dyDescent="0.2">
      <c r="A57" s="15">
        <v>-5.0335599999999996</v>
      </c>
      <c r="B57" s="15">
        <v>28.949100000000001</v>
      </c>
      <c r="C57" s="15" t="s">
        <v>86</v>
      </c>
      <c r="D57" s="15" t="s">
        <v>190</v>
      </c>
      <c r="E57" s="15" t="s">
        <v>192</v>
      </c>
      <c r="F57" s="15" t="str">
        <f t="shared" si="67"/>
        <v>D5HYKC04</v>
      </c>
      <c r="G57" s="15" t="str">
        <f t="shared" si="33"/>
        <v>D5HY00</v>
      </c>
      <c r="H57" s="15" t="str">
        <f t="shared" si="3"/>
        <v>D5ELC01</v>
      </c>
      <c r="I57" s="15" t="s">
        <v>80</v>
      </c>
      <c r="J57" s="15">
        <v>3.6299999999999999E-2</v>
      </c>
      <c r="K57" s="15">
        <v>50</v>
      </c>
      <c r="L57" s="15">
        <v>31.536000000000001</v>
      </c>
      <c r="M57" s="15">
        <v>1992</v>
      </c>
      <c r="N57" s="15">
        <v>1</v>
      </c>
      <c r="O57" s="15">
        <v>0.4</v>
      </c>
      <c r="P57" s="15">
        <v>0.4</v>
      </c>
      <c r="Q57" s="15">
        <v>0.63</v>
      </c>
      <c r="R57" s="15">
        <v>3.6299999999999999E-2</v>
      </c>
      <c r="T57" s="15">
        <v>2830.2</v>
      </c>
      <c r="U57" s="15">
        <f t="shared" ref="U57:Y57" si="123">T57</f>
        <v>2830.2</v>
      </c>
      <c r="V57" s="15">
        <f t="shared" si="123"/>
        <v>2830.2</v>
      </c>
      <c r="W57" s="15">
        <f t="shared" si="123"/>
        <v>2830.2</v>
      </c>
      <c r="X57" s="15">
        <f t="shared" si="123"/>
        <v>2830.2</v>
      </c>
      <c r="Y57" s="15">
        <f t="shared" si="123"/>
        <v>2830.2</v>
      </c>
      <c r="Z57" s="15">
        <v>90</v>
      </c>
      <c r="AA57" s="15">
        <f t="shared" ref="AA57:AD57" si="124">Z57</f>
        <v>90</v>
      </c>
      <c r="AB57" s="15">
        <f t="shared" si="124"/>
        <v>90</v>
      </c>
      <c r="AC57" s="15">
        <f t="shared" si="124"/>
        <v>90</v>
      </c>
      <c r="AD57" s="15">
        <f t="shared" si="124"/>
        <v>90</v>
      </c>
    </row>
    <row r="58" spans="1:31" s="15" customFormat="1" x14ac:dyDescent="0.2">
      <c r="A58" s="15">
        <v>-7.3</v>
      </c>
      <c r="B58" s="15">
        <v>27.45</v>
      </c>
      <c r="C58" s="15" t="s">
        <v>86</v>
      </c>
      <c r="D58" s="15" t="s">
        <v>96</v>
      </c>
      <c r="E58" s="15" t="s">
        <v>181</v>
      </c>
      <c r="F58" s="15" t="str">
        <f t="shared" si="67"/>
        <v>D5HYSC01</v>
      </c>
      <c r="G58" s="15" t="str">
        <f t="shared" si="33"/>
        <v>D5HY00</v>
      </c>
      <c r="H58" s="15" t="str">
        <f t="shared" si="3"/>
        <v>D5ELC01</v>
      </c>
      <c r="I58" s="15" t="s">
        <v>80</v>
      </c>
      <c r="J58" s="15">
        <v>1.6210000000000002E-2</v>
      </c>
      <c r="K58" s="15">
        <v>50</v>
      </c>
      <c r="L58" s="15">
        <v>31.536000000000001</v>
      </c>
      <c r="M58" s="15">
        <v>1992</v>
      </c>
      <c r="N58" s="15">
        <v>1</v>
      </c>
      <c r="O58" s="15">
        <v>0.4</v>
      </c>
      <c r="P58" s="15">
        <v>0.4</v>
      </c>
      <c r="Q58" s="15">
        <v>0.63</v>
      </c>
      <c r="R58" s="15">
        <v>1.6210000000000002E-2</v>
      </c>
      <c r="T58" s="15">
        <v>2830.2</v>
      </c>
      <c r="U58" s="15">
        <f t="shared" ref="U58:Y58" si="125">T58</f>
        <v>2830.2</v>
      </c>
      <c r="V58" s="15">
        <f t="shared" si="125"/>
        <v>2830.2</v>
      </c>
      <c r="W58" s="15">
        <f t="shared" si="125"/>
        <v>2830.2</v>
      </c>
      <c r="X58" s="15">
        <f t="shared" si="125"/>
        <v>2830.2</v>
      </c>
      <c r="Y58" s="15">
        <f t="shared" si="125"/>
        <v>2830.2</v>
      </c>
      <c r="Z58" s="15">
        <v>90</v>
      </c>
      <c r="AA58" s="15">
        <f t="shared" ref="AA58:AD58" si="126">Z58</f>
        <v>90</v>
      </c>
      <c r="AB58" s="15">
        <f t="shared" si="126"/>
        <v>90</v>
      </c>
      <c r="AC58" s="15">
        <f t="shared" si="126"/>
        <v>90</v>
      </c>
      <c r="AD58" s="15">
        <f t="shared" si="126"/>
        <v>90</v>
      </c>
    </row>
    <row r="59" spans="1:31" x14ac:dyDescent="0.2">
      <c r="C59" s="15" t="s">
        <v>193</v>
      </c>
      <c r="D59" s="15" t="s">
        <v>200</v>
      </c>
      <c r="J59" s="11">
        <f t="shared" ref="J59:J66" si="127">IF(S59="",R59,IF(R59&lt;S59,R59,S59))</f>
        <v>0</v>
      </c>
      <c r="M59" s="15">
        <v>1959</v>
      </c>
      <c r="R59">
        <v>1.72E-2</v>
      </c>
      <c r="S59">
        <v>0</v>
      </c>
    </row>
    <row r="60" spans="1:31" x14ac:dyDescent="0.2">
      <c r="C60" s="15" t="s">
        <v>193</v>
      </c>
      <c r="D60" s="15" t="s">
        <v>201</v>
      </c>
      <c r="J60" s="11">
        <f t="shared" si="127"/>
        <v>3.0000000000000001E-3</v>
      </c>
      <c r="M60" s="15">
        <v>1954</v>
      </c>
      <c r="R60">
        <v>1.0800000000000001E-2</v>
      </c>
      <c r="S60">
        <f>3/1000</f>
        <v>3.0000000000000001E-3</v>
      </c>
    </row>
    <row r="61" spans="1:31" x14ac:dyDescent="0.2">
      <c r="C61" s="15" t="s">
        <v>193</v>
      </c>
      <c r="D61" s="15" t="s">
        <v>202</v>
      </c>
      <c r="J61" s="11">
        <f t="shared" si="127"/>
        <v>0</v>
      </c>
      <c r="R61">
        <v>2.2000000000000001E-3</v>
      </c>
      <c r="S61">
        <v>0</v>
      </c>
    </row>
    <row r="62" spans="1:31" s="9" customFormat="1" x14ac:dyDescent="0.2">
      <c r="D62" s="17" t="s">
        <v>203</v>
      </c>
      <c r="J62" s="11">
        <f t="shared" si="127"/>
        <v>0</v>
      </c>
    </row>
    <row r="63" spans="1:31" x14ac:dyDescent="0.2">
      <c r="D63" s="9" t="s">
        <v>206</v>
      </c>
      <c r="G63" t="s">
        <v>211</v>
      </c>
      <c r="J63" s="11">
        <f t="shared" si="127"/>
        <v>0</v>
      </c>
    </row>
    <row r="64" spans="1:31" x14ac:dyDescent="0.2">
      <c r="D64" s="9" t="s">
        <v>207</v>
      </c>
      <c r="G64" t="s">
        <v>211</v>
      </c>
      <c r="J64" s="11">
        <f t="shared" si="127"/>
        <v>0</v>
      </c>
    </row>
    <row r="65" spans="4:10" x14ac:dyDescent="0.2">
      <c r="D65" s="9" t="s">
        <v>208</v>
      </c>
      <c r="G65" t="s">
        <v>210</v>
      </c>
      <c r="J65" s="11">
        <f t="shared" si="127"/>
        <v>0</v>
      </c>
    </row>
    <row r="66" spans="4:10" x14ac:dyDescent="0.2">
      <c r="D66" s="9" t="s">
        <v>209</v>
      </c>
      <c r="G66" t="s">
        <v>211</v>
      </c>
      <c r="J66" s="11">
        <f t="shared" si="127"/>
        <v>0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97BB-D75F-3542-B623-2276AEEA6087}">
  <dimension ref="A1:BF22"/>
  <sheetViews>
    <sheetView topLeftCell="E1" workbookViewId="0">
      <selection activeCell="A7" sqref="A7:XFD7"/>
    </sheetView>
  </sheetViews>
  <sheetFormatPr baseColWidth="10" defaultRowHeight="16" x14ac:dyDescent="0.2"/>
  <cols>
    <col min="4" max="4" width="19.33203125" customWidth="1"/>
    <col min="9" max="9" width="13.5" customWidth="1"/>
  </cols>
  <sheetData>
    <row r="1" spans="1:58" s="5" customFormat="1" ht="68" x14ac:dyDescent="0.2">
      <c r="A1" s="5" t="s">
        <v>99</v>
      </c>
      <c r="B1" s="5" t="s">
        <v>100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216</v>
      </c>
      <c r="K1" s="5" t="s">
        <v>81</v>
      </c>
      <c r="L1" s="5" t="s">
        <v>9</v>
      </c>
      <c r="M1" s="5" t="s">
        <v>7</v>
      </c>
      <c r="N1" s="5" t="s">
        <v>10</v>
      </c>
      <c r="O1" s="5" t="s">
        <v>11</v>
      </c>
      <c r="P1" s="5" t="s">
        <v>12</v>
      </c>
      <c r="Q1" s="5" t="s">
        <v>89</v>
      </c>
      <c r="R1" s="5" t="s">
        <v>198</v>
      </c>
      <c r="T1" s="7" t="s">
        <v>88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7" t="s">
        <v>45</v>
      </c>
      <c r="BA1" s="7" t="s">
        <v>46</v>
      </c>
      <c r="BB1" s="7" t="s">
        <v>47</v>
      </c>
      <c r="BC1" s="7" t="s">
        <v>48</v>
      </c>
      <c r="BD1" s="7" t="s">
        <v>49</v>
      </c>
      <c r="BE1" s="7" t="s">
        <v>50</v>
      </c>
      <c r="BF1" s="7" t="s">
        <v>51</v>
      </c>
    </row>
    <row r="2" spans="1:58" ht="17" customHeight="1" x14ac:dyDescent="0.2">
      <c r="A2" t="s">
        <v>82</v>
      </c>
      <c r="B2" t="s">
        <v>82</v>
      </c>
      <c r="C2" t="s">
        <v>52</v>
      </c>
      <c r="D2" s="4" t="str">
        <f>Generic!D2</f>
        <v>Generic Diesel Centralized</v>
      </c>
      <c r="E2" t="str">
        <f>Generic!E2</f>
        <v>DSGC00</v>
      </c>
      <c r="F2" t="str">
        <f t="shared" ref="F2:F8" si="0">C2&amp;E2</f>
        <v>D1DSGC00</v>
      </c>
      <c r="G2" t="str">
        <f>LEFT(F2,4)&amp;"00"</f>
        <v>D1DS00</v>
      </c>
      <c r="H2" t="str">
        <f>C2&amp;"ELC01"</f>
        <v>D1ELC01</v>
      </c>
      <c r="I2" s="1" t="s">
        <v>55</v>
      </c>
      <c r="J2" s="1">
        <v>200</v>
      </c>
      <c r="K2">
        <f>Generic!K2</f>
        <v>25</v>
      </c>
      <c r="L2">
        <f>Generic!L2</f>
        <v>31.536000000000001</v>
      </c>
      <c r="M2">
        <f>Generic!M2</f>
        <v>2023</v>
      </c>
      <c r="N2">
        <f>Generic!N2</f>
        <v>2.8571428571428572</v>
      </c>
      <c r="O2">
        <v>0.05</v>
      </c>
      <c r="P2">
        <f>Generic!Q2</f>
        <v>0.89400000000000002</v>
      </c>
      <c r="Q2">
        <v>0.89400000000000002</v>
      </c>
      <c r="T2">
        <f>Generic!S2</f>
        <v>1162.02</v>
      </c>
      <c r="U2">
        <f>Generic!T2</f>
        <v>1162.02</v>
      </c>
      <c r="V2">
        <f>Generic!U2</f>
        <v>1162.02</v>
      </c>
      <c r="W2">
        <f>Generic!V2</f>
        <v>1162.02</v>
      </c>
      <c r="X2">
        <f>Generic!W2</f>
        <v>1162.02</v>
      </c>
      <c r="Y2">
        <f>Generic!X2</f>
        <v>1162.02</v>
      </c>
      <c r="Z2">
        <f>Generic!Y2</f>
        <v>35.31</v>
      </c>
      <c r="AA2">
        <f>Generic!Z2</f>
        <v>35.31</v>
      </c>
      <c r="AB2">
        <f>Generic!AA2</f>
        <v>35.31</v>
      </c>
      <c r="AC2">
        <f>Generic!AB2</f>
        <v>35.31</v>
      </c>
      <c r="AD2">
        <f>Generic!AC2</f>
        <v>35.31</v>
      </c>
      <c r="AE2">
        <f>Generic!AD2</f>
        <v>35.31</v>
      </c>
      <c r="AF2">
        <f>Generic!AE2</f>
        <v>0</v>
      </c>
      <c r="AG2">
        <f>Generic!AF2</f>
        <v>0</v>
      </c>
      <c r="AH2">
        <f>Generic!AG2</f>
        <v>0</v>
      </c>
      <c r="AI2">
        <f>Generic!AH2</f>
        <v>0</v>
      </c>
      <c r="AJ2">
        <f>Generic!AI2</f>
        <v>0</v>
      </c>
      <c r="AK2">
        <f>Generic!AJ2</f>
        <v>0</v>
      </c>
      <c r="AL2">
        <f>Generic!AK2</f>
        <v>0</v>
      </c>
      <c r="AM2">
        <f>Generic!AL2</f>
        <v>0</v>
      </c>
      <c r="AN2">
        <f>Generic!AM2</f>
        <v>0</v>
      </c>
      <c r="AO2">
        <f>Generic!AN2</f>
        <v>0</v>
      </c>
      <c r="AP2">
        <f>Generic!AO2</f>
        <v>0</v>
      </c>
      <c r="AQ2">
        <f>Generic!AP2</f>
        <v>0</v>
      </c>
      <c r="AR2">
        <f>Generic!AQ2</f>
        <v>0</v>
      </c>
      <c r="AS2">
        <f>Generic!AR2</f>
        <v>0</v>
      </c>
      <c r="AT2">
        <f>Generic!AS2</f>
        <v>0</v>
      </c>
      <c r="AU2">
        <f>Generic!AT2</f>
        <v>0</v>
      </c>
      <c r="AV2">
        <f>Generic!AU2</f>
        <v>0</v>
      </c>
      <c r="AW2">
        <f>Generic!AV2</f>
        <v>0</v>
      </c>
      <c r="AX2">
        <f>Generic!AW2</f>
        <v>0</v>
      </c>
      <c r="AY2">
        <f>Generic!AX2</f>
        <v>0</v>
      </c>
      <c r="AZ2">
        <f>Generic!AY2</f>
        <v>0</v>
      </c>
      <c r="BA2">
        <f>Generic!AZ2</f>
        <v>0</v>
      </c>
      <c r="BB2">
        <f>Generic!BA2</f>
        <v>0</v>
      </c>
      <c r="BC2">
        <f>Generic!BB2</f>
        <v>0</v>
      </c>
      <c r="BD2">
        <f>Generic!BC2</f>
        <v>0</v>
      </c>
      <c r="BE2">
        <f>Generic!BD2</f>
        <v>0</v>
      </c>
    </row>
    <row r="3" spans="1:58" ht="17" customHeight="1" x14ac:dyDescent="0.2">
      <c r="A3" t="s">
        <v>82</v>
      </c>
      <c r="B3" t="s">
        <v>82</v>
      </c>
      <c r="C3" t="s">
        <v>52</v>
      </c>
      <c r="D3" s="4" t="str">
        <f>Generic!D3</f>
        <v>Generic HFO</v>
      </c>
      <c r="E3" t="str">
        <f>Generic!E3</f>
        <v>HFGC00</v>
      </c>
      <c r="F3" t="str">
        <f t="shared" si="0"/>
        <v>D1HFGC00</v>
      </c>
      <c r="G3" t="str">
        <f t="shared" ref="G3:G8" si="1">LEFT(F3,4)&amp;"00"</f>
        <v>D1HF00</v>
      </c>
      <c r="H3" t="str">
        <f t="shared" ref="H3:H8" si="2">C3&amp;"ELC01"</f>
        <v>D1ELC01</v>
      </c>
      <c r="I3" s="1" t="s">
        <v>55</v>
      </c>
      <c r="J3" s="1">
        <v>200</v>
      </c>
      <c r="K3">
        <f>Generic!K3</f>
        <v>25</v>
      </c>
      <c r="L3">
        <f>Generic!L3</f>
        <v>31.536000000000001</v>
      </c>
      <c r="M3">
        <f>Generic!M3</f>
        <v>2023</v>
      </c>
      <c r="N3">
        <f>Generic!N3</f>
        <v>2.8571428571428572</v>
      </c>
      <c r="O3">
        <v>0.05</v>
      </c>
      <c r="P3">
        <f>Generic!Q3</f>
        <v>0.89</v>
      </c>
      <c r="Q3">
        <v>0.89</v>
      </c>
      <c r="T3">
        <f>Generic!S3</f>
        <v>1162.02</v>
      </c>
      <c r="U3">
        <f>Generic!T3</f>
        <v>1162.02</v>
      </c>
      <c r="V3">
        <f>Generic!U3</f>
        <v>1162.02</v>
      </c>
      <c r="W3">
        <f>Generic!V3</f>
        <v>1162.02</v>
      </c>
      <c r="X3">
        <f>Generic!W3</f>
        <v>1162.02</v>
      </c>
      <c r="Y3">
        <f>Generic!X3</f>
        <v>1162.02</v>
      </c>
      <c r="Z3">
        <f>Generic!Y3</f>
        <v>35.31</v>
      </c>
      <c r="AA3">
        <f>Generic!Z3</f>
        <v>35.31</v>
      </c>
      <c r="AB3">
        <f>Generic!AA3</f>
        <v>35.31</v>
      </c>
      <c r="AC3">
        <f>Generic!AB3</f>
        <v>35.31</v>
      </c>
      <c r="AD3">
        <f>Generic!AC3</f>
        <v>35.31</v>
      </c>
      <c r="AE3">
        <f>Generic!AD3</f>
        <v>35.31</v>
      </c>
      <c r="AF3">
        <f>Generic!AE3</f>
        <v>0</v>
      </c>
      <c r="AG3">
        <f>Generic!AF3</f>
        <v>0</v>
      </c>
      <c r="AH3">
        <f>Generic!AG3</f>
        <v>0</v>
      </c>
      <c r="AI3">
        <f>Generic!AH3</f>
        <v>0</v>
      </c>
      <c r="AJ3">
        <f>Generic!AI3</f>
        <v>0</v>
      </c>
      <c r="AK3">
        <f>Generic!AJ3</f>
        <v>0</v>
      </c>
      <c r="AL3">
        <f>Generic!AK3</f>
        <v>0</v>
      </c>
      <c r="AM3">
        <f>Generic!AL3</f>
        <v>0</v>
      </c>
      <c r="AN3">
        <f>Generic!AM3</f>
        <v>0</v>
      </c>
      <c r="AO3">
        <f>Generic!AN3</f>
        <v>0</v>
      </c>
      <c r="AP3">
        <f>Generic!AO3</f>
        <v>0</v>
      </c>
      <c r="AQ3">
        <f>Generic!AP3</f>
        <v>0</v>
      </c>
      <c r="AR3">
        <f>Generic!AQ3</f>
        <v>0</v>
      </c>
      <c r="AS3">
        <f>Generic!AR3</f>
        <v>0</v>
      </c>
      <c r="AT3">
        <f>Generic!AS3</f>
        <v>0</v>
      </c>
      <c r="AU3">
        <f>Generic!AT3</f>
        <v>0</v>
      </c>
      <c r="AV3">
        <f>Generic!AU3</f>
        <v>0</v>
      </c>
      <c r="AW3">
        <f>Generic!AV3</f>
        <v>0</v>
      </c>
      <c r="AX3">
        <f>Generic!AW3</f>
        <v>0</v>
      </c>
      <c r="AY3">
        <f>Generic!AX3</f>
        <v>0</v>
      </c>
      <c r="AZ3">
        <f>Generic!AY3</f>
        <v>0</v>
      </c>
      <c r="BA3">
        <f>Generic!AZ3</f>
        <v>0</v>
      </c>
      <c r="BB3">
        <f>Generic!BA3</f>
        <v>0</v>
      </c>
      <c r="BC3">
        <f>Generic!BB3</f>
        <v>0</v>
      </c>
      <c r="BD3">
        <f>Generic!BC3</f>
        <v>0</v>
      </c>
      <c r="BE3">
        <f>Generic!BD3</f>
        <v>0</v>
      </c>
    </row>
    <row r="4" spans="1:58" ht="17" customHeight="1" x14ac:dyDescent="0.2">
      <c r="A4" t="s">
        <v>82</v>
      </c>
      <c r="B4" t="s">
        <v>82</v>
      </c>
      <c r="C4" t="s">
        <v>52</v>
      </c>
      <c r="D4" s="4" t="str">
        <f>Generic!D4</f>
        <v>Generic Gas Open Cycle</v>
      </c>
      <c r="E4" t="str">
        <f>Generic!E4</f>
        <v>NGOC00</v>
      </c>
      <c r="F4" t="str">
        <f t="shared" si="0"/>
        <v>D1NGOC00</v>
      </c>
      <c r="G4" t="str">
        <f t="shared" si="1"/>
        <v>D1NG00</v>
      </c>
      <c r="H4" t="str">
        <f t="shared" si="2"/>
        <v>D1ELC01</v>
      </c>
      <c r="I4" s="1" t="s">
        <v>55</v>
      </c>
      <c r="J4" s="1">
        <v>200</v>
      </c>
      <c r="K4">
        <f>Generic!K4</f>
        <v>25</v>
      </c>
      <c r="L4">
        <f>Generic!L4</f>
        <v>31.536000000000001</v>
      </c>
      <c r="M4">
        <f>Generic!M4</f>
        <v>2024</v>
      </c>
      <c r="N4">
        <f>Generic!N4</f>
        <v>2.8571428571428572</v>
      </c>
      <c r="O4">
        <v>0.05</v>
      </c>
      <c r="P4">
        <f>Generic!Q4</f>
        <v>0.92</v>
      </c>
      <c r="Q4">
        <v>0.92</v>
      </c>
      <c r="T4">
        <f>Generic!S4</f>
        <v>850.65000000000009</v>
      </c>
      <c r="U4">
        <f>Generic!T4</f>
        <v>850.65000000000009</v>
      </c>
      <c r="V4">
        <f>Generic!U4</f>
        <v>850.65000000000009</v>
      </c>
      <c r="W4">
        <f>Generic!V4</f>
        <v>850.65000000000009</v>
      </c>
      <c r="X4">
        <f>Generic!W4</f>
        <v>850.65000000000009</v>
      </c>
      <c r="Y4">
        <f>Generic!X4</f>
        <v>850.65000000000009</v>
      </c>
      <c r="Z4">
        <f>Generic!Y4</f>
        <v>25.68</v>
      </c>
      <c r="AA4">
        <f>Generic!Z4</f>
        <v>25.68</v>
      </c>
      <c r="AB4">
        <f>Generic!AA4</f>
        <v>25.68</v>
      </c>
      <c r="AC4">
        <f>Generic!AB4</f>
        <v>25.68</v>
      </c>
      <c r="AD4">
        <f>Generic!AC4</f>
        <v>25.68</v>
      </c>
      <c r="AE4">
        <f>Generic!AD4</f>
        <v>25.68</v>
      </c>
      <c r="AF4">
        <f>Generic!AE4</f>
        <v>0</v>
      </c>
      <c r="AG4">
        <f>Generic!AF4</f>
        <v>0</v>
      </c>
      <c r="AH4">
        <f>Generic!AG4</f>
        <v>0</v>
      </c>
      <c r="AI4">
        <f>Generic!AH4</f>
        <v>0</v>
      </c>
      <c r="AJ4">
        <f>Generic!AI4</f>
        <v>0</v>
      </c>
      <c r="AK4">
        <f>Generic!AJ4</f>
        <v>0</v>
      </c>
      <c r="AL4">
        <f>Generic!AK4</f>
        <v>0</v>
      </c>
      <c r="AM4">
        <f>Generic!AL4</f>
        <v>0</v>
      </c>
      <c r="AN4">
        <f>Generic!AM4</f>
        <v>0</v>
      </c>
      <c r="AO4">
        <f>Generic!AN4</f>
        <v>0</v>
      </c>
      <c r="AP4">
        <f>Generic!AO4</f>
        <v>0</v>
      </c>
      <c r="AQ4">
        <f>Generic!AP4</f>
        <v>0</v>
      </c>
      <c r="AR4">
        <f>Generic!AQ4</f>
        <v>0</v>
      </c>
      <c r="AS4">
        <f>Generic!AR4</f>
        <v>0</v>
      </c>
      <c r="AT4">
        <f>Generic!AS4</f>
        <v>0</v>
      </c>
      <c r="AU4">
        <f>Generic!AT4</f>
        <v>0</v>
      </c>
      <c r="AV4">
        <f>Generic!AU4</f>
        <v>0</v>
      </c>
      <c r="AW4">
        <f>Generic!AV4</f>
        <v>0</v>
      </c>
      <c r="AX4">
        <f>Generic!AW4</f>
        <v>0</v>
      </c>
      <c r="AY4">
        <f>Generic!AX4</f>
        <v>0</v>
      </c>
      <c r="AZ4">
        <f>Generic!AY4</f>
        <v>0</v>
      </c>
      <c r="BA4">
        <f>Generic!AZ4</f>
        <v>0</v>
      </c>
      <c r="BB4">
        <f>Generic!BA4</f>
        <v>0</v>
      </c>
      <c r="BC4">
        <f>Generic!BB4</f>
        <v>0</v>
      </c>
      <c r="BD4">
        <f>Generic!BC4</f>
        <v>0</v>
      </c>
      <c r="BE4">
        <f>Generic!BD4</f>
        <v>0</v>
      </c>
    </row>
    <row r="5" spans="1:58" ht="17" customHeight="1" x14ac:dyDescent="0.2">
      <c r="A5" t="s">
        <v>82</v>
      </c>
      <c r="B5" t="s">
        <v>82</v>
      </c>
      <c r="C5" t="s">
        <v>52</v>
      </c>
      <c r="D5" s="4" t="str">
        <f>Generic!D5</f>
        <v>Generic Gas Combined Cycle</v>
      </c>
      <c r="E5" t="str">
        <f>Generic!E5</f>
        <v>NGCC00</v>
      </c>
      <c r="F5" t="str">
        <f t="shared" si="0"/>
        <v>D1NGCC00</v>
      </c>
      <c r="G5" t="str">
        <f t="shared" si="1"/>
        <v>D1NG00</v>
      </c>
      <c r="H5" t="str">
        <f t="shared" si="2"/>
        <v>D1ELC01</v>
      </c>
      <c r="I5" s="1" t="s">
        <v>55</v>
      </c>
      <c r="J5" s="1">
        <v>300</v>
      </c>
      <c r="K5">
        <f>Generic!K5</f>
        <v>30</v>
      </c>
      <c r="L5">
        <f>Generic!L5</f>
        <v>31.536000000000001</v>
      </c>
      <c r="M5">
        <f>Generic!M5</f>
        <v>2024</v>
      </c>
      <c r="N5">
        <f>Generic!N5</f>
        <v>1.7241379310344829</v>
      </c>
      <c r="O5">
        <v>0.15</v>
      </c>
      <c r="P5">
        <f>Generic!Q5</f>
        <v>0.92</v>
      </c>
      <c r="Q5">
        <v>0.92</v>
      </c>
      <c r="T5">
        <f>Generic!S5</f>
        <v>1084.98</v>
      </c>
      <c r="U5">
        <f>Generic!T5</f>
        <v>1084.98</v>
      </c>
      <c r="V5">
        <f>Generic!U5</f>
        <v>1084.98</v>
      </c>
      <c r="W5">
        <f>Generic!V5</f>
        <v>1084.98</v>
      </c>
      <c r="X5">
        <f>Generic!W5</f>
        <v>1084.98</v>
      </c>
      <c r="Y5">
        <f>Generic!X5</f>
        <v>1084.98</v>
      </c>
      <c r="Z5">
        <f>Generic!Y5</f>
        <v>32.1</v>
      </c>
      <c r="AA5">
        <f>Generic!Z5</f>
        <v>32.1</v>
      </c>
      <c r="AB5">
        <f>Generic!AA5</f>
        <v>32.1</v>
      </c>
      <c r="AC5">
        <f>Generic!AB5</f>
        <v>32.1</v>
      </c>
      <c r="AD5">
        <f>Generic!AC5</f>
        <v>32.1</v>
      </c>
      <c r="AE5">
        <f>Generic!AD5</f>
        <v>32.1</v>
      </c>
      <c r="AF5">
        <f>Generic!AE5</f>
        <v>0</v>
      </c>
      <c r="AG5">
        <f>Generic!AF5</f>
        <v>0</v>
      </c>
      <c r="AH5">
        <f>Generic!AG5</f>
        <v>0</v>
      </c>
      <c r="AI5">
        <f>Generic!AH5</f>
        <v>0</v>
      </c>
      <c r="AJ5">
        <f>Generic!AI5</f>
        <v>0</v>
      </c>
      <c r="AK5">
        <f>Generic!AJ5</f>
        <v>0</v>
      </c>
      <c r="AL5">
        <f>Generic!AK5</f>
        <v>0</v>
      </c>
      <c r="AM5">
        <f>Generic!AL5</f>
        <v>0</v>
      </c>
      <c r="AN5">
        <f>Generic!AM5</f>
        <v>0</v>
      </c>
      <c r="AO5">
        <f>Generic!AN5</f>
        <v>0</v>
      </c>
      <c r="AP5">
        <f>Generic!AO5</f>
        <v>0</v>
      </c>
      <c r="AQ5">
        <f>Generic!AP5</f>
        <v>0</v>
      </c>
      <c r="AR5">
        <f>Generic!AQ5</f>
        <v>0</v>
      </c>
      <c r="AS5">
        <f>Generic!AR5</f>
        <v>0</v>
      </c>
      <c r="AT5">
        <f>Generic!AS5</f>
        <v>0</v>
      </c>
      <c r="AU5">
        <f>Generic!AT5</f>
        <v>0</v>
      </c>
      <c r="AV5">
        <f>Generic!AU5</f>
        <v>0</v>
      </c>
      <c r="AW5">
        <f>Generic!AV5</f>
        <v>0</v>
      </c>
      <c r="AX5">
        <f>Generic!AW5</f>
        <v>0</v>
      </c>
      <c r="AY5">
        <f>Generic!AX5</f>
        <v>0</v>
      </c>
      <c r="AZ5">
        <f>Generic!AY5</f>
        <v>0</v>
      </c>
      <c r="BA5">
        <f>Generic!AZ5</f>
        <v>0</v>
      </c>
      <c r="BB5">
        <f>Generic!BA5</f>
        <v>0</v>
      </c>
      <c r="BC5">
        <f>Generic!BB5</f>
        <v>0</v>
      </c>
      <c r="BD5">
        <f>Generic!BC5</f>
        <v>0</v>
      </c>
      <c r="BE5">
        <f>Generic!BD5</f>
        <v>0</v>
      </c>
    </row>
    <row r="6" spans="1:58" ht="17" customHeight="1" x14ac:dyDescent="0.2">
      <c r="A6" t="s">
        <v>82</v>
      </c>
      <c r="B6" t="s">
        <v>82</v>
      </c>
      <c r="C6" t="s">
        <v>52</v>
      </c>
      <c r="D6" s="4" t="str">
        <f>Generic!D6</f>
        <v>Generic Gas Engine</v>
      </c>
      <c r="E6" t="str">
        <f>Generic!E6</f>
        <v>NGEC00</v>
      </c>
      <c r="F6" t="str">
        <f t="shared" si="0"/>
        <v>D1NGEC00</v>
      </c>
      <c r="G6" t="str">
        <f t="shared" si="1"/>
        <v>D1NG00</v>
      </c>
      <c r="H6" t="str">
        <f t="shared" si="2"/>
        <v>D1ELC01</v>
      </c>
      <c r="I6" s="1" t="s">
        <v>55</v>
      </c>
      <c r="J6" s="1">
        <v>100</v>
      </c>
      <c r="K6">
        <f>Generic!K6</f>
        <v>25</v>
      </c>
      <c r="L6">
        <f>Generic!L6</f>
        <v>31.536000000000001</v>
      </c>
      <c r="M6">
        <f>Generic!M6</f>
        <v>2024</v>
      </c>
      <c r="N6">
        <f>Generic!N6</f>
        <v>2.2222222222222223</v>
      </c>
      <c r="O6">
        <v>0.05</v>
      </c>
      <c r="P6">
        <f>Generic!Q6</f>
        <v>0.92</v>
      </c>
      <c r="Q6">
        <v>0.92</v>
      </c>
      <c r="T6">
        <f>Generic!S6</f>
        <v>1162.02</v>
      </c>
      <c r="U6">
        <f>Generic!T6</f>
        <v>1162.02</v>
      </c>
      <c r="V6">
        <f>Generic!U6</f>
        <v>1162.02</v>
      </c>
      <c r="W6">
        <f>Generic!V6</f>
        <v>1162.02</v>
      </c>
      <c r="X6">
        <f>Generic!W6</f>
        <v>1162.02</v>
      </c>
      <c r="Y6">
        <f>Generic!X6</f>
        <v>1162.02</v>
      </c>
      <c r="Z6">
        <f>Generic!Y6</f>
        <v>35.31</v>
      </c>
      <c r="AA6">
        <f>Generic!Z6</f>
        <v>35.31</v>
      </c>
      <c r="AB6">
        <f>Generic!AA6</f>
        <v>33</v>
      </c>
      <c r="AC6">
        <f>Generic!AB6</f>
        <v>33</v>
      </c>
      <c r="AD6">
        <f>Generic!AC6</f>
        <v>33</v>
      </c>
      <c r="AE6">
        <f>Generic!AD6</f>
        <v>33</v>
      </c>
      <c r="AF6">
        <f>Generic!AE6</f>
        <v>0</v>
      </c>
      <c r="AG6">
        <f>Generic!AF6</f>
        <v>0</v>
      </c>
      <c r="AH6">
        <f>Generic!AG6</f>
        <v>0</v>
      </c>
      <c r="AI6">
        <f>Generic!AH6</f>
        <v>0</v>
      </c>
      <c r="AJ6">
        <f>Generic!AI6</f>
        <v>0</v>
      </c>
      <c r="AK6">
        <f>Generic!AJ6</f>
        <v>0</v>
      </c>
      <c r="AL6">
        <f>Generic!AK6</f>
        <v>0</v>
      </c>
      <c r="AM6">
        <f>Generic!AL6</f>
        <v>0</v>
      </c>
      <c r="AN6">
        <f>Generic!AM6</f>
        <v>0</v>
      </c>
      <c r="AO6">
        <f>Generic!AN6</f>
        <v>0</v>
      </c>
      <c r="AP6">
        <f>Generic!AO6</f>
        <v>0</v>
      </c>
      <c r="AQ6">
        <f>Generic!AP6</f>
        <v>0</v>
      </c>
      <c r="AR6">
        <f>Generic!AQ6</f>
        <v>0</v>
      </c>
      <c r="AS6">
        <f>Generic!AR6</f>
        <v>0</v>
      </c>
      <c r="AT6">
        <f>Generic!AS6</f>
        <v>0</v>
      </c>
      <c r="AU6">
        <f>Generic!AT6</f>
        <v>0</v>
      </c>
      <c r="AV6">
        <f>Generic!AU6</f>
        <v>0</v>
      </c>
      <c r="AW6">
        <f>Generic!AV6</f>
        <v>0</v>
      </c>
      <c r="AX6">
        <f>Generic!AW6</f>
        <v>0</v>
      </c>
      <c r="AY6">
        <f>Generic!AX6</f>
        <v>0</v>
      </c>
      <c r="AZ6">
        <f>Generic!AY6</f>
        <v>0</v>
      </c>
      <c r="BA6">
        <f>Generic!AZ6</f>
        <v>0</v>
      </c>
      <c r="BB6">
        <f>Generic!BA6</f>
        <v>0</v>
      </c>
      <c r="BC6">
        <f>Generic!BB6</f>
        <v>0</v>
      </c>
      <c r="BD6">
        <f>Generic!BC6</f>
        <v>0</v>
      </c>
      <c r="BE6">
        <f>Generic!BD6</f>
        <v>0</v>
      </c>
    </row>
    <row r="7" spans="1:58" x14ac:dyDescent="0.2">
      <c r="A7" t="s">
        <v>82</v>
      </c>
      <c r="B7" t="s">
        <v>82</v>
      </c>
      <c r="C7" t="s">
        <v>52</v>
      </c>
      <c r="D7" s="4" t="str">
        <f>Generic!D7</f>
        <v>Generic Bagasse</v>
      </c>
      <c r="E7" t="str">
        <f>Generic!E7</f>
        <v>BMBC00</v>
      </c>
      <c r="F7" t="str">
        <f t="shared" si="0"/>
        <v>D1BMBC00</v>
      </c>
      <c r="G7" t="str">
        <f t="shared" si="1"/>
        <v>D1BM00</v>
      </c>
      <c r="H7" t="str">
        <f t="shared" si="2"/>
        <v>D1ELC01</v>
      </c>
      <c r="I7" s="1" t="s">
        <v>55</v>
      </c>
      <c r="J7" s="1">
        <v>0</v>
      </c>
      <c r="K7">
        <f>Generic!K7</f>
        <v>25</v>
      </c>
      <c r="L7">
        <f>Generic!L7</f>
        <v>31.536000000000001</v>
      </c>
      <c r="M7">
        <f>Generic!M7</f>
        <v>2024</v>
      </c>
      <c r="N7">
        <f>Generic!N7</f>
        <v>3.8461538461538458</v>
      </c>
      <c r="O7">
        <v>0.2</v>
      </c>
      <c r="P7">
        <f>Generic!Q7</f>
        <v>0.81799999999999995</v>
      </c>
      <c r="Q7">
        <v>0.81799999999999995</v>
      </c>
      <c r="T7">
        <f>Generic!S7</f>
        <v>2580.84</v>
      </c>
      <c r="U7">
        <f>Generic!T7</f>
        <v>2580.84</v>
      </c>
      <c r="V7">
        <f>Generic!U7</f>
        <v>2580.84</v>
      </c>
      <c r="W7">
        <f>Generic!V7</f>
        <v>2580.84</v>
      </c>
      <c r="X7">
        <f>Generic!W7</f>
        <v>2580.84</v>
      </c>
      <c r="Y7">
        <f>Generic!X7</f>
        <v>2580.84</v>
      </c>
      <c r="Z7">
        <f>Generic!Y7</f>
        <v>82.582600000000014</v>
      </c>
      <c r="AA7">
        <f>Generic!Z7</f>
        <v>82.582600000000014</v>
      </c>
      <c r="AB7">
        <f>Generic!AA7</f>
        <v>77.180000000000007</v>
      </c>
      <c r="AC7">
        <f>Generic!AB7</f>
        <v>77.180000000000007</v>
      </c>
      <c r="AD7">
        <f>Generic!AC7</f>
        <v>77.180000000000007</v>
      </c>
      <c r="AE7">
        <f>Generic!AD7</f>
        <v>77.180000000000007</v>
      </c>
      <c r="AF7">
        <f>Generic!AE7</f>
        <v>4.47</v>
      </c>
      <c r="AG7">
        <f>Generic!AF7</f>
        <v>4.47</v>
      </c>
      <c r="AH7">
        <f>Generic!AG7</f>
        <v>4.47</v>
      </c>
      <c r="AI7">
        <f>Generic!AH7</f>
        <v>4.47</v>
      </c>
      <c r="AJ7">
        <f>Generic!AI7</f>
        <v>4.47</v>
      </c>
      <c r="AK7">
        <f>Generic!AJ7</f>
        <v>4.47</v>
      </c>
      <c r="AL7">
        <f>Generic!AK7</f>
        <v>4.47</v>
      </c>
      <c r="AM7">
        <f>Generic!AL7</f>
        <v>4.47</v>
      </c>
      <c r="AN7">
        <f>Generic!AM7</f>
        <v>4.47</v>
      </c>
      <c r="AO7">
        <f>Generic!AN7</f>
        <v>4.47</v>
      </c>
      <c r="AP7">
        <f>Generic!AO7</f>
        <v>4.47</v>
      </c>
      <c r="AQ7">
        <f>Generic!AP7</f>
        <v>4.47</v>
      </c>
      <c r="AR7">
        <f>Generic!AQ7</f>
        <v>4.47</v>
      </c>
      <c r="AS7">
        <f>Generic!AR7</f>
        <v>4.47</v>
      </c>
      <c r="AT7">
        <f>Generic!AS7</f>
        <v>4.47</v>
      </c>
      <c r="AU7">
        <f>Generic!AT7</f>
        <v>4.47</v>
      </c>
      <c r="AV7">
        <f>Generic!AU7</f>
        <v>4.47</v>
      </c>
      <c r="AW7">
        <f>Generic!AV7</f>
        <v>4.47</v>
      </c>
      <c r="AX7">
        <f>Generic!AW7</f>
        <v>4.47</v>
      </c>
      <c r="AY7">
        <f>Generic!AX7</f>
        <v>4.47</v>
      </c>
      <c r="AZ7">
        <f>Generic!AY7</f>
        <v>4.47</v>
      </c>
      <c r="BA7">
        <f>Generic!AZ7</f>
        <v>4.47</v>
      </c>
      <c r="BB7">
        <f>Generic!BA7</f>
        <v>4.47</v>
      </c>
      <c r="BC7">
        <f>Generic!BB7</f>
        <v>4.47</v>
      </c>
      <c r="BD7">
        <f>Generic!BC7</f>
        <v>4.47</v>
      </c>
      <c r="BE7">
        <f>Generic!BD7</f>
        <v>4.47</v>
      </c>
    </row>
    <row r="8" spans="1:58" x14ac:dyDescent="0.2">
      <c r="A8" t="s">
        <v>82</v>
      </c>
      <c r="B8" t="s">
        <v>82</v>
      </c>
      <c r="C8" t="s">
        <v>52</v>
      </c>
      <c r="D8" s="4" t="str">
        <f>Generic!D8</f>
        <v>Generic Wood</v>
      </c>
      <c r="E8" t="str">
        <f>Generic!E8</f>
        <v>BWWC00</v>
      </c>
      <c r="F8" t="str">
        <f t="shared" si="0"/>
        <v>D1BWWC00</v>
      </c>
      <c r="G8" t="str">
        <f t="shared" si="1"/>
        <v>D1BW00</v>
      </c>
      <c r="H8" t="str">
        <f t="shared" si="2"/>
        <v>D1ELC01</v>
      </c>
      <c r="I8" s="1" t="s">
        <v>55</v>
      </c>
      <c r="J8" s="1">
        <v>0</v>
      </c>
      <c r="K8">
        <f>Generic!K8</f>
        <v>15</v>
      </c>
      <c r="L8">
        <f>Generic!L8</f>
        <v>31.536000000000001</v>
      </c>
      <c r="M8">
        <f>Generic!M8</f>
        <v>2024</v>
      </c>
      <c r="N8">
        <f>Generic!N8</f>
        <v>3.8461538461538458</v>
      </c>
      <c r="O8">
        <v>0.2</v>
      </c>
      <c r="P8">
        <f>Generic!Q8</f>
        <v>0.81799999999999995</v>
      </c>
      <c r="Q8">
        <v>0.81799999999999995</v>
      </c>
      <c r="T8">
        <f>Generic!S8</f>
        <v>2580.84</v>
      </c>
      <c r="U8">
        <f>Generic!T8</f>
        <v>2580.84</v>
      </c>
      <c r="V8">
        <f>Generic!U8</f>
        <v>2580.84</v>
      </c>
      <c r="W8">
        <f>Generic!V8</f>
        <v>2580.84</v>
      </c>
      <c r="X8">
        <f>Generic!W8</f>
        <v>2580.84</v>
      </c>
      <c r="Y8">
        <f>Generic!X8</f>
        <v>2580.84</v>
      </c>
      <c r="Z8">
        <f>Generic!Y8</f>
        <v>82.582600000000014</v>
      </c>
      <c r="AA8">
        <f>Generic!Z8</f>
        <v>82.582600000000014</v>
      </c>
      <c r="AB8">
        <f>Generic!AA8</f>
        <v>77.180000000000007</v>
      </c>
      <c r="AC8">
        <f>Generic!AB8</f>
        <v>77.180000000000007</v>
      </c>
      <c r="AD8">
        <f>Generic!AC8</f>
        <v>77.180000000000007</v>
      </c>
      <c r="AE8">
        <f>Generic!AD8</f>
        <v>77.180000000000007</v>
      </c>
      <c r="AF8">
        <f>Generic!AE8</f>
        <v>4.47</v>
      </c>
      <c r="AG8">
        <f>Generic!AF8</f>
        <v>4.47</v>
      </c>
      <c r="AH8">
        <f>Generic!AG8</f>
        <v>4.47</v>
      </c>
      <c r="AI8">
        <f>Generic!AH8</f>
        <v>4.47</v>
      </c>
      <c r="AJ8">
        <f>Generic!AI8</f>
        <v>4.47</v>
      </c>
      <c r="AK8">
        <f>Generic!AJ8</f>
        <v>4.47</v>
      </c>
      <c r="AL8">
        <f>Generic!AK8</f>
        <v>4.47</v>
      </c>
      <c r="AM8">
        <f>Generic!AL8</f>
        <v>4.47</v>
      </c>
      <c r="AN8">
        <f>Generic!AM8</f>
        <v>4.47</v>
      </c>
      <c r="AO8">
        <f>Generic!AN8</f>
        <v>4.47</v>
      </c>
      <c r="AP8">
        <f>Generic!AO8</f>
        <v>4.47</v>
      </c>
      <c r="AQ8">
        <f>Generic!AP8</f>
        <v>4.47</v>
      </c>
      <c r="AR8">
        <f>Generic!AQ8</f>
        <v>4.47</v>
      </c>
      <c r="AS8">
        <f>Generic!AR8</f>
        <v>4.47</v>
      </c>
      <c r="AT8">
        <f>Generic!AS8</f>
        <v>4.47</v>
      </c>
      <c r="AU8">
        <f>Generic!AT8</f>
        <v>4.47</v>
      </c>
      <c r="AV8">
        <f>Generic!AU8</f>
        <v>4.47</v>
      </c>
      <c r="AW8">
        <f>Generic!AV8</f>
        <v>4.47</v>
      </c>
      <c r="AX8">
        <f>Generic!AW8</f>
        <v>4.47</v>
      </c>
      <c r="AY8">
        <f>Generic!AX8</f>
        <v>4.47</v>
      </c>
      <c r="AZ8">
        <f>Generic!AY8</f>
        <v>4.47</v>
      </c>
      <c r="BA8">
        <f>Generic!AZ8</f>
        <v>4.47</v>
      </c>
      <c r="BB8">
        <f>Generic!BA8</f>
        <v>4.47</v>
      </c>
      <c r="BC8">
        <f>Generic!BB8</f>
        <v>4.47</v>
      </c>
      <c r="BD8">
        <f>Generic!BC8</f>
        <v>4.47</v>
      </c>
      <c r="BE8">
        <f>Generic!BD8</f>
        <v>4.47</v>
      </c>
    </row>
    <row r="9" spans="1:58" x14ac:dyDescent="0.2">
      <c r="A9" t="s">
        <v>82</v>
      </c>
      <c r="B9" t="s">
        <v>82</v>
      </c>
      <c r="C9" t="s">
        <v>79</v>
      </c>
      <c r="D9" t="str">
        <f t="shared" ref="D9:H22" si="3">D2</f>
        <v>Generic Diesel Centralized</v>
      </c>
      <c r="E9" t="str">
        <f t="shared" si="3"/>
        <v>DSGC00</v>
      </c>
      <c r="F9" t="str">
        <f t="shared" si="3"/>
        <v>D1DSGC00</v>
      </c>
      <c r="G9" t="str">
        <f t="shared" si="3"/>
        <v>D1DS00</v>
      </c>
      <c r="H9" t="str">
        <f t="shared" si="3"/>
        <v>D1ELC01</v>
      </c>
      <c r="I9" s="1" t="s">
        <v>55</v>
      </c>
      <c r="J9" s="1">
        <v>200</v>
      </c>
      <c r="K9">
        <f t="shared" ref="K9:K22" si="4">K2</f>
        <v>25</v>
      </c>
      <c r="L9">
        <v>31.536000000000001</v>
      </c>
      <c r="M9">
        <f>M2</f>
        <v>2023</v>
      </c>
      <c r="N9">
        <f>N2</f>
        <v>2.8571428571428572</v>
      </c>
      <c r="O9">
        <f>O2</f>
        <v>0.05</v>
      </c>
      <c r="P9">
        <f>P2</f>
        <v>0.89400000000000002</v>
      </c>
      <c r="Q9">
        <f>Q2</f>
        <v>0.89400000000000002</v>
      </c>
      <c r="T9">
        <f t="shared" ref="T9:Y9" si="5">T2</f>
        <v>1162.02</v>
      </c>
      <c r="U9">
        <f t="shared" si="5"/>
        <v>1162.02</v>
      </c>
      <c r="V9">
        <f t="shared" si="5"/>
        <v>1162.02</v>
      </c>
      <c r="W9">
        <f t="shared" si="5"/>
        <v>1162.02</v>
      </c>
      <c r="X9">
        <f t="shared" si="5"/>
        <v>1162.02</v>
      </c>
      <c r="Y9">
        <f t="shared" si="5"/>
        <v>1162.02</v>
      </c>
      <c r="Z9">
        <f t="shared" ref="Z9:BE9" si="6">Z2</f>
        <v>35.31</v>
      </c>
      <c r="AA9">
        <f t="shared" si="6"/>
        <v>35.31</v>
      </c>
      <c r="AB9">
        <f t="shared" si="6"/>
        <v>35.31</v>
      </c>
      <c r="AC9">
        <f t="shared" si="6"/>
        <v>35.31</v>
      </c>
      <c r="AD9">
        <f t="shared" si="6"/>
        <v>35.31</v>
      </c>
      <c r="AE9">
        <f t="shared" si="6"/>
        <v>35.31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  <c r="AJ9">
        <f t="shared" si="6"/>
        <v>0</v>
      </c>
      <c r="AK9">
        <f t="shared" si="6"/>
        <v>0</v>
      </c>
      <c r="AL9">
        <f t="shared" si="6"/>
        <v>0</v>
      </c>
      <c r="AM9">
        <f t="shared" si="6"/>
        <v>0</v>
      </c>
      <c r="AN9">
        <f t="shared" si="6"/>
        <v>0</v>
      </c>
      <c r="AO9">
        <f t="shared" si="6"/>
        <v>0</v>
      </c>
      <c r="AP9">
        <f t="shared" si="6"/>
        <v>0</v>
      </c>
      <c r="AQ9">
        <f t="shared" si="6"/>
        <v>0</v>
      </c>
      <c r="AR9">
        <f t="shared" si="6"/>
        <v>0</v>
      </c>
      <c r="AS9">
        <f t="shared" si="6"/>
        <v>0</v>
      </c>
      <c r="AT9">
        <f t="shared" si="6"/>
        <v>0</v>
      </c>
      <c r="AU9">
        <f t="shared" si="6"/>
        <v>0</v>
      </c>
      <c r="AV9">
        <f t="shared" si="6"/>
        <v>0</v>
      </c>
      <c r="AW9">
        <f t="shared" si="6"/>
        <v>0</v>
      </c>
      <c r="AX9">
        <f t="shared" si="6"/>
        <v>0</v>
      </c>
      <c r="AY9">
        <f t="shared" si="6"/>
        <v>0</v>
      </c>
      <c r="AZ9">
        <f t="shared" si="6"/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6"/>
        <v>0</v>
      </c>
      <c r="BE9">
        <f t="shared" si="6"/>
        <v>0</v>
      </c>
    </row>
    <row r="10" spans="1:58" x14ac:dyDescent="0.2">
      <c r="A10" t="s">
        <v>82</v>
      </c>
      <c r="B10" t="s">
        <v>82</v>
      </c>
      <c r="C10" t="str">
        <f>C9</f>
        <v>D2</v>
      </c>
      <c r="D10" t="str">
        <f t="shared" si="3"/>
        <v>Generic HFO</v>
      </c>
      <c r="E10" t="str">
        <f t="shared" si="3"/>
        <v>HFGC00</v>
      </c>
      <c r="F10" t="str">
        <f t="shared" si="3"/>
        <v>D1HFGC00</v>
      </c>
      <c r="G10" t="str">
        <f t="shared" si="3"/>
        <v>D1HF00</v>
      </c>
      <c r="H10" t="str">
        <f t="shared" si="3"/>
        <v>D1ELC01</v>
      </c>
      <c r="I10" s="1" t="s">
        <v>55</v>
      </c>
      <c r="J10" s="1">
        <v>200</v>
      </c>
      <c r="K10">
        <f t="shared" si="4"/>
        <v>25</v>
      </c>
      <c r="L10">
        <v>31.536000000000001</v>
      </c>
      <c r="M10">
        <f t="shared" ref="M10:O22" si="7">M3</f>
        <v>2023</v>
      </c>
      <c r="N10">
        <f t="shared" si="7"/>
        <v>2.8571428571428572</v>
      </c>
      <c r="O10">
        <f t="shared" si="7"/>
        <v>0.05</v>
      </c>
      <c r="P10">
        <f t="shared" ref="P10:P22" si="8">P3</f>
        <v>0.89</v>
      </c>
      <c r="Q10">
        <f t="shared" ref="Q10:Q22" si="9">Q3</f>
        <v>0.89</v>
      </c>
      <c r="T10">
        <f t="shared" ref="T10:T22" si="10">T3</f>
        <v>1162.02</v>
      </c>
      <c r="U10">
        <f t="shared" ref="U10:X22" si="11">U3</f>
        <v>1162.02</v>
      </c>
      <c r="V10">
        <f t="shared" si="11"/>
        <v>1162.02</v>
      </c>
      <c r="W10">
        <f t="shared" si="11"/>
        <v>1162.02</v>
      </c>
      <c r="X10">
        <f t="shared" si="11"/>
        <v>1162.02</v>
      </c>
      <c r="Y10">
        <f t="shared" ref="Y10:BE10" si="12">Y3</f>
        <v>1162.02</v>
      </c>
      <c r="Z10">
        <f t="shared" si="12"/>
        <v>35.31</v>
      </c>
      <c r="AA10">
        <f t="shared" si="12"/>
        <v>35.31</v>
      </c>
      <c r="AB10">
        <f t="shared" si="12"/>
        <v>35.31</v>
      </c>
      <c r="AC10">
        <f t="shared" si="12"/>
        <v>35.31</v>
      </c>
      <c r="AD10">
        <f t="shared" si="12"/>
        <v>35.31</v>
      </c>
      <c r="AE10">
        <f t="shared" si="12"/>
        <v>35.31</v>
      </c>
      <c r="AF10">
        <f t="shared" si="12"/>
        <v>0</v>
      </c>
      <c r="AG10">
        <f t="shared" si="12"/>
        <v>0</v>
      </c>
      <c r="AH10">
        <f t="shared" si="12"/>
        <v>0</v>
      </c>
      <c r="AI10">
        <f t="shared" si="12"/>
        <v>0</v>
      </c>
      <c r="AJ10">
        <f t="shared" si="12"/>
        <v>0</v>
      </c>
      <c r="AK10">
        <f t="shared" si="12"/>
        <v>0</v>
      </c>
      <c r="AL10">
        <f t="shared" si="12"/>
        <v>0</v>
      </c>
      <c r="AM10">
        <f t="shared" si="12"/>
        <v>0</v>
      </c>
      <c r="AN10">
        <f t="shared" si="12"/>
        <v>0</v>
      </c>
      <c r="AO10">
        <f t="shared" si="12"/>
        <v>0</v>
      </c>
      <c r="AP10">
        <f t="shared" si="12"/>
        <v>0</v>
      </c>
      <c r="AQ10">
        <f t="shared" si="12"/>
        <v>0</v>
      </c>
      <c r="AR10">
        <f t="shared" si="12"/>
        <v>0</v>
      </c>
      <c r="AS10">
        <f t="shared" si="12"/>
        <v>0</v>
      </c>
      <c r="AT10">
        <f t="shared" si="12"/>
        <v>0</v>
      </c>
      <c r="AU10">
        <f t="shared" si="12"/>
        <v>0</v>
      </c>
      <c r="AV10">
        <f t="shared" si="12"/>
        <v>0</v>
      </c>
      <c r="AW10">
        <f t="shared" si="12"/>
        <v>0</v>
      </c>
      <c r="AX10">
        <f t="shared" si="12"/>
        <v>0</v>
      </c>
      <c r="AY10">
        <f t="shared" si="12"/>
        <v>0</v>
      </c>
      <c r="AZ10">
        <f t="shared" si="12"/>
        <v>0</v>
      </c>
      <c r="BA10">
        <f t="shared" si="12"/>
        <v>0</v>
      </c>
      <c r="BB10">
        <f t="shared" si="12"/>
        <v>0</v>
      </c>
      <c r="BC10">
        <f t="shared" si="12"/>
        <v>0</v>
      </c>
      <c r="BD10">
        <f t="shared" si="12"/>
        <v>0</v>
      </c>
      <c r="BE10">
        <f t="shared" si="12"/>
        <v>0</v>
      </c>
    </row>
    <row r="11" spans="1:58" x14ac:dyDescent="0.2">
      <c r="A11" t="s">
        <v>82</v>
      </c>
      <c r="B11" t="s">
        <v>82</v>
      </c>
      <c r="C11" t="str">
        <f t="shared" ref="C11:C15" si="13">C10</f>
        <v>D2</v>
      </c>
      <c r="D11" t="str">
        <f t="shared" si="3"/>
        <v>Generic Gas Open Cycle</v>
      </c>
      <c r="E11" t="str">
        <f t="shared" si="3"/>
        <v>NGOC00</v>
      </c>
      <c r="F11" t="str">
        <f t="shared" si="3"/>
        <v>D1NGOC00</v>
      </c>
      <c r="G11" t="str">
        <f t="shared" si="3"/>
        <v>D1NG00</v>
      </c>
      <c r="H11" t="str">
        <f t="shared" si="3"/>
        <v>D1ELC01</v>
      </c>
      <c r="I11" s="1" t="s">
        <v>55</v>
      </c>
      <c r="J11" s="1">
        <v>200</v>
      </c>
      <c r="K11">
        <f t="shared" si="4"/>
        <v>25</v>
      </c>
      <c r="L11">
        <v>31.536000000000001</v>
      </c>
      <c r="M11">
        <f t="shared" si="7"/>
        <v>2024</v>
      </c>
      <c r="N11">
        <f t="shared" si="7"/>
        <v>2.8571428571428572</v>
      </c>
      <c r="O11">
        <f t="shared" si="7"/>
        <v>0.05</v>
      </c>
      <c r="P11">
        <f t="shared" si="8"/>
        <v>0.92</v>
      </c>
      <c r="Q11">
        <f t="shared" si="9"/>
        <v>0.92</v>
      </c>
      <c r="T11">
        <f t="shared" si="10"/>
        <v>850.65000000000009</v>
      </c>
      <c r="U11">
        <f t="shared" si="11"/>
        <v>850.65000000000009</v>
      </c>
      <c r="V11">
        <f t="shared" si="11"/>
        <v>850.65000000000009</v>
      </c>
      <c r="W11">
        <f t="shared" si="11"/>
        <v>850.65000000000009</v>
      </c>
      <c r="X11">
        <f t="shared" si="11"/>
        <v>850.65000000000009</v>
      </c>
      <c r="Y11">
        <f t="shared" ref="Y11:BE11" si="14">Y4</f>
        <v>850.65000000000009</v>
      </c>
      <c r="Z11">
        <f t="shared" si="14"/>
        <v>25.68</v>
      </c>
      <c r="AA11">
        <f t="shared" si="14"/>
        <v>25.68</v>
      </c>
      <c r="AB11">
        <f t="shared" si="14"/>
        <v>25.68</v>
      </c>
      <c r="AC11">
        <f t="shared" si="14"/>
        <v>25.68</v>
      </c>
      <c r="AD11">
        <f t="shared" si="14"/>
        <v>25.68</v>
      </c>
      <c r="AE11">
        <f t="shared" si="14"/>
        <v>25.68</v>
      </c>
      <c r="AF11">
        <f t="shared" si="14"/>
        <v>0</v>
      </c>
      <c r="AG11">
        <f t="shared" si="14"/>
        <v>0</v>
      </c>
      <c r="AH11">
        <f t="shared" si="14"/>
        <v>0</v>
      </c>
      <c r="AI11">
        <f t="shared" si="14"/>
        <v>0</v>
      </c>
      <c r="AJ11">
        <f t="shared" si="14"/>
        <v>0</v>
      </c>
      <c r="AK11">
        <f t="shared" si="14"/>
        <v>0</v>
      </c>
      <c r="AL11">
        <f t="shared" si="14"/>
        <v>0</v>
      </c>
      <c r="AM11">
        <f t="shared" si="14"/>
        <v>0</v>
      </c>
      <c r="AN11">
        <f t="shared" si="14"/>
        <v>0</v>
      </c>
      <c r="AO11">
        <f t="shared" si="14"/>
        <v>0</v>
      </c>
      <c r="AP11">
        <f t="shared" si="14"/>
        <v>0</v>
      </c>
      <c r="AQ11">
        <f t="shared" si="14"/>
        <v>0</v>
      </c>
      <c r="AR11">
        <f t="shared" si="14"/>
        <v>0</v>
      </c>
      <c r="AS11">
        <f t="shared" si="14"/>
        <v>0</v>
      </c>
      <c r="AT11">
        <f t="shared" si="14"/>
        <v>0</v>
      </c>
      <c r="AU11">
        <f t="shared" si="14"/>
        <v>0</v>
      </c>
      <c r="AV11">
        <f t="shared" si="14"/>
        <v>0</v>
      </c>
      <c r="AW11">
        <f t="shared" si="14"/>
        <v>0</v>
      </c>
      <c r="AX11">
        <f t="shared" si="14"/>
        <v>0</v>
      </c>
      <c r="AY11">
        <f t="shared" si="14"/>
        <v>0</v>
      </c>
      <c r="AZ11">
        <f t="shared" si="14"/>
        <v>0</v>
      </c>
      <c r="BA11">
        <f t="shared" si="14"/>
        <v>0</v>
      </c>
      <c r="BB11">
        <f t="shared" si="14"/>
        <v>0</v>
      </c>
      <c r="BC11">
        <f t="shared" si="14"/>
        <v>0</v>
      </c>
      <c r="BD11">
        <f t="shared" si="14"/>
        <v>0</v>
      </c>
      <c r="BE11">
        <f t="shared" si="14"/>
        <v>0</v>
      </c>
    </row>
    <row r="12" spans="1:58" x14ac:dyDescent="0.2">
      <c r="A12" t="s">
        <v>82</v>
      </c>
      <c r="B12" t="s">
        <v>82</v>
      </c>
      <c r="C12" t="str">
        <f t="shared" si="13"/>
        <v>D2</v>
      </c>
      <c r="D12" t="str">
        <f t="shared" si="3"/>
        <v>Generic Gas Combined Cycle</v>
      </c>
      <c r="E12" t="str">
        <f t="shared" si="3"/>
        <v>NGCC00</v>
      </c>
      <c r="F12" t="str">
        <f t="shared" si="3"/>
        <v>D1NGCC00</v>
      </c>
      <c r="G12" t="str">
        <f t="shared" si="3"/>
        <v>D1NG00</v>
      </c>
      <c r="H12" t="str">
        <f t="shared" si="3"/>
        <v>D1ELC01</v>
      </c>
      <c r="I12" s="1" t="s">
        <v>55</v>
      </c>
      <c r="J12" s="1">
        <v>300</v>
      </c>
      <c r="K12">
        <f t="shared" si="4"/>
        <v>30</v>
      </c>
      <c r="L12">
        <v>31.536000000000001</v>
      </c>
      <c r="M12">
        <f t="shared" si="7"/>
        <v>2024</v>
      </c>
      <c r="N12">
        <f t="shared" si="7"/>
        <v>1.7241379310344829</v>
      </c>
      <c r="O12">
        <f t="shared" si="7"/>
        <v>0.15</v>
      </c>
      <c r="P12">
        <f t="shared" si="8"/>
        <v>0.92</v>
      </c>
      <c r="Q12">
        <f t="shared" si="9"/>
        <v>0.92</v>
      </c>
      <c r="T12">
        <f t="shared" si="10"/>
        <v>1084.98</v>
      </c>
      <c r="U12">
        <f t="shared" si="11"/>
        <v>1084.98</v>
      </c>
      <c r="V12">
        <f t="shared" si="11"/>
        <v>1084.98</v>
      </c>
      <c r="W12">
        <f t="shared" si="11"/>
        <v>1084.98</v>
      </c>
      <c r="X12">
        <f t="shared" si="11"/>
        <v>1084.98</v>
      </c>
      <c r="Y12">
        <f t="shared" ref="Y12:BE12" si="15">Y5</f>
        <v>1084.98</v>
      </c>
      <c r="Z12">
        <f t="shared" si="15"/>
        <v>32.1</v>
      </c>
      <c r="AA12">
        <f t="shared" si="15"/>
        <v>32.1</v>
      </c>
      <c r="AB12">
        <f t="shared" si="15"/>
        <v>32.1</v>
      </c>
      <c r="AC12">
        <f t="shared" si="15"/>
        <v>32.1</v>
      </c>
      <c r="AD12">
        <f t="shared" si="15"/>
        <v>32.1</v>
      </c>
      <c r="AE12">
        <f t="shared" si="15"/>
        <v>32.1</v>
      </c>
      <c r="AF12">
        <f t="shared" si="15"/>
        <v>0</v>
      </c>
      <c r="AG12">
        <f t="shared" si="15"/>
        <v>0</v>
      </c>
      <c r="AH12">
        <f t="shared" si="15"/>
        <v>0</v>
      </c>
      <c r="AI12">
        <f t="shared" si="15"/>
        <v>0</v>
      </c>
      <c r="AJ12">
        <f t="shared" si="15"/>
        <v>0</v>
      </c>
      <c r="AK12">
        <f t="shared" si="15"/>
        <v>0</v>
      </c>
      <c r="AL12">
        <f t="shared" si="15"/>
        <v>0</v>
      </c>
      <c r="AM12">
        <f t="shared" si="15"/>
        <v>0</v>
      </c>
      <c r="AN12">
        <f t="shared" si="15"/>
        <v>0</v>
      </c>
      <c r="AO12">
        <f t="shared" si="15"/>
        <v>0</v>
      </c>
      <c r="AP12">
        <f t="shared" si="15"/>
        <v>0</v>
      </c>
      <c r="AQ12">
        <f t="shared" si="15"/>
        <v>0</v>
      </c>
      <c r="AR12">
        <f t="shared" si="15"/>
        <v>0</v>
      </c>
      <c r="AS12">
        <f t="shared" si="15"/>
        <v>0</v>
      </c>
      <c r="AT12">
        <f t="shared" si="15"/>
        <v>0</v>
      </c>
      <c r="AU12">
        <f t="shared" si="15"/>
        <v>0</v>
      </c>
      <c r="AV12">
        <f t="shared" si="15"/>
        <v>0</v>
      </c>
      <c r="AW12">
        <f t="shared" si="15"/>
        <v>0</v>
      </c>
      <c r="AX12">
        <f t="shared" si="15"/>
        <v>0</v>
      </c>
      <c r="AY12">
        <f t="shared" si="15"/>
        <v>0</v>
      </c>
      <c r="AZ12">
        <f t="shared" si="15"/>
        <v>0</v>
      </c>
      <c r="BA12">
        <f t="shared" si="15"/>
        <v>0</v>
      </c>
      <c r="BB12">
        <f t="shared" si="15"/>
        <v>0</v>
      </c>
      <c r="BC12">
        <f t="shared" si="15"/>
        <v>0</v>
      </c>
      <c r="BD12">
        <f t="shared" si="15"/>
        <v>0</v>
      </c>
      <c r="BE12">
        <f t="shared" si="15"/>
        <v>0</v>
      </c>
    </row>
    <row r="13" spans="1:58" x14ac:dyDescent="0.2">
      <c r="A13" t="s">
        <v>82</v>
      </c>
      <c r="B13" t="s">
        <v>82</v>
      </c>
      <c r="C13" t="str">
        <f t="shared" si="13"/>
        <v>D2</v>
      </c>
      <c r="D13" t="str">
        <f t="shared" si="3"/>
        <v>Generic Gas Engine</v>
      </c>
      <c r="E13" t="str">
        <f t="shared" si="3"/>
        <v>NGEC00</v>
      </c>
      <c r="F13" t="str">
        <f t="shared" si="3"/>
        <v>D1NGEC00</v>
      </c>
      <c r="G13" t="str">
        <f t="shared" si="3"/>
        <v>D1NG00</v>
      </c>
      <c r="H13" t="str">
        <f t="shared" si="3"/>
        <v>D1ELC01</v>
      </c>
      <c r="I13" s="1" t="s">
        <v>55</v>
      </c>
      <c r="J13" s="1">
        <v>100</v>
      </c>
      <c r="K13">
        <f t="shared" si="4"/>
        <v>25</v>
      </c>
      <c r="L13">
        <v>31.536000000000001</v>
      </c>
      <c r="M13">
        <f t="shared" si="7"/>
        <v>2024</v>
      </c>
      <c r="N13">
        <f t="shared" si="7"/>
        <v>2.2222222222222223</v>
      </c>
      <c r="O13">
        <f t="shared" si="7"/>
        <v>0.05</v>
      </c>
      <c r="P13">
        <f t="shared" si="8"/>
        <v>0.92</v>
      </c>
      <c r="Q13">
        <f t="shared" si="9"/>
        <v>0.92</v>
      </c>
      <c r="T13">
        <f t="shared" si="10"/>
        <v>1162.02</v>
      </c>
      <c r="U13">
        <f t="shared" si="11"/>
        <v>1162.02</v>
      </c>
      <c r="V13">
        <f t="shared" si="11"/>
        <v>1162.02</v>
      </c>
      <c r="W13">
        <f t="shared" si="11"/>
        <v>1162.02</v>
      </c>
      <c r="X13">
        <f t="shared" si="11"/>
        <v>1162.02</v>
      </c>
      <c r="Y13">
        <f t="shared" ref="Y13:BE13" si="16">Y6</f>
        <v>1162.02</v>
      </c>
      <c r="Z13">
        <f t="shared" si="16"/>
        <v>35.31</v>
      </c>
      <c r="AA13">
        <f t="shared" si="16"/>
        <v>35.31</v>
      </c>
      <c r="AB13">
        <f t="shared" si="16"/>
        <v>33</v>
      </c>
      <c r="AC13">
        <f t="shared" si="16"/>
        <v>33</v>
      </c>
      <c r="AD13">
        <f t="shared" si="16"/>
        <v>33</v>
      </c>
      <c r="AE13">
        <f t="shared" si="16"/>
        <v>33</v>
      </c>
      <c r="AF13">
        <f t="shared" si="16"/>
        <v>0</v>
      </c>
      <c r="AG13">
        <f t="shared" si="16"/>
        <v>0</v>
      </c>
      <c r="AH13">
        <f t="shared" si="16"/>
        <v>0</v>
      </c>
      <c r="AI13">
        <f t="shared" si="16"/>
        <v>0</v>
      </c>
      <c r="AJ13">
        <f t="shared" si="16"/>
        <v>0</v>
      </c>
      <c r="AK13">
        <f t="shared" si="16"/>
        <v>0</v>
      </c>
      <c r="AL13">
        <f t="shared" si="16"/>
        <v>0</v>
      </c>
      <c r="AM13">
        <f t="shared" si="16"/>
        <v>0</v>
      </c>
      <c r="AN13">
        <f t="shared" si="16"/>
        <v>0</v>
      </c>
      <c r="AO13">
        <f t="shared" si="16"/>
        <v>0</v>
      </c>
      <c r="AP13">
        <f t="shared" si="16"/>
        <v>0</v>
      </c>
      <c r="AQ13">
        <f t="shared" si="16"/>
        <v>0</v>
      </c>
      <c r="AR13">
        <f t="shared" si="16"/>
        <v>0</v>
      </c>
      <c r="AS13">
        <f t="shared" si="16"/>
        <v>0</v>
      </c>
      <c r="AT13">
        <f t="shared" si="16"/>
        <v>0</v>
      </c>
      <c r="AU13">
        <f t="shared" si="16"/>
        <v>0</v>
      </c>
      <c r="AV13">
        <f t="shared" si="16"/>
        <v>0</v>
      </c>
      <c r="AW13">
        <f t="shared" si="16"/>
        <v>0</v>
      </c>
      <c r="AX13">
        <f t="shared" si="16"/>
        <v>0</v>
      </c>
      <c r="AY13">
        <f t="shared" si="16"/>
        <v>0</v>
      </c>
      <c r="AZ13">
        <f t="shared" si="16"/>
        <v>0</v>
      </c>
      <c r="BA13">
        <f t="shared" si="16"/>
        <v>0</v>
      </c>
      <c r="BB13">
        <f t="shared" si="16"/>
        <v>0</v>
      </c>
      <c r="BC13">
        <f t="shared" si="16"/>
        <v>0</v>
      </c>
      <c r="BD13">
        <f t="shared" si="16"/>
        <v>0</v>
      </c>
      <c r="BE13">
        <f t="shared" si="16"/>
        <v>0</v>
      </c>
    </row>
    <row r="14" spans="1:58" x14ac:dyDescent="0.2">
      <c r="A14" t="s">
        <v>82</v>
      </c>
      <c r="B14" t="s">
        <v>82</v>
      </c>
      <c r="C14" t="str">
        <f t="shared" si="13"/>
        <v>D2</v>
      </c>
      <c r="D14" t="str">
        <f t="shared" si="3"/>
        <v>Generic Bagasse</v>
      </c>
      <c r="E14" t="str">
        <f t="shared" si="3"/>
        <v>BMBC00</v>
      </c>
      <c r="F14" t="str">
        <f t="shared" si="3"/>
        <v>D1BMBC00</v>
      </c>
      <c r="G14" t="str">
        <f t="shared" si="3"/>
        <v>D1BM00</v>
      </c>
      <c r="H14" t="str">
        <f t="shared" si="3"/>
        <v>D1ELC01</v>
      </c>
      <c r="I14" s="1" t="s">
        <v>55</v>
      </c>
      <c r="J14" s="1">
        <v>0</v>
      </c>
      <c r="K14">
        <f t="shared" si="4"/>
        <v>25</v>
      </c>
      <c r="L14">
        <v>31.536000000000001</v>
      </c>
      <c r="M14">
        <f t="shared" si="7"/>
        <v>2024</v>
      </c>
      <c r="N14">
        <f t="shared" si="7"/>
        <v>3.8461538461538458</v>
      </c>
      <c r="O14">
        <f t="shared" si="7"/>
        <v>0.2</v>
      </c>
      <c r="P14">
        <f t="shared" si="8"/>
        <v>0.81799999999999995</v>
      </c>
      <c r="Q14">
        <f t="shared" si="9"/>
        <v>0.81799999999999995</v>
      </c>
      <c r="T14">
        <f t="shared" si="10"/>
        <v>2580.84</v>
      </c>
      <c r="U14">
        <f t="shared" si="11"/>
        <v>2580.84</v>
      </c>
      <c r="V14">
        <f t="shared" si="11"/>
        <v>2580.84</v>
      </c>
      <c r="W14">
        <f t="shared" si="11"/>
        <v>2580.84</v>
      </c>
      <c r="X14">
        <f t="shared" si="11"/>
        <v>2580.84</v>
      </c>
      <c r="Y14">
        <f t="shared" ref="Y14:BE14" si="17">Y7</f>
        <v>2580.84</v>
      </c>
      <c r="Z14">
        <f t="shared" si="17"/>
        <v>82.582600000000014</v>
      </c>
      <c r="AA14">
        <f t="shared" si="17"/>
        <v>82.582600000000014</v>
      </c>
      <c r="AB14">
        <f t="shared" si="17"/>
        <v>77.180000000000007</v>
      </c>
      <c r="AC14">
        <f t="shared" si="17"/>
        <v>77.180000000000007</v>
      </c>
      <c r="AD14">
        <f t="shared" si="17"/>
        <v>77.180000000000007</v>
      </c>
      <c r="AE14">
        <f t="shared" si="17"/>
        <v>77.180000000000007</v>
      </c>
      <c r="AF14">
        <f t="shared" si="17"/>
        <v>4.47</v>
      </c>
      <c r="AG14">
        <f t="shared" si="17"/>
        <v>4.47</v>
      </c>
      <c r="AH14">
        <f t="shared" si="17"/>
        <v>4.47</v>
      </c>
      <c r="AI14">
        <f t="shared" si="17"/>
        <v>4.47</v>
      </c>
      <c r="AJ14">
        <f t="shared" si="17"/>
        <v>4.47</v>
      </c>
      <c r="AK14">
        <f t="shared" si="17"/>
        <v>4.47</v>
      </c>
      <c r="AL14">
        <f t="shared" si="17"/>
        <v>4.47</v>
      </c>
      <c r="AM14">
        <f t="shared" si="17"/>
        <v>4.47</v>
      </c>
      <c r="AN14">
        <f t="shared" si="17"/>
        <v>4.47</v>
      </c>
      <c r="AO14">
        <f t="shared" si="17"/>
        <v>4.47</v>
      </c>
      <c r="AP14">
        <f t="shared" si="17"/>
        <v>4.47</v>
      </c>
      <c r="AQ14">
        <f t="shared" si="17"/>
        <v>4.47</v>
      </c>
      <c r="AR14">
        <f t="shared" si="17"/>
        <v>4.47</v>
      </c>
      <c r="AS14">
        <f t="shared" si="17"/>
        <v>4.47</v>
      </c>
      <c r="AT14">
        <f t="shared" si="17"/>
        <v>4.47</v>
      </c>
      <c r="AU14">
        <f t="shared" si="17"/>
        <v>4.47</v>
      </c>
      <c r="AV14">
        <f t="shared" si="17"/>
        <v>4.47</v>
      </c>
      <c r="AW14">
        <f t="shared" si="17"/>
        <v>4.47</v>
      </c>
      <c r="AX14">
        <f t="shared" si="17"/>
        <v>4.47</v>
      </c>
      <c r="AY14">
        <f t="shared" si="17"/>
        <v>4.47</v>
      </c>
      <c r="AZ14">
        <f t="shared" si="17"/>
        <v>4.47</v>
      </c>
      <c r="BA14">
        <f t="shared" si="17"/>
        <v>4.47</v>
      </c>
      <c r="BB14">
        <f t="shared" si="17"/>
        <v>4.47</v>
      </c>
      <c r="BC14">
        <f t="shared" si="17"/>
        <v>4.47</v>
      </c>
      <c r="BD14">
        <f t="shared" si="17"/>
        <v>4.47</v>
      </c>
      <c r="BE14">
        <f t="shared" si="17"/>
        <v>4.47</v>
      </c>
    </row>
    <row r="15" spans="1:58" x14ac:dyDescent="0.2">
      <c r="A15" t="s">
        <v>82</v>
      </c>
      <c r="B15" t="s">
        <v>82</v>
      </c>
      <c r="C15" t="str">
        <f t="shared" si="13"/>
        <v>D2</v>
      </c>
      <c r="D15" t="str">
        <f t="shared" si="3"/>
        <v>Generic Wood</v>
      </c>
      <c r="E15" t="str">
        <f t="shared" si="3"/>
        <v>BWWC00</v>
      </c>
      <c r="F15" t="str">
        <f t="shared" si="3"/>
        <v>D1BWWC00</v>
      </c>
      <c r="G15" t="str">
        <f t="shared" si="3"/>
        <v>D1BW00</v>
      </c>
      <c r="H15" t="str">
        <f t="shared" si="3"/>
        <v>D1ELC01</v>
      </c>
      <c r="I15" s="1" t="s">
        <v>55</v>
      </c>
      <c r="J15" s="1">
        <v>100</v>
      </c>
      <c r="K15">
        <f t="shared" si="4"/>
        <v>15</v>
      </c>
      <c r="L15">
        <v>31.536000000000001</v>
      </c>
      <c r="M15">
        <f t="shared" si="7"/>
        <v>2024</v>
      </c>
      <c r="N15">
        <f t="shared" si="7"/>
        <v>3.8461538461538458</v>
      </c>
      <c r="O15">
        <f t="shared" si="7"/>
        <v>0.2</v>
      </c>
      <c r="P15">
        <f t="shared" si="8"/>
        <v>0.81799999999999995</v>
      </c>
      <c r="Q15">
        <f t="shared" si="9"/>
        <v>0.81799999999999995</v>
      </c>
      <c r="T15">
        <f t="shared" si="10"/>
        <v>2580.84</v>
      </c>
      <c r="U15">
        <f t="shared" si="11"/>
        <v>2580.84</v>
      </c>
      <c r="V15">
        <f t="shared" si="11"/>
        <v>2580.84</v>
      </c>
      <c r="W15">
        <f t="shared" si="11"/>
        <v>2580.84</v>
      </c>
      <c r="X15">
        <f t="shared" si="11"/>
        <v>2580.84</v>
      </c>
      <c r="Y15">
        <f t="shared" ref="Y15:BE15" si="18">Y8</f>
        <v>2580.84</v>
      </c>
      <c r="Z15">
        <f t="shared" si="18"/>
        <v>82.582600000000014</v>
      </c>
      <c r="AA15">
        <f t="shared" si="18"/>
        <v>82.582600000000014</v>
      </c>
      <c r="AB15">
        <f t="shared" si="18"/>
        <v>77.180000000000007</v>
      </c>
      <c r="AC15">
        <f t="shared" si="18"/>
        <v>77.180000000000007</v>
      </c>
      <c r="AD15">
        <f t="shared" si="18"/>
        <v>77.180000000000007</v>
      </c>
      <c r="AE15">
        <f t="shared" si="18"/>
        <v>77.180000000000007</v>
      </c>
      <c r="AF15">
        <f t="shared" si="18"/>
        <v>4.47</v>
      </c>
      <c r="AG15">
        <f t="shared" si="18"/>
        <v>4.47</v>
      </c>
      <c r="AH15">
        <f t="shared" si="18"/>
        <v>4.47</v>
      </c>
      <c r="AI15">
        <f t="shared" si="18"/>
        <v>4.47</v>
      </c>
      <c r="AJ15">
        <f t="shared" si="18"/>
        <v>4.47</v>
      </c>
      <c r="AK15">
        <f t="shared" si="18"/>
        <v>4.47</v>
      </c>
      <c r="AL15">
        <f t="shared" si="18"/>
        <v>4.47</v>
      </c>
      <c r="AM15">
        <f t="shared" si="18"/>
        <v>4.47</v>
      </c>
      <c r="AN15">
        <f t="shared" si="18"/>
        <v>4.47</v>
      </c>
      <c r="AO15">
        <f t="shared" si="18"/>
        <v>4.47</v>
      </c>
      <c r="AP15">
        <f t="shared" si="18"/>
        <v>4.47</v>
      </c>
      <c r="AQ15">
        <f t="shared" si="18"/>
        <v>4.47</v>
      </c>
      <c r="AR15">
        <f t="shared" si="18"/>
        <v>4.47</v>
      </c>
      <c r="AS15">
        <f t="shared" si="18"/>
        <v>4.47</v>
      </c>
      <c r="AT15">
        <f t="shared" si="18"/>
        <v>4.47</v>
      </c>
      <c r="AU15">
        <f t="shared" si="18"/>
        <v>4.47</v>
      </c>
      <c r="AV15">
        <f t="shared" si="18"/>
        <v>4.47</v>
      </c>
      <c r="AW15">
        <f t="shared" si="18"/>
        <v>4.47</v>
      </c>
      <c r="AX15">
        <f t="shared" si="18"/>
        <v>4.47</v>
      </c>
      <c r="AY15">
        <f t="shared" si="18"/>
        <v>4.47</v>
      </c>
      <c r="AZ15">
        <f t="shared" si="18"/>
        <v>4.47</v>
      </c>
      <c r="BA15">
        <f t="shared" si="18"/>
        <v>4.47</v>
      </c>
      <c r="BB15">
        <f t="shared" si="18"/>
        <v>4.47</v>
      </c>
      <c r="BC15">
        <f t="shared" si="18"/>
        <v>4.47</v>
      </c>
      <c r="BD15">
        <f t="shared" si="18"/>
        <v>4.47</v>
      </c>
      <c r="BE15">
        <f t="shared" si="18"/>
        <v>4.47</v>
      </c>
    </row>
    <row r="16" spans="1:58" x14ac:dyDescent="0.2">
      <c r="A16" t="s">
        <v>82</v>
      </c>
      <c r="B16" t="s">
        <v>82</v>
      </c>
      <c r="C16" t="s">
        <v>84</v>
      </c>
      <c r="D16" t="str">
        <f t="shared" si="3"/>
        <v>Generic Diesel Centralized</v>
      </c>
      <c r="E16" t="str">
        <f t="shared" si="3"/>
        <v>DSGC00</v>
      </c>
      <c r="F16" t="str">
        <f t="shared" si="3"/>
        <v>D1DSGC00</v>
      </c>
      <c r="G16" t="str">
        <f t="shared" si="3"/>
        <v>D1DS00</v>
      </c>
      <c r="H16" t="str">
        <f t="shared" si="3"/>
        <v>D1ELC01</v>
      </c>
      <c r="I16" s="1" t="s">
        <v>55</v>
      </c>
      <c r="J16" s="1">
        <v>200</v>
      </c>
      <c r="K16">
        <v>25</v>
      </c>
      <c r="L16">
        <v>31.536000000000001</v>
      </c>
      <c r="M16">
        <f t="shared" si="7"/>
        <v>2023</v>
      </c>
      <c r="N16">
        <f t="shared" si="7"/>
        <v>2.8571428571428572</v>
      </c>
      <c r="O16">
        <f t="shared" si="7"/>
        <v>0.05</v>
      </c>
      <c r="P16">
        <f t="shared" si="8"/>
        <v>0.89400000000000002</v>
      </c>
      <c r="Q16">
        <f t="shared" si="9"/>
        <v>0.89400000000000002</v>
      </c>
      <c r="T16">
        <f t="shared" si="10"/>
        <v>1162.02</v>
      </c>
      <c r="U16">
        <f t="shared" si="11"/>
        <v>1162.02</v>
      </c>
      <c r="V16">
        <f t="shared" si="11"/>
        <v>1162.02</v>
      </c>
      <c r="W16">
        <f t="shared" si="11"/>
        <v>1162.02</v>
      </c>
      <c r="X16">
        <f t="shared" si="11"/>
        <v>1162.02</v>
      </c>
      <c r="Y16">
        <f t="shared" ref="Y16:BE16" si="19">Y9</f>
        <v>1162.02</v>
      </c>
      <c r="Z16">
        <f t="shared" si="19"/>
        <v>35.31</v>
      </c>
      <c r="AA16">
        <f t="shared" si="19"/>
        <v>35.31</v>
      </c>
      <c r="AB16">
        <f t="shared" si="19"/>
        <v>35.31</v>
      </c>
      <c r="AC16">
        <f t="shared" si="19"/>
        <v>35.31</v>
      </c>
      <c r="AD16">
        <f t="shared" si="19"/>
        <v>35.31</v>
      </c>
      <c r="AE16">
        <f t="shared" si="19"/>
        <v>35.31</v>
      </c>
      <c r="AF16">
        <f t="shared" si="19"/>
        <v>0</v>
      </c>
      <c r="AG16">
        <f t="shared" si="19"/>
        <v>0</v>
      </c>
      <c r="AH16">
        <f t="shared" si="19"/>
        <v>0</v>
      </c>
      <c r="AI16">
        <f t="shared" si="19"/>
        <v>0</v>
      </c>
      <c r="AJ16">
        <f t="shared" si="19"/>
        <v>0</v>
      </c>
      <c r="AK16">
        <f t="shared" si="19"/>
        <v>0</v>
      </c>
      <c r="AL16">
        <f t="shared" si="19"/>
        <v>0</v>
      </c>
      <c r="AM16">
        <f t="shared" si="19"/>
        <v>0</v>
      </c>
      <c r="AN16">
        <f t="shared" si="19"/>
        <v>0</v>
      </c>
      <c r="AO16">
        <f t="shared" si="19"/>
        <v>0</v>
      </c>
      <c r="AP16">
        <f t="shared" si="19"/>
        <v>0</v>
      </c>
      <c r="AQ16">
        <f t="shared" si="19"/>
        <v>0</v>
      </c>
      <c r="AR16">
        <f t="shared" si="19"/>
        <v>0</v>
      </c>
      <c r="AS16">
        <f t="shared" si="19"/>
        <v>0</v>
      </c>
      <c r="AT16">
        <f t="shared" si="19"/>
        <v>0</v>
      </c>
      <c r="AU16">
        <f t="shared" si="19"/>
        <v>0</v>
      </c>
      <c r="AV16">
        <f t="shared" si="19"/>
        <v>0</v>
      </c>
      <c r="AW16">
        <f t="shared" si="19"/>
        <v>0</v>
      </c>
      <c r="AX16">
        <f t="shared" si="19"/>
        <v>0</v>
      </c>
      <c r="AY16">
        <f t="shared" si="19"/>
        <v>0</v>
      </c>
      <c r="AZ16">
        <f t="shared" si="19"/>
        <v>0</v>
      </c>
      <c r="BA16">
        <f t="shared" si="19"/>
        <v>0</v>
      </c>
      <c r="BB16">
        <f t="shared" si="19"/>
        <v>0</v>
      </c>
      <c r="BC16">
        <f t="shared" si="19"/>
        <v>0</v>
      </c>
      <c r="BD16">
        <f t="shared" si="19"/>
        <v>0</v>
      </c>
      <c r="BE16">
        <f t="shared" si="19"/>
        <v>0</v>
      </c>
    </row>
    <row r="17" spans="1:57" x14ac:dyDescent="0.2">
      <c r="A17" t="s">
        <v>82</v>
      </c>
      <c r="B17" t="s">
        <v>82</v>
      </c>
      <c r="C17" t="str">
        <f t="shared" ref="C17:C22" si="20">C16</f>
        <v>D3</v>
      </c>
      <c r="D17" t="str">
        <f t="shared" si="3"/>
        <v>Generic HFO</v>
      </c>
      <c r="E17" t="str">
        <f t="shared" si="3"/>
        <v>HFGC00</v>
      </c>
      <c r="F17" t="str">
        <f t="shared" si="3"/>
        <v>D1HFGC00</v>
      </c>
      <c r="G17" t="str">
        <f t="shared" si="3"/>
        <v>D1HF00</v>
      </c>
      <c r="H17" t="str">
        <f t="shared" si="3"/>
        <v>D1ELC01</v>
      </c>
      <c r="I17" s="1" t="s">
        <v>55</v>
      </c>
      <c r="J17" s="1">
        <v>200</v>
      </c>
      <c r="K17">
        <f t="shared" si="4"/>
        <v>25</v>
      </c>
      <c r="L17">
        <v>31.536000000000001</v>
      </c>
      <c r="M17">
        <f t="shared" si="7"/>
        <v>2023</v>
      </c>
      <c r="N17">
        <f t="shared" si="7"/>
        <v>2.8571428571428572</v>
      </c>
      <c r="O17">
        <f t="shared" si="7"/>
        <v>0.05</v>
      </c>
      <c r="P17">
        <f t="shared" si="8"/>
        <v>0.89</v>
      </c>
      <c r="Q17">
        <f t="shared" si="9"/>
        <v>0.89</v>
      </c>
      <c r="T17">
        <f t="shared" si="10"/>
        <v>1162.02</v>
      </c>
      <c r="U17">
        <f t="shared" si="11"/>
        <v>1162.02</v>
      </c>
      <c r="V17">
        <f t="shared" si="11"/>
        <v>1162.02</v>
      </c>
      <c r="W17">
        <f t="shared" si="11"/>
        <v>1162.02</v>
      </c>
      <c r="X17">
        <f t="shared" si="11"/>
        <v>1162.02</v>
      </c>
      <c r="Y17">
        <f t="shared" ref="Y17:BE17" si="21">Y10</f>
        <v>1162.02</v>
      </c>
      <c r="Z17">
        <f t="shared" si="21"/>
        <v>35.31</v>
      </c>
      <c r="AA17">
        <f t="shared" si="21"/>
        <v>35.31</v>
      </c>
      <c r="AB17">
        <f t="shared" si="21"/>
        <v>35.31</v>
      </c>
      <c r="AC17">
        <f t="shared" si="21"/>
        <v>35.31</v>
      </c>
      <c r="AD17">
        <f t="shared" si="21"/>
        <v>35.31</v>
      </c>
      <c r="AE17">
        <f t="shared" si="21"/>
        <v>35.31</v>
      </c>
      <c r="AF17">
        <f t="shared" si="21"/>
        <v>0</v>
      </c>
      <c r="AG17">
        <f t="shared" si="21"/>
        <v>0</v>
      </c>
      <c r="AH17">
        <f t="shared" si="21"/>
        <v>0</v>
      </c>
      <c r="AI17">
        <f t="shared" si="21"/>
        <v>0</v>
      </c>
      <c r="AJ17">
        <f t="shared" si="21"/>
        <v>0</v>
      </c>
      <c r="AK17">
        <f t="shared" si="21"/>
        <v>0</v>
      </c>
      <c r="AL17">
        <f t="shared" si="21"/>
        <v>0</v>
      </c>
      <c r="AM17">
        <f t="shared" si="21"/>
        <v>0</v>
      </c>
      <c r="AN17">
        <f t="shared" si="21"/>
        <v>0</v>
      </c>
      <c r="AO17">
        <f t="shared" si="21"/>
        <v>0</v>
      </c>
      <c r="AP17">
        <f t="shared" si="21"/>
        <v>0</v>
      </c>
      <c r="AQ17">
        <f t="shared" si="21"/>
        <v>0</v>
      </c>
      <c r="AR17">
        <f t="shared" si="21"/>
        <v>0</v>
      </c>
      <c r="AS17">
        <f t="shared" si="21"/>
        <v>0</v>
      </c>
      <c r="AT17">
        <f t="shared" si="21"/>
        <v>0</v>
      </c>
      <c r="AU17">
        <f t="shared" si="21"/>
        <v>0</v>
      </c>
      <c r="AV17">
        <f t="shared" si="21"/>
        <v>0</v>
      </c>
      <c r="AW17">
        <f t="shared" si="21"/>
        <v>0</v>
      </c>
      <c r="AX17">
        <f t="shared" si="21"/>
        <v>0</v>
      </c>
      <c r="AY17">
        <f t="shared" si="21"/>
        <v>0</v>
      </c>
      <c r="AZ17">
        <f t="shared" si="21"/>
        <v>0</v>
      </c>
      <c r="BA17">
        <f t="shared" si="21"/>
        <v>0</v>
      </c>
      <c r="BB17">
        <f t="shared" si="21"/>
        <v>0</v>
      </c>
      <c r="BC17">
        <f t="shared" si="21"/>
        <v>0</v>
      </c>
      <c r="BD17">
        <f t="shared" si="21"/>
        <v>0</v>
      </c>
      <c r="BE17">
        <f t="shared" si="21"/>
        <v>0</v>
      </c>
    </row>
    <row r="18" spans="1:57" x14ac:dyDescent="0.2">
      <c r="A18" t="s">
        <v>82</v>
      </c>
      <c r="B18" t="s">
        <v>82</v>
      </c>
      <c r="C18" t="str">
        <f t="shared" si="20"/>
        <v>D3</v>
      </c>
      <c r="D18" t="str">
        <f t="shared" si="3"/>
        <v>Generic Gas Open Cycle</v>
      </c>
      <c r="E18" t="str">
        <f t="shared" si="3"/>
        <v>NGOC00</v>
      </c>
      <c r="F18" t="str">
        <f t="shared" si="3"/>
        <v>D1NGOC00</v>
      </c>
      <c r="G18" t="str">
        <f t="shared" si="3"/>
        <v>D1NG00</v>
      </c>
      <c r="H18" t="str">
        <f t="shared" si="3"/>
        <v>D1ELC01</v>
      </c>
      <c r="I18" s="1" t="s">
        <v>55</v>
      </c>
      <c r="J18" s="1">
        <v>200</v>
      </c>
      <c r="K18">
        <f t="shared" si="4"/>
        <v>25</v>
      </c>
      <c r="L18">
        <v>31.536000000000001</v>
      </c>
      <c r="M18">
        <f t="shared" si="7"/>
        <v>2024</v>
      </c>
      <c r="N18">
        <f t="shared" si="7"/>
        <v>2.8571428571428572</v>
      </c>
      <c r="O18">
        <f t="shared" si="7"/>
        <v>0.05</v>
      </c>
      <c r="P18">
        <f t="shared" si="8"/>
        <v>0.92</v>
      </c>
      <c r="Q18">
        <f t="shared" si="9"/>
        <v>0.92</v>
      </c>
      <c r="T18">
        <f t="shared" si="10"/>
        <v>850.65000000000009</v>
      </c>
      <c r="U18">
        <f t="shared" si="11"/>
        <v>850.65000000000009</v>
      </c>
      <c r="V18">
        <f t="shared" si="11"/>
        <v>850.65000000000009</v>
      </c>
      <c r="W18">
        <f t="shared" si="11"/>
        <v>850.65000000000009</v>
      </c>
      <c r="X18">
        <f t="shared" si="11"/>
        <v>850.65000000000009</v>
      </c>
      <c r="Y18">
        <f t="shared" ref="Y18:BE18" si="22">Y11</f>
        <v>850.65000000000009</v>
      </c>
      <c r="Z18">
        <f t="shared" si="22"/>
        <v>25.68</v>
      </c>
      <c r="AA18">
        <f t="shared" si="22"/>
        <v>25.68</v>
      </c>
      <c r="AB18">
        <f t="shared" si="22"/>
        <v>25.68</v>
      </c>
      <c r="AC18">
        <f t="shared" si="22"/>
        <v>25.68</v>
      </c>
      <c r="AD18">
        <f t="shared" si="22"/>
        <v>25.68</v>
      </c>
      <c r="AE18">
        <f t="shared" si="22"/>
        <v>25.68</v>
      </c>
      <c r="AF18">
        <f t="shared" si="22"/>
        <v>0</v>
      </c>
      <c r="AG18">
        <f t="shared" si="22"/>
        <v>0</v>
      </c>
      <c r="AH18">
        <f t="shared" si="22"/>
        <v>0</v>
      </c>
      <c r="AI18">
        <f t="shared" si="22"/>
        <v>0</v>
      </c>
      <c r="AJ18">
        <f t="shared" si="22"/>
        <v>0</v>
      </c>
      <c r="AK18">
        <f t="shared" si="22"/>
        <v>0</v>
      </c>
      <c r="AL18">
        <f t="shared" si="22"/>
        <v>0</v>
      </c>
      <c r="AM18">
        <f t="shared" si="22"/>
        <v>0</v>
      </c>
      <c r="AN18">
        <f t="shared" si="22"/>
        <v>0</v>
      </c>
      <c r="AO18">
        <f t="shared" si="22"/>
        <v>0</v>
      </c>
      <c r="AP18">
        <f t="shared" si="22"/>
        <v>0</v>
      </c>
      <c r="AQ18">
        <f t="shared" si="22"/>
        <v>0</v>
      </c>
      <c r="AR18">
        <f t="shared" si="22"/>
        <v>0</v>
      </c>
      <c r="AS18">
        <f t="shared" si="22"/>
        <v>0</v>
      </c>
      <c r="AT18">
        <f t="shared" si="22"/>
        <v>0</v>
      </c>
      <c r="AU18">
        <f t="shared" si="22"/>
        <v>0</v>
      </c>
      <c r="AV18">
        <f t="shared" si="22"/>
        <v>0</v>
      </c>
      <c r="AW18">
        <f t="shared" si="22"/>
        <v>0</v>
      </c>
      <c r="AX18">
        <f t="shared" si="22"/>
        <v>0</v>
      </c>
      <c r="AY18">
        <f t="shared" si="22"/>
        <v>0</v>
      </c>
      <c r="AZ18">
        <f t="shared" si="22"/>
        <v>0</v>
      </c>
      <c r="BA18">
        <f t="shared" si="22"/>
        <v>0</v>
      </c>
      <c r="BB18">
        <f t="shared" si="22"/>
        <v>0</v>
      </c>
      <c r="BC18">
        <f t="shared" si="22"/>
        <v>0</v>
      </c>
      <c r="BD18">
        <f t="shared" si="22"/>
        <v>0</v>
      </c>
      <c r="BE18">
        <f t="shared" si="22"/>
        <v>0</v>
      </c>
    </row>
    <row r="19" spans="1:57" x14ac:dyDescent="0.2">
      <c r="A19" t="s">
        <v>82</v>
      </c>
      <c r="B19" t="s">
        <v>82</v>
      </c>
      <c r="C19" t="str">
        <f t="shared" si="20"/>
        <v>D3</v>
      </c>
      <c r="D19" t="str">
        <f t="shared" si="3"/>
        <v>Generic Gas Combined Cycle</v>
      </c>
      <c r="E19" t="str">
        <f t="shared" si="3"/>
        <v>NGCC00</v>
      </c>
      <c r="F19" t="str">
        <f t="shared" si="3"/>
        <v>D1NGCC00</v>
      </c>
      <c r="G19" t="str">
        <f t="shared" si="3"/>
        <v>D1NG00</v>
      </c>
      <c r="H19" t="str">
        <f t="shared" si="3"/>
        <v>D1ELC01</v>
      </c>
      <c r="I19" s="1" t="s">
        <v>55</v>
      </c>
      <c r="J19" s="1">
        <v>300</v>
      </c>
      <c r="K19">
        <f t="shared" si="4"/>
        <v>30</v>
      </c>
      <c r="L19">
        <v>31.536000000000001</v>
      </c>
      <c r="M19">
        <f t="shared" si="7"/>
        <v>2024</v>
      </c>
      <c r="N19">
        <f t="shared" si="7"/>
        <v>1.7241379310344829</v>
      </c>
      <c r="O19">
        <f t="shared" si="7"/>
        <v>0.15</v>
      </c>
      <c r="P19">
        <f t="shared" si="8"/>
        <v>0.92</v>
      </c>
      <c r="Q19">
        <f t="shared" si="9"/>
        <v>0.92</v>
      </c>
      <c r="T19">
        <f t="shared" si="10"/>
        <v>1084.98</v>
      </c>
      <c r="U19">
        <f t="shared" si="11"/>
        <v>1084.98</v>
      </c>
      <c r="V19">
        <f t="shared" si="11"/>
        <v>1084.98</v>
      </c>
      <c r="W19">
        <f t="shared" si="11"/>
        <v>1084.98</v>
      </c>
      <c r="X19">
        <f t="shared" si="11"/>
        <v>1084.98</v>
      </c>
      <c r="Y19">
        <f t="shared" ref="Y19:BE19" si="23">Y12</f>
        <v>1084.98</v>
      </c>
      <c r="Z19">
        <f t="shared" si="23"/>
        <v>32.1</v>
      </c>
      <c r="AA19">
        <f t="shared" si="23"/>
        <v>32.1</v>
      </c>
      <c r="AB19">
        <f t="shared" si="23"/>
        <v>32.1</v>
      </c>
      <c r="AC19">
        <f t="shared" si="23"/>
        <v>32.1</v>
      </c>
      <c r="AD19">
        <f t="shared" si="23"/>
        <v>32.1</v>
      </c>
      <c r="AE19">
        <f t="shared" si="23"/>
        <v>32.1</v>
      </c>
      <c r="AF19">
        <f t="shared" si="23"/>
        <v>0</v>
      </c>
      <c r="AG19">
        <f t="shared" si="23"/>
        <v>0</v>
      </c>
      <c r="AH19">
        <f t="shared" si="23"/>
        <v>0</v>
      </c>
      <c r="AI19">
        <f t="shared" si="23"/>
        <v>0</v>
      </c>
      <c r="AJ19">
        <f t="shared" si="23"/>
        <v>0</v>
      </c>
      <c r="AK19">
        <f t="shared" si="23"/>
        <v>0</v>
      </c>
      <c r="AL19">
        <f t="shared" si="23"/>
        <v>0</v>
      </c>
      <c r="AM19">
        <f t="shared" si="23"/>
        <v>0</v>
      </c>
      <c r="AN19">
        <f t="shared" si="23"/>
        <v>0</v>
      </c>
      <c r="AO19">
        <f t="shared" si="23"/>
        <v>0</v>
      </c>
      <c r="AP19">
        <f t="shared" si="23"/>
        <v>0</v>
      </c>
      <c r="AQ19">
        <f t="shared" si="23"/>
        <v>0</v>
      </c>
      <c r="AR19">
        <f t="shared" si="23"/>
        <v>0</v>
      </c>
      <c r="AS19">
        <f t="shared" si="23"/>
        <v>0</v>
      </c>
      <c r="AT19">
        <f t="shared" si="23"/>
        <v>0</v>
      </c>
      <c r="AU19">
        <f t="shared" si="23"/>
        <v>0</v>
      </c>
      <c r="AV19">
        <f t="shared" si="23"/>
        <v>0</v>
      </c>
      <c r="AW19">
        <f t="shared" si="23"/>
        <v>0</v>
      </c>
      <c r="AX19">
        <f t="shared" si="23"/>
        <v>0</v>
      </c>
      <c r="AY19">
        <f t="shared" si="23"/>
        <v>0</v>
      </c>
      <c r="AZ19">
        <f t="shared" si="23"/>
        <v>0</v>
      </c>
      <c r="BA19">
        <f t="shared" si="23"/>
        <v>0</v>
      </c>
      <c r="BB19">
        <f t="shared" si="23"/>
        <v>0</v>
      </c>
      <c r="BC19">
        <f t="shared" si="23"/>
        <v>0</v>
      </c>
      <c r="BD19">
        <f t="shared" si="23"/>
        <v>0</v>
      </c>
      <c r="BE19">
        <f t="shared" si="23"/>
        <v>0</v>
      </c>
    </row>
    <row r="20" spans="1:57" x14ac:dyDescent="0.2">
      <c r="A20" t="s">
        <v>82</v>
      </c>
      <c r="B20" t="s">
        <v>82</v>
      </c>
      <c r="C20" t="str">
        <f t="shared" si="20"/>
        <v>D3</v>
      </c>
      <c r="D20" t="str">
        <f t="shared" si="3"/>
        <v>Generic Gas Engine</v>
      </c>
      <c r="E20" t="str">
        <f t="shared" si="3"/>
        <v>NGEC00</v>
      </c>
      <c r="F20" t="str">
        <f t="shared" si="3"/>
        <v>D1NGEC00</v>
      </c>
      <c r="G20" t="str">
        <f t="shared" si="3"/>
        <v>D1NG00</v>
      </c>
      <c r="H20" t="str">
        <f t="shared" si="3"/>
        <v>D1ELC01</v>
      </c>
      <c r="I20" s="1" t="s">
        <v>55</v>
      </c>
      <c r="J20" s="1">
        <v>100</v>
      </c>
      <c r="K20">
        <f t="shared" si="4"/>
        <v>25</v>
      </c>
      <c r="L20">
        <v>31.536000000000001</v>
      </c>
      <c r="M20">
        <f t="shared" si="7"/>
        <v>2024</v>
      </c>
      <c r="N20">
        <f t="shared" si="7"/>
        <v>2.2222222222222223</v>
      </c>
      <c r="O20">
        <f t="shared" si="7"/>
        <v>0.05</v>
      </c>
      <c r="P20">
        <f t="shared" si="8"/>
        <v>0.92</v>
      </c>
      <c r="Q20">
        <f t="shared" si="9"/>
        <v>0.92</v>
      </c>
      <c r="T20">
        <f t="shared" si="10"/>
        <v>1162.02</v>
      </c>
      <c r="U20">
        <f t="shared" si="11"/>
        <v>1162.02</v>
      </c>
      <c r="V20">
        <f t="shared" si="11"/>
        <v>1162.02</v>
      </c>
      <c r="W20">
        <f t="shared" si="11"/>
        <v>1162.02</v>
      </c>
      <c r="X20">
        <f t="shared" si="11"/>
        <v>1162.02</v>
      </c>
      <c r="Y20">
        <f t="shared" ref="Y20:BE20" si="24">Y13</f>
        <v>1162.02</v>
      </c>
      <c r="Z20">
        <f t="shared" si="24"/>
        <v>35.31</v>
      </c>
      <c r="AA20">
        <f t="shared" si="24"/>
        <v>35.31</v>
      </c>
      <c r="AB20">
        <f t="shared" si="24"/>
        <v>33</v>
      </c>
      <c r="AC20">
        <f t="shared" si="24"/>
        <v>33</v>
      </c>
      <c r="AD20">
        <f t="shared" si="24"/>
        <v>33</v>
      </c>
      <c r="AE20">
        <f t="shared" si="24"/>
        <v>33</v>
      </c>
      <c r="AF20">
        <f t="shared" si="24"/>
        <v>0</v>
      </c>
      <c r="AG20">
        <f t="shared" si="24"/>
        <v>0</v>
      </c>
      <c r="AH20">
        <f t="shared" si="24"/>
        <v>0</v>
      </c>
      <c r="AI20">
        <f t="shared" si="24"/>
        <v>0</v>
      </c>
      <c r="AJ20">
        <f t="shared" si="24"/>
        <v>0</v>
      </c>
      <c r="AK20">
        <f t="shared" si="24"/>
        <v>0</v>
      </c>
      <c r="AL20">
        <f t="shared" si="24"/>
        <v>0</v>
      </c>
      <c r="AM20">
        <f t="shared" si="24"/>
        <v>0</v>
      </c>
      <c r="AN20">
        <f t="shared" si="24"/>
        <v>0</v>
      </c>
      <c r="AO20">
        <f t="shared" si="24"/>
        <v>0</v>
      </c>
      <c r="AP20">
        <f t="shared" si="24"/>
        <v>0</v>
      </c>
      <c r="AQ20">
        <f t="shared" si="24"/>
        <v>0</v>
      </c>
      <c r="AR20">
        <f t="shared" si="24"/>
        <v>0</v>
      </c>
      <c r="AS20">
        <f t="shared" si="24"/>
        <v>0</v>
      </c>
      <c r="AT20">
        <f t="shared" si="24"/>
        <v>0</v>
      </c>
      <c r="AU20">
        <f t="shared" si="24"/>
        <v>0</v>
      </c>
      <c r="AV20">
        <f t="shared" si="24"/>
        <v>0</v>
      </c>
      <c r="AW20">
        <f t="shared" si="24"/>
        <v>0</v>
      </c>
      <c r="AX20">
        <f t="shared" si="24"/>
        <v>0</v>
      </c>
      <c r="AY20">
        <f t="shared" si="24"/>
        <v>0</v>
      </c>
      <c r="AZ20">
        <f t="shared" si="24"/>
        <v>0</v>
      </c>
      <c r="BA20">
        <f t="shared" si="24"/>
        <v>0</v>
      </c>
      <c r="BB20">
        <f t="shared" si="24"/>
        <v>0</v>
      </c>
      <c r="BC20">
        <f t="shared" si="24"/>
        <v>0</v>
      </c>
      <c r="BD20">
        <f t="shared" si="24"/>
        <v>0</v>
      </c>
      <c r="BE20">
        <f t="shared" si="24"/>
        <v>0</v>
      </c>
    </row>
    <row r="21" spans="1:57" x14ac:dyDescent="0.2">
      <c r="A21" t="s">
        <v>82</v>
      </c>
      <c r="B21" t="s">
        <v>82</v>
      </c>
      <c r="C21" t="str">
        <f t="shared" si="20"/>
        <v>D3</v>
      </c>
      <c r="D21" t="str">
        <f t="shared" si="3"/>
        <v>Generic Bagasse</v>
      </c>
      <c r="E21" t="str">
        <f t="shared" si="3"/>
        <v>BMBC00</v>
      </c>
      <c r="F21" t="str">
        <f t="shared" si="3"/>
        <v>D1BMBC00</v>
      </c>
      <c r="G21" t="str">
        <f t="shared" si="3"/>
        <v>D1BM00</v>
      </c>
      <c r="H21" t="str">
        <f t="shared" si="3"/>
        <v>D1ELC01</v>
      </c>
      <c r="I21" s="1" t="s">
        <v>55</v>
      </c>
      <c r="J21" s="1">
        <v>0</v>
      </c>
      <c r="K21">
        <f t="shared" si="4"/>
        <v>25</v>
      </c>
      <c r="L21">
        <v>31.536000000000001</v>
      </c>
      <c r="M21">
        <f t="shared" si="7"/>
        <v>2024</v>
      </c>
      <c r="N21">
        <f t="shared" si="7"/>
        <v>3.8461538461538458</v>
      </c>
      <c r="O21">
        <f t="shared" si="7"/>
        <v>0.2</v>
      </c>
      <c r="P21">
        <f t="shared" si="8"/>
        <v>0.81799999999999995</v>
      </c>
      <c r="Q21">
        <f t="shared" si="9"/>
        <v>0.81799999999999995</v>
      </c>
      <c r="T21">
        <f t="shared" si="10"/>
        <v>2580.84</v>
      </c>
      <c r="U21">
        <f t="shared" si="11"/>
        <v>2580.84</v>
      </c>
      <c r="V21">
        <f t="shared" si="11"/>
        <v>2580.84</v>
      </c>
      <c r="W21">
        <f t="shared" si="11"/>
        <v>2580.84</v>
      </c>
      <c r="X21">
        <f t="shared" si="11"/>
        <v>2580.84</v>
      </c>
      <c r="Y21">
        <f t="shared" ref="Y21:BE21" si="25">Y14</f>
        <v>2580.84</v>
      </c>
      <c r="Z21">
        <f t="shared" si="25"/>
        <v>82.582600000000014</v>
      </c>
      <c r="AA21">
        <f t="shared" si="25"/>
        <v>82.582600000000014</v>
      </c>
      <c r="AB21">
        <f t="shared" si="25"/>
        <v>77.180000000000007</v>
      </c>
      <c r="AC21">
        <f t="shared" si="25"/>
        <v>77.180000000000007</v>
      </c>
      <c r="AD21">
        <f t="shared" si="25"/>
        <v>77.180000000000007</v>
      </c>
      <c r="AE21">
        <f t="shared" si="25"/>
        <v>77.180000000000007</v>
      </c>
      <c r="AF21">
        <f t="shared" si="25"/>
        <v>4.47</v>
      </c>
      <c r="AG21">
        <f t="shared" si="25"/>
        <v>4.47</v>
      </c>
      <c r="AH21">
        <f t="shared" si="25"/>
        <v>4.47</v>
      </c>
      <c r="AI21">
        <f t="shared" si="25"/>
        <v>4.47</v>
      </c>
      <c r="AJ21">
        <f t="shared" si="25"/>
        <v>4.47</v>
      </c>
      <c r="AK21">
        <f t="shared" si="25"/>
        <v>4.47</v>
      </c>
      <c r="AL21">
        <f t="shared" si="25"/>
        <v>4.47</v>
      </c>
      <c r="AM21">
        <f t="shared" si="25"/>
        <v>4.47</v>
      </c>
      <c r="AN21">
        <f t="shared" si="25"/>
        <v>4.47</v>
      </c>
      <c r="AO21">
        <f t="shared" si="25"/>
        <v>4.47</v>
      </c>
      <c r="AP21">
        <f t="shared" si="25"/>
        <v>4.47</v>
      </c>
      <c r="AQ21">
        <f t="shared" si="25"/>
        <v>4.47</v>
      </c>
      <c r="AR21">
        <f t="shared" si="25"/>
        <v>4.47</v>
      </c>
      <c r="AS21">
        <f t="shared" si="25"/>
        <v>4.47</v>
      </c>
      <c r="AT21">
        <f t="shared" si="25"/>
        <v>4.47</v>
      </c>
      <c r="AU21">
        <f t="shared" si="25"/>
        <v>4.47</v>
      </c>
      <c r="AV21">
        <f t="shared" si="25"/>
        <v>4.47</v>
      </c>
      <c r="AW21">
        <f t="shared" si="25"/>
        <v>4.47</v>
      </c>
      <c r="AX21">
        <f t="shared" si="25"/>
        <v>4.47</v>
      </c>
      <c r="AY21">
        <f t="shared" si="25"/>
        <v>4.47</v>
      </c>
      <c r="AZ21">
        <f t="shared" si="25"/>
        <v>4.47</v>
      </c>
      <c r="BA21">
        <f t="shared" si="25"/>
        <v>4.47</v>
      </c>
      <c r="BB21">
        <f t="shared" si="25"/>
        <v>4.47</v>
      </c>
      <c r="BC21">
        <f t="shared" si="25"/>
        <v>4.47</v>
      </c>
      <c r="BD21">
        <f t="shared" si="25"/>
        <v>4.47</v>
      </c>
      <c r="BE21">
        <f t="shared" si="25"/>
        <v>4.47</v>
      </c>
    </row>
    <row r="22" spans="1:57" x14ac:dyDescent="0.2">
      <c r="A22" t="s">
        <v>82</v>
      </c>
      <c r="B22" t="s">
        <v>82</v>
      </c>
      <c r="C22" t="str">
        <f t="shared" si="20"/>
        <v>D3</v>
      </c>
      <c r="D22" t="str">
        <f t="shared" si="3"/>
        <v>Generic Wood</v>
      </c>
      <c r="E22" t="str">
        <f t="shared" si="3"/>
        <v>BWWC00</v>
      </c>
      <c r="F22" t="str">
        <f t="shared" si="3"/>
        <v>D1BWWC00</v>
      </c>
      <c r="G22" t="str">
        <f t="shared" si="3"/>
        <v>D1BW00</v>
      </c>
      <c r="H22" t="str">
        <f t="shared" si="3"/>
        <v>D1ELC01</v>
      </c>
      <c r="I22" s="1" t="s">
        <v>55</v>
      </c>
      <c r="J22" s="1">
        <v>100</v>
      </c>
      <c r="K22">
        <f t="shared" si="4"/>
        <v>15</v>
      </c>
      <c r="L22">
        <v>31.536000000000001</v>
      </c>
      <c r="M22">
        <f t="shared" si="7"/>
        <v>2024</v>
      </c>
      <c r="N22">
        <f t="shared" si="7"/>
        <v>3.8461538461538458</v>
      </c>
      <c r="O22">
        <f t="shared" si="7"/>
        <v>0.2</v>
      </c>
      <c r="P22">
        <f t="shared" si="8"/>
        <v>0.81799999999999995</v>
      </c>
      <c r="Q22">
        <f t="shared" si="9"/>
        <v>0.81799999999999995</v>
      </c>
      <c r="T22">
        <f t="shared" si="10"/>
        <v>2580.84</v>
      </c>
      <c r="U22">
        <f t="shared" si="11"/>
        <v>2580.84</v>
      </c>
      <c r="V22">
        <f t="shared" si="11"/>
        <v>2580.84</v>
      </c>
      <c r="W22">
        <f t="shared" si="11"/>
        <v>2580.84</v>
      </c>
      <c r="X22">
        <f t="shared" si="11"/>
        <v>2580.84</v>
      </c>
      <c r="Y22">
        <f t="shared" ref="Y22:BE22" si="26">Y15</f>
        <v>2580.84</v>
      </c>
      <c r="Z22">
        <f t="shared" si="26"/>
        <v>82.582600000000014</v>
      </c>
      <c r="AA22">
        <f t="shared" si="26"/>
        <v>82.582600000000014</v>
      </c>
      <c r="AB22">
        <f t="shared" si="26"/>
        <v>77.180000000000007</v>
      </c>
      <c r="AC22">
        <f t="shared" si="26"/>
        <v>77.180000000000007</v>
      </c>
      <c r="AD22">
        <f t="shared" si="26"/>
        <v>77.180000000000007</v>
      </c>
      <c r="AE22">
        <f t="shared" si="26"/>
        <v>77.180000000000007</v>
      </c>
      <c r="AF22">
        <f t="shared" si="26"/>
        <v>4.47</v>
      </c>
      <c r="AG22">
        <f t="shared" si="26"/>
        <v>4.47</v>
      </c>
      <c r="AH22">
        <f t="shared" si="26"/>
        <v>4.47</v>
      </c>
      <c r="AI22">
        <f t="shared" si="26"/>
        <v>4.47</v>
      </c>
      <c r="AJ22">
        <f t="shared" si="26"/>
        <v>4.47</v>
      </c>
      <c r="AK22">
        <f t="shared" si="26"/>
        <v>4.47</v>
      </c>
      <c r="AL22">
        <f t="shared" si="26"/>
        <v>4.47</v>
      </c>
      <c r="AM22">
        <f t="shared" si="26"/>
        <v>4.47</v>
      </c>
      <c r="AN22">
        <f t="shared" si="26"/>
        <v>4.47</v>
      </c>
      <c r="AO22">
        <f t="shared" si="26"/>
        <v>4.47</v>
      </c>
      <c r="AP22">
        <f t="shared" si="26"/>
        <v>4.47</v>
      </c>
      <c r="AQ22">
        <f t="shared" si="26"/>
        <v>4.47</v>
      </c>
      <c r="AR22">
        <f t="shared" si="26"/>
        <v>4.47</v>
      </c>
      <c r="AS22">
        <f t="shared" si="26"/>
        <v>4.47</v>
      </c>
      <c r="AT22">
        <f t="shared" si="26"/>
        <v>4.47</v>
      </c>
      <c r="AU22">
        <f t="shared" si="26"/>
        <v>4.47</v>
      </c>
      <c r="AV22">
        <f t="shared" si="26"/>
        <v>4.47</v>
      </c>
      <c r="AW22">
        <f t="shared" si="26"/>
        <v>4.47</v>
      </c>
      <c r="AX22">
        <f t="shared" si="26"/>
        <v>4.47</v>
      </c>
      <c r="AY22">
        <f t="shared" si="26"/>
        <v>4.47</v>
      </c>
      <c r="AZ22">
        <f t="shared" si="26"/>
        <v>4.47</v>
      </c>
      <c r="BA22">
        <f t="shared" si="26"/>
        <v>4.47</v>
      </c>
      <c r="BB22">
        <f t="shared" si="26"/>
        <v>4.47</v>
      </c>
      <c r="BC22">
        <f t="shared" si="26"/>
        <v>4.47</v>
      </c>
      <c r="BD22">
        <f t="shared" si="26"/>
        <v>4.47</v>
      </c>
      <c r="BE22">
        <f t="shared" si="26"/>
        <v>4.47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751E-875C-7648-B467-0DA36F9DB331}">
  <dimension ref="A2:BF580"/>
  <sheetViews>
    <sheetView topLeftCell="J1" workbookViewId="0">
      <selection activeCell="S3" sqref="S3"/>
    </sheetView>
  </sheetViews>
  <sheetFormatPr baseColWidth="10" defaultRowHeight="16" x14ac:dyDescent="0.2"/>
  <sheetData>
    <row r="2" spans="1:58" ht="17" x14ac:dyDescent="0.2">
      <c r="A2" s="5" t="s">
        <v>99</v>
      </c>
      <c r="B2" s="5" t="s">
        <v>100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1" t="s">
        <v>6</v>
      </c>
      <c r="J2" s="1" t="s">
        <v>216</v>
      </c>
      <c r="K2" t="s">
        <v>8</v>
      </c>
      <c r="L2" t="s">
        <v>9</v>
      </c>
      <c r="M2" t="s">
        <v>7</v>
      </c>
      <c r="N2" t="s">
        <v>10</v>
      </c>
      <c r="O2" t="s">
        <v>11</v>
      </c>
      <c r="P2" t="s">
        <v>12</v>
      </c>
      <c r="Q2" t="s">
        <v>199</v>
      </c>
      <c r="R2" t="s">
        <v>198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</row>
    <row r="3" spans="1:58" s="10" customFormat="1" ht="17" customHeight="1" x14ac:dyDescent="0.2">
      <c r="C3" s="10" t="str">
        <f>IF([3]Small!Q9="West","D1",IF([3]Small!Q9="East","D3",IF([3]Small!Q9="South","D2","D4")))</f>
        <v>D3</v>
      </c>
      <c r="D3" s="4" t="str">
        <f>[3]Small!A9&amp;"  "&amp;[3]Small!B9</f>
        <v>LT-0031  Kiliba - Katobo</v>
      </c>
      <c r="E3" t="str">
        <f>"H"&amp;LEFT(D3,2)&amp;MID(D3,4,4)</f>
        <v>HLT0031</v>
      </c>
      <c r="F3" t="str">
        <f>C3&amp;E3</f>
        <v>D3HLT0031</v>
      </c>
      <c r="G3" t="str">
        <f>C3&amp;[1]FUEL!$C$4</f>
        <v>D3HY00</v>
      </c>
      <c r="H3" t="str">
        <f>C3&amp;[1]FUEL!$C$11</f>
        <v>D3ELC01</v>
      </c>
      <c r="I3" s="1" t="s">
        <v>217</v>
      </c>
      <c r="J3" s="1">
        <f>R3</f>
        <v>1.4999999999999999E-2</v>
      </c>
      <c r="K3">
        <v>30</v>
      </c>
      <c r="L3">
        <v>31.536000000000001</v>
      </c>
      <c r="M3">
        <v>2023</v>
      </c>
      <c r="N3">
        <v>1</v>
      </c>
      <c r="O3">
        <v>0.5</v>
      </c>
      <c r="P3">
        <f>Scenarios!$G$7</f>
        <v>0.56000000000000005</v>
      </c>
      <c r="Q3">
        <f>Scenarios!$H$7</f>
        <v>1</v>
      </c>
      <c r="R3">
        <f>ROUND([3]Small!L9/1000,4)</f>
        <v>1.4999999999999999E-2</v>
      </c>
      <c r="S3">
        <f>(U3*((0.1*(1+0.1)^K3)/((1+0.1)^K3-1))+Z3)/(8760*P3)*1000</f>
        <v>132.02514791590508</v>
      </c>
      <c r="T3">
        <f>ROUND([3]Small!X9/1000,0)</f>
        <v>4941</v>
      </c>
      <c r="U3">
        <f>T3</f>
        <v>4941</v>
      </c>
      <c r="V3">
        <f t="shared" ref="V3:Y3" si="0">U3</f>
        <v>4941</v>
      </c>
      <c r="W3">
        <f t="shared" si="0"/>
        <v>4941</v>
      </c>
      <c r="X3">
        <f t="shared" si="0"/>
        <v>4941</v>
      </c>
      <c r="Y3">
        <f t="shared" si="0"/>
        <v>4941</v>
      </c>
      <c r="Z3">
        <f>T3*2.5/100</f>
        <v>123.52500000000001</v>
      </c>
      <c r="AA3">
        <f>Z3</f>
        <v>123.52500000000001</v>
      </c>
      <c r="AB3">
        <f t="shared" ref="AB3:AE3" si="1">AA3</f>
        <v>123.52500000000001</v>
      </c>
      <c r="AC3">
        <f t="shared" si="1"/>
        <v>123.52500000000001</v>
      </c>
      <c r="AD3">
        <f t="shared" si="1"/>
        <v>123.52500000000001</v>
      </c>
      <c r="AE3">
        <f t="shared" si="1"/>
        <v>123.52500000000001</v>
      </c>
      <c r="AF3"/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 t="s">
        <v>56</v>
      </c>
    </row>
    <row r="4" spans="1:58" ht="17" customHeight="1" x14ac:dyDescent="0.2">
      <c r="C4" s="10" t="str">
        <f>IF([3]Small!Q10="West","D1",IF([3]Small!Q10="East","D3",IF([3]Small!Q10="South","D2","D4")))</f>
        <v>D2</v>
      </c>
      <c r="D4" s="4" t="str">
        <f>[3]Small!A10&amp;"  "&amp;[3]Small!B10</f>
        <v>LT-0180  Dikolongo aval</v>
      </c>
      <c r="E4" t="str">
        <f t="shared" ref="E4:E20" si="2">"H"&amp;LEFT(D4,2)&amp;MID(D4,4,4)</f>
        <v>HLT0180</v>
      </c>
      <c r="F4" t="str">
        <f t="shared" ref="F4:F24" si="3">C4&amp;E4</f>
        <v>D2HLT0180</v>
      </c>
      <c r="G4" t="str">
        <f>C4&amp;[1]FUEL!$C$4</f>
        <v>D2HY00</v>
      </c>
      <c r="H4" t="str">
        <f>C4&amp;[1]FUEL!$C$11</f>
        <v>D2ELC01</v>
      </c>
      <c r="I4" s="1" t="s">
        <v>217</v>
      </c>
      <c r="J4" s="1">
        <f t="shared" ref="J4:J20" si="4">R4</f>
        <v>1.7600000000000001E-2</v>
      </c>
      <c r="K4">
        <v>30</v>
      </c>
      <c r="L4">
        <v>31.536000000000001</v>
      </c>
      <c r="M4">
        <v>2023</v>
      </c>
      <c r="N4">
        <v>1</v>
      </c>
      <c r="O4">
        <v>0.5</v>
      </c>
      <c r="P4">
        <f>Scenarios!$G$7</f>
        <v>0.56000000000000005</v>
      </c>
      <c r="Q4">
        <f>Scenarios!$H$7</f>
        <v>1</v>
      </c>
      <c r="R4">
        <f>ROUND([3]Small!L10/1000,4)</f>
        <v>1.7600000000000001E-2</v>
      </c>
      <c r="S4">
        <f t="shared" ref="S4:S24" si="5">(U4*((0.1*(1+0.1)^K4)/((1+0.1)^K4-1))+Z4)/(8760*P4)*1000</f>
        <v>156.76817300599376</v>
      </c>
      <c r="T4">
        <f>ROUND([3]Small!X10/1000,0)</f>
        <v>5867</v>
      </c>
      <c r="U4">
        <f t="shared" ref="U4:Y4" si="6">T4</f>
        <v>5867</v>
      </c>
      <c r="V4">
        <f t="shared" si="6"/>
        <v>5867</v>
      </c>
      <c r="W4">
        <f t="shared" si="6"/>
        <v>5867</v>
      </c>
      <c r="X4">
        <f t="shared" si="6"/>
        <v>5867</v>
      </c>
      <c r="Y4">
        <f t="shared" si="6"/>
        <v>5867</v>
      </c>
      <c r="Z4">
        <f t="shared" ref="Z4:Z20" si="7">T4*2.5/100</f>
        <v>146.67500000000001</v>
      </c>
      <c r="AA4">
        <f t="shared" ref="AA4:AE4" si="8">Z4</f>
        <v>146.67500000000001</v>
      </c>
      <c r="AB4">
        <f t="shared" si="8"/>
        <v>146.67500000000001</v>
      </c>
      <c r="AC4">
        <f t="shared" si="8"/>
        <v>146.67500000000001</v>
      </c>
      <c r="AD4">
        <f t="shared" si="8"/>
        <v>146.67500000000001</v>
      </c>
      <c r="AE4">
        <f t="shared" si="8"/>
        <v>146.67500000000001</v>
      </c>
    </row>
    <row r="5" spans="1:58" ht="17" customHeight="1" x14ac:dyDescent="0.2">
      <c r="C5" s="10" t="str">
        <f>IF([3]Small!Q11="West","D1",IF([3]Small!Q11="East","D3",IF([3]Small!Q11="South","D2","D4")))</f>
        <v>D2</v>
      </c>
      <c r="D5" s="4" t="str">
        <f>[3]Small!A11&amp;"  "&amp;[3]Small!B11</f>
        <v>LT-0181  Chutes de Kawa</v>
      </c>
      <c r="E5" t="str">
        <f t="shared" si="2"/>
        <v>HLT0181</v>
      </c>
      <c r="F5" t="str">
        <f t="shared" si="3"/>
        <v>D2HLT0181</v>
      </c>
      <c r="G5" t="str">
        <f>C5&amp;[1]FUEL!$C$4</f>
        <v>D2HY00</v>
      </c>
      <c r="H5" t="str">
        <f>C5&amp;[1]FUEL!$C$11</f>
        <v>D2ELC01</v>
      </c>
      <c r="I5" s="1" t="s">
        <v>217</v>
      </c>
      <c r="J5" s="1">
        <f t="shared" si="4"/>
        <v>1.7899999999999999E-2</v>
      </c>
      <c r="K5">
        <v>30</v>
      </c>
      <c r="L5">
        <v>31.536000000000001</v>
      </c>
      <c r="M5">
        <v>2023</v>
      </c>
      <c r="N5">
        <v>1</v>
      </c>
      <c r="O5">
        <v>0.5</v>
      </c>
      <c r="P5">
        <f>Scenarios!$G$7</f>
        <v>0.56000000000000005</v>
      </c>
      <c r="Q5">
        <f>Scenarios!$H$7</f>
        <v>1</v>
      </c>
      <c r="R5">
        <f>ROUND([3]Small!L11/1000,4)</f>
        <v>1.7899999999999999E-2</v>
      </c>
      <c r="S5">
        <f t="shared" si="5"/>
        <v>157.19569827752881</v>
      </c>
      <c r="T5">
        <f>ROUND([3]Small!X11/1000,0)</f>
        <v>5883</v>
      </c>
      <c r="U5">
        <f t="shared" ref="U5:Y5" si="9">T5</f>
        <v>5883</v>
      </c>
      <c r="V5">
        <f t="shared" si="9"/>
        <v>5883</v>
      </c>
      <c r="W5">
        <f t="shared" si="9"/>
        <v>5883</v>
      </c>
      <c r="X5">
        <f t="shared" si="9"/>
        <v>5883</v>
      </c>
      <c r="Y5">
        <f t="shared" si="9"/>
        <v>5883</v>
      </c>
      <c r="Z5">
        <f t="shared" si="7"/>
        <v>147.07499999999999</v>
      </c>
      <c r="AA5">
        <f t="shared" ref="AA5:AE5" si="10">Z5</f>
        <v>147.07499999999999</v>
      </c>
      <c r="AB5">
        <f t="shared" si="10"/>
        <v>147.07499999999999</v>
      </c>
      <c r="AC5">
        <f t="shared" si="10"/>
        <v>147.07499999999999</v>
      </c>
      <c r="AD5">
        <f t="shared" si="10"/>
        <v>147.07499999999999</v>
      </c>
      <c r="AE5">
        <f t="shared" si="10"/>
        <v>147.07499999999999</v>
      </c>
    </row>
    <row r="6" spans="1:58" ht="17" customHeight="1" x14ac:dyDescent="0.2">
      <c r="C6" s="10" t="str">
        <f>IF([3]Small!Q12="West","D1",IF([3]Small!Q12="East","D3",IF([3]Small!Q12="South","D2","D4")))</f>
        <v>D1</v>
      </c>
      <c r="D6" s="4" t="str">
        <f>[3]Small!A12&amp;"  "&amp;[3]Small!B12</f>
        <v>LT-0185  Kwilu</v>
      </c>
      <c r="E6" t="str">
        <f t="shared" si="2"/>
        <v>HLT0185</v>
      </c>
      <c r="F6" t="str">
        <f t="shared" si="3"/>
        <v>D1HLT0185</v>
      </c>
      <c r="G6" t="str">
        <f>C6&amp;[1]FUEL!$C$4</f>
        <v>D1HY00</v>
      </c>
      <c r="H6" t="str">
        <f>C6&amp;[1]FUEL!$C$11</f>
        <v>D1ELC01</v>
      </c>
      <c r="I6" s="1" t="s">
        <v>217</v>
      </c>
      <c r="J6" s="1">
        <f t="shared" si="4"/>
        <v>1.7999999999999999E-2</v>
      </c>
      <c r="K6">
        <v>30</v>
      </c>
      <c r="L6">
        <v>31.536000000000001</v>
      </c>
      <c r="M6">
        <v>2023</v>
      </c>
      <c r="N6">
        <v>1</v>
      </c>
      <c r="O6">
        <v>0.5</v>
      </c>
      <c r="P6">
        <f>Scenarios!$G$7</f>
        <v>0.56000000000000005</v>
      </c>
      <c r="Q6">
        <f>Scenarios!$H$7</f>
        <v>1</v>
      </c>
      <c r="R6">
        <f>ROUND([3]Small!L12/1000,4)</f>
        <v>1.7999999999999999E-2</v>
      </c>
      <c r="S6">
        <f t="shared" si="5"/>
        <v>183.72898544217031</v>
      </c>
      <c r="T6">
        <f>ROUND([3]Small!X12/1000,0)</f>
        <v>6876</v>
      </c>
      <c r="U6">
        <f t="shared" ref="U6:Y6" si="11">T6</f>
        <v>6876</v>
      </c>
      <c r="V6">
        <f t="shared" si="11"/>
        <v>6876</v>
      </c>
      <c r="W6">
        <f t="shared" si="11"/>
        <v>6876</v>
      </c>
      <c r="X6">
        <f t="shared" si="11"/>
        <v>6876</v>
      </c>
      <c r="Y6">
        <f t="shared" si="11"/>
        <v>6876</v>
      </c>
      <c r="Z6">
        <f t="shared" si="7"/>
        <v>171.9</v>
      </c>
      <c r="AA6">
        <f t="shared" ref="AA6:AE6" si="12">Z6</f>
        <v>171.9</v>
      </c>
      <c r="AB6">
        <f t="shared" si="12"/>
        <v>171.9</v>
      </c>
      <c r="AC6">
        <f t="shared" si="12"/>
        <v>171.9</v>
      </c>
      <c r="AD6">
        <f t="shared" si="12"/>
        <v>171.9</v>
      </c>
      <c r="AE6">
        <f t="shared" si="12"/>
        <v>171.9</v>
      </c>
    </row>
    <row r="7" spans="1:58" ht="17" customHeight="1" x14ac:dyDescent="0.2">
      <c r="C7" s="10" t="str">
        <f>IF([3]Small!Q13="West","D1",IF([3]Small!Q13="East","D3",IF([3]Small!Q13="South","D2","D4")))</f>
        <v>D3</v>
      </c>
      <c r="D7" s="4" t="str">
        <f>[3]Small!A13&amp;"  "&amp;[3]Small!B13</f>
        <v>SF-0421  SF-0421</v>
      </c>
      <c r="E7" t="str">
        <f t="shared" si="2"/>
        <v>HSF0421</v>
      </c>
      <c r="F7" t="str">
        <f t="shared" si="3"/>
        <v>D3HSF0421</v>
      </c>
      <c r="G7" t="str">
        <f>C7&amp;[1]FUEL!$C$4</f>
        <v>D3HY00</v>
      </c>
      <c r="H7" t="str">
        <f>C7&amp;[1]FUEL!$C$11</f>
        <v>D3ELC01</v>
      </c>
      <c r="I7" s="1" t="s">
        <v>217</v>
      </c>
      <c r="J7" s="1">
        <f t="shared" si="4"/>
        <v>0.01</v>
      </c>
      <c r="K7">
        <v>30</v>
      </c>
      <c r="L7">
        <v>31.536000000000001</v>
      </c>
      <c r="M7">
        <v>2023</v>
      </c>
      <c r="N7">
        <v>1</v>
      </c>
      <c r="O7">
        <v>0.5</v>
      </c>
      <c r="P7">
        <f>Scenarios!$G$7</f>
        <v>0.56000000000000005</v>
      </c>
      <c r="Q7">
        <f>Scenarios!$H$7</f>
        <v>1</v>
      </c>
      <c r="R7">
        <f>ROUND([3]Small!L13/1000,4)</f>
        <v>0.01</v>
      </c>
      <c r="S7">
        <f t="shared" si="5"/>
        <v>150.35529393296861</v>
      </c>
      <c r="T7">
        <f>ROUND([3]Small!X13/1000,0)</f>
        <v>5627</v>
      </c>
      <c r="U7">
        <f t="shared" ref="U7:Y7" si="13">T7</f>
        <v>5627</v>
      </c>
      <c r="V7">
        <f t="shared" si="13"/>
        <v>5627</v>
      </c>
      <c r="W7">
        <f t="shared" si="13"/>
        <v>5627</v>
      </c>
      <c r="X7">
        <f t="shared" si="13"/>
        <v>5627</v>
      </c>
      <c r="Y7">
        <f t="shared" si="13"/>
        <v>5627</v>
      </c>
      <c r="Z7">
        <f t="shared" si="7"/>
        <v>140.67500000000001</v>
      </c>
      <c r="AA7">
        <f t="shared" ref="AA7:AE7" si="14">Z7</f>
        <v>140.67500000000001</v>
      </c>
      <c r="AB7">
        <f t="shared" si="14"/>
        <v>140.67500000000001</v>
      </c>
      <c r="AC7">
        <f t="shared" si="14"/>
        <v>140.67500000000001</v>
      </c>
      <c r="AD7">
        <f t="shared" si="14"/>
        <v>140.67500000000001</v>
      </c>
      <c r="AE7">
        <f t="shared" si="14"/>
        <v>140.67500000000001</v>
      </c>
    </row>
    <row r="8" spans="1:58" x14ac:dyDescent="0.2">
      <c r="C8" s="10" t="str">
        <f>IF([3]Small!Q14="West","D1",IF([3]Small!Q14="East","D3",IF([3]Small!Q14="South","D2","D4")))</f>
        <v>D3</v>
      </c>
      <c r="D8" s="4" t="str">
        <f>[3]Small!A14&amp;"  "&amp;[3]Small!B14</f>
        <v>SF-0540  SF-0540</v>
      </c>
      <c r="E8" t="str">
        <f t="shared" si="2"/>
        <v>HSF0540</v>
      </c>
      <c r="F8" t="str">
        <f t="shared" si="3"/>
        <v>D3HSF0540</v>
      </c>
      <c r="G8" t="str">
        <f>C8&amp;[1]FUEL!$C$4</f>
        <v>D3HY00</v>
      </c>
      <c r="H8" t="str">
        <f>C8&amp;[1]FUEL!$C$11</f>
        <v>D3ELC01</v>
      </c>
      <c r="I8" s="1" t="s">
        <v>217</v>
      </c>
      <c r="J8" s="1">
        <f t="shared" si="4"/>
        <v>7.1999999999999998E-3</v>
      </c>
      <c r="K8">
        <v>30</v>
      </c>
      <c r="L8">
        <v>31.536000000000001</v>
      </c>
      <c r="M8">
        <v>2023</v>
      </c>
      <c r="N8">
        <v>1</v>
      </c>
      <c r="O8">
        <v>0.5</v>
      </c>
      <c r="P8">
        <f>Scenarios!$G$7</f>
        <v>0.56000000000000005</v>
      </c>
      <c r="Q8">
        <f>Scenarios!$H$7</f>
        <v>1</v>
      </c>
      <c r="R8">
        <f>ROUND([3]Small!L14/1000,4)</f>
        <v>7.1999999999999998E-3</v>
      </c>
      <c r="S8">
        <f t="shared" si="5"/>
        <v>153.0006065505915</v>
      </c>
      <c r="T8">
        <f>ROUND([3]Small!X14/1000,0)</f>
        <v>5726</v>
      </c>
      <c r="U8">
        <f t="shared" ref="U8:Y8" si="15">T8</f>
        <v>5726</v>
      </c>
      <c r="V8">
        <f t="shared" si="15"/>
        <v>5726</v>
      </c>
      <c r="W8">
        <f t="shared" si="15"/>
        <v>5726</v>
      </c>
      <c r="X8">
        <f t="shared" si="15"/>
        <v>5726</v>
      </c>
      <c r="Y8">
        <f t="shared" si="15"/>
        <v>5726</v>
      </c>
      <c r="Z8">
        <f t="shared" si="7"/>
        <v>143.15</v>
      </c>
      <c r="AA8">
        <f t="shared" ref="AA8:AE8" si="16">Z8</f>
        <v>143.15</v>
      </c>
      <c r="AB8">
        <f t="shared" si="16"/>
        <v>143.15</v>
      </c>
      <c r="AC8">
        <f t="shared" si="16"/>
        <v>143.15</v>
      </c>
      <c r="AD8">
        <f t="shared" si="16"/>
        <v>143.15</v>
      </c>
      <c r="AE8">
        <f t="shared" si="16"/>
        <v>143.15</v>
      </c>
    </row>
    <row r="9" spans="1:58" x14ac:dyDescent="0.2">
      <c r="C9" s="10" t="str">
        <f>IF([3]Small!Q15="West","D1",IF([3]Small!Q15="East","D3",IF([3]Small!Q15="South","D2","D4")))</f>
        <v>D1</v>
      </c>
      <c r="D9" s="4" t="str">
        <f>[3]Small!A15&amp;"  "&amp;[3]Small!B15</f>
        <v>SF-0689  SF-0689</v>
      </c>
      <c r="E9" t="str">
        <f t="shared" si="2"/>
        <v>HSF0689</v>
      </c>
      <c r="F9" t="str">
        <f t="shared" si="3"/>
        <v>D1HSF0689</v>
      </c>
      <c r="G9" t="str">
        <f>C9&amp;[1]FUEL!$C$4</f>
        <v>D1HY00</v>
      </c>
      <c r="H9" t="str">
        <f>C9&amp;[1]FUEL!$C$11</f>
        <v>D1ELC01</v>
      </c>
      <c r="I9" s="1" t="s">
        <v>217</v>
      </c>
      <c r="J9" s="1">
        <f t="shared" si="4"/>
        <v>1.32E-2</v>
      </c>
      <c r="K9">
        <v>30</v>
      </c>
      <c r="L9">
        <v>31.536000000000001</v>
      </c>
      <c r="M9">
        <v>2023</v>
      </c>
      <c r="N9">
        <v>1</v>
      </c>
      <c r="O9">
        <v>0.5</v>
      </c>
      <c r="P9">
        <f>Scenarios!$G$7</f>
        <v>0.56000000000000005</v>
      </c>
      <c r="Q9">
        <f>Scenarios!$H$7</f>
        <v>1</v>
      </c>
      <c r="R9">
        <f>ROUND([3]Small!L15/1000,4)</f>
        <v>1.32E-2</v>
      </c>
      <c r="S9">
        <f t="shared" si="5"/>
        <v>182.71361292227465</v>
      </c>
      <c r="T9">
        <f>ROUND([3]Small!X15/1000,0)</f>
        <v>6838</v>
      </c>
      <c r="U9">
        <f t="shared" ref="U9:Y9" si="17">T9</f>
        <v>6838</v>
      </c>
      <c r="V9">
        <f t="shared" si="17"/>
        <v>6838</v>
      </c>
      <c r="W9">
        <f t="shared" si="17"/>
        <v>6838</v>
      </c>
      <c r="X9">
        <f t="shared" si="17"/>
        <v>6838</v>
      </c>
      <c r="Y9">
        <f t="shared" si="17"/>
        <v>6838</v>
      </c>
      <c r="Z9">
        <f t="shared" si="7"/>
        <v>170.95</v>
      </c>
      <c r="AA9">
        <f t="shared" ref="AA9:AE9" si="18">Z9</f>
        <v>170.95</v>
      </c>
      <c r="AB9">
        <f t="shared" si="18"/>
        <v>170.95</v>
      </c>
      <c r="AC9">
        <f t="shared" si="18"/>
        <v>170.95</v>
      </c>
      <c r="AD9">
        <f t="shared" si="18"/>
        <v>170.95</v>
      </c>
      <c r="AE9">
        <f t="shared" si="18"/>
        <v>170.95</v>
      </c>
    </row>
    <row r="10" spans="1:58" x14ac:dyDescent="0.2">
      <c r="C10" s="10" t="str">
        <f>IF([3]Small!Q16="West","D1",IF([3]Small!Q16="East","D3",IF([3]Small!Q16="South","D2","D4")))</f>
        <v>D1</v>
      </c>
      <c r="D10" s="4" t="str">
        <f>[3]Small!A16&amp;"  "&amp;[3]Small!B16</f>
        <v>SF-0705  SF-0705</v>
      </c>
      <c r="E10" t="str">
        <f t="shared" si="2"/>
        <v>HSF0705</v>
      </c>
      <c r="F10" t="str">
        <f t="shared" si="3"/>
        <v>D1HSF0705</v>
      </c>
      <c r="G10" t="str">
        <f>C10&amp;[1]FUEL!$C$4</f>
        <v>D1HY00</v>
      </c>
      <c r="H10" t="str">
        <f>C10&amp;[1]FUEL!$C$11</f>
        <v>D1ELC01</v>
      </c>
      <c r="I10" s="1" t="s">
        <v>217</v>
      </c>
      <c r="J10" s="1">
        <f t="shared" si="4"/>
        <v>1.2699999999999999E-2</v>
      </c>
      <c r="K10">
        <v>30</v>
      </c>
      <c r="L10">
        <v>31.536000000000001</v>
      </c>
      <c r="M10">
        <v>2023</v>
      </c>
      <c r="N10">
        <v>1</v>
      </c>
      <c r="O10">
        <v>0.5</v>
      </c>
      <c r="P10">
        <f>Scenarios!$G$7</f>
        <v>0.56000000000000005</v>
      </c>
      <c r="Q10">
        <f>Scenarios!$H$7</f>
        <v>1</v>
      </c>
      <c r="R10">
        <f>ROUND([3]Small!L16/1000,4)</f>
        <v>1.2699999999999999E-2</v>
      </c>
      <c r="S10">
        <f t="shared" si="5"/>
        <v>168.2311943490262</v>
      </c>
      <c r="T10">
        <f>ROUND([3]Small!X16/1000,0)</f>
        <v>6296</v>
      </c>
      <c r="U10">
        <f t="shared" ref="U10:Y10" si="19">T10</f>
        <v>6296</v>
      </c>
      <c r="V10">
        <f t="shared" si="19"/>
        <v>6296</v>
      </c>
      <c r="W10">
        <f t="shared" si="19"/>
        <v>6296</v>
      </c>
      <c r="X10">
        <f t="shared" si="19"/>
        <v>6296</v>
      </c>
      <c r="Y10">
        <f t="shared" si="19"/>
        <v>6296</v>
      </c>
      <c r="Z10">
        <f t="shared" si="7"/>
        <v>157.4</v>
      </c>
      <c r="AA10">
        <f t="shared" ref="AA10:AE10" si="20">Z10</f>
        <v>157.4</v>
      </c>
      <c r="AB10">
        <f t="shared" si="20"/>
        <v>157.4</v>
      </c>
      <c r="AC10">
        <f t="shared" si="20"/>
        <v>157.4</v>
      </c>
      <c r="AD10">
        <f t="shared" si="20"/>
        <v>157.4</v>
      </c>
      <c r="AE10">
        <f t="shared" si="20"/>
        <v>157.4</v>
      </c>
    </row>
    <row r="11" spans="1:58" x14ac:dyDescent="0.2">
      <c r="C11" s="10" t="str">
        <f>IF([3]Small!Q17="West","D1",IF([3]Small!Q17="East","D3",IF([3]Small!Q17="South","D2","D4")))</f>
        <v>D1</v>
      </c>
      <c r="D11" s="4" t="str">
        <f>[3]Small!A17&amp;"  "&amp;[3]Small!B17</f>
        <v>SF-0741  SF-0741</v>
      </c>
      <c r="E11" t="str">
        <f t="shared" si="2"/>
        <v>HSF0741</v>
      </c>
      <c r="F11" t="str">
        <f t="shared" si="3"/>
        <v>D1HSF0741</v>
      </c>
      <c r="G11" t="str">
        <f>C11&amp;[1]FUEL!$C$4</f>
        <v>D1HY00</v>
      </c>
      <c r="H11" t="str">
        <f>C11&amp;[1]FUEL!$C$11</f>
        <v>D1ELC01</v>
      </c>
      <c r="I11" s="1" t="s">
        <v>217</v>
      </c>
      <c r="J11" s="1">
        <f t="shared" si="4"/>
        <v>1.5299999999999999E-2</v>
      </c>
      <c r="K11">
        <v>30</v>
      </c>
      <c r="L11">
        <v>31.536000000000001</v>
      </c>
      <c r="M11">
        <v>2023</v>
      </c>
      <c r="N11">
        <v>1</v>
      </c>
      <c r="O11">
        <v>0.5</v>
      </c>
      <c r="P11">
        <f>Scenarios!$G$7</f>
        <v>0.56000000000000005</v>
      </c>
      <c r="Q11">
        <f>Scenarios!$H$7</f>
        <v>1</v>
      </c>
      <c r="R11">
        <f>ROUND([3]Small!L17/1000,4)</f>
        <v>1.5299999999999999E-2</v>
      </c>
      <c r="S11">
        <f t="shared" si="5"/>
        <v>165.29195810722302</v>
      </c>
      <c r="T11">
        <f>ROUND([3]Small!X17/1000,0)</f>
        <v>6186</v>
      </c>
      <c r="U11">
        <f t="shared" ref="U11:Y11" si="21">T11</f>
        <v>6186</v>
      </c>
      <c r="V11">
        <f t="shared" si="21"/>
        <v>6186</v>
      </c>
      <c r="W11">
        <f t="shared" si="21"/>
        <v>6186</v>
      </c>
      <c r="X11">
        <f t="shared" si="21"/>
        <v>6186</v>
      </c>
      <c r="Y11">
        <f t="shared" si="21"/>
        <v>6186</v>
      </c>
      <c r="Z11">
        <f t="shared" si="7"/>
        <v>154.65</v>
      </c>
      <c r="AA11">
        <f t="shared" ref="AA11:AE11" si="22">Z11</f>
        <v>154.65</v>
      </c>
      <c r="AB11">
        <f t="shared" si="22"/>
        <v>154.65</v>
      </c>
      <c r="AC11">
        <f t="shared" si="22"/>
        <v>154.65</v>
      </c>
      <c r="AD11">
        <f t="shared" si="22"/>
        <v>154.65</v>
      </c>
      <c r="AE11">
        <f t="shared" si="22"/>
        <v>154.65</v>
      </c>
    </row>
    <row r="12" spans="1:58" x14ac:dyDescent="0.2">
      <c r="C12" s="10" t="str">
        <f>IF([3]Small!Q18="West","D1",IF([3]Small!Q18="East","D3",IF([3]Small!Q18="South","D2","D4")))</f>
        <v>D3</v>
      </c>
      <c r="D12" s="4" t="str">
        <f>[3]Small!A18&amp;"  "&amp;[3]Small!B18</f>
        <v>SF-0759  SF-0759</v>
      </c>
      <c r="E12" t="str">
        <f t="shared" si="2"/>
        <v>HSF0759</v>
      </c>
      <c r="F12" t="str">
        <f t="shared" si="3"/>
        <v>D3HSF0759</v>
      </c>
      <c r="G12" t="str">
        <f>C12&amp;[1]FUEL!$C$4</f>
        <v>D3HY00</v>
      </c>
      <c r="H12" t="str">
        <f>C12&amp;[1]FUEL!$C$11</f>
        <v>D3ELC01</v>
      </c>
      <c r="I12" s="1" t="s">
        <v>217</v>
      </c>
      <c r="J12" s="1">
        <f t="shared" si="4"/>
        <v>1.49E-2</v>
      </c>
      <c r="K12">
        <v>30</v>
      </c>
      <c r="L12">
        <v>31.536000000000001</v>
      </c>
      <c r="M12">
        <v>2023</v>
      </c>
      <c r="N12">
        <v>1</v>
      </c>
      <c r="O12">
        <v>0.5</v>
      </c>
      <c r="P12">
        <f>Scenarios!$G$7</f>
        <v>0.56000000000000005</v>
      </c>
      <c r="Q12">
        <f>Scenarios!$H$7</f>
        <v>1</v>
      </c>
      <c r="R12">
        <f>ROUND([3]Small!L18/1000,4)</f>
        <v>1.49E-2</v>
      </c>
      <c r="S12">
        <f t="shared" si="5"/>
        <v>129.16607266251472</v>
      </c>
      <c r="T12">
        <f>ROUND([3]Small!X18/1000,0)</f>
        <v>4834</v>
      </c>
      <c r="U12">
        <f t="shared" ref="U12:Y12" si="23">T12</f>
        <v>4834</v>
      </c>
      <c r="V12">
        <f t="shared" si="23"/>
        <v>4834</v>
      </c>
      <c r="W12">
        <f t="shared" si="23"/>
        <v>4834</v>
      </c>
      <c r="X12">
        <f t="shared" si="23"/>
        <v>4834</v>
      </c>
      <c r="Y12">
        <f t="shared" si="23"/>
        <v>4834</v>
      </c>
      <c r="Z12">
        <f t="shared" si="7"/>
        <v>120.85</v>
      </c>
      <c r="AA12">
        <f t="shared" ref="AA12:AE12" si="24">Z12</f>
        <v>120.85</v>
      </c>
      <c r="AB12">
        <f t="shared" si="24"/>
        <v>120.85</v>
      </c>
      <c r="AC12">
        <f t="shared" si="24"/>
        <v>120.85</v>
      </c>
      <c r="AD12">
        <f t="shared" si="24"/>
        <v>120.85</v>
      </c>
      <c r="AE12">
        <f t="shared" si="24"/>
        <v>120.85</v>
      </c>
    </row>
    <row r="13" spans="1:58" x14ac:dyDescent="0.2">
      <c r="C13" s="10" t="str">
        <f>IF([3]Small!Q19="West","D1",IF([3]Small!Q19="East","D3",IF([3]Small!Q19="South","D2","D4")))</f>
        <v>D3</v>
      </c>
      <c r="D13" s="4" t="str">
        <f>[3]Small!A19&amp;"  "&amp;[3]Small!B19</f>
        <v>SF-0763  SF-0763</v>
      </c>
      <c r="E13" t="str">
        <f t="shared" si="2"/>
        <v>HSF0763</v>
      </c>
      <c r="F13" t="str">
        <f t="shared" si="3"/>
        <v>D3HSF0763</v>
      </c>
      <c r="G13" t="str">
        <f>C13&amp;[1]FUEL!$C$4</f>
        <v>D3HY00</v>
      </c>
      <c r="H13" t="str">
        <f>C13&amp;[1]FUEL!$C$11</f>
        <v>D3ELC01</v>
      </c>
      <c r="I13" s="1" t="s">
        <v>217</v>
      </c>
      <c r="J13" s="1">
        <f t="shared" si="4"/>
        <v>1.0500000000000001E-2</v>
      </c>
      <c r="K13">
        <v>30</v>
      </c>
      <c r="L13">
        <v>31.536000000000001</v>
      </c>
      <c r="M13">
        <v>2023</v>
      </c>
      <c r="N13">
        <v>1</v>
      </c>
      <c r="O13">
        <v>0.5</v>
      </c>
      <c r="P13">
        <f>Scenarios!$G$7</f>
        <v>0.56000000000000005</v>
      </c>
      <c r="Q13">
        <f>Scenarios!$H$7</f>
        <v>1</v>
      </c>
      <c r="R13">
        <f>ROUND([3]Small!L19/1000,4)</f>
        <v>1.0500000000000001E-2</v>
      </c>
      <c r="S13">
        <f t="shared" si="5"/>
        <v>163.39481471478643</v>
      </c>
      <c r="T13">
        <f>ROUND([3]Small!X19/1000,0)</f>
        <v>6115</v>
      </c>
      <c r="U13">
        <f t="shared" ref="U13:Y13" si="25">T13</f>
        <v>6115</v>
      </c>
      <c r="V13">
        <f t="shared" si="25"/>
        <v>6115</v>
      </c>
      <c r="W13">
        <f t="shared" si="25"/>
        <v>6115</v>
      </c>
      <c r="X13">
        <f t="shared" si="25"/>
        <v>6115</v>
      </c>
      <c r="Y13">
        <f t="shared" si="25"/>
        <v>6115</v>
      </c>
      <c r="Z13">
        <f t="shared" si="7"/>
        <v>152.875</v>
      </c>
      <c r="AA13">
        <f t="shared" ref="AA13:AE13" si="26">Z13</f>
        <v>152.875</v>
      </c>
      <c r="AB13">
        <f t="shared" si="26"/>
        <v>152.875</v>
      </c>
      <c r="AC13">
        <f t="shared" si="26"/>
        <v>152.875</v>
      </c>
      <c r="AD13">
        <f t="shared" si="26"/>
        <v>152.875</v>
      </c>
      <c r="AE13">
        <f t="shared" si="26"/>
        <v>152.875</v>
      </c>
    </row>
    <row r="14" spans="1:58" x14ac:dyDescent="0.2">
      <c r="C14" s="10" t="str">
        <f>IF([3]Small!Q20="West","D1",IF([3]Small!Q20="East","D3",IF([3]Small!Q20="South","D2","D4")))</f>
        <v>D2</v>
      </c>
      <c r="D14" s="4" t="str">
        <f>[3]Small!A20&amp;"  "&amp;[3]Small!B20</f>
        <v>SF-0779  SF-0779</v>
      </c>
      <c r="E14" t="str">
        <f t="shared" si="2"/>
        <v>HSF0779</v>
      </c>
      <c r="F14" t="str">
        <f t="shared" si="3"/>
        <v>D2HSF0779</v>
      </c>
      <c r="G14" t="str">
        <f>C14&amp;[1]FUEL!$C$4</f>
        <v>D2HY00</v>
      </c>
      <c r="H14" t="str">
        <f>C14&amp;[1]FUEL!$C$11</f>
        <v>D2ELC01</v>
      </c>
      <c r="I14" s="1" t="s">
        <v>217</v>
      </c>
      <c r="J14" s="1">
        <f t="shared" si="4"/>
        <v>9.4000000000000004E-3</v>
      </c>
      <c r="K14">
        <v>30</v>
      </c>
      <c r="L14">
        <v>31.536000000000001</v>
      </c>
      <c r="M14">
        <v>2023</v>
      </c>
      <c r="N14">
        <v>1</v>
      </c>
      <c r="O14">
        <v>0.5</v>
      </c>
      <c r="P14">
        <f>Scenarios!$G$7</f>
        <v>0.56000000000000005</v>
      </c>
      <c r="Q14">
        <f>Scenarios!$H$7</f>
        <v>1</v>
      </c>
      <c r="R14">
        <f>ROUND([3]Small!L20/1000,4)</f>
        <v>9.4000000000000004E-3</v>
      </c>
      <c r="S14">
        <f t="shared" si="5"/>
        <v>180.81646952983803</v>
      </c>
      <c r="T14">
        <f>ROUND([3]Small!X20/1000,0)</f>
        <v>6767</v>
      </c>
      <c r="U14">
        <f t="shared" ref="U14:Y14" si="27">T14</f>
        <v>6767</v>
      </c>
      <c r="V14">
        <f t="shared" si="27"/>
        <v>6767</v>
      </c>
      <c r="W14">
        <f t="shared" si="27"/>
        <v>6767</v>
      </c>
      <c r="X14">
        <f t="shared" si="27"/>
        <v>6767</v>
      </c>
      <c r="Y14">
        <f t="shared" si="27"/>
        <v>6767</v>
      </c>
      <c r="Z14">
        <f t="shared" si="7"/>
        <v>169.17500000000001</v>
      </c>
      <c r="AA14">
        <f t="shared" ref="AA14:AE14" si="28">Z14</f>
        <v>169.17500000000001</v>
      </c>
      <c r="AB14">
        <f t="shared" si="28"/>
        <v>169.17500000000001</v>
      </c>
      <c r="AC14">
        <f t="shared" si="28"/>
        <v>169.17500000000001</v>
      </c>
      <c r="AD14">
        <f t="shared" si="28"/>
        <v>169.17500000000001</v>
      </c>
      <c r="AE14">
        <f t="shared" si="28"/>
        <v>169.17500000000001</v>
      </c>
    </row>
    <row r="15" spans="1:58" x14ac:dyDescent="0.2">
      <c r="C15" s="10" t="str">
        <f>IF([3]Small!Q21="West","D1",IF([3]Small!Q21="East","D3",IF([3]Small!Q21="South","D2","D4")))</f>
        <v>D3</v>
      </c>
      <c r="D15" s="4" t="str">
        <f>[3]Small!A21&amp;"  "&amp;[3]Small!B21</f>
        <v>SF-0856  SF-0856</v>
      </c>
      <c r="E15" t="str">
        <f t="shared" si="2"/>
        <v>HSF0856</v>
      </c>
      <c r="F15" t="str">
        <f t="shared" si="3"/>
        <v>D3HSF0856</v>
      </c>
      <c r="G15" t="str">
        <f>C15&amp;[1]FUEL!$C$4</f>
        <v>D3HY00</v>
      </c>
      <c r="H15" t="str">
        <f>C15&amp;[1]FUEL!$C$11</f>
        <v>D3ELC01</v>
      </c>
      <c r="I15" s="1" t="s">
        <v>217</v>
      </c>
      <c r="J15" s="1">
        <f t="shared" si="4"/>
        <v>1.9199999999999998E-2</v>
      </c>
      <c r="K15">
        <v>30</v>
      </c>
      <c r="L15">
        <v>31.536000000000001</v>
      </c>
      <c r="M15">
        <v>2023</v>
      </c>
      <c r="N15">
        <v>1</v>
      </c>
      <c r="O15">
        <v>0.5</v>
      </c>
      <c r="P15">
        <f>Scenarios!$G$7</f>
        <v>0.56000000000000005</v>
      </c>
      <c r="Q15">
        <f>Scenarios!$H$7</f>
        <v>1</v>
      </c>
      <c r="R15">
        <f>ROUND([3]Small!L21/1000,4)</f>
        <v>1.9199999999999998E-2</v>
      </c>
      <c r="S15">
        <f t="shared" si="5"/>
        <v>170.23521905934658</v>
      </c>
      <c r="T15">
        <f>ROUND([3]Small!X21/1000,0)</f>
        <v>6371</v>
      </c>
      <c r="U15">
        <f t="shared" ref="U15:Y15" si="29">T15</f>
        <v>6371</v>
      </c>
      <c r="V15">
        <f t="shared" si="29"/>
        <v>6371</v>
      </c>
      <c r="W15">
        <f t="shared" si="29"/>
        <v>6371</v>
      </c>
      <c r="X15">
        <f t="shared" si="29"/>
        <v>6371</v>
      </c>
      <c r="Y15">
        <f t="shared" si="29"/>
        <v>6371</v>
      </c>
      <c r="Z15">
        <f t="shared" si="7"/>
        <v>159.27500000000001</v>
      </c>
      <c r="AA15">
        <f t="shared" ref="AA15:AE15" si="30">Z15</f>
        <v>159.27500000000001</v>
      </c>
      <c r="AB15">
        <f t="shared" si="30"/>
        <v>159.27500000000001</v>
      </c>
      <c r="AC15">
        <f t="shared" si="30"/>
        <v>159.27500000000001</v>
      </c>
      <c r="AD15">
        <f t="shared" si="30"/>
        <v>159.27500000000001</v>
      </c>
      <c r="AE15">
        <f t="shared" si="30"/>
        <v>159.27500000000001</v>
      </c>
    </row>
    <row r="16" spans="1:58" x14ac:dyDescent="0.2">
      <c r="C16" s="10" t="str">
        <f>IF([3]Small!Q22="West","D1",IF([3]Small!Q22="East","D3",IF([3]Small!Q22="South","D2","D4")))</f>
        <v>D1</v>
      </c>
      <c r="D16" s="4" t="str">
        <f>[3]Small!A22&amp;"  "&amp;[3]Small!B22</f>
        <v>SF-0878  SF-0878</v>
      </c>
      <c r="E16" t="str">
        <f t="shared" si="2"/>
        <v>HSF0878</v>
      </c>
      <c r="F16" t="str">
        <f t="shared" si="3"/>
        <v>D1HSF0878</v>
      </c>
      <c r="G16" t="str">
        <f>C16&amp;[1]FUEL!$C$4</f>
        <v>D1HY00</v>
      </c>
      <c r="H16" t="str">
        <f>C16&amp;[1]FUEL!$C$11</f>
        <v>D1ELC01</v>
      </c>
      <c r="I16" s="1" t="s">
        <v>217</v>
      </c>
      <c r="J16" s="1">
        <f t="shared" si="4"/>
        <v>0.01</v>
      </c>
      <c r="K16">
        <v>30</v>
      </c>
      <c r="L16">
        <v>31.536000000000001</v>
      </c>
      <c r="M16">
        <v>2023</v>
      </c>
      <c r="N16">
        <v>1</v>
      </c>
      <c r="O16">
        <v>0.5</v>
      </c>
      <c r="P16">
        <f>Scenarios!$G$7</f>
        <v>0.56000000000000005</v>
      </c>
      <c r="Q16">
        <f>Scenarios!$H$7</f>
        <v>1</v>
      </c>
      <c r="R16">
        <f>ROUND([3]Small!L22/1000,4)</f>
        <v>0.01</v>
      </c>
      <c r="S16">
        <f t="shared" si="5"/>
        <v>173.33477727797535</v>
      </c>
      <c r="T16">
        <f>ROUND([3]Small!X22/1000,0)</f>
        <v>6487</v>
      </c>
      <c r="U16">
        <f t="shared" ref="U16:Y16" si="31">T16</f>
        <v>6487</v>
      </c>
      <c r="V16">
        <f t="shared" si="31"/>
        <v>6487</v>
      </c>
      <c r="W16">
        <f t="shared" si="31"/>
        <v>6487</v>
      </c>
      <c r="X16">
        <f t="shared" si="31"/>
        <v>6487</v>
      </c>
      <c r="Y16">
        <f t="shared" si="31"/>
        <v>6487</v>
      </c>
      <c r="Z16">
        <f t="shared" si="7"/>
        <v>162.17500000000001</v>
      </c>
      <c r="AA16">
        <f t="shared" ref="AA16:AE16" si="32">Z16</f>
        <v>162.17500000000001</v>
      </c>
      <c r="AB16">
        <f t="shared" si="32"/>
        <v>162.17500000000001</v>
      </c>
      <c r="AC16">
        <f t="shared" si="32"/>
        <v>162.17500000000001</v>
      </c>
      <c r="AD16">
        <f t="shared" si="32"/>
        <v>162.17500000000001</v>
      </c>
      <c r="AE16">
        <f t="shared" si="32"/>
        <v>162.17500000000001</v>
      </c>
    </row>
    <row r="17" spans="1:31" x14ac:dyDescent="0.2">
      <c r="C17" s="10" t="str">
        <f>IF([3]Small!Q23="West","D1",IF([3]Small!Q23="East","D3",IF([3]Small!Q23="South","D2","D4")))</f>
        <v>D2</v>
      </c>
      <c r="D17" s="4" t="str">
        <f>[3]Small!A23&amp;"  "&amp;[3]Small!B23</f>
        <v>SF-0893  SF-0893</v>
      </c>
      <c r="E17" t="str">
        <f t="shared" si="2"/>
        <v>HSF0893</v>
      </c>
      <c r="F17" t="str">
        <f t="shared" si="3"/>
        <v>D2HSF0893</v>
      </c>
      <c r="G17" t="str">
        <f>C17&amp;[1]FUEL!$C$4</f>
        <v>D2HY00</v>
      </c>
      <c r="H17" t="str">
        <f>C17&amp;[1]FUEL!$C$11</f>
        <v>D2ELC01</v>
      </c>
      <c r="I17" s="1" t="s">
        <v>217</v>
      </c>
      <c r="J17" s="1">
        <f t="shared" si="4"/>
        <v>1.15E-2</v>
      </c>
      <c r="K17">
        <v>30</v>
      </c>
      <c r="L17">
        <v>31.536000000000001</v>
      </c>
      <c r="M17">
        <v>2023</v>
      </c>
      <c r="N17">
        <v>1</v>
      </c>
      <c r="O17">
        <v>0.5</v>
      </c>
      <c r="P17">
        <f>Scenarios!$G$7</f>
        <v>0.56000000000000005</v>
      </c>
      <c r="Q17">
        <f>Scenarios!$H$7</f>
        <v>1</v>
      </c>
      <c r="R17">
        <f>ROUND([3]Small!L23/1000,4)</f>
        <v>1.15E-2</v>
      </c>
      <c r="S17">
        <f t="shared" si="5"/>
        <v>178.73228383110489</v>
      </c>
      <c r="T17">
        <f>ROUND([3]Small!X23/1000,0)</f>
        <v>6689</v>
      </c>
      <c r="U17">
        <f t="shared" ref="U17:Y17" si="33">T17</f>
        <v>6689</v>
      </c>
      <c r="V17">
        <f t="shared" si="33"/>
        <v>6689</v>
      </c>
      <c r="W17">
        <f t="shared" si="33"/>
        <v>6689</v>
      </c>
      <c r="X17">
        <f t="shared" si="33"/>
        <v>6689</v>
      </c>
      <c r="Y17">
        <f t="shared" si="33"/>
        <v>6689</v>
      </c>
      <c r="Z17">
        <f t="shared" si="7"/>
        <v>167.22499999999999</v>
      </c>
      <c r="AA17">
        <f t="shared" ref="AA17:AE17" si="34">Z17</f>
        <v>167.22499999999999</v>
      </c>
      <c r="AB17">
        <f t="shared" si="34"/>
        <v>167.22499999999999</v>
      </c>
      <c r="AC17">
        <f t="shared" si="34"/>
        <v>167.22499999999999</v>
      </c>
      <c r="AD17">
        <f t="shared" si="34"/>
        <v>167.22499999999999</v>
      </c>
      <c r="AE17">
        <f t="shared" si="34"/>
        <v>167.22499999999999</v>
      </c>
    </row>
    <row r="18" spans="1:31" x14ac:dyDescent="0.2">
      <c r="C18" s="10" t="str">
        <f>IF([3]Small!Q24="West","D1",IF([3]Small!Q24="East","D3",IF([3]Small!Q24="South","D2","D4")))</f>
        <v>D2</v>
      </c>
      <c r="D18" s="4" t="str">
        <f>[3]Small!A24&amp;"  "&amp;[3]Small!B24</f>
        <v>SF-0915  SF-0915</v>
      </c>
      <c r="E18" t="str">
        <f t="shared" si="2"/>
        <v>HSF0915</v>
      </c>
      <c r="F18" t="str">
        <f t="shared" si="3"/>
        <v>D2HSF0915</v>
      </c>
      <c r="G18" t="str">
        <f>C18&amp;[1]FUEL!$C$4</f>
        <v>D2HY00</v>
      </c>
      <c r="H18" t="str">
        <f>C18&amp;[1]FUEL!$C$11</f>
        <v>D2ELC01</v>
      </c>
      <c r="I18" s="1" t="s">
        <v>217</v>
      </c>
      <c r="J18" s="1">
        <f t="shared" si="4"/>
        <v>1.3299999999999999E-2</v>
      </c>
      <c r="K18">
        <v>30</v>
      </c>
      <c r="L18">
        <v>31.536000000000001</v>
      </c>
      <c r="M18">
        <v>2023</v>
      </c>
      <c r="N18">
        <v>1</v>
      </c>
      <c r="O18">
        <v>0.5</v>
      </c>
      <c r="P18">
        <f>Scenarios!$G$7</f>
        <v>0.56000000000000005</v>
      </c>
      <c r="Q18">
        <f>Scenarios!$H$7</f>
        <v>1</v>
      </c>
      <c r="R18">
        <f>ROUND([3]Small!L24/1000,4)</f>
        <v>1.3299999999999999E-2</v>
      </c>
      <c r="S18">
        <f t="shared" si="5"/>
        <v>182.95409588751309</v>
      </c>
      <c r="T18">
        <f>ROUND([3]Small!X24/1000,0)</f>
        <v>6847</v>
      </c>
      <c r="U18">
        <f t="shared" ref="U18:Y18" si="35">T18</f>
        <v>6847</v>
      </c>
      <c r="V18">
        <f t="shared" si="35"/>
        <v>6847</v>
      </c>
      <c r="W18">
        <f t="shared" si="35"/>
        <v>6847</v>
      </c>
      <c r="X18">
        <f t="shared" si="35"/>
        <v>6847</v>
      </c>
      <c r="Y18">
        <f t="shared" si="35"/>
        <v>6847</v>
      </c>
      <c r="Z18">
        <f t="shared" si="7"/>
        <v>171.17500000000001</v>
      </c>
      <c r="AA18">
        <f t="shared" ref="AA18:AE18" si="36">Z18</f>
        <v>171.17500000000001</v>
      </c>
      <c r="AB18">
        <f t="shared" si="36"/>
        <v>171.17500000000001</v>
      </c>
      <c r="AC18">
        <f t="shared" si="36"/>
        <v>171.17500000000001</v>
      </c>
      <c r="AD18">
        <f t="shared" si="36"/>
        <v>171.17500000000001</v>
      </c>
      <c r="AE18">
        <f t="shared" si="36"/>
        <v>171.17500000000001</v>
      </c>
    </row>
    <row r="19" spans="1:31" x14ac:dyDescent="0.2">
      <c r="C19" s="10" t="str">
        <f>IF([3]Small!Q25="West","D1",IF([3]Small!Q25="East","D3",IF([3]Small!Q25="South","D2","D4")))</f>
        <v>D3</v>
      </c>
      <c r="D19" s="4" t="str">
        <f>[3]Small!A25&amp;"  "&amp;[3]Small!B25</f>
        <v>SF-0931  SF-0931</v>
      </c>
      <c r="E19" t="str">
        <f t="shared" si="2"/>
        <v>HSF0931</v>
      </c>
      <c r="F19" t="str">
        <f t="shared" si="3"/>
        <v>D3HSF0931</v>
      </c>
      <c r="G19" t="str">
        <f>C19&amp;[1]FUEL!$C$4</f>
        <v>D3HY00</v>
      </c>
      <c r="H19" t="str">
        <f>C19&amp;[1]FUEL!$C$11</f>
        <v>D3ELC01</v>
      </c>
      <c r="I19" s="1" t="s">
        <v>217</v>
      </c>
      <c r="J19" s="1">
        <f t="shared" si="4"/>
        <v>1.6799999999999999E-2</v>
      </c>
      <c r="K19">
        <v>30</v>
      </c>
      <c r="L19">
        <v>31.536000000000001</v>
      </c>
      <c r="M19">
        <v>2023</v>
      </c>
      <c r="N19">
        <v>1</v>
      </c>
      <c r="O19">
        <v>0.5</v>
      </c>
      <c r="P19">
        <f>Scenarios!$G$7</f>
        <v>0.56000000000000005</v>
      </c>
      <c r="Q19">
        <f>Scenarios!$H$7</f>
        <v>1</v>
      </c>
      <c r="R19">
        <f>ROUND([3]Small!L25/1000,4)</f>
        <v>1.6799999999999999E-2</v>
      </c>
      <c r="S19">
        <f t="shared" si="5"/>
        <v>124.94426060610651</v>
      </c>
      <c r="T19">
        <f>ROUND([3]Small!X25/1000,0)</f>
        <v>4676</v>
      </c>
      <c r="U19">
        <f t="shared" ref="U19:Y19" si="37">T19</f>
        <v>4676</v>
      </c>
      <c r="V19">
        <f t="shared" si="37"/>
        <v>4676</v>
      </c>
      <c r="W19">
        <f t="shared" si="37"/>
        <v>4676</v>
      </c>
      <c r="X19">
        <f t="shared" si="37"/>
        <v>4676</v>
      </c>
      <c r="Y19">
        <f t="shared" si="37"/>
        <v>4676</v>
      </c>
      <c r="Z19">
        <f t="shared" si="7"/>
        <v>116.9</v>
      </c>
      <c r="AA19">
        <f t="shared" ref="AA19:AE19" si="38">Z19</f>
        <v>116.9</v>
      </c>
      <c r="AB19">
        <f t="shared" si="38"/>
        <v>116.9</v>
      </c>
      <c r="AC19">
        <f t="shared" si="38"/>
        <v>116.9</v>
      </c>
      <c r="AD19">
        <f t="shared" si="38"/>
        <v>116.9</v>
      </c>
      <c r="AE19">
        <f t="shared" si="38"/>
        <v>116.9</v>
      </c>
    </row>
    <row r="20" spans="1:31" x14ac:dyDescent="0.2">
      <c r="C20" s="10" t="str">
        <f>IF([3]Small!Q26="West","D1",IF([3]Small!Q26="East","D3",IF([3]Small!Q26="South","D2","D4")))</f>
        <v>D3</v>
      </c>
      <c r="D20" s="4" t="str">
        <f>[3]Small!A26&amp;"  "&amp;[3]Small!B26</f>
        <v>SF-0939  SF-0939</v>
      </c>
      <c r="E20" t="str">
        <f t="shared" si="2"/>
        <v>HSF0939</v>
      </c>
      <c r="F20" t="str">
        <f t="shared" si="3"/>
        <v>D3HSF0939</v>
      </c>
      <c r="G20" t="str">
        <f>C20&amp;[1]FUEL!$C$4</f>
        <v>D3HY00</v>
      </c>
      <c r="H20" t="str">
        <f>C20&amp;[1]FUEL!$C$11</f>
        <v>D3ELC01</v>
      </c>
      <c r="I20" s="1" t="s">
        <v>217</v>
      </c>
      <c r="J20" s="1">
        <f t="shared" si="4"/>
        <v>1.77E-2</v>
      </c>
      <c r="K20">
        <v>30</v>
      </c>
      <c r="L20">
        <v>31.536000000000001</v>
      </c>
      <c r="M20">
        <v>2023</v>
      </c>
      <c r="N20">
        <v>1</v>
      </c>
      <c r="O20">
        <v>0.5</v>
      </c>
      <c r="P20">
        <f>Scenarios!$G$7</f>
        <v>0.56000000000000005</v>
      </c>
      <c r="Q20">
        <f>Scenarios!$H$7</f>
        <v>1</v>
      </c>
      <c r="R20">
        <f>ROUND([3]Small!L26/1000,4)</f>
        <v>1.77E-2</v>
      </c>
      <c r="S20">
        <f t="shared" si="5"/>
        <v>158.23779112689533</v>
      </c>
      <c r="T20">
        <f>ROUND([3]Small!X26/1000,0)</f>
        <v>5922</v>
      </c>
      <c r="U20">
        <f t="shared" ref="U20:Y20" si="39">T20</f>
        <v>5922</v>
      </c>
      <c r="V20">
        <f t="shared" si="39"/>
        <v>5922</v>
      </c>
      <c r="W20">
        <f t="shared" si="39"/>
        <v>5922</v>
      </c>
      <c r="X20">
        <f t="shared" si="39"/>
        <v>5922</v>
      </c>
      <c r="Y20">
        <f t="shared" si="39"/>
        <v>5922</v>
      </c>
      <c r="Z20">
        <f t="shared" si="7"/>
        <v>148.05000000000001</v>
      </c>
      <c r="AA20">
        <f t="shared" ref="AA20:AE20" si="40">Z20</f>
        <v>148.05000000000001</v>
      </c>
      <c r="AB20">
        <f t="shared" si="40"/>
        <v>148.05000000000001</v>
      </c>
      <c r="AC20">
        <f t="shared" si="40"/>
        <v>148.05000000000001</v>
      </c>
      <c r="AD20">
        <f t="shared" si="40"/>
        <v>148.05000000000001</v>
      </c>
      <c r="AE20">
        <f t="shared" si="40"/>
        <v>148.05000000000001</v>
      </c>
    </row>
    <row r="21" spans="1:31" x14ac:dyDescent="0.2">
      <c r="A21" t="s">
        <v>424</v>
      </c>
      <c r="C21" s="10"/>
      <c r="D21" s="4"/>
      <c r="I21" s="1"/>
      <c r="J21" s="1"/>
    </row>
    <row r="22" spans="1:31" x14ac:dyDescent="0.2">
      <c r="C22" s="10" t="s">
        <v>84</v>
      </c>
      <c r="D22" s="4" t="s">
        <v>418</v>
      </c>
      <c r="E22" t="s">
        <v>419</v>
      </c>
      <c r="F22" t="str">
        <f t="shared" si="3"/>
        <v>D3HSFO01</v>
      </c>
      <c r="G22" t="str">
        <f>C22&amp;[1]FUEL!$C$4</f>
        <v>D3HY00</v>
      </c>
      <c r="H22" t="str">
        <f>C22&amp;[1]FUEL!$C$11</f>
        <v>D3ELC01</v>
      </c>
      <c r="I22" s="1" t="s">
        <v>217</v>
      </c>
      <c r="J22" s="1">
        <v>5.3999999999999999E-2</v>
      </c>
      <c r="K22">
        <v>30</v>
      </c>
      <c r="L22">
        <v>31.536000000000001</v>
      </c>
      <c r="M22">
        <v>2023</v>
      </c>
      <c r="N22">
        <v>1</v>
      </c>
      <c r="O22">
        <v>0.5</v>
      </c>
      <c r="P22">
        <f>Scenarios!$G$7</f>
        <v>0.56000000000000005</v>
      </c>
      <c r="Q22">
        <f>Scenarios!$H$7</f>
        <v>1</v>
      </c>
      <c r="R22">
        <f>J22</f>
        <v>5.3999999999999999E-2</v>
      </c>
      <c r="S22">
        <f t="shared" si="5"/>
        <v>188.87436050808867</v>
      </c>
      <c r="T22">
        <v>7206</v>
      </c>
      <c r="U22">
        <v>7206</v>
      </c>
      <c r="V22">
        <v>7206</v>
      </c>
      <c r="W22">
        <v>7206</v>
      </c>
      <c r="X22">
        <v>7206</v>
      </c>
      <c r="Y22">
        <v>7206</v>
      </c>
      <c r="Z22">
        <f>T22*2.5/100*0.9</f>
        <v>162.13500000000002</v>
      </c>
      <c r="AA22">
        <f t="shared" ref="AA22:AA24" si="41">U22*2.5/100</f>
        <v>180.15</v>
      </c>
      <c r="AB22">
        <f t="shared" ref="AB22:AB24" si="42">V22*2.5/100</f>
        <v>180.15</v>
      </c>
      <c r="AC22">
        <f t="shared" ref="AC22:AC24" si="43">W22*2.5/100</f>
        <v>180.15</v>
      </c>
      <c r="AD22">
        <f t="shared" ref="AD22:AD24" si="44">X22*2.5/100</f>
        <v>180.15</v>
      </c>
      <c r="AE22">
        <f t="shared" ref="AE22:AE24" si="45">Y22*2.5/100</f>
        <v>180.15</v>
      </c>
    </row>
    <row r="23" spans="1:31" x14ac:dyDescent="0.2">
      <c r="C23" s="10" t="s">
        <v>84</v>
      </c>
      <c r="D23" s="4" t="s">
        <v>420</v>
      </c>
      <c r="E23" t="s">
        <v>421</v>
      </c>
      <c r="F23" t="str">
        <f t="shared" si="3"/>
        <v>D3HSFO02</v>
      </c>
      <c r="G23" t="str">
        <f>C23&amp;[1]FUEL!$C$4</f>
        <v>D3HY00</v>
      </c>
      <c r="H23" t="str">
        <f>C23&amp;[1]FUEL!$C$11</f>
        <v>D3ELC01</v>
      </c>
      <c r="I23" s="1" t="s">
        <v>217</v>
      </c>
      <c r="J23" s="1">
        <v>0.03</v>
      </c>
      <c r="K23">
        <v>30</v>
      </c>
      <c r="L23">
        <v>31.536000000000001</v>
      </c>
      <c r="M23">
        <v>2023</v>
      </c>
      <c r="N23">
        <v>1</v>
      </c>
      <c r="O23">
        <v>0.5</v>
      </c>
      <c r="P23">
        <f>Scenarios!$G$7</f>
        <v>0.56000000000000005</v>
      </c>
      <c r="Q23">
        <f>Scenarios!$H$7</f>
        <v>1</v>
      </c>
      <c r="R23">
        <f t="shared" ref="R23:R24" si="46">J23</f>
        <v>0.03</v>
      </c>
      <c r="S23">
        <f t="shared" si="5"/>
        <v>200.90507539474046</v>
      </c>
      <c r="T23">
        <v>7665</v>
      </c>
      <c r="U23">
        <v>7665</v>
      </c>
      <c r="V23">
        <v>7665</v>
      </c>
      <c r="W23">
        <v>7665</v>
      </c>
      <c r="X23">
        <v>7665</v>
      </c>
      <c r="Y23">
        <v>7665</v>
      </c>
      <c r="Z23">
        <f t="shared" ref="Z23:Z24" si="47">T23*2.5/100*0.9</f>
        <v>172.46250000000001</v>
      </c>
      <c r="AA23">
        <f t="shared" si="41"/>
        <v>191.625</v>
      </c>
      <c r="AB23">
        <f t="shared" si="42"/>
        <v>191.625</v>
      </c>
      <c r="AC23">
        <f t="shared" si="43"/>
        <v>191.625</v>
      </c>
      <c r="AD23">
        <f t="shared" si="44"/>
        <v>191.625</v>
      </c>
      <c r="AE23">
        <f t="shared" si="45"/>
        <v>191.625</v>
      </c>
    </row>
    <row r="24" spans="1:31" x14ac:dyDescent="0.2">
      <c r="C24" s="10" t="s">
        <v>84</v>
      </c>
      <c r="D24" s="4" t="s">
        <v>422</v>
      </c>
      <c r="E24" t="s">
        <v>423</v>
      </c>
      <c r="F24" t="str">
        <f t="shared" si="3"/>
        <v>D3HSFO03</v>
      </c>
      <c r="G24" t="str">
        <f>C24&amp;[1]FUEL!$C$4</f>
        <v>D3HY00</v>
      </c>
      <c r="H24" t="str">
        <f>C24&amp;[1]FUEL!$C$11</f>
        <v>D3ELC01</v>
      </c>
      <c r="I24" s="1" t="s">
        <v>217</v>
      </c>
      <c r="J24" s="1">
        <v>3.7999999999999999E-2</v>
      </c>
      <c r="K24">
        <v>30</v>
      </c>
      <c r="L24">
        <v>31.536000000000001</v>
      </c>
      <c r="M24">
        <v>2023</v>
      </c>
      <c r="N24">
        <v>1</v>
      </c>
      <c r="O24">
        <v>0.5</v>
      </c>
      <c r="P24">
        <f>Scenarios!$G$7</f>
        <v>0.56000000000000005</v>
      </c>
      <c r="Q24">
        <f>Scenarios!$H$7</f>
        <v>1</v>
      </c>
      <c r="R24">
        <f t="shared" si="46"/>
        <v>3.7999999999999999E-2</v>
      </c>
      <c r="S24">
        <f t="shared" si="5"/>
        <v>210.70788011719745</v>
      </c>
      <c r="T24">
        <v>8039</v>
      </c>
      <c r="U24">
        <v>8039</v>
      </c>
      <c r="V24">
        <v>8039</v>
      </c>
      <c r="W24">
        <v>8039</v>
      </c>
      <c r="X24">
        <v>8039</v>
      </c>
      <c r="Y24">
        <v>8039</v>
      </c>
      <c r="Z24">
        <f t="shared" si="47"/>
        <v>180.8775</v>
      </c>
      <c r="AA24">
        <f t="shared" si="41"/>
        <v>200.97499999999999</v>
      </c>
      <c r="AB24">
        <f t="shared" si="42"/>
        <v>200.97499999999999</v>
      </c>
      <c r="AC24">
        <f t="shared" si="43"/>
        <v>200.97499999999999</v>
      </c>
      <c r="AD24">
        <f t="shared" si="44"/>
        <v>200.97499999999999</v>
      </c>
      <c r="AE24">
        <f t="shared" si="45"/>
        <v>200.97499999999999</v>
      </c>
    </row>
    <row r="25" spans="1:31" x14ac:dyDescent="0.2">
      <c r="C25" s="10"/>
      <c r="D25" s="4"/>
      <c r="I25" s="1"/>
      <c r="J25" s="1"/>
    </row>
    <row r="26" spans="1:31" x14ac:dyDescent="0.2">
      <c r="C26" s="10"/>
      <c r="D26" s="4"/>
      <c r="I26" s="1"/>
      <c r="J26" s="1"/>
    </row>
    <row r="27" spans="1:31" x14ac:dyDescent="0.2">
      <c r="C27" s="10"/>
      <c r="D27" s="4"/>
      <c r="I27" s="1"/>
      <c r="J27" s="1"/>
    </row>
    <row r="28" spans="1:31" x14ac:dyDescent="0.2">
      <c r="C28" s="10"/>
      <c r="D28" s="4"/>
      <c r="I28" s="1"/>
      <c r="J28" s="1"/>
    </row>
    <row r="29" spans="1:31" x14ac:dyDescent="0.2">
      <c r="D29" s="4"/>
    </row>
    <row r="30" spans="1:31" x14ac:dyDescent="0.2">
      <c r="D30" s="4"/>
    </row>
    <row r="31" spans="1:31" x14ac:dyDescent="0.2">
      <c r="D31" s="4"/>
    </row>
    <row r="32" spans="1:31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5BA4-DB27-5B49-A005-547EBBC1F9C9}">
  <dimension ref="A1:BF577"/>
  <sheetViews>
    <sheetView topLeftCell="E11" workbookViewId="0">
      <selection activeCell="S11" sqref="S11"/>
    </sheetView>
  </sheetViews>
  <sheetFormatPr baseColWidth="10" defaultRowHeight="16" x14ac:dyDescent="0.2"/>
  <cols>
    <col min="4" max="4" width="20.5" customWidth="1"/>
  </cols>
  <sheetData>
    <row r="1" spans="1:58" ht="17" x14ac:dyDescent="0.2">
      <c r="A1" s="5" t="s">
        <v>99</v>
      </c>
      <c r="B1" s="5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216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P1" t="s">
        <v>12</v>
      </c>
      <c r="Q1" t="s">
        <v>199</v>
      </c>
      <c r="R1" t="s">
        <v>198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</row>
    <row r="2" spans="1:58" ht="17" customHeight="1" x14ac:dyDescent="0.2">
      <c r="C2" t="str">
        <f>IF([3]Medium!Q9="West","D1",IF([3]Medium!Q9="East","D3",IF([3]Medium!Q9="South","D2","D4")))</f>
        <v>D4</v>
      </c>
      <c r="D2" s="4" t="str">
        <f>[3]Medium!A9&amp;"  "&amp;[3]Medium!B9</f>
        <v>LT-0004  Mayi-Munene</v>
      </c>
      <c r="E2" t="str">
        <f>"H"&amp;LEFT(D2,2)&amp;MID(D2,4,4)</f>
        <v>HLT0004</v>
      </c>
      <c r="F2" t="str">
        <f>C2&amp;E2</f>
        <v>D4HLT0004</v>
      </c>
      <c r="G2" t="str">
        <f>C2&amp;[1]FUEL!$C$4</f>
        <v>D4HY00</v>
      </c>
      <c r="H2" t="str">
        <f>C2&amp;[1]FUEL!$C$11</f>
        <v>D4ELC01</v>
      </c>
      <c r="I2" s="1" t="s">
        <v>217</v>
      </c>
      <c r="J2" s="1">
        <f>R2</f>
        <v>3.6999999999999998E-2</v>
      </c>
      <c r="K2">
        <v>30</v>
      </c>
      <c r="L2">
        <v>31.536000000000001</v>
      </c>
      <c r="M2">
        <v>2025</v>
      </c>
      <c r="N2">
        <v>1</v>
      </c>
      <c r="O2">
        <v>0.5</v>
      </c>
      <c r="P2">
        <f>Scenarios!$G$7</f>
        <v>0.56000000000000005</v>
      </c>
      <c r="Q2">
        <f>Scenarios!$H$7</f>
        <v>1</v>
      </c>
      <c r="R2">
        <f>ROUND([3]Medium!L9/1000,4)</f>
        <v>3.6999999999999998E-2</v>
      </c>
      <c r="S2">
        <f>(U2*((0.1*(1+0.1)^K2)/((1+0.1)^K2-1))+Z2)/(8760*P2)*1000</f>
        <v>168.87248225632874</v>
      </c>
      <c r="T2">
        <f>ROUND([3]Medium!X9/1000,0)</f>
        <v>6320</v>
      </c>
      <c r="U2">
        <f>T2</f>
        <v>6320</v>
      </c>
      <c r="V2">
        <f t="shared" ref="V2:Y2" si="0">U2</f>
        <v>6320</v>
      </c>
      <c r="W2">
        <f t="shared" si="0"/>
        <v>6320</v>
      </c>
      <c r="X2">
        <f t="shared" si="0"/>
        <v>6320</v>
      </c>
      <c r="Y2">
        <f t="shared" si="0"/>
        <v>6320</v>
      </c>
      <c r="Z2">
        <f>T2*2.5/100</f>
        <v>158</v>
      </c>
      <c r="AA2">
        <f>Z2</f>
        <v>158</v>
      </c>
      <c r="AB2">
        <f t="shared" ref="AB2:AE2" si="1">AA2</f>
        <v>158</v>
      </c>
      <c r="AC2">
        <f t="shared" si="1"/>
        <v>158</v>
      </c>
      <c r="AD2">
        <f t="shared" si="1"/>
        <v>158</v>
      </c>
      <c r="AE2">
        <f t="shared" si="1"/>
        <v>158</v>
      </c>
    </row>
    <row r="3" spans="1:58" ht="17" customHeight="1" x14ac:dyDescent="0.2">
      <c r="C3" t="str">
        <f>IF([3]Medium!Q10="West","D1",IF([3]Medium!Q10="East","D3",IF([3]Medium!Q10="South","D2","D4")))</f>
        <v>D4</v>
      </c>
      <c r="D3" s="4" t="str">
        <f>[3]Medium!A10&amp;"  "&amp;[3]Medium!B10</f>
        <v>LT-0005  Kasai Longatshimo</v>
      </c>
      <c r="E3" t="str">
        <f t="shared" ref="E3:E44" si="2">"H"&amp;LEFT(D3,2)&amp;MID(D3,4,4)</f>
        <v>HLT0005</v>
      </c>
      <c r="F3" t="str">
        <f t="shared" ref="F3:F29" si="3">C3&amp;E3</f>
        <v>D4HLT0005</v>
      </c>
      <c r="G3" t="str">
        <f>C3&amp;[1]FUEL!$C$4</f>
        <v>D4HY00</v>
      </c>
      <c r="H3" t="str">
        <f>C3&amp;[1]FUEL!$C$11</f>
        <v>D4ELC01</v>
      </c>
      <c r="I3" s="1" t="s">
        <v>217</v>
      </c>
      <c r="J3" s="1">
        <f t="shared" ref="J3:J43" si="4">R3</f>
        <v>7.0000000000000007E-2</v>
      </c>
      <c r="K3">
        <v>30</v>
      </c>
      <c r="L3">
        <v>31.536000000000001</v>
      </c>
      <c r="M3">
        <v>2025</v>
      </c>
      <c r="N3">
        <v>1</v>
      </c>
      <c r="O3">
        <v>0.5</v>
      </c>
      <c r="P3">
        <f>Scenarios!$G$7</f>
        <v>0.56000000000000005</v>
      </c>
      <c r="Q3">
        <f>Scenarios!$H$7</f>
        <v>1</v>
      </c>
      <c r="R3">
        <f>ROUND([3]Medium!L10/1000,4)</f>
        <v>7.0000000000000007E-2</v>
      </c>
      <c r="S3">
        <f t="shared" ref="S3:S44" si="5">(U3*((0.1*(1+0.1)^K3)/((1+0.1)^K3-1))+Z3)/(8760*P3)*1000</f>
        <v>146.37396484179885</v>
      </c>
      <c r="T3">
        <f>ROUND([3]Medium!X10/1000,0)</f>
        <v>5478</v>
      </c>
      <c r="U3">
        <f t="shared" ref="U3:Y3" si="6">T3</f>
        <v>5478</v>
      </c>
      <c r="V3">
        <f t="shared" si="6"/>
        <v>5478</v>
      </c>
      <c r="W3">
        <f t="shared" si="6"/>
        <v>5478</v>
      </c>
      <c r="X3">
        <f t="shared" si="6"/>
        <v>5478</v>
      </c>
      <c r="Y3">
        <f t="shared" si="6"/>
        <v>5478</v>
      </c>
      <c r="Z3">
        <f t="shared" ref="Z3:Z29" si="7">T3*2.5/100</f>
        <v>136.94999999999999</v>
      </c>
      <c r="AA3">
        <f t="shared" ref="AA3:AE3" si="8">Z3</f>
        <v>136.94999999999999</v>
      </c>
      <c r="AB3">
        <f t="shared" si="8"/>
        <v>136.94999999999999</v>
      </c>
      <c r="AC3">
        <f t="shared" si="8"/>
        <v>136.94999999999999</v>
      </c>
      <c r="AD3">
        <f t="shared" si="8"/>
        <v>136.94999999999999</v>
      </c>
      <c r="AE3">
        <f t="shared" si="8"/>
        <v>136.94999999999999</v>
      </c>
    </row>
    <row r="4" spans="1:58" s="24" customFormat="1" ht="17" customHeight="1" x14ac:dyDescent="0.2">
      <c r="C4" s="24" t="str">
        <f>IF([3]Medium!Q11="West","D1",IF([3]Medium!Q11="East","D3",IF([3]Medium!Q11="South","D2","D4")))</f>
        <v>D3</v>
      </c>
      <c r="D4" s="46" t="str">
        <f>[3]Medium!A11&amp;"  "&amp;[3]Medium!B11</f>
        <v>LT-0027  Ulindi</v>
      </c>
      <c r="E4" s="24" t="str">
        <f t="shared" si="2"/>
        <v>HLT0027</v>
      </c>
      <c r="F4" s="24" t="str">
        <f t="shared" si="3"/>
        <v>D3HLT0027</v>
      </c>
      <c r="G4" s="24" t="str">
        <f>C4&amp;[1]FUEL!$C$4</f>
        <v>D3HY00</v>
      </c>
      <c r="H4" s="24" t="str">
        <f>C4&amp;[1]FUEL!$C$11</f>
        <v>D3ELC01</v>
      </c>
      <c r="I4" s="24" t="s">
        <v>217</v>
      </c>
      <c r="J4" s="24">
        <f t="shared" si="4"/>
        <v>0.03</v>
      </c>
      <c r="K4" s="24">
        <v>30</v>
      </c>
      <c r="L4" s="24">
        <v>31.536000000000001</v>
      </c>
      <c r="M4" s="24">
        <v>2025</v>
      </c>
      <c r="N4" s="24">
        <v>1</v>
      </c>
      <c r="O4" s="24">
        <v>0.5</v>
      </c>
      <c r="P4" s="24">
        <f>Scenarios!$G$7</f>
        <v>0.56000000000000005</v>
      </c>
      <c r="Q4" s="24">
        <f>Scenarios!$H$7</f>
        <v>1</v>
      </c>
      <c r="R4" s="24">
        <f>ROUND([3]Medium!L11/1000,4)</f>
        <v>0.03</v>
      </c>
      <c r="S4">
        <f t="shared" si="5"/>
        <v>163.63529768002485</v>
      </c>
      <c r="T4" s="24">
        <f>ROUND([3]Medium!X11/1000,0)</f>
        <v>6124</v>
      </c>
      <c r="U4" s="24">
        <f t="shared" ref="U4:Y4" si="9">T4</f>
        <v>6124</v>
      </c>
      <c r="V4" s="24">
        <f t="shared" si="9"/>
        <v>6124</v>
      </c>
      <c r="W4" s="24">
        <f t="shared" si="9"/>
        <v>6124</v>
      </c>
      <c r="X4" s="24">
        <f t="shared" si="9"/>
        <v>6124</v>
      </c>
      <c r="Y4" s="24">
        <f t="shared" si="9"/>
        <v>6124</v>
      </c>
      <c r="Z4" s="24">
        <f t="shared" si="7"/>
        <v>153.1</v>
      </c>
      <c r="AA4" s="24">
        <f t="shared" ref="AA4:AE4" si="10">Z4</f>
        <v>153.1</v>
      </c>
      <c r="AB4" s="24">
        <f t="shared" si="10"/>
        <v>153.1</v>
      </c>
      <c r="AC4" s="24">
        <f t="shared" si="10"/>
        <v>153.1</v>
      </c>
      <c r="AD4" s="24">
        <f t="shared" si="10"/>
        <v>153.1</v>
      </c>
      <c r="AE4" s="24">
        <f t="shared" si="10"/>
        <v>153.1</v>
      </c>
    </row>
    <row r="5" spans="1:58" s="24" customFormat="1" ht="17" customHeight="1" x14ac:dyDescent="0.2">
      <c r="C5" s="24" t="str">
        <f>IF([3]Medium!Q12="West","D1",IF([3]Medium!Q12="East","D3",IF([3]Medium!Q12="South","D2","D4")))</f>
        <v>D3</v>
      </c>
      <c r="D5" s="46" t="str">
        <f>[3]Medium!A12&amp;"  "&amp;[3]Medium!B12</f>
        <v>LT-0030  Biliza</v>
      </c>
      <c r="E5" s="24" t="str">
        <f t="shared" si="2"/>
        <v>HLT0030</v>
      </c>
      <c r="F5" s="24" t="str">
        <f t="shared" si="3"/>
        <v>D3HLT0030</v>
      </c>
      <c r="G5" s="24" t="str">
        <f>C5&amp;[1]FUEL!$C$4</f>
        <v>D3HY00</v>
      </c>
      <c r="H5" s="24" t="str">
        <f>C5&amp;[1]FUEL!$C$11</f>
        <v>D3ELC01</v>
      </c>
      <c r="I5" s="24" t="s">
        <v>217</v>
      </c>
      <c r="J5" s="24">
        <f t="shared" si="4"/>
        <v>3.4000000000000002E-2</v>
      </c>
      <c r="K5" s="24">
        <v>30</v>
      </c>
      <c r="L5" s="24">
        <v>31.536000000000001</v>
      </c>
      <c r="M5" s="24">
        <v>2025</v>
      </c>
      <c r="N5" s="24">
        <v>1</v>
      </c>
      <c r="O5" s="24">
        <v>0.5</v>
      </c>
      <c r="P5" s="24">
        <f>Scenarios!$G$7</f>
        <v>0.56000000000000005</v>
      </c>
      <c r="Q5" s="24">
        <f>Scenarios!$H$7</f>
        <v>1</v>
      </c>
      <c r="R5" s="24">
        <f>ROUND([3]Medium!L12/1000,4)</f>
        <v>3.4000000000000002E-2</v>
      </c>
      <c r="S5">
        <f t="shared" si="5"/>
        <v>129.11263200357286</v>
      </c>
      <c r="T5" s="24">
        <f>ROUND([3]Medium!X12/1000,0)</f>
        <v>4832</v>
      </c>
      <c r="U5" s="24">
        <f t="shared" ref="U5:Y5" si="11">T5</f>
        <v>4832</v>
      </c>
      <c r="V5" s="24">
        <f t="shared" si="11"/>
        <v>4832</v>
      </c>
      <c r="W5" s="24">
        <f t="shared" si="11"/>
        <v>4832</v>
      </c>
      <c r="X5" s="24">
        <f t="shared" si="11"/>
        <v>4832</v>
      </c>
      <c r="Y5" s="24">
        <f t="shared" si="11"/>
        <v>4832</v>
      </c>
      <c r="Z5" s="24">
        <f t="shared" si="7"/>
        <v>120.8</v>
      </c>
      <c r="AA5" s="24">
        <f t="shared" ref="AA5:AE5" si="12">Z5</f>
        <v>120.8</v>
      </c>
      <c r="AB5" s="24">
        <f t="shared" si="12"/>
        <v>120.8</v>
      </c>
      <c r="AC5" s="24">
        <f t="shared" si="12"/>
        <v>120.8</v>
      </c>
      <c r="AD5" s="24">
        <f t="shared" si="12"/>
        <v>120.8</v>
      </c>
      <c r="AE5" s="24">
        <f t="shared" si="12"/>
        <v>120.8</v>
      </c>
    </row>
    <row r="6" spans="1:58" s="24" customFormat="1" x14ac:dyDescent="0.2">
      <c r="C6" s="24" t="str">
        <f>IF([3]Medium!Q13="West","D1",IF([3]Medium!Q13="East","D3",IF([3]Medium!Q13="South","D2","D4")))</f>
        <v>D3</v>
      </c>
      <c r="D6" s="46" t="str">
        <f>[3]Medium!A13&amp;"  "&amp;[3]Medium!B13</f>
        <v>LT-0040  Mugomba / Mungomba</v>
      </c>
      <c r="E6" s="24" t="str">
        <f t="shared" si="2"/>
        <v>HLT0040</v>
      </c>
      <c r="F6" s="24" t="str">
        <f t="shared" si="3"/>
        <v>D3HLT0040</v>
      </c>
      <c r="G6" s="24" t="str">
        <f>C6&amp;[1]FUEL!$C$4</f>
        <v>D3HY00</v>
      </c>
      <c r="H6" s="24" t="str">
        <f>C6&amp;[1]FUEL!$C$11</f>
        <v>D3ELC01</v>
      </c>
      <c r="I6" s="24" t="s">
        <v>217</v>
      </c>
      <c r="J6" s="24">
        <f t="shared" si="4"/>
        <v>0.04</v>
      </c>
      <c r="K6" s="24">
        <v>30</v>
      </c>
      <c r="L6" s="24">
        <v>31.536000000000001</v>
      </c>
      <c r="M6" s="24">
        <v>2025</v>
      </c>
      <c r="N6" s="24">
        <v>1</v>
      </c>
      <c r="O6" s="24">
        <v>0.5</v>
      </c>
      <c r="P6" s="24">
        <f>Scenarios!$G$7</f>
        <v>0.56000000000000005</v>
      </c>
      <c r="Q6" s="24">
        <f>Scenarios!$H$7</f>
        <v>1</v>
      </c>
      <c r="R6" s="24">
        <f>ROUND([3]Medium!L13/1000,4)</f>
        <v>0.04</v>
      </c>
      <c r="S6">
        <f t="shared" si="5"/>
        <v>122.94023589578615</v>
      </c>
      <c r="T6" s="24">
        <f>ROUND([3]Medium!X13/1000,0)</f>
        <v>4601</v>
      </c>
      <c r="U6" s="24">
        <f t="shared" ref="U6:Y6" si="13">T6</f>
        <v>4601</v>
      </c>
      <c r="V6" s="24">
        <f t="shared" si="13"/>
        <v>4601</v>
      </c>
      <c r="W6" s="24">
        <f t="shared" si="13"/>
        <v>4601</v>
      </c>
      <c r="X6" s="24">
        <f t="shared" si="13"/>
        <v>4601</v>
      </c>
      <c r="Y6" s="24">
        <f t="shared" si="13"/>
        <v>4601</v>
      </c>
      <c r="Z6" s="24">
        <f t="shared" si="7"/>
        <v>115.02500000000001</v>
      </c>
      <c r="AA6" s="24">
        <f t="shared" ref="AA6:AE6" si="14">Z6</f>
        <v>115.02500000000001</v>
      </c>
      <c r="AB6" s="24">
        <f t="shared" si="14"/>
        <v>115.02500000000001</v>
      </c>
      <c r="AC6" s="24">
        <f t="shared" si="14"/>
        <v>115.02500000000001</v>
      </c>
      <c r="AD6" s="24">
        <f t="shared" si="14"/>
        <v>115.02500000000001</v>
      </c>
      <c r="AE6" s="24">
        <f t="shared" si="14"/>
        <v>115.02500000000001</v>
      </c>
    </row>
    <row r="7" spans="1:58" s="24" customFormat="1" x14ac:dyDescent="0.2">
      <c r="C7" s="24" t="str">
        <f>IF([3]Medium!Q14="West","D1",IF([3]Medium!Q14="East","D3",IF([3]Medium!Q14="South","D2","D4")))</f>
        <v>D3</v>
      </c>
      <c r="D7" s="46" t="str">
        <f>[3]Medium!A14&amp;"  "&amp;[3]Medium!B14</f>
        <v>LT-0046  Chutes Kasiru</v>
      </c>
      <c r="E7" s="24" t="str">
        <f t="shared" si="2"/>
        <v>HLT0046</v>
      </c>
      <c r="F7" s="24" t="str">
        <f t="shared" si="3"/>
        <v>D3HLT0046</v>
      </c>
      <c r="G7" s="24" t="str">
        <f>C7&amp;[1]FUEL!$C$4</f>
        <v>D3HY00</v>
      </c>
      <c r="H7" s="24" t="str">
        <f>C7&amp;[1]FUEL!$C$11</f>
        <v>D3ELC01</v>
      </c>
      <c r="I7" s="24" t="s">
        <v>217</v>
      </c>
      <c r="J7" s="24">
        <f t="shared" si="4"/>
        <v>0.04</v>
      </c>
      <c r="K7" s="24">
        <v>30</v>
      </c>
      <c r="L7" s="24">
        <v>31.536000000000001</v>
      </c>
      <c r="M7" s="24">
        <v>2025</v>
      </c>
      <c r="N7" s="24">
        <v>1</v>
      </c>
      <c r="O7" s="24">
        <v>0.5</v>
      </c>
      <c r="P7" s="24">
        <f>Scenarios!$G$7</f>
        <v>0.56000000000000005</v>
      </c>
      <c r="Q7" s="24">
        <f>Scenarios!$H$7</f>
        <v>1</v>
      </c>
      <c r="R7" s="24">
        <f>ROUND([3]Medium!L14/1000,4)</f>
        <v>0.04</v>
      </c>
      <c r="S7">
        <f t="shared" si="5"/>
        <v>109.12582555931117</v>
      </c>
      <c r="T7" s="24">
        <f>ROUND([3]Medium!X14/1000,0)</f>
        <v>4084</v>
      </c>
      <c r="U7" s="24">
        <f t="shared" ref="U7:Y7" si="15">T7</f>
        <v>4084</v>
      </c>
      <c r="V7" s="24">
        <f t="shared" si="15"/>
        <v>4084</v>
      </c>
      <c r="W7" s="24">
        <f t="shared" si="15"/>
        <v>4084</v>
      </c>
      <c r="X7" s="24">
        <f t="shared" si="15"/>
        <v>4084</v>
      </c>
      <c r="Y7" s="24">
        <f t="shared" si="15"/>
        <v>4084</v>
      </c>
      <c r="Z7" s="24">
        <f t="shared" si="7"/>
        <v>102.1</v>
      </c>
      <c r="AA7" s="24">
        <f t="shared" ref="AA7:AE7" si="16">Z7</f>
        <v>102.1</v>
      </c>
      <c r="AB7" s="24">
        <f t="shared" si="16"/>
        <v>102.1</v>
      </c>
      <c r="AC7" s="24">
        <f t="shared" si="16"/>
        <v>102.1</v>
      </c>
      <c r="AD7" s="24">
        <f t="shared" si="16"/>
        <v>102.1</v>
      </c>
      <c r="AE7" s="24">
        <f t="shared" si="16"/>
        <v>102.1</v>
      </c>
    </row>
    <row r="8" spans="1:58" s="24" customFormat="1" x14ac:dyDescent="0.2">
      <c r="C8" s="24" t="str">
        <f>IF([3]Medium!Q15="West","D1",IF([3]Medium!Q15="East","D3",IF([3]Medium!Q15="South","D2","D4")))</f>
        <v>D3</v>
      </c>
      <c r="D8" s="46" t="str">
        <f>[3]Medium!A15&amp;"  "&amp;[3]Medium!B15</f>
        <v>LT-0067  Muhuma</v>
      </c>
      <c r="E8" s="24" t="str">
        <f t="shared" si="2"/>
        <v>HLT0067</v>
      </c>
      <c r="F8" s="24" t="str">
        <f t="shared" si="3"/>
        <v>D3HLT0067</v>
      </c>
      <c r="G8" s="24" t="str">
        <f>C8&amp;[1]FUEL!$C$4</f>
        <v>D3HY00</v>
      </c>
      <c r="H8" s="24" t="str">
        <f>C8&amp;[1]FUEL!$C$11</f>
        <v>D3ELC01</v>
      </c>
      <c r="I8" s="24" t="s">
        <v>217</v>
      </c>
      <c r="J8" s="24">
        <f t="shared" si="4"/>
        <v>2.5000000000000001E-2</v>
      </c>
      <c r="K8" s="24">
        <v>30</v>
      </c>
      <c r="L8" s="24">
        <v>31.536000000000001</v>
      </c>
      <c r="M8" s="24">
        <v>2025</v>
      </c>
      <c r="N8" s="24">
        <v>1</v>
      </c>
      <c r="O8" s="24">
        <v>0.5</v>
      </c>
      <c r="P8" s="24">
        <f>Scenarios!$G$7</f>
        <v>0.56000000000000005</v>
      </c>
      <c r="Q8" s="24">
        <f>Scenarios!$H$7</f>
        <v>1</v>
      </c>
      <c r="R8" s="24">
        <f>ROUND([3]Medium!L15/1000,4)</f>
        <v>2.5000000000000001E-2</v>
      </c>
      <c r="S8">
        <f t="shared" si="5"/>
        <v>135.23158745241767</v>
      </c>
      <c r="T8" s="24">
        <f>ROUND([3]Medium!X15/1000,0)</f>
        <v>5061</v>
      </c>
      <c r="U8" s="24">
        <f t="shared" ref="U8:Y8" si="17">T8</f>
        <v>5061</v>
      </c>
      <c r="V8" s="24">
        <f t="shared" si="17"/>
        <v>5061</v>
      </c>
      <c r="W8" s="24">
        <f t="shared" si="17"/>
        <v>5061</v>
      </c>
      <c r="X8" s="24">
        <f t="shared" si="17"/>
        <v>5061</v>
      </c>
      <c r="Y8" s="24">
        <f t="shared" si="17"/>
        <v>5061</v>
      </c>
      <c r="Z8" s="24">
        <f t="shared" si="7"/>
        <v>126.52500000000001</v>
      </c>
      <c r="AA8" s="24">
        <f t="shared" ref="AA8:AE8" si="18">Z8</f>
        <v>126.52500000000001</v>
      </c>
      <c r="AB8" s="24">
        <f t="shared" si="18"/>
        <v>126.52500000000001</v>
      </c>
      <c r="AC8" s="24">
        <f t="shared" si="18"/>
        <v>126.52500000000001</v>
      </c>
      <c r="AD8" s="24">
        <f t="shared" si="18"/>
        <v>126.52500000000001</v>
      </c>
      <c r="AE8" s="24">
        <f t="shared" si="18"/>
        <v>126.52500000000001</v>
      </c>
    </row>
    <row r="9" spans="1:58" x14ac:dyDescent="0.2">
      <c r="C9" t="str">
        <f>IF([3]Medium!Q16="West","D1",IF([3]Medium!Q16="East","D3",IF([3]Medium!Q16="South","D2","D4")))</f>
        <v>D1</v>
      </c>
      <c r="D9" s="4" t="str">
        <f>[3]Medium!A16&amp;"  "&amp;[3]Medium!B16</f>
        <v>LT-0087  Banda</v>
      </c>
      <c r="E9" t="str">
        <f t="shared" si="2"/>
        <v>HLT0087</v>
      </c>
      <c r="F9" t="str">
        <f t="shared" si="3"/>
        <v>D1HLT0087</v>
      </c>
      <c r="G9" t="str">
        <f>C9&amp;[1]FUEL!$C$4</f>
        <v>D1HY00</v>
      </c>
      <c r="H9" t="str">
        <f>C9&amp;[1]FUEL!$C$11</f>
        <v>D1ELC01</v>
      </c>
      <c r="I9" s="1" t="s">
        <v>217</v>
      </c>
      <c r="J9" s="1">
        <f t="shared" si="4"/>
        <v>3.5999999999999997E-2</v>
      </c>
      <c r="K9">
        <v>30</v>
      </c>
      <c r="L9">
        <v>31.536000000000001</v>
      </c>
      <c r="M9">
        <v>2025</v>
      </c>
      <c r="N9">
        <v>1</v>
      </c>
      <c r="O9">
        <v>0.5</v>
      </c>
      <c r="P9">
        <f>Scenarios!$G$7</f>
        <v>0.56000000000000005</v>
      </c>
      <c r="Q9">
        <f>Scenarios!$H$7</f>
        <v>1</v>
      </c>
      <c r="R9">
        <f>ROUND([3]Medium!L16/1000,4)</f>
        <v>3.5999999999999997E-2</v>
      </c>
      <c r="S9">
        <f t="shared" si="5"/>
        <v>166.97533886389212</v>
      </c>
      <c r="T9">
        <f>ROUND([3]Medium!X16/1000,0)</f>
        <v>6249</v>
      </c>
      <c r="U9">
        <f t="shared" ref="U9:Y9" si="19">T9</f>
        <v>6249</v>
      </c>
      <c r="V9">
        <f t="shared" si="19"/>
        <v>6249</v>
      </c>
      <c r="W9">
        <f t="shared" si="19"/>
        <v>6249</v>
      </c>
      <c r="X9">
        <f t="shared" si="19"/>
        <v>6249</v>
      </c>
      <c r="Y9">
        <f t="shared" si="19"/>
        <v>6249</v>
      </c>
      <c r="Z9">
        <f t="shared" si="7"/>
        <v>156.22499999999999</v>
      </c>
      <c r="AA9">
        <f t="shared" ref="AA9:AE9" si="20">Z9</f>
        <v>156.22499999999999</v>
      </c>
      <c r="AB9">
        <f t="shared" si="20"/>
        <v>156.22499999999999</v>
      </c>
      <c r="AC9">
        <f t="shared" si="20"/>
        <v>156.22499999999999</v>
      </c>
      <c r="AD9">
        <f t="shared" si="20"/>
        <v>156.22499999999999</v>
      </c>
      <c r="AE9">
        <f t="shared" si="20"/>
        <v>156.22499999999999</v>
      </c>
    </row>
    <row r="10" spans="1:58" x14ac:dyDescent="0.2">
      <c r="C10" t="str">
        <f>IF([3]Medium!Q17="West","D1",IF([3]Medium!Q17="East","D3",IF([3]Medium!Q17="South","D2","D4")))</f>
        <v>D1</v>
      </c>
      <c r="D10" s="4" t="str">
        <f>[3]Medium!A17&amp;"  "&amp;[3]Medium!B17</f>
        <v>LT-0089  Kilemfu</v>
      </c>
      <c r="E10" t="str">
        <f t="shared" si="2"/>
        <v>HLT0089</v>
      </c>
      <c r="F10" t="str">
        <f t="shared" si="3"/>
        <v>D1HLT0089</v>
      </c>
      <c r="G10" t="str">
        <f>C10&amp;[1]FUEL!$C$4</f>
        <v>D1HY00</v>
      </c>
      <c r="H10" t="str">
        <f>C10&amp;[1]FUEL!$C$11</f>
        <v>D1ELC01</v>
      </c>
      <c r="I10" s="1" t="s">
        <v>217</v>
      </c>
      <c r="J10" s="1">
        <f t="shared" si="4"/>
        <v>0.03</v>
      </c>
      <c r="K10">
        <v>30</v>
      </c>
      <c r="L10">
        <v>31.536000000000001</v>
      </c>
      <c r="M10">
        <v>2025</v>
      </c>
      <c r="N10">
        <v>1</v>
      </c>
      <c r="O10">
        <v>0.5</v>
      </c>
      <c r="P10">
        <f>Scenarios!$G$7</f>
        <v>0.56000000000000005</v>
      </c>
      <c r="Q10">
        <f>Scenarios!$H$7</f>
        <v>1</v>
      </c>
      <c r="R10">
        <f>ROUND([3]Medium!L17/1000,4)</f>
        <v>0.03</v>
      </c>
      <c r="S10">
        <f t="shared" si="5"/>
        <v>153.21436918635902</v>
      </c>
      <c r="T10">
        <f>ROUND([3]Medium!X17/1000,0)</f>
        <v>5734</v>
      </c>
      <c r="U10">
        <f t="shared" ref="U10:Y10" si="21">T10</f>
        <v>5734</v>
      </c>
      <c r="V10">
        <f t="shared" si="21"/>
        <v>5734</v>
      </c>
      <c r="W10">
        <f t="shared" si="21"/>
        <v>5734</v>
      </c>
      <c r="X10">
        <f t="shared" si="21"/>
        <v>5734</v>
      </c>
      <c r="Y10">
        <f t="shared" si="21"/>
        <v>5734</v>
      </c>
      <c r="Z10">
        <f t="shared" si="7"/>
        <v>143.35</v>
      </c>
      <c r="AA10">
        <f t="shared" ref="AA10:AE10" si="22">Z10</f>
        <v>143.35</v>
      </c>
      <c r="AB10">
        <f t="shared" si="22"/>
        <v>143.35</v>
      </c>
      <c r="AC10">
        <f t="shared" si="22"/>
        <v>143.35</v>
      </c>
      <c r="AD10">
        <f t="shared" si="22"/>
        <v>143.35</v>
      </c>
      <c r="AE10">
        <f t="shared" si="22"/>
        <v>143.35</v>
      </c>
    </row>
    <row r="11" spans="1:58" x14ac:dyDescent="0.2">
      <c r="C11" t="str">
        <f>IF([3]Medium!Q18="West","D1",IF([3]Medium!Q18="East","D3",IF([3]Medium!Q18="South","D2","D4")))</f>
        <v>D1</v>
      </c>
      <c r="D11" s="4" t="str">
        <f>[3]Medium!A18&amp;"  "&amp;[3]Medium!B18</f>
        <v>LT-0106  Bamba</v>
      </c>
      <c r="E11" t="str">
        <f t="shared" si="2"/>
        <v>HLT0106</v>
      </c>
      <c r="F11" t="str">
        <f t="shared" si="3"/>
        <v>D1HLT0106</v>
      </c>
      <c r="G11" t="str">
        <f>C11&amp;[1]FUEL!$C$4</f>
        <v>D1HY00</v>
      </c>
      <c r="H11" t="str">
        <f>C11&amp;[1]FUEL!$C$11</f>
        <v>D1ELC01</v>
      </c>
      <c r="I11" s="1" t="s">
        <v>217</v>
      </c>
      <c r="J11" s="1">
        <f t="shared" si="4"/>
        <v>2.1999999999999999E-2</v>
      </c>
      <c r="K11">
        <v>30</v>
      </c>
      <c r="L11">
        <v>31.536000000000001</v>
      </c>
      <c r="M11">
        <v>2025</v>
      </c>
      <c r="N11">
        <v>1</v>
      </c>
      <c r="O11">
        <v>0.5</v>
      </c>
      <c r="P11">
        <f>Scenarios!$G$7</f>
        <v>0.56000000000000005</v>
      </c>
      <c r="Q11">
        <f>Scenarios!$H$7</f>
        <v>1</v>
      </c>
      <c r="R11">
        <f>ROUND([3]Medium!L18/1000,4)</f>
        <v>2.1999999999999999E-2</v>
      </c>
      <c r="S11">
        <f t="shared" si="5"/>
        <v>155.6993598271562</v>
      </c>
      <c r="T11">
        <f>ROUND([3]Medium!X18/1000,0)</f>
        <v>5827</v>
      </c>
      <c r="U11">
        <f t="shared" ref="U11:Y11" si="23">T11</f>
        <v>5827</v>
      </c>
      <c r="V11">
        <f t="shared" si="23"/>
        <v>5827</v>
      </c>
      <c r="W11">
        <f t="shared" si="23"/>
        <v>5827</v>
      </c>
      <c r="X11">
        <f t="shared" si="23"/>
        <v>5827</v>
      </c>
      <c r="Y11">
        <f t="shared" si="23"/>
        <v>5827</v>
      </c>
      <c r="Z11">
        <f t="shared" si="7"/>
        <v>145.67500000000001</v>
      </c>
      <c r="AA11">
        <f t="shared" ref="AA11:AE11" si="24">Z11</f>
        <v>145.67500000000001</v>
      </c>
      <c r="AB11">
        <f t="shared" si="24"/>
        <v>145.67500000000001</v>
      </c>
      <c r="AC11">
        <f t="shared" si="24"/>
        <v>145.67500000000001</v>
      </c>
      <c r="AD11">
        <f t="shared" si="24"/>
        <v>145.67500000000001</v>
      </c>
      <c r="AE11">
        <f t="shared" si="24"/>
        <v>145.67500000000001</v>
      </c>
    </row>
    <row r="12" spans="1:58" x14ac:dyDescent="0.2">
      <c r="C12" t="str">
        <f>IF([3]Medium!Q19="West","D1",IF([3]Medium!Q19="East","D3",IF([3]Medium!Q19="South","D2","D4")))</f>
        <v>D1</v>
      </c>
      <c r="D12" s="4" t="str">
        <f>[3]Medium!A19&amp;"  "&amp;[3]Medium!B19</f>
        <v>LT-0107  Dibaya-Lubwe</v>
      </c>
      <c r="E12" t="str">
        <f t="shared" si="2"/>
        <v>HLT0107</v>
      </c>
      <c r="F12" t="str">
        <f t="shared" si="3"/>
        <v>D1HLT0107</v>
      </c>
      <c r="G12" t="str">
        <f>C12&amp;[1]FUEL!$C$4</f>
        <v>D1HY00</v>
      </c>
      <c r="H12" t="str">
        <f>C12&amp;[1]FUEL!$C$11</f>
        <v>D1ELC01</v>
      </c>
      <c r="I12" s="1" t="s">
        <v>217</v>
      </c>
      <c r="J12" s="1">
        <f t="shared" si="4"/>
        <v>3.5999999999999997E-2</v>
      </c>
      <c r="K12">
        <v>30</v>
      </c>
      <c r="L12">
        <v>31.536000000000001</v>
      </c>
      <c r="M12">
        <v>2025</v>
      </c>
      <c r="N12">
        <v>1</v>
      </c>
      <c r="O12">
        <v>0.5</v>
      </c>
      <c r="P12">
        <f>Scenarios!$G$7</f>
        <v>0.56000000000000005</v>
      </c>
      <c r="Q12">
        <f>Scenarios!$H$7</f>
        <v>1</v>
      </c>
      <c r="R12">
        <f>ROUND([3]Medium!L19/1000,4)</f>
        <v>3.5999999999999997E-2</v>
      </c>
      <c r="S12">
        <f t="shared" si="5"/>
        <v>176.38089483766231</v>
      </c>
      <c r="T12">
        <f>ROUND([3]Medium!X19/1000,0)</f>
        <v>6601</v>
      </c>
      <c r="U12">
        <f t="shared" ref="U12:Y12" si="25">T12</f>
        <v>6601</v>
      </c>
      <c r="V12">
        <f t="shared" si="25"/>
        <v>6601</v>
      </c>
      <c r="W12">
        <f t="shared" si="25"/>
        <v>6601</v>
      </c>
      <c r="X12">
        <f t="shared" si="25"/>
        <v>6601</v>
      </c>
      <c r="Y12">
        <f t="shared" si="25"/>
        <v>6601</v>
      </c>
      <c r="Z12">
        <f t="shared" si="7"/>
        <v>165.02500000000001</v>
      </c>
      <c r="AA12">
        <f t="shared" ref="AA12:AE12" si="26">Z12</f>
        <v>165.02500000000001</v>
      </c>
      <c r="AB12">
        <f t="shared" si="26"/>
        <v>165.02500000000001</v>
      </c>
      <c r="AC12">
        <f t="shared" si="26"/>
        <v>165.02500000000001</v>
      </c>
      <c r="AD12">
        <f t="shared" si="26"/>
        <v>165.02500000000001</v>
      </c>
      <c r="AE12">
        <f t="shared" si="26"/>
        <v>165.02500000000001</v>
      </c>
    </row>
    <row r="13" spans="1:58" x14ac:dyDescent="0.2">
      <c r="C13" t="str">
        <f>IF([3]Medium!Q20="West","D1",IF([3]Medium!Q20="East","D3",IF([3]Medium!Q20="South","D2","D4")))</f>
        <v>D4</v>
      </c>
      <c r="D13" s="4" t="str">
        <f>[3]Medium!A20&amp;"  "&amp;[3]Medium!B20</f>
        <v>LT-0112  Tshilomba</v>
      </c>
      <c r="E13" t="str">
        <f t="shared" si="2"/>
        <v>HLT0112</v>
      </c>
      <c r="F13" t="str">
        <f t="shared" si="3"/>
        <v>D4HLT0112</v>
      </c>
      <c r="G13" t="str">
        <f>C13&amp;[1]FUEL!$C$4</f>
        <v>D4HY00</v>
      </c>
      <c r="H13" t="str">
        <f>C13&amp;[1]FUEL!$C$11</f>
        <v>D4ELC01</v>
      </c>
      <c r="I13" s="1" t="s">
        <v>217</v>
      </c>
      <c r="J13" s="1">
        <f t="shared" si="4"/>
        <v>2.8000000000000001E-2</v>
      </c>
      <c r="K13">
        <v>30</v>
      </c>
      <c r="L13">
        <v>31.536000000000001</v>
      </c>
      <c r="M13">
        <v>2025</v>
      </c>
      <c r="N13">
        <v>1</v>
      </c>
      <c r="O13">
        <v>0.5</v>
      </c>
      <c r="P13">
        <f>Scenarios!$G$7</f>
        <v>0.56000000000000005</v>
      </c>
      <c r="Q13">
        <f>Scenarios!$H$7</f>
        <v>1</v>
      </c>
      <c r="R13">
        <f>ROUND([3]Medium!L20/1000,4)</f>
        <v>2.8000000000000001E-2</v>
      </c>
      <c r="S13">
        <f t="shared" si="5"/>
        <v>135.31174844083048</v>
      </c>
      <c r="T13">
        <f>ROUND([3]Medium!X20/1000,0)</f>
        <v>5064</v>
      </c>
      <c r="U13">
        <f t="shared" ref="U13:Y13" si="27">T13</f>
        <v>5064</v>
      </c>
      <c r="V13">
        <f t="shared" si="27"/>
        <v>5064</v>
      </c>
      <c r="W13">
        <f t="shared" si="27"/>
        <v>5064</v>
      </c>
      <c r="X13">
        <f t="shared" si="27"/>
        <v>5064</v>
      </c>
      <c r="Y13">
        <f t="shared" si="27"/>
        <v>5064</v>
      </c>
      <c r="Z13">
        <f t="shared" si="7"/>
        <v>126.6</v>
      </c>
      <c r="AA13">
        <f t="shared" ref="AA13:AE13" si="28">Z13</f>
        <v>126.6</v>
      </c>
      <c r="AB13">
        <f t="shared" si="28"/>
        <v>126.6</v>
      </c>
      <c r="AC13">
        <f t="shared" si="28"/>
        <v>126.6</v>
      </c>
      <c r="AD13">
        <f t="shared" si="28"/>
        <v>126.6</v>
      </c>
      <c r="AE13">
        <f t="shared" si="28"/>
        <v>126.6</v>
      </c>
    </row>
    <row r="14" spans="1:58" x14ac:dyDescent="0.2">
      <c r="C14" t="str">
        <f>IF([3]Medium!Q21="West","D1",IF([3]Medium!Q21="East","D3",IF([3]Medium!Q21="South","D2","D4")))</f>
        <v>D1</v>
      </c>
      <c r="D14" s="4" t="str">
        <f>[3]Medium!A21&amp;"  "&amp;[3]Medium!B21</f>
        <v>LT-0113  Ingende</v>
      </c>
      <c r="E14" t="str">
        <f t="shared" si="2"/>
        <v>HLT0113</v>
      </c>
      <c r="F14" t="str">
        <f t="shared" si="3"/>
        <v>D1HLT0113</v>
      </c>
      <c r="G14" t="str">
        <f>C14&amp;[1]FUEL!$C$4</f>
        <v>D1HY00</v>
      </c>
      <c r="H14" t="str">
        <f>C14&amp;[1]FUEL!$C$11</f>
        <v>D1ELC01</v>
      </c>
      <c r="I14" s="1" t="s">
        <v>217</v>
      </c>
      <c r="J14" s="1">
        <f t="shared" si="4"/>
        <v>8.1000000000000003E-2</v>
      </c>
      <c r="K14">
        <v>30</v>
      </c>
      <c r="L14">
        <v>31.536000000000001</v>
      </c>
      <c r="M14">
        <v>2025</v>
      </c>
      <c r="N14">
        <v>1</v>
      </c>
      <c r="O14">
        <v>0.5</v>
      </c>
      <c r="P14">
        <f>Scenarios!$G$7</f>
        <v>0.56000000000000005</v>
      </c>
      <c r="Q14">
        <f>Scenarios!$H$7</f>
        <v>1</v>
      </c>
      <c r="R14">
        <f>ROUND([3]Medium!L21/1000,4)</f>
        <v>8.1000000000000003E-2</v>
      </c>
      <c r="S14">
        <f t="shared" si="5"/>
        <v>169.80769378781156</v>
      </c>
      <c r="T14">
        <f>ROUND([3]Medium!X21/1000,0)</f>
        <v>6355</v>
      </c>
      <c r="U14">
        <f t="shared" ref="U14:Y14" si="29">T14</f>
        <v>6355</v>
      </c>
      <c r="V14">
        <f t="shared" si="29"/>
        <v>6355</v>
      </c>
      <c r="W14">
        <f t="shared" si="29"/>
        <v>6355</v>
      </c>
      <c r="X14">
        <f t="shared" si="29"/>
        <v>6355</v>
      </c>
      <c r="Y14">
        <f t="shared" si="29"/>
        <v>6355</v>
      </c>
      <c r="Z14">
        <f t="shared" si="7"/>
        <v>158.875</v>
      </c>
      <c r="AA14">
        <f t="shared" ref="AA14:AE14" si="30">Z14</f>
        <v>158.875</v>
      </c>
      <c r="AB14">
        <f t="shared" si="30"/>
        <v>158.875</v>
      </c>
      <c r="AC14">
        <f t="shared" si="30"/>
        <v>158.875</v>
      </c>
      <c r="AD14">
        <f t="shared" si="30"/>
        <v>158.875</v>
      </c>
      <c r="AE14">
        <f t="shared" si="30"/>
        <v>158.875</v>
      </c>
    </row>
    <row r="15" spans="1:58" x14ac:dyDescent="0.2">
      <c r="C15" t="str">
        <f>IF([3]Medium!Q22="West","D1",IF([3]Medium!Q22="East","D3",IF([3]Medium!Q22="South","D2","D4")))</f>
        <v>D2</v>
      </c>
      <c r="D15" s="4" t="str">
        <f>[3]Medium!A22&amp;"  "&amp;[3]Medium!B22</f>
        <v>LT-0165  Kabundji</v>
      </c>
      <c r="E15" t="str">
        <f t="shared" si="2"/>
        <v>HLT0165</v>
      </c>
      <c r="F15" t="str">
        <f t="shared" si="3"/>
        <v>D2HLT0165</v>
      </c>
      <c r="G15" t="str">
        <f>C15&amp;[1]FUEL!$C$4</f>
        <v>D2HY00</v>
      </c>
      <c r="H15" t="str">
        <f>C15&amp;[1]FUEL!$C$11</f>
        <v>D2ELC01</v>
      </c>
      <c r="I15" s="1" t="s">
        <v>217</v>
      </c>
      <c r="J15" s="1">
        <f t="shared" si="4"/>
        <v>3.5000000000000003E-2</v>
      </c>
      <c r="K15">
        <v>30</v>
      </c>
      <c r="L15">
        <v>31.536000000000001</v>
      </c>
      <c r="M15">
        <v>2025</v>
      </c>
      <c r="N15">
        <v>1</v>
      </c>
      <c r="O15">
        <v>0.5</v>
      </c>
      <c r="P15">
        <f>Scenarios!$G$7</f>
        <v>0.56000000000000005</v>
      </c>
      <c r="Q15">
        <f>Scenarios!$H$7</f>
        <v>1</v>
      </c>
      <c r="R15">
        <f>ROUND([3]Medium!L22/1000,4)</f>
        <v>3.5000000000000003E-2</v>
      </c>
      <c r="S15">
        <f t="shared" si="5"/>
        <v>168.60527896161935</v>
      </c>
      <c r="T15">
        <f>ROUND([3]Medium!X22/1000,0)</f>
        <v>6310</v>
      </c>
      <c r="U15">
        <f t="shared" ref="U15:Y15" si="31">T15</f>
        <v>6310</v>
      </c>
      <c r="V15">
        <f t="shared" si="31"/>
        <v>6310</v>
      </c>
      <c r="W15">
        <f t="shared" si="31"/>
        <v>6310</v>
      </c>
      <c r="X15">
        <f t="shared" si="31"/>
        <v>6310</v>
      </c>
      <c r="Y15">
        <f t="shared" si="31"/>
        <v>6310</v>
      </c>
      <c r="Z15">
        <f t="shared" si="7"/>
        <v>157.75</v>
      </c>
      <c r="AA15">
        <f t="shared" ref="AA15:AE15" si="32">Z15</f>
        <v>157.75</v>
      </c>
      <c r="AB15">
        <f t="shared" si="32"/>
        <v>157.75</v>
      </c>
      <c r="AC15">
        <f t="shared" si="32"/>
        <v>157.75</v>
      </c>
      <c r="AD15">
        <f t="shared" si="32"/>
        <v>157.75</v>
      </c>
      <c r="AE15">
        <f t="shared" si="32"/>
        <v>157.75</v>
      </c>
    </row>
    <row r="16" spans="1:58" x14ac:dyDescent="0.2">
      <c r="C16" t="str">
        <f>IF([3]Medium!Q23="West","D1",IF([3]Medium!Q23="East","D3",IF([3]Medium!Q23="South","D2","D4")))</f>
        <v>D2</v>
      </c>
      <c r="D16" s="4" t="str">
        <f>[3]Medium!A23&amp;"  "&amp;[3]Medium!B23</f>
        <v>LT-0166  Kayo</v>
      </c>
      <c r="E16" t="str">
        <f t="shared" si="2"/>
        <v>HLT0166</v>
      </c>
      <c r="F16" t="str">
        <f t="shared" si="3"/>
        <v>D2HLT0166</v>
      </c>
      <c r="G16" t="str">
        <f>C16&amp;[1]FUEL!$C$4</f>
        <v>D2HY00</v>
      </c>
      <c r="H16" t="str">
        <f>C16&amp;[1]FUEL!$C$11</f>
        <v>D2ELC01</v>
      </c>
      <c r="I16" s="1" t="s">
        <v>217</v>
      </c>
      <c r="J16" s="1">
        <f t="shared" si="4"/>
        <v>3.4000000000000002E-2</v>
      </c>
      <c r="K16">
        <v>30</v>
      </c>
      <c r="L16">
        <v>31.536000000000001</v>
      </c>
      <c r="M16">
        <v>2025</v>
      </c>
      <c r="N16">
        <v>1</v>
      </c>
      <c r="O16">
        <v>0.5</v>
      </c>
      <c r="P16">
        <f>Scenarios!$G$7</f>
        <v>0.56000000000000005</v>
      </c>
      <c r="Q16">
        <f>Scenarios!$H$7</f>
        <v>1</v>
      </c>
      <c r="R16">
        <f>ROUND([3]Medium!L23/1000,4)</f>
        <v>3.4000000000000002E-2</v>
      </c>
      <c r="S16">
        <f t="shared" si="5"/>
        <v>166.62797458076992</v>
      </c>
      <c r="T16">
        <f>ROUND([3]Medium!X23/1000,0)</f>
        <v>6236</v>
      </c>
      <c r="U16">
        <f t="shared" ref="U16:Y16" si="33">T16</f>
        <v>6236</v>
      </c>
      <c r="V16">
        <f t="shared" si="33"/>
        <v>6236</v>
      </c>
      <c r="W16">
        <f t="shared" si="33"/>
        <v>6236</v>
      </c>
      <c r="X16">
        <f t="shared" si="33"/>
        <v>6236</v>
      </c>
      <c r="Y16">
        <f t="shared" si="33"/>
        <v>6236</v>
      </c>
      <c r="Z16">
        <f t="shared" si="7"/>
        <v>155.9</v>
      </c>
      <c r="AA16">
        <f t="shared" ref="AA16:AE16" si="34">Z16</f>
        <v>155.9</v>
      </c>
      <c r="AB16">
        <f t="shared" si="34"/>
        <v>155.9</v>
      </c>
      <c r="AC16">
        <f t="shared" si="34"/>
        <v>155.9</v>
      </c>
      <c r="AD16">
        <f t="shared" si="34"/>
        <v>155.9</v>
      </c>
      <c r="AE16">
        <f t="shared" si="34"/>
        <v>155.9</v>
      </c>
    </row>
    <row r="17" spans="3:31" x14ac:dyDescent="0.2">
      <c r="C17" t="str">
        <f>IF([3]Medium!Q24="West","D1",IF([3]Medium!Q24="East","D3",IF([3]Medium!Q24="South","D2","D4")))</f>
        <v>D2</v>
      </c>
      <c r="D17" s="4" t="str">
        <f>[3]Medium!A24&amp;"  "&amp;[3]Medium!B24</f>
        <v>LT-0171  Mukuleshi</v>
      </c>
      <c r="E17" t="str">
        <f t="shared" si="2"/>
        <v>HLT0171</v>
      </c>
      <c r="F17" t="str">
        <f t="shared" si="3"/>
        <v>D2HLT0171</v>
      </c>
      <c r="G17" t="str">
        <f>C17&amp;[1]FUEL!$C$4</f>
        <v>D2HY00</v>
      </c>
      <c r="H17" t="str">
        <f>C17&amp;[1]FUEL!$C$11</f>
        <v>D2ELC01</v>
      </c>
      <c r="I17" s="1" t="s">
        <v>217</v>
      </c>
      <c r="J17" s="1">
        <f t="shared" si="4"/>
        <v>3.5000000000000003E-2</v>
      </c>
      <c r="K17">
        <v>30</v>
      </c>
      <c r="L17">
        <v>31.536000000000001</v>
      </c>
      <c r="M17">
        <v>2025</v>
      </c>
      <c r="N17">
        <v>1</v>
      </c>
      <c r="O17">
        <v>0.5</v>
      </c>
      <c r="P17">
        <f>Scenarios!$G$7</f>
        <v>0.56000000000000005</v>
      </c>
      <c r="Q17">
        <f>Scenarios!$H$7</f>
        <v>1</v>
      </c>
      <c r="R17">
        <f>ROUND([3]Medium!L24/1000,4)</f>
        <v>3.5000000000000003E-2</v>
      </c>
      <c r="S17">
        <f t="shared" si="5"/>
        <v>169.54049049310217</v>
      </c>
      <c r="T17">
        <f>ROUND([3]Medium!X24/1000,0)</f>
        <v>6345</v>
      </c>
      <c r="U17">
        <f t="shared" ref="U17:Y17" si="35">T17</f>
        <v>6345</v>
      </c>
      <c r="V17">
        <f t="shared" si="35"/>
        <v>6345</v>
      </c>
      <c r="W17">
        <f t="shared" si="35"/>
        <v>6345</v>
      </c>
      <c r="X17">
        <f t="shared" si="35"/>
        <v>6345</v>
      </c>
      <c r="Y17">
        <f t="shared" si="35"/>
        <v>6345</v>
      </c>
      <c r="Z17">
        <f t="shared" si="7"/>
        <v>158.625</v>
      </c>
      <c r="AA17">
        <f t="shared" ref="AA17:AE17" si="36">Z17</f>
        <v>158.625</v>
      </c>
      <c r="AB17">
        <f t="shared" si="36"/>
        <v>158.625</v>
      </c>
      <c r="AC17">
        <f t="shared" si="36"/>
        <v>158.625</v>
      </c>
      <c r="AD17">
        <f t="shared" si="36"/>
        <v>158.625</v>
      </c>
      <c r="AE17">
        <f t="shared" si="36"/>
        <v>158.625</v>
      </c>
    </row>
    <row r="18" spans="3:31" x14ac:dyDescent="0.2">
      <c r="C18" t="str">
        <f>IF([3]Medium!Q25="West","D1",IF([3]Medium!Q25="East","D3",IF([3]Medium!Q25="South","D2","D4")))</f>
        <v>D2</v>
      </c>
      <c r="D18" s="4" t="str">
        <f>[3]Medium!A25&amp;"  "&amp;[3]Medium!B25</f>
        <v>LT-0182  Kambuji</v>
      </c>
      <c r="E18" t="str">
        <f t="shared" si="2"/>
        <v>HLT0182</v>
      </c>
      <c r="F18" t="str">
        <f t="shared" si="3"/>
        <v>D2HLT0182</v>
      </c>
      <c r="G18" t="str">
        <f>C18&amp;[1]FUEL!$C$4</f>
        <v>D2HY00</v>
      </c>
      <c r="H18" t="str">
        <f>C18&amp;[1]FUEL!$C$11</f>
        <v>D2ELC01</v>
      </c>
      <c r="I18" s="1" t="s">
        <v>217</v>
      </c>
      <c r="J18" s="1">
        <f t="shared" si="4"/>
        <v>3.3799999999999997E-2</v>
      </c>
      <c r="K18">
        <v>30</v>
      </c>
      <c r="L18">
        <v>31.536000000000001</v>
      </c>
      <c r="M18">
        <v>2025</v>
      </c>
      <c r="N18">
        <v>1</v>
      </c>
      <c r="O18">
        <v>0.5</v>
      </c>
      <c r="P18">
        <f>Scenarios!$G$7</f>
        <v>0.56000000000000005</v>
      </c>
      <c r="Q18">
        <f>Scenarios!$H$7</f>
        <v>1</v>
      </c>
      <c r="R18">
        <f>ROUND([3]Medium!L25/1000,4)</f>
        <v>3.3799999999999997E-2</v>
      </c>
      <c r="S18">
        <f t="shared" si="5"/>
        <v>126.14667543229874</v>
      </c>
      <c r="T18">
        <f>ROUND([3]Medium!X25/1000,0)</f>
        <v>4721</v>
      </c>
      <c r="U18">
        <f t="shared" ref="U18:Y18" si="37">T18</f>
        <v>4721</v>
      </c>
      <c r="V18">
        <f t="shared" si="37"/>
        <v>4721</v>
      </c>
      <c r="W18">
        <f t="shared" si="37"/>
        <v>4721</v>
      </c>
      <c r="X18">
        <f t="shared" si="37"/>
        <v>4721</v>
      </c>
      <c r="Y18">
        <f t="shared" si="37"/>
        <v>4721</v>
      </c>
      <c r="Z18">
        <f t="shared" si="7"/>
        <v>118.02500000000001</v>
      </c>
      <c r="AA18">
        <f t="shared" ref="AA18:AE18" si="38">Z18</f>
        <v>118.02500000000001</v>
      </c>
      <c r="AB18">
        <f t="shared" si="38"/>
        <v>118.02500000000001</v>
      </c>
      <c r="AC18">
        <f t="shared" si="38"/>
        <v>118.02500000000001</v>
      </c>
      <c r="AD18">
        <f t="shared" si="38"/>
        <v>118.02500000000001</v>
      </c>
      <c r="AE18">
        <f t="shared" si="38"/>
        <v>118.02500000000001</v>
      </c>
    </row>
    <row r="19" spans="3:31" x14ac:dyDescent="0.2">
      <c r="C19" t="str">
        <f>IF([3]Medium!Q26="West","D1",IF([3]Medium!Q26="East","D3",IF([3]Medium!Q26="South","D2","D4")))</f>
        <v>D1</v>
      </c>
      <c r="D19" s="4" t="str">
        <f>[3]Medium!A26&amp;"  "&amp;[3]Medium!B26</f>
        <v>SF-0670  SF-0670</v>
      </c>
      <c r="E19" t="str">
        <f t="shared" si="2"/>
        <v>HSF0670</v>
      </c>
      <c r="F19" t="str">
        <f t="shared" si="3"/>
        <v>D1HSF0670</v>
      </c>
      <c r="G19" t="str">
        <f>C19&amp;[1]FUEL!$C$4</f>
        <v>D1HY00</v>
      </c>
      <c r="H19" t="str">
        <f>C19&amp;[1]FUEL!$C$11</f>
        <v>D1ELC01</v>
      </c>
      <c r="I19" s="1" t="s">
        <v>217</v>
      </c>
      <c r="J19" s="1">
        <f t="shared" si="4"/>
        <v>2.7300000000000001E-2</v>
      </c>
      <c r="K19">
        <v>30</v>
      </c>
      <c r="L19">
        <v>31.536000000000001</v>
      </c>
      <c r="M19">
        <v>2025</v>
      </c>
      <c r="N19">
        <v>1</v>
      </c>
      <c r="O19">
        <v>0.5</v>
      </c>
      <c r="P19">
        <f>Scenarios!$G$7</f>
        <v>0.56000000000000005</v>
      </c>
      <c r="Q19">
        <f>Scenarios!$H$7</f>
        <v>1</v>
      </c>
      <c r="R19">
        <f>ROUND([3]Medium!L26/1000,4)</f>
        <v>2.7300000000000001E-2</v>
      </c>
      <c r="S19">
        <f t="shared" si="5"/>
        <v>134.64374020405702</v>
      </c>
      <c r="T19">
        <f>ROUND([3]Medium!X26/1000,0)</f>
        <v>5039</v>
      </c>
      <c r="U19">
        <f t="shared" ref="U19:Y19" si="39">T19</f>
        <v>5039</v>
      </c>
      <c r="V19">
        <f t="shared" si="39"/>
        <v>5039</v>
      </c>
      <c r="W19">
        <f t="shared" si="39"/>
        <v>5039</v>
      </c>
      <c r="X19">
        <f t="shared" si="39"/>
        <v>5039</v>
      </c>
      <c r="Y19">
        <f t="shared" si="39"/>
        <v>5039</v>
      </c>
      <c r="Z19">
        <f t="shared" si="7"/>
        <v>125.97499999999999</v>
      </c>
      <c r="AA19">
        <f t="shared" ref="AA19:AE19" si="40">Z19</f>
        <v>125.97499999999999</v>
      </c>
      <c r="AB19">
        <f t="shared" si="40"/>
        <v>125.97499999999999</v>
      </c>
      <c r="AC19">
        <f t="shared" si="40"/>
        <v>125.97499999999999</v>
      </c>
      <c r="AD19">
        <f t="shared" si="40"/>
        <v>125.97499999999999</v>
      </c>
      <c r="AE19">
        <f t="shared" si="40"/>
        <v>125.97499999999999</v>
      </c>
    </row>
    <row r="20" spans="3:31" x14ac:dyDescent="0.2">
      <c r="C20" t="str">
        <f>IF([3]Medium!Q27="West","D1",IF([3]Medium!Q27="East","D3",IF([3]Medium!Q27="South","D2","D4")))</f>
        <v>D1</v>
      </c>
      <c r="D20" s="4" t="str">
        <f>[3]Medium!A27&amp;"  "&amp;[3]Medium!B27</f>
        <v>SF-0698  SF-0698</v>
      </c>
      <c r="E20" t="str">
        <f t="shared" si="2"/>
        <v>HSF0698</v>
      </c>
      <c r="F20" t="str">
        <f t="shared" si="3"/>
        <v>D1HSF0698</v>
      </c>
      <c r="G20" t="str">
        <f>C20&amp;[1]FUEL!$C$4</f>
        <v>D1HY00</v>
      </c>
      <c r="H20" t="str">
        <f>C20&amp;[1]FUEL!$C$11</f>
        <v>D1ELC01</v>
      </c>
      <c r="I20" s="1" t="s">
        <v>217</v>
      </c>
      <c r="J20" s="1">
        <f t="shared" si="4"/>
        <v>3.3399999999999999E-2</v>
      </c>
      <c r="K20">
        <v>30</v>
      </c>
      <c r="L20">
        <v>31.536000000000001</v>
      </c>
      <c r="M20">
        <v>2025</v>
      </c>
      <c r="N20">
        <v>1</v>
      </c>
      <c r="O20">
        <v>0.5</v>
      </c>
      <c r="P20">
        <f>Scenarios!$G$7</f>
        <v>0.56000000000000005</v>
      </c>
      <c r="Q20">
        <f>Scenarios!$H$7</f>
        <v>1</v>
      </c>
      <c r="R20">
        <f>ROUND([3]Medium!L27/1000,4)</f>
        <v>3.3399999999999999E-2</v>
      </c>
      <c r="S20">
        <f t="shared" si="5"/>
        <v>123.84872709779803</v>
      </c>
      <c r="T20">
        <f>ROUND([3]Medium!X27/1000,0)</f>
        <v>4635</v>
      </c>
      <c r="U20">
        <f t="shared" ref="U20:Y20" si="41">T20</f>
        <v>4635</v>
      </c>
      <c r="V20">
        <f t="shared" si="41"/>
        <v>4635</v>
      </c>
      <c r="W20">
        <f t="shared" si="41"/>
        <v>4635</v>
      </c>
      <c r="X20">
        <f t="shared" si="41"/>
        <v>4635</v>
      </c>
      <c r="Y20">
        <f t="shared" si="41"/>
        <v>4635</v>
      </c>
      <c r="Z20">
        <f t="shared" si="7"/>
        <v>115.875</v>
      </c>
      <c r="AA20">
        <f t="shared" ref="AA20:AE20" si="42">Z20</f>
        <v>115.875</v>
      </c>
      <c r="AB20">
        <f t="shared" si="42"/>
        <v>115.875</v>
      </c>
      <c r="AC20">
        <f t="shared" si="42"/>
        <v>115.875</v>
      </c>
      <c r="AD20">
        <f t="shared" si="42"/>
        <v>115.875</v>
      </c>
      <c r="AE20">
        <f t="shared" si="42"/>
        <v>115.875</v>
      </c>
    </row>
    <row r="21" spans="3:31" x14ac:dyDescent="0.2">
      <c r="C21" t="str">
        <f>IF([3]Medium!Q28="West","D1",IF([3]Medium!Q28="East","D3",IF([3]Medium!Q28="South","D2","D4")))</f>
        <v>D1</v>
      </c>
      <c r="D21" s="4" t="str">
        <f>[3]Medium!A28&amp;"  "&amp;[3]Medium!B28</f>
        <v>SF-0844  SF-0844</v>
      </c>
      <c r="E21" t="str">
        <f t="shared" si="2"/>
        <v>HSF0844</v>
      </c>
      <c r="F21" t="str">
        <f t="shared" si="3"/>
        <v>D1HSF0844</v>
      </c>
      <c r="G21" t="str">
        <f>C21&amp;[1]FUEL!$C$4</f>
        <v>D1HY00</v>
      </c>
      <c r="H21" t="str">
        <f>C21&amp;[1]FUEL!$C$11</f>
        <v>D1ELC01</v>
      </c>
      <c r="I21" s="1" t="s">
        <v>217</v>
      </c>
      <c r="J21" s="1">
        <f t="shared" si="4"/>
        <v>2.0799999999999999E-2</v>
      </c>
      <c r="K21">
        <v>30</v>
      </c>
      <c r="L21">
        <v>31.536000000000001</v>
      </c>
      <c r="M21">
        <v>2025</v>
      </c>
      <c r="N21">
        <v>1</v>
      </c>
      <c r="O21">
        <v>0.5</v>
      </c>
      <c r="P21">
        <f>Scenarios!$G$7</f>
        <v>0.56000000000000005</v>
      </c>
      <c r="Q21">
        <f>Scenarios!$H$7</f>
        <v>1</v>
      </c>
      <c r="R21">
        <f>ROUND([3]Medium!L28/1000,4)</f>
        <v>2.0799999999999999E-2</v>
      </c>
      <c r="S21">
        <f t="shared" si="5"/>
        <v>178.51852119533737</v>
      </c>
      <c r="T21">
        <f>ROUND([3]Medium!X28/1000,0)</f>
        <v>6681</v>
      </c>
      <c r="U21">
        <f t="shared" ref="U21:Y21" si="43">T21</f>
        <v>6681</v>
      </c>
      <c r="V21">
        <f t="shared" si="43"/>
        <v>6681</v>
      </c>
      <c r="W21">
        <f t="shared" si="43"/>
        <v>6681</v>
      </c>
      <c r="X21">
        <f t="shared" si="43"/>
        <v>6681</v>
      </c>
      <c r="Y21">
        <f t="shared" si="43"/>
        <v>6681</v>
      </c>
      <c r="Z21">
        <f t="shared" si="7"/>
        <v>167.02500000000001</v>
      </c>
      <c r="AA21">
        <f t="shared" ref="AA21:AE21" si="44">Z21</f>
        <v>167.02500000000001</v>
      </c>
      <c r="AB21">
        <f t="shared" si="44"/>
        <v>167.02500000000001</v>
      </c>
      <c r="AC21">
        <f t="shared" si="44"/>
        <v>167.02500000000001</v>
      </c>
      <c r="AD21">
        <f t="shared" si="44"/>
        <v>167.02500000000001</v>
      </c>
      <c r="AE21">
        <f t="shared" si="44"/>
        <v>167.02500000000001</v>
      </c>
    </row>
    <row r="22" spans="3:31" x14ac:dyDescent="0.2">
      <c r="C22" t="str">
        <f>IF([3]Medium!Q29="West","D1",IF([3]Medium!Q29="East","D3",IF([3]Medium!Q29="South","D2","D4")))</f>
        <v>D2</v>
      </c>
      <c r="D22" s="4" t="str">
        <f>[3]Medium!A29&amp;"  "&amp;[3]Medium!B29</f>
        <v>SF-0852  SF-0852</v>
      </c>
      <c r="E22" t="str">
        <f t="shared" si="2"/>
        <v>HSF0852</v>
      </c>
      <c r="F22" t="str">
        <f t="shared" si="3"/>
        <v>D2HSF0852</v>
      </c>
      <c r="G22" t="str">
        <f>C22&amp;[1]FUEL!$C$4</f>
        <v>D2HY00</v>
      </c>
      <c r="H22" t="str">
        <f>C22&amp;[1]FUEL!$C$11</f>
        <v>D2ELC01</v>
      </c>
      <c r="I22" s="1" t="s">
        <v>217</v>
      </c>
      <c r="J22" s="1">
        <f t="shared" si="4"/>
        <v>4.4200000000000003E-2</v>
      </c>
      <c r="K22">
        <v>30</v>
      </c>
      <c r="L22">
        <v>31.536000000000001</v>
      </c>
      <c r="M22">
        <v>2025</v>
      </c>
      <c r="N22">
        <v>1</v>
      </c>
      <c r="O22">
        <v>0.5</v>
      </c>
      <c r="P22">
        <f>Scenarios!$G$7</f>
        <v>0.56000000000000005</v>
      </c>
      <c r="Q22">
        <f>Scenarios!$H$7</f>
        <v>1</v>
      </c>
      <c r="R22">
        <f>ROUND([3]Medium!L29/1000,4)</f>
        <v>4.4200000000000003E-2</v>
      </c>
      <c r="S22">
        <f t="shared" si="5"/>
        <v>123.34104083785022</v>
      </c>
      <c r="T22">
        <f>ROUND([3]Medium!X29/1000,0)</f>
        <v>4616</v>
      </c>
      <c r="U22">
        <f t="shared" ref="U22:Y22" si="45">T22</f>
        <v>4616</v>
      </c>
      <c r="V22">
        <f t="shared" si="45"/>
        <v>4616</v>
      </c>
      <c r="W22">
        <f t="shared" si="45"/>
        <v>4616</v>
      </c>
      <c r="X22">
        <f t="shared" si="45"/>
        <v>4616</v>
      </c>
      <c r="Y22">
        <f t="shared" si="45"/>
        <v>4616</v>
      </c>
      <c r="Z22">
        <f t="shared" si="7"/>
        <v>115.4</v>
      </c>
      <c r="AA22">
        <f t="shared" ref="AA22:AE22" si="46">Z22</f>
        <v>115.4</v>
      </c>
      <c r="AB22">
        <f t="shared" si="46"/>
        <v>115.4</v>
      </c>
      <c r="AC22">
        <f t="shared" si="46"/>
        <v>115.4</v>
      </c>
      <c r="AD22">
        <f t="shared" si="46"/>
        <v>115.4</v>
      </c>
      <c r="AE22">
        <f t="shared" si="46"/>
        <v>115.4</v>
      </c>
    </row>
    <row r="23" spans="3:31" x14ac:dyDescent="0.2">
      <c r="C23" t="str">
        <f>IF([3]Medium!Q30="West","D1",IF([3]Medium!Q30="East","D3",IF([3]Medium!Q30="South","D2","D4")))</f>
        <v>D1</v>
      </c>
      <c r="D23" s="4" t="str">
        <f>[3]Medium!A30&amp;"  "&amp;[3]Medium!B30</f>
        <v>SF-0885  SF-0885</v>
      </c>
      <c r="E23" t="str">
        <f t="shared" si="2"/>
        <v>HSF0885</v>
      </c>
      <c r="F23" t="str">
        <f t="shared" si="3"/>
        <v>D1HSF0885</v>
      </c>
      <c r="G23" t="str">
        <f>C23&amp;[1]FUEL!$C$4</f>
        <v>D1HY00</v>
      </c>
      <c r="H23" t="str">
        <f>C23&amp;[1]FUEL!$C$11</f>
        <v>D1ELC01</v>
      </c>
      <c r="I23" s="1" t="s">
        <v>217</v>
      </c>
      <c r="J23" s="1">
        <f t="shared" si="4"/>
        <v>2.9399999999999999E-2</v>
      </c>
      <c r="K23">
        <v>30</v>
      </c>
      <c r="L23">
        <v>31.536000000000001</v>
      </c>
      <c r="M23">
        <v>2025</v>
      </c>
      <c r="N23">
        <v>1</v>
      </c>
      <c r="O23">
        <v>0.5</v>
      </c>
      <c r="P23">
        <f>Scenarios!$G$7</f>
        <v>0.56000000000000005</v>
      </c>
      <c r="Q23">
        <f>Scenarios!$H$7</f>
        <v>1</v>
      </c>
      <c r="R23">
        <f>ROUND([3]Medium!L30/1000,4)</f>
        <v>2.9399999999999999E-2</v>
      </c>
      <c r="S23">
        <f t="shared" si="5"/>
        <v>160.88310374451822</v>
      </c>
      <c r="T23">
        <f>ROUND([3]Medium!X30/1000,0)</f>
        <v>6021</v>
      </c>
      <c r="U23">
        <f t="shared" ref="U23:Y23" si="47">T23</f>
        <v>6021</v>
      </c>
      <c r="V23">
        <f t="shared" si="47"/>
        <v>6021</v>
      </c>
      <c r="W23">
        <f t="shared" si="47"/>
        <v>6021</v>
      </c>
      <c r="X23">
        <f t="shared" si="47"/>
        <v>6021</v>
      </c>
      <c r="Y23">
        <f t="shared" si="47"/>
        <v>6021</v>
      </c>
      <c r="Z23">
        <f t="shared" si="7"/>
        <v>150.52500000000001</v>
      </c>
      <c r="AA23">
        <f t="shared" ref="AA23:AE23" si="48">Z23</f>
        <v>150.52500000000001</v>
      </c>
      <c r="AB23">
        <f t="shared" si="48"/>
        <v>150.52500000000001</v>
      </c>
      <c r="AC23">
        <f t="shared" si="48"/>
        <v>150.52500000000001</v>
      </c>
      <c r="AD23">
        <f t="shared" si="48"/>
        <v>150.52500000000001</v>
      </c>
      <c r="AE23">
        <f t="shared" si="48"/>
        <v>150.52500000000001</v>
      </c>
    </row>
    <row r="24" spans="3:31" x14ac:dyDescent="0.2">
      <c r="C24" t="str">
        <f>IF([3]Medium!Q31="West","D1",IF([3]Medium!Q31="East","D3",IF([3]Medium!Q31="South","D2","D4")))</f>
        <v>D1</v>
      </c>
      <c r="D24" s="4" t="str">
        <f>[3]Medium!A31&amp;"  "&amp;[3]Medium!B31</f>
        <v>SF-0889  SF-0889</v>
      </c>
      <c r="E24" t="str">
        <f t="shared" si="2"/>
        <v>HSF0889</v>
      </c>
      <c r="F24" t="str">
        <f t="shared" si="3"/>
        <v>D1HSF0889</v>
      </c>
      <c r="G24" t="str">
        <f>C24&amp;[1]FUEL!$C$4</f>
        <v>D1HY00</v>
      </c>
      <c r="H24" t="str">
        <f>C24&amp;[1]FUEL!$C$11</f>
        <v>D1ELC01</v>
      </c>
      <c r="I24" s="1" t="s">
        <v>217</v>
      </c>
      <c r="J24" s="1">
        <f t="shared" si="4"/>
        <v>3.4500000000000003E-2</v>
      </c>
      <c r="K24">
        <v>30</v>
      </c>
      <c r="L24">
        <v>31.536000000000001</v>
      </c>
      <c r="M24">
        <v>2025</v>
      </c>
      <c r="N24">
        <v>1</v>
      </c>
      <c r="O24">
        <v>0.5</v>
      </c>
      <c r="P24">
        <f>Scenarios!$G$7</f>
        <v>0.56000000000000005</v>
      </c>
      <c r="Q24">
        <f>Scenarios!$H$7</f>
        <v>1</v>
      </c>
      <c r="R24">
        <f>ROUND([3]Medium!L31/1000,4)</f>
        <v>3.4500000000000003E-2</v>
      </c>
      <c r="S24">
        <f t="shared" si="5"/>
        <v>154.52366533043499</v>
      </c>
      <c r="T24">
        <f>ROUND([3]Medium!X31/1000,0)</f>
        <v>5783</v>
      </c>
      <c r="U24">
        <f t="shared" ref="U24:Y24" si="49">T24</f>
        <v>5783</v>
      </c>
      <c r="V24">
        <f t="shared" si="49"/>
        <v>5783</v>
      </c>
      <c r="W24">
        <f t="shared" si="49"/>
        <v>5783</v>
      </c>
      <c r="X24">
        <f t="shared" si="49"/>
        <v>5783</v>
      </c>
      <c r="Y24">
        <f t="shared" si="49"/>
        <v>5783</v>
      </c>
      <c r="Z24">
        <f t="shared" si="7"/>
        <v>144.57499999999999</v>
      </c>
      <c r="AA24">
        <f t="shared" ref="AA24:AE24" si="50">Z24</f>
        <v>144.57499999999999</v>
      </c>
      <c r="AB24">
        <f t="shared" si="50"/>
        <v>144.57499999999999</v>
      </c>
      <c r="AC24">
        <f t="shared" si="50"/>
        <v>144.57499999999999</v>
      </c>
      <c r="AD24">
        <f t="shared" si="50"/>
        <v>144.57499999999999</v>
      </c>
      <c r="AE24">
        <f t="shared" si="50"/>
        <v>144.57499999999999</v>
      </c>
    </row>
    <row r="25" spans="3:31" x14ac:dyDescent="0.2">
      <c r="C25" t="str">
        <f>IF([3]Medium!Q32="West","D1",IF([3]Medium!Q32="East","D3",IF([3]Medium!Q32="South","D2","D4")))</f>
        <v>D1</v>
      </c>
      <c r="D25" s="4" t="str">
        <f>[3]Medium!A32&amp;"  "&amp;[3]Medium!B32</f>
        <v>SF-0897  SF-0897</v>
      </c>
      <c r="E25" t="str">
        <f t="shared" si="2"/>
        <v>HSF0897</v>
      </c>
      <c r="F25" t="str">
        <f t="shared" si="3"/>
        <v>D1HSF0897</v>
      </c>
      <c r="G25" t="str">
        <f>C25&amp;[1]FUEL!$C$4</f>
        <v>D1HY00</v>
      </c>
      <c r="H25" t="str">
        <f>C25&amp;[1]FUEL!$C$11</f>
        <v>D1ELC01</v>
      </c>
      <c r="I25" s="1" t="s">
        <v>217</v>
      </c>
      <c r="J25" s="1">
        <f t="shared" si="4"/>
        <v>2.8899999999999999E-2</v>
      </c>
      <c r="K25">
        <v>30</v>
      </c>
      <c r="L25">
        <v>31.536000000000001</v>
      </c>
      <c r="M25">
        <v>2025</v>
      </c>
      <c r="N25">
        <v>1</v>
      </c>
      <c r="O25">
        <v>0.5</v>
      </c>
      <c r="P25">
        <f>Scenarios!$G$7</f>
        <v>0.56000000000000005</v>
      </c>
      <c r="Q25">
        <f>Scenarios!$H$7</f>
        <v>1</v>
      </c>
      <c r="R25">
        <f>ROUND([3]Medium!L32/1000,4)</f>
        <v>2.8899999999999999E-2</v>
      </c>
      <c r="S25">
        <f t="shared" si="5"/>
        <v>162.88712845483857</v>
      </c>
      <c r="T25">
        <f>ROUND([3]Medium!X32/1000,0)</f>
        <v>6096</v>
      </c>
      <c r="U25">
        <f t="shared" ref="U25:Y25" si="51">T25</f>
        <v>6096</v>
      </c>
      <c r="V25">
        <f t="shared" si="51"/>
        <v>6096</v>
      </c>
      <c r="W25">
        <f t="shared" si="51"/>
        <v>6096</v>
      </c>
      <c r="X25">
        <f t="shared" si="51"/>
        <v>6096</v>
      </c>
      <c r="Y25">
        <f t="shared" si="51"/>
        <v>6096</v>
      </c>
      <c r="Z25">
        <f t="shared" si="7"/>
        <v>152.4</v>
      </c>
      <c r="AA25">
        <f t="shared" ref="AA25:AE25" si="52">Z25</f>
        <v>152.4</v>
      </c>
      <c r="AB25">
        <f t="shared" si="52"/>
        <v>152.4</v>
      </c>
      <c r="AC25">
        <f t="shared" si="52"/>
        <v>152.4</v>
      </c>
      <c r="AD25">
        <f t="shared" si="52"/>
        <v>152.4</v>
      </c>
      <c r="AE25">
        <f t="shared" si="52"/>
        <v>152.4</v>
      </c>
    </row>
    <row r="26" spans="3:31" x14ac:dyDescent="0.2">
      <c r="C26" t="str">
        <f>IF([3]Medium!Q33="West","D1",IF([3]Medium!Q33="East","D3",IF([3]Medium!Q33="South","D2","D4")))</f>
        <v>D2</v>
      </c>
      <c r="D26" s="4" t="str">
        <f>[3]Medium!A33&amp;"  "&amp;[3]Medium!B33</f>
        <v>SF-0910  SF-0910</v>
      </c>
      <c r="E26" t="str">
        <f t="shared" si="2"/>
        <v>HSF0910</v>
      </c>
      <c r="F26" t="str">
        <f t="shared" si="3"/>
        <v>D2HSF0910</v>
      </c>
      <c r="G26" t="str">
        <f>C26&amp;[1]FUEL!$C$4</f>
        <v>D2HY00</v>
      </c>
      <c r="H26" t="str">
        <f>C26&amp;[1]FUEL!$C$11</f>
        <v>D2ELC01</v>
      </c>
      <c r="I26" s="1" t="s">
        <v>217</v>
      </c>
      <c r="J26" s="1">
        <f t="shared" si="4"/>
        <v>4.1099999999999998E-2</v>
      </c>
      <c r="K26">
        <v>30</v>
      </c>
      <c r="L26">
        <v>31.536000000000001</v>
      </c>
      <c r="M26">
        <v>2025</v>
      </c>
      <c r="N26">
        <v>1</v>
      </c>
      <c r="O26">
        <v>0.5</v>
      </c>
      <c r="P26">
        <f>Scenarios!$G$7</f>
        <v>0.56000000000000005</v>
      </c>
      <c r="Q26">
        <f>Scenarios!$H$7</f>
        <v>1</v>
      </c>
      <c r="R26">
        <f>ROUND([3]Medium!L33/1000,4)</f>
        <v>4.1099999999999998E-2</v>
      </c>
      <c r="S26">
        <f t="shared" si="5"/>
        <v>133.28100340103919</v>
      </c>
      <c r="T26">
        <f>ROUND([3]Medium!X33/1000,0)</f>
        <v>4988</v>
      </c>
      <c r="U26">
        <f t="shared" ref="U26:Y26" si="53">T26</f>
        <v>4988</v>
      </c>
      <c r="V26">
        <f t="shared" si="53"/>
        <v>4988</v>
      </c>
      <c r="W26">
        <f t="shared" si="53"/>
        <v>4988</v>
      </c>
      <c r="X26">
        <f t="shared" si="53"/>
        <v>4988</v>
      </c>
      <c r="Y26">
        <f t="shared" si="53"/>
        <v>4988</v>
      </c>
      <c r="Z26">
        <f t="shared" si="7"/>
        <v>124.7</v>
      </c>
      <c r="AA26">
        <f t="shared" ref="AA26:AE26" si="54">Z26</f>
        <v>124.7</v>
      </c>
      <c r="AB26">
        <f t="shared" si="54"/>
        <v>124.7</v>
      </c>
      <c r="AC26">
        <f t="shared" si="54"/>
        <v>124.7</v>
      </c>
      <c r="AD26">
        <f t="shared" si="54"/>
        <v>124.7</v>
      </c>
      <c r="AE26">
        <f t="shared" si="54"/>
        <v>124.7</v>
      </c>
    </row>
    <row r="27" spans="3:31" s="24" customFormat="1" x14ac:dyDescent="0.2">
      <c r="C27" s="24" t="str">
        <f>IF([3]Medium!Q34="West","D1",IF([3]Medium!Q34="East","D3",IF([3]Medium!Q34="South","D2","D4")))</f>
        <v>D3</v>
      </c>
      <c r="D27" s="46" t="str">
        <f>[3]Medium!A34&amp;"  "&amp;[3]Medium!B34</f>
        <v>SF-0911  SF-0911</v>
      </c>
      <c r="E27" s="24" t="str">
        <f t="shared" si="2"/>
        <v>HSF0911</v>
      </c>
      <c r="F27" s="24" t="str">
        <f t="shared" si="3"/>
        <v>D3HSF0911</v>
      </c>
      <c r="G27" s="24" t="str">
        <f>C27&amp;[1]FUEL!$C$4</f>
        <v>D3HY00</v>
      </c>
      <c r="H27" s="24" t="str">
        <f>C27&amp;[1]FUEL!$C$11</f>
        <v>D3ELC01</v>
      </c>
      <c r="I27" s="24" t="s">
        <v>217</v>
      </c>
      <c r="J27" s="24">
        <f t="shared" si="4"/>
        <v>2.8500000000000001E-2</v>
      </c>
      <c r="K27" s="24">
        <v>30</v>
      </c>
      <c r="L27" s="24">
        <v>31.536000000000001</v>
      </c>
      <c r="M27" s="24">
        <v>2025</v>
      </c>
      <c r="N27" s="24">
        <v>1</v>
      </c>
      <c r="O27" s="24">
        <v>0.5</v>
      </c>
      <c r="P27" s="24">
        <f>Scenarios!$G$7</f>
        <v>0.56000000000000005</v>
      </c>
      <c r="Q27" s="24">
        <f>Scenarios!$H$7</f>
        <v>1</v>
      </c>
      <c r="R27" s="24">
        <f>ROUND([3]Medium!L34/1000,4)</f>
        <v>2.8500000000000001E-2</v>
      </c>
      <c r="S27">
        <f t="shared" si="5"/>
        <v>146.32052418285696</v>
      </c>
      <c r="T27" s="24">
        <f>ROUND([3]Medium!X34/1000,0)</f>
        <v>5476</v>
      </c>
      <c r="U27" s="24">
        <f t="shared" ref="U27:Y27" si="55">T27</f>
        <v>5476</v>
      </c>
      <c r="V27" s="24">
        <f t="shared" si="55"/>
        <v>5476</v>
      </c>
      <c r="W27" s="24">
        <f t="shared" si="55"/>
        <v>5476</v>
      </c>
      <c r="X27" s="24">
        <f t="shared" si="55"/>
        <v>5476</v>
      </c>
      <c r="Y27" s="24">
        <f t="shared" si="55"/>
        <v>5476</v>
      </c>
      <c r="Z27" s="24">
        <f t="shared" si="7"/>
        <v>136.9</v>
      </c>
      <c r="AA27" s="24">
        <f t="shared" ref="AA27:AE27" si="56">Z27</f>
        <v>136.9</v>
      </c>
      <c r="AB27" s="24">
        <f t="shared" si="56"/>
        <v>136.9</v>
      </c>
      <c r="AC27" s="24">
        <f t="shared" si="56"/>
        <v>136.9</v>
      </c>
      <c r="AD27" s="24">
        <f t="shared" si="56"/>
        <v>136.9</v>
      </c>
      <c r="AE27" s="24">
        <f t="shared" si="56"/>
        <v>136.9</v>
      </c>
    </row>
    <row r="28" spans="3:31" x14ac:dyDescent="0.2">
      <c r="C28" t="str">
        <f>IF([3]Medium!Q35="West","D1",IF([3]Medium!Q35="East","D3",IF([3]Medium!Q35="South","D2","D4")))</f>
        <v>D1</v>
      </c>
      <c r="D28" s="4" t="str">
        <f>[3]Medium!A35&amp;"  "&amp;[3]Medium!B35</f>
        <v>SF-0937  SF-0937</v>
      </c>
      <c r="E28" t="str">
        <f t="shared" si="2"/>
        <v>HSF0937</v>
      </c>
      <c r="F28" t="str">
        <f t="shared" si="3"/>
        <v>D1HSF0937</v>
      </c>
      <c r="G28" t="str">
        <f>C28&amp;[1]FUEL!$C$4</f>
        <v>D1HY00</v>
      </c>
      <c r="H28" t="str">
        <f>C28&amp;[1]FUEL!$C$11</f>
        <v>D1ELC01</v>
      </c>
      <c r="I28" s="1" t="s">
        <v>217</v>
      </c>
      <c r="J28" s="1">
        <f t="shared" si="4"/>
        <v>2.46E-2</v>
      </c>
      <c r="K28">
        <v>30</v>
      </c>
      <c r="L28">
        <v>31.536000000000001</v>
      </c>
      <c r="M28">
        <v>2025</v>
      </c>
      <c r="N28">
        <v>1</v>
      </c>
      <c r="O28">
        <v>0.5</v>
      </c>
      <c r="P28">
        <f>Scenarios!$G$7</f>
        <v>0.56000000000000005</v>
      </c>
      <c r="Q28">
        <f>Scenarios!$H$7</f>
        <v>1</v>
      </c>
      <c r="R28">
        <f>ROUND([3]Medium!L35/1000,4)</f>
        <v>2.46E-2</v>
      </c>
      <c r="S28">
        <f t="shared" si="5"/>
        <v>149.17959943624734</v>
      </c>
      <c r="T28">
        <f>ROUND([3]Medium!X35/1000,0)</f>
        <v>5583</v>
      </c>
      <c r="U28">
        <f t="shared" ref="U28:Y28" si="57">T28</f>
        <v>5583</v>
      </c>
      <c r="V28">
        <f t="shared" si="57"/>
        <v>5583</v>
      </c>
      <c r="W28">
        <f t="shared" si="57"/>
        <v>5583</v>
      </c>
      <c r="X28">
        <f t="shared" si="57"/>
        <v>5583</v>
      </c>
      <c r="Y28">
        <f t="shared" si="57"/>
        <v>5583</v>
      </c>
      <c r="Z28">
        <f t="shared" si="7"/>
        <v>139.57499999999999</v>
      </c>
      <c r="AA28">
        <f t="shared" ref="AA28:AE28" si="58">Z28</f>
        <v>139.57499999999999</v>
      </c>
      <c r="AB28">
        <f t="shared" si="58"/>
        <v>139.57499999999999</v>
      </c>
      <c r="AC28">
        <f t="shared" si="58"/>
        <v>139.57499999999999</v>
      </c>
      <c r="AD28">
        <f t="shared" si="58"/>
        <v>139.57499999999999</v>
      </c>
      <c r="AE28">
        <f t="shared" si="58"/>
        <v>139.57499999999999</v>
      </c>
    </row>
    <row r="29" spans="3:31" x14ac:dyDescent="0.2">
      <c r="C29" t="str">
        <f>IF([3]Medium!Q36="West","D1",IF([3]Medium!Q36="East","D3",IF([3]Medium!Q36="South","D2","D4")))</f>
        <v>D4</v>
      </c>
      <c r="D29" s="4" t="str">
        <f>[3]Medium!A36&amp;"  "&amp;[3]Medium!B36</f>
        <v>SF-0958  SF-0958</v>
      </c>
      <c r="E29" t="str">
        <f t="shared" si="2"/>
        <v>HSF0958</v>
      </c>
      <c r="F29" t="str">
        <f t="shared" si="3"/>
        <v>D4HSF0958</v>
      </c>
      <c r="G29" t="str">
        <f>C29&amp;[1]FUEL!$C$4</f>
        <v>D4HY00</v>
      </c>
      <c r="H29" t="str">
        <f>C29&amp;[1]FUEL!$C$11</f>
        <v>D4ELC01</v>
      </c>
      <c r="I29" s="1" t="s">
        <v>217</v>
      </c>
      <c r="J29" s="1">
        <f t="shared" si="4"/>
        <v>4.3099999999999999E-2</v>
      </c>
      <c r="K29">
        <v>30</v>
      </c>
      <c r="L29">
        <v>31.536000000000001</v>
      </c>
      <c r="M29">
        <v>2025</v>
      </c>
      <c r="N29">
        <v>1</v>
      </c>
      <c r="O29">
        <v>0.5</v>
      </c>
      <c r="P29">
        <f>Scenarios!$G$7</f>
        <v>0.56000000000000005</v>
      </c>
      <c r="Q29">
        <f>Scenarios!$H$7</f>
        <v>1</v>
      </c>
      <c r="R29">
        <f>ROUND([3]Medium!L36/1000,4)</f>
        <v>4.3099999999999999E-2</v>
      </c>
      <c r="S29">
        <f t="shared" si="5"/>
        <v>145.99988022920573</v>
      </c>
      <c r="T29">
        <f>ROUND([3]Medium!X36/1000,0)</f>
        <v>5464</v>
      </c>
      <c r="U29">
        <f t="shared" ref="U29:Y29" si="59">T29</f>
        <v>5464</v>
      </c>
      <c r="V29">
        <f t="shared" si="59"/>
        <v>5464</v>
      </c>
      <c r="W29">
        <f t="shared" si="59"/>
        <v>5464</v>
      </c>
      <c r="X29">
        <f t="shared" si="59"/>
        <v>5464</v>
      </c>
      <c r="Y29">
        <f t="shared" si="59"/>
        <v>5464</v>
      </c>
      <c r="Z29">
        <f t="shared" si="7"/>
        <v>136.6</v>
      </c>
      <c r="AA29">
        <f t="shared" ref="AA29:AE29" si="60">Z29</f>
        <v>136.6</v>
      </c>
      <c r="AB29">
        <f t="shared" si="60"/>
        <v>136.6</v>
      </c>
      <c r="AC29">
        <f t="shared" si="60"/>
        <v>136.6</v>
      </c>
      <c r="AD29">
        <f t="shared" si="60"/>
        <v>136.6</v>
      </c>
      <c r="AE29">
        <f t="shared" si="60"/>
        <v>136.6</v>
      </c>
    </row>
    <row r="30" spans="3:31" x14ac:dyDescent="0.2">
      <c r="C30" t="str">
        <f>IF([3]Medium!Q37="West","D1",IF([3]Medium!Q37="East","D3",IF([3]Medium!Q37="South","D2","D4")))</f>
        <v>D4</v>
      </c>
      <c r="D30" s="4" t="str">
        <f>[3]Medium!A37&amp;"  "&amp;[3]Medium!B37</f>
        <v>SF-0963  SF-0963</v>
      </c>
      <c r="E30" t="str">
        <f t="shared" si="2"/>
        <v>HSF0963</v>
      </c>
      <c r="F30" t="str">
        <f t="shared" ref="F30:F44" si="61">C30&amp;E30</f>
        <v>D4HSF0963</v>
      </c>
      <c r="G30" t="str">
        <f>C30&amp;[1]FUEL!$C$4</f>
        <v>D4HY00</v>
      </c>
      <c r="H30" t="str">
        <f>C30&amp;[1]FUEL!$C$11</f>
        <v>D4ELC01</v>
      </c>
      <c r="I30" s="1" t="s">
        <v>217</v>
      </c>
      <c r="J30" s="1">
        <f t="shared" si="4"/>
        <v>2.3300000000000001E-2</v>
      </c>
      <c r="K30">
        <v>30</v>
      </c>
      <c r="L30">
        <v>31.536000000000001</v>
      </c>
      <c r="M30">
        <v>2025</v>
      </c>
      <c r="N30">
        <v>1</v>
      </c>
      <c r="O30">
        <v>0.5</v>
      </c>
      <c r="P30">
        <f>Scenarios!$G$7</f>
        <v>0.56000000000000005</v>
      </c>
      <c r="Q30">
        <f>Scenarios!$H$7</f>
        <v>1</v>
      </c>
      <c r="R30">
        <f>ROUND([3]Medium!L37/1000,4)</f>
        <v>2.3300000000000001E-2</v>
      </c>
      <c r="S30">
        <f t="shared" si="5"/>
        <v>182.82049424015841</v>
      </c>
      <c r="T30">
        <f>ROUND([3]Medium!X37/1000,0)</f>
        <v>6842</v>
      </c>
      <c r="U30">
        <f t="shared" ref="U30:Y30" si="62">T30</f>
        <v>6842</v>
      </c>
      <c r="V30">
        <f t="shared" si="62"/>
        <v>6842</v>
      </c>
      <c r="W30">
        <f t="shared" si="62"/>
        <v>6842</v>
      </c>
      <c r="X30">
        <f t="shared" si="62"/>
        <v>6842</v>
      </c>
      <c r="Y30">
        <f t="shared" si="62"/>
        <v>6842</v>
      </c>
      <c r="Z30">
        <f t="shared" ref="Z30:Z44" si="63">T30*2.5/100</f>
        <v>171.05</v>
      </c>
      <c r="AA30">
        <f t="shared" ref="AA30:AE30" si="64">Z30</f>
        <v>171.05</v>
      </c>
      <c r="AB30">
        <f t="shared" si="64"/>
        <v>171.05</v>
      </c>
      <c r="AC30">
        <f t="shared" si="64"/>
        <v>171.05</v>
      </c>
      <c r="AD30">
        <f t="shared" si="64"/>
        <v>171.05</v>
      </c>
      <c r="AE30">
        <f t="shared" si="64"/>
        <v>171.05</v>
      </c>
    </row>
    <row r="31" spans="3:31" x14ac:dyDescent="0.2">
      <c r="C31" t="str">
        <f>IF([3]Medium!Q38="West","D1",IF([3]Medium!Q38="East","D3",IF([3]Medium!Q38="South","D2","D4")))</f>
        <v>D4</v>
      </c>
      <c r="D31" s="4" t="str">
        <f>[3]Medium!A38&amp;"  "&amp;[3]Medium!B38</f>
        <v>SF-0966  SF-0966</v>
      </c>
      <c r="E31" t="str">
        <f t="shared" si="2"/>
        <v>HSF0966</v>
      </c>
      <c r="F31" t="str">
        <f t="shared" si="61"/>
        <v>D4HSF0966</v>
      </c>
      <c r="G31" t="str">
        <f>C31&amp;[1]FUEL!$C$4</f>
        <v>D4HY00</v>
      </c>
      <c r="H31" t="str">
        <f>C31&amp;[1]FUEL!$C$11</f>
        <v>D4ELC01</v>
      </c>
      <c r="I31" s="1" t="s">
        <v>217</v>
      </c>
      <c r="J31" s="1">
        <f t="shared" si="4"/>
        <v>6.4100000000000004E-2</v>
      </c>
      <c r="K31">
        <v>30</v>
      </c>
      <c r="L31">
        <v>31.536000000000001</v>
      </c>
      <c r="M31">
        <v>2025</v>
      </c>
      <c r="N31">
        <v>1</v>
      </c>
      <c r="O31">
        <v>0.5</v>
      </c>
      <c r="P31">
        <f>Scenarios!$G$7</f>
        <v>0.56000000000000005</v>
      </c>
      <c r="Q31">
        <f>Scenarios!$H$7</f>
        <v>1</v>
      </c>
      <c r="R31">
        <f>ROUND([3]Medium!L38/1000,4)</f>
        <v>6.4100000000000004E-2</v>
      </c>
      <c r="S31">
        <f t="shared" si="5"/>
        <v>129.27295398039848</v>
      </c>
      <c r="T31">
        <f>ROUND([3]Medium!X38/1000,0)</f>
        <v>4838</v>
      </c>
      <c r="U31">
        <f t="shared" ref="U31:Y31" si="65">T31</f>
        <v>4838</v>
      </c>
      <c r="V31">
        <f t="shared" si="65"/>
        <v>4838</v>
      </c>
      <c r="W31">
        <f t="shared" si="65"/>
        <v>4838</v>
      </c>
      <c r="X31">
        <f t="shared" si="65"/>
        <v>4838</v>
      </c>
      <c r="Y31">
        <f t="shared" si="65"/>
        <v>4838</v>
      </c>
      <c r="Z31">
        <f t="shared" si="63"/>
        <v>120.95</v>
      </c>
      <c r="AA31">
        <f t="shared" ref="AA31:AE31" si="66">Z31</f>
        <v>120.95</v>
      </c>
      <c r="AB31">
        <f t="shared" si="66"/>
        <v>120.95</v>
      </c>
      <c r="AC31">
        <f t="shared" si="66"/>
        <v>120.95</v>
      </c>
      <c r="AD31">
        <f t="shared" si="66"/>
        <v>120.95</v>
      </c>
      <c r="AE31">
        <f t="shared" si="66"/>
        <v>120.95</v>
      </c>
    </row>
    <row r="32" spans="3:31" x14ac:dyDescent="0.2">
      <c r="C32" t="str">
        <f>IF([3]Medium!Q39="West","D1",IF([3]Medium!Q39="East","D3",IF([3]Medium!Q39="South","D2","D4")))</f>
        <v>D2</v>
      </c>
      <c r="D32" s="4" t="str">
        <f>[3]Medium!A39&amp;"  "&amp;[3]Medium!B39</f>
        <v>SF-0969  SF-0969</v>
      </c>
      <c r="E32" t="str">
        <f t="shared" si="2"/>
        <v>HSF0969</v>
      </c>
      <c r="F32" t="str">
        <f t="shared" si="61"/>
        <v>D2HSF0969</v>
      </c>
      <c r="G32" t="str">
        <f>C32&amp;[1]FUEL!$C$4</f>
        <v>D2HY00</v>
      </c>
      <c r="H32" t="str">
        <f>C32&amp;[1]FUEL!$C$11</f>
        <v>D2ELC01</v>
      </c>
      <c r="I32" s="1" t="s">
        <v>217</v>
      </c>
      <c r="J32" s="1">
        <f t="shared" si="4"/>
        <v>3.73E-2</v>
      </c>
      <c r="K32">
        <v>30</v>
      </c>
      <c r="L32">
        <v>31.536000000000001</v>
      </c>
      <c r="M32">
        <v>2025</v>
      </c>
      <c r="N32">
        <v>1</v>
      </c>
      <c r="O32">
        <v>0.5</v>
      </c>
      <c r="P32">
        <f>Scenarios!$G$7</f>
        <v>0.56000000000000005</v>
      </c>
      <c r="Q32">
        <f>Scenarios!$H$7</f>
        <v>1</v>
      </c>
      <c r="R32">
        <f>ROUND([3]Medium!L39/1000,4)</f>
        <v>3.73E-2</v>
      </c>
      <c r="S32">
        <f t="shared" si="5"/>
        <v>174.48375144522575</v>
      </c>
      <c r="T32">
        <f>ROUND([3]Medium!X39/1000,0)</f>
        <v>6530</v>
      </c>
      <c r="U32">
        <f t="shared" ref="U32:Y32" si="67">T32</f>
        <v>6530</v>
      </c>
      <c r="V32">
        <f t="shared" si="67"/>
        <v>6530</v>
      </c>
      <c r="W32">
        <f t="shared" si="67"/>
        <v>6530</v>
      </c>
      <c r="X32">
        <f t="shared" si="67"/>
        <v>6530</v>
      </c>
      <c r="Y32">
        <f t="shared" si="67"/>
        <v>6530</v>
      </c>
      <c r="Z32">
        <f t="shared" si="63"/>
        <v>163.25</v>
      </c>
      <c r="AA32">
        <f t="shared" ref="AA32:AE32" si="68">Z32</f>
        <v>163.25</v>
      </c>
      <c r="AB32">
        <f t="shared" si="68"/>
        <v>163.25</v>
      </c>
      <c r="AC32">
        <f t="shared" si="68"/>
        <v>163.25</v>
      </c>
      <c r="AD32">
        <f t="shared" si="68"/>
        <v>163.25</v>
      </c>
      <c r="AE32">
        <f t="shared" si="68"/>
        <v>163.25</v>
      </c>
    </row>
    <row r="33" spans="3:31" x14ac:dyDescent="0.2">
      <c r="C33" t="str">
        <f>IF([3]Medium!Q40="West","D1",IF([3]Medium!Q40="East","D3",IF([3]Medium!Q40="South","D2","D4")))</f>
        <v>D4</v>
      </c>
      <c r="D33" s="4" t="str">
        <f>[3]Medium!A40&amp;"  "&amp;[3]Medium!B40</f>
        <v>SF-0975  SF-0975</v>
      </c>
      <c r="E33" t="str">
        <f t="shared" si="2"/>
        <v>HSF0975</v>
      </c>
      <c r="F33" t="str">
        <f t="shared" si="61"/>
        <v>D4HSF0975</v>
      </c>
      <c r="G33" t="str">
        <f>C33&amp;[1]FUEL!$C$4</f>
        <v>D4HY00</v>
      </c>
      <c r="H33" t="str">
        <f>C33&amp;[1]FUEL!$C$11</f>
        <v>D4ELC01</v>
      </c>
      <c r="I33" s="1" t="s">
        <v>217</v>
      </c>
      <c r="J33" s="1">
        <f t="shared" si="4"/>
        <v>3.0099999999999998E-2</v>
      </c>
      <c r="K33">
        <v>30</v>
      </c>
      <c r="L33">
        <v>31.536000000000001</v>
      </c>
      <c r="M33">
        <v>2025</v>
      </c>
      <c r="N33">
        <v>1</v>
      </c>
      <c r="O33">
        <v>0.5</v>
      </c>
      <c r="P33">
        <f>Scenarios!$G$7</f>
        <v>0.56000000000000005</v>
      </c>
      <c r="Q33">
        <f>Scenarios!$H$7</f>
        <v>1</v>
      </c>
      <c r="R33">
        <f>ROUND([3]Medium!L40/1000,4)</f>
        <v>3.0099999999999998E-2</v>
      </c>
      <c r="S33">
        <f t="shared" si="5"/>
        <v>181.00351183613461</v>
      </c>
      <c r="T33">
        <f>ROUND([3]Medium!X40/1000,0)</f>
        <v>6774</v>
      </c>
      <c r="U33">
        <f t="shared" ref="U33:Y33" si="69">T33</f>
        <v>6774</v>
      </c>
      <c r="V33">
        <f t="shared" si="69"/>
        <v>6774</v>
      </c>
      <c r="W33">
        <f t="shared" si="69"/>
        <v>6774</v>
      </c>
      <c r="X33">
        <f t="shared" si="69"/>
        <v>6774</v>
      </c>
      <c r="Y33">
        <f t="shared" si="69"/>
        <v>6774</v>
      </c>
      <c r="Z33">
        <f t="shared" si="63"/>
        <v>169.35</v>
      </c>
      <c r="AA33">
        <f t="shared" ref="AA33:AE33" si="70">Z33</f>
        <v>169.35</v>
      </c>
      <c r="AB33">
        <f t="shared" si="70"/>
        <v>169.35</v>
      </c>
      <c r="AC33">
        <f t="shared" si="70"/>
        <v>169.35</v>
      </c>
      <c r="AD33">
        <f t="shared" si="70"/>
        <v>169.35</v>
      </c>
      <c r="AE33">
        <f t="shared" si="70"/>
        <v>169.35</v>
      </c>
    </row>
    <row r="34" spans="3:31" x14ac:dyDescent="0.2">
      <c r="C34" t="str">
        <f>IF([3]Medium!Q41="West","D1",IF([3]Medium!Q41="East","D3",IF([3]Medium!Q41="South","D2","D4")))</f>
        <v>D4</v>
      </c>
      <c r="D34" s="4" t="str">
        <f>[3]Medium!A41&amp;"  "&amp;[3]Medium!B41</f>
        <v>SF-0976  SF-0976</v>
      </c>
      <c r="E34" t="str">
        <f t="shared" si="2"/>
        <v>HSF0976</v>
      </c>
      <c r="F34" t="str">
        <f t="shared" si="61"/>
        <v>D4HSF0976</v>
      </c>
      <c r="G34" t="str">
        <f>C34&amp;[1]FUEL!$C$4</f>
        <v>D4HY00</v>
      </c>
      <c r="H34" t="str">
        <f>C34&amp;[1]FUEL!$C$11</f>
        <v>D4ELC01</v>
      </c>
      <c r="I34" s="1" t="s">
        <v>217</v>
      </c>
      <c r="J34" s="1">
        <f t="shared" si="4"/>
        <v>7.9299999999999995E-2</v>
      </c>
      <c r="K34">
        <v>30</v>
      </c>
      <c r="L34">
        <v>31.536000000000001</v>
      </c>
      <c r="M34">
        <v>2025</v>
      </c>
      <c r="N34">
        <v>1</v>
      </c>
      <c r="O34">
        <v>0.5</v>
      </c>
      <c r="P34">
        <f>Scenarios!$G$7</f>
        <v>0.56000000000000005</v>
      </c>
      <c r="Q34">
        <f>Scenarios!$H$7</f>
        <v>1</v>
      </c>
      <c r="R34">
        <f>ROUND([3]Medium!L41/1000,4)</f>
        <v>7.9299999999999995E-2</v>
      </c>
      <c r="S34">
        <f t="shared" si="5"/>
        <v>127.42925124690375</v>
      </c>
      <c r="T34">
        <f>ROUND([3]Medium!X41/1000,0)</f>
        <v>4769</v>
      </c>
      <c r="U34">
        <f t="shared" ref="U34:Y34" si="71">T34</f>
        <v>4769</v>
      </c>
      <c r="V34">
        <f t="shared" si="71"/>
        <v>4769</v>
      </c>
      <c r="W34">
        <f t="shared" si="71"/>
        <v>4769</v>
      </c>
      <c r="X34">
        <f t="shared" si="71"/>
        <v>4769</v>
      </c>
      <c r="Y34">
        <f t="shared" si="71"/>
        <v>4769</v>
      </c>
      <c r="Z34">
        <f t="shared" si="63"/>
        <v>119.22499999999999</v>
      </c>
      <c r="AA34">
        <f t="shared" ref="AA34:AE34" si="72">Z34</f>
        <v>119.22499999999999</v>
      </c>
      <c r="AB34">
        <f t="shared" si="72"/>
        <v>119.22499999999999</v>
      </c>
      <c r="AC34">
        <f t="shared" si="72"/>
        <v>119.22499999999999</v>
      </c>
      <c r="AD34">
        <f t="shared" si="72"/>
        <v>119.22499999999999</v>
      </c>
      <c r="AE34">
        <f t="shared" si="72"/>
        <v>119.22499999999999</v>
      </c>
    </row>
    <row r="35" spans="3:31" s="24" customFormat="1" x14ac:dyDescent="0.2">
      <c r="C35" s="24" t="str">
        <f>IF([3]Medium!Q42="West","D1",IF([3]Medium!Q42="East","D3",IF([3]Medium!Q42="South","D2","D4")))</f>
        <v>D3</v>
      </c>
      <c r="D35" s="46" t="str">
        <f>[3]Medium!A42&amp;"  "&amp;[3]Medium!B42</f>
        <v>SF-0982  SF-0982</v>
      </c>
      <c r="E35" s="24" t="str">
        <f t="shared" si="2"/>
        <v>HSF0982</v>
      </c>
      <c r="F35" s="24" t="str">
        <f t="shared" si="61"/>
        <v>D3HSF0982</v>
      </c>
      <c r="G35" s="24" t="str">
        <f>C35&amp;[1]FUEL!$C$4</f>
        <v>D3HY00</v>
      </c>
      <c r="H35" s="24" t="str">
        <f>C35&amp;[1]FUEL!$C$11</f>
        <v>D3ELC01</v>
      </c>
      <c r="I35" s="24" t="s">
        <v>217</v>
      </c>
      <c r="J35" s="24">
        <f t="shared" si="4"/>
        <v>4.7100000000000003E-2</v>
      </c>
      <c r="K35" s="24">
        <v>30</v>
      </c>
      <c r="L35" s="24">
        <v>31.536000000000001</v>
      </c>
      <c r="M35" s="24">
        <v>2025</v>
      </c>
      <c r="N35" s="24">
        <v>1</v>
      </c>
      <c r="O35" s="24">
        <v>0.5</v>
      </c>
      <c r="P35" s="24">
        <f>Scenarios!$G$7</f>
        <v>0.56000000000000005</v>
      </c>
      <c r="Q35" s="24">
        <f>Scenarios!$H$7</f>
        <v>1</v>
      </c>
      <c r="R35" s="24">
        <f>ROUND([3]Medium!L42/1000,4)</f>
        <v>4.7100000000000003E-2</v>
      </c>
      <c r="S35">
        <f t="shared" si="5"/>
        <v>123.44792215573396</v>
      </c>
      <c r="T35" s="24">
        <f>ROUND([3]Medium!X42/1000,0)</f>
        <v>4620</v>
      </c>
      <c r="U35" s="24">
        <f t="shared" ref="U35:Y35" si="73">T35</f>
        <v>4620</v>
      </c>
      <c r="V35" s="24">
        <f t="shared" si="73"/>
        <v>4620</v>
      </c>
      <c r="W35" s="24">
        <f t="shared" si="73"/>
        <v>4620</v>
      </c>
      <c r="X35" s="24">
        <f t="shared" si="73"/>
        <v>4620</v>
      </c>
      <c r="Y35" s="24">
        <f t="shared" si="73"/>
        <v>4620</v>
      </c>
      <c r="Z35" s="24">
        <f t="shared" si="63"/>
        <v>115.5</v>
      </c>
      <c r="AA35" s="24">
        <f t="shared" ref="AA35:AE35" si="74">Z35</f>
        <v>115.5</v>
      </c>
      <c r="AB35" s="24">
        <f t="shared" si="74"/>
        <v>115.5</v>
      </c>
      <c r="AC35" s="24">
        <f t="shared" si="74"/>
        <v>115.5</v>
      </c>
      <c r="AD35" s="24">
        <f t="shared" si="74"/>
        <v>115.5</v>
      </c>
      <c r="AE35" s="24">
        <f t="shared" si="74"/>
        <v>115.5</v>
      </c>
    </row>
    <row r="36" spans="3:31" x14ac:dyDescent="0.2">
      <c r="C36" t="str">
        <f>IF([3]Medium!Q43="West","D1",IF([3]Medium!Q43="East","D3",IF([3]Medium!Q43="South","D2","D4")))</f>
        <v>D1</v>
      </c>
      <c r="D36" s="4" t="str">
        <f>[3]Medium!A43&amp;"  "&amp;[3]Medium!B43</f>
        <v>SF-0987  SF-0987</v>
      </c>
      <c r="E36" t="str">
        <f t="shared" si="2"/>
        <v>HSF0987</v>
      </c>
      <c r="F36" t="str">
        <f t="shared" si="61"/>
        <v>D1HSF0987</v>
      </c>
      <c r="G36" t="str">
        <f>C36&amp;[1]FUEL!$C$4</f>
        <v>D1HY00</v>
      </c>
      <c r="H36" t="str">
        <f>C36&amp;[1]FUEL!$C$11</f>
        <v>D1ELC01</v>
      </c>
      <c r="I36" s="1" t="s">
        <v>217</v>
      </c>
      <c r="J36" s="1">
        <f t="shared" si="4"/>
        <v>3.8199999999999998E-2</v>
      </c>
      <c r="K36">
        <v>30</v>
      </c>
      <c r="L36">
        <v>31.536000000000001</v>
      </c>
      <c r="M36">
        <v>2025</v>
      </c>
      <c r="N36">
        <v>1</v>
      </c>
      <c r="O36">
        <v>0.5</v>
      </c>
      <c r="P36">
        <f>Scenarios!$G$7</f>
        <v>0.56000000000000005</v>
      </c>
      <c r="Q36">
        <f>Scenarios!$H$7</f>
        <v>1</v>
      </c>
      <c r="R36">
        <f>ROUND([3]Medium!L43/1000,4)</f>
        <v>3.8199999999999998E-2</v>
      </c>
      <c r="S36">
        <f t="shared" si="5"/>
        <v>167.32270314701429</v>
      </c>
      <c r="T36">
        <f>ROUND([3]Medium!X43/1000,0)</f>
        <v>6262</v>
      </c>
      <c r="U36">
        <f t="shared" ref="U36:Y36" si="75">T36</f>
        <v>6262</v>
      </c>
      <c r="V36">
        <f t="shared" si="75"/>
        <v>6262</v>
      </c>
      <c r="W36">
        <f t="shared" si="75"/>
        <v>6262</v>
      </c>
      <c r="X36">
        <f t="shared" si="75"/>
        <v>6262</v>
      </c>
      <c r="Y36">
        <f t="shared" si="75"/>
        <v>6262</v>
      </c>
      <c r="Z36">
        <f t="shared" si="63"/>
        <v>156.55000000000001</v>
      </c>
      <c r="AA36">
        <f t="shared" ref="AA36:AE36" si="76">Z36</f>
        <v>156.55000000000001</v>
      </c>
      <c r="AB36">
        <f t="shared" si="76"/>
        <v>156.55000000000001</v>
      </c>
      <c r="AC36">
        <f t="shared" si="76"/>
        <v>156.55000000000001</v>
      </c>
      <c r="AD36">
        <f t="shared" si="76"/>
        <v>156.55000000000001</v>
      </c>
      <c r="AE36">
        <f t="shared" si="76"/>
        <v>156.55000000000001</v>
      </c>
    </row>
    <row r="37" spans="3:31" x14ac:dyDescent="0.2">
      <c r="C37" t="str">
        <f>IF([3]Medium!Q44="West","D1",IF([3]Medium!Q44="East","D3",IF([3]Medium!Q44="South","D2","D4")))</f>
        <v>D1</v>
      </c>
      <c r="D37" s="4" t="str">
        <f>[3]Medium!A44&amp;"  "&amp;[3]Medium!B44</f>
        <v>SF-0988  SF-0988</v>
      </c>
      <c r="E37" t="str">
        <f t="shared" si="2"/>
        <v>HSF0988</v>
      </c>
      <c r="F37" t="str">
        <f t="shared" si="61"/>
        <v>D1HSF0988</v>
      </c>
      <c r="G37" t="str">
        <f>C37&amp;[1]FUEL!$C$4</f>
        <v>D1HY00</v>
      </c>
      <c r="H37" t="str">
        <f>C37&amp;[1]FUEL!$C$11</f>
        <v>D1ELC01</v>
      </c>
      <c r="I37" s="1" t="s">
        <v>217</v>
      </c>
      <c r="J37" s="1">
        <f t="shared" si="4"/>
        <v>3.8699999999999998E-2</v>
      </c>
      <c r="K37">
        <v>30</v>
      </c>
      <c r="L37">
        <v>31.536000000000001</v>
      </c>
      <c r="M37">
        <v>2025</v>
      </c>
      <c r="N37">
        <v>1</v>
      </c>
      <c r="O37">
        <v>0.5</v>
      </c>
      <c r="P37">
        <f>Scenarios!$G$7</f>
        <v>0.56000000000000005</v>
      </c>
      <c r="Q37">
        <f>Scenarios!$H$7</f>
        <v>1</v>
      </c>
      <c r="R37">
        <f>ROUND([3]Medium!L44/1000,4)</f>
        <v>3.8699999999999998E-2</v>
      </c>
      <c r="S37">
        <f t="shared" si="5"/>
        <v>169.35344818680559</v>
      </c>
      <c r="T37">
        <f>ROUND([3]Medium!X44/1000,0)</f>
        <v>6338</v>
      </c>
      <c r="U37">
        <f t="shared" ref="U37:Y37" si="77">T37</f>
        <v>6338</v>
      </c>
      <c r="V37">
        <f t="shared" si="77"/>
        <v>6338</v>
      </c>
      <c r="W37">
        <f t="shared" si="77"/>
        <v>6338</v>
      </c>
      <c r="X37">
        <f t="shared" si="77"/>
        <v>6338</v>
      </c>
      <c r="Y37">
        <f t="shared" si="77"/>
        <v>6338</v>
      </c>
      <c r="Z37">
        <f t="shared" si="63"/>
        <v>158.44999999999999</v>
      </c>
      <c r="AA37">
        <f t="shared" ref="AA37:AE37" si="78">Z37</f>
        <v>158.44999999999999</v>
      </c>
      <c r="AB37">
        <f t="shared" si="78"/>
        <v>158.44999999999999</v>
      </c>
      <c r="AC37">
        <f t="shared" si="78"/>
        <v>158.44999999999999</v>
      </c>
      <c r="AD37">
        <f t="shared" si="78"/>
        <v>158.44999999999999</v>
      </c>
      <c r="AE37">
        <f t="shared" si="78"/>
        <v>158.44999999999999</v>
      </c>
    </row>
    <row r="38" spans="3:31" x14ac:dyDescent="0.2">
      <c r="C38" t="str">
        <f>IF([3]Medium!Q45="West","D1",IF([3]Medium!Q45="East","D3",IF([3]Medium!Q45="South","D2","D4")))</f>
        <v>D4</v>
      </c>
      <c r="D38" s="4" t="str">
        <f>[3]Medium!A45&amp;"  "&amp;[3]Medium!B45</f>
        <v>SF-0991  SF-0991</v>
      </c>
      <c r="E38" t="str">
        <f t="shared" si="2"/>
        <v>HSF0991</v>
      </c>
      <c r="F38" t="str">
        <f t="shared" si="61"/>
        <v>D4HSF0991</v>
      </c>
      <c r="G38" t="str">
        <f>C38&amp;[1]FUEL!$C$4</f>
        <v>D4HY00</v>
      </c>
      <c r="H38" t="str">
        <f>C38&amp;[1]FUEL!$C$11</f>
        <v>D4ELC01</v>
      </c>
      <c r="I38" s="1" t="s">
        <v>217</v>
      </c>
      <c r="J38" s="1">
        <f t="shared" si="4"/>
        <v>4.1300000000000003E-2</v>
      </c>
      <c r="K38">
        <v>30</v>
      </c>
      <c r="L38">
        <v>31.536000000000001</v>
      </c>
      <c r="M38">
        <v>2025</v>
      </c>
      <c r="N38">
        <v>1</v>
      </c>
      <c r="O38">
        <v>0.5</v>
      </c>
      <c r="P38">
        <f>Scenarios!$G$7</f>
        <v>0.56000000000000005</v>
      </c>
      <c r="Q38">
        <f>Scenarios!$H$7</f>
        <v>1</v>
      </c>
      <c r="R38">
        <f>ROUND([3]Medium!L45/1000,4)</f>
        <v>4.1300000000000003E-2</v>
      </c>
      <c r="S38">
        <f t="shared" si="5"/>
        <v>176.59465747342983</v>
      </c>
      <c r="T38">
        <f>ROUND([3]Medium!X45/1000,0)</f>
        <v>6609</v>
      </c>
      <c r="U38">
        <f t="shared" ref="U38:Y38" si="79">T38</f>
        <v>6609</v>
      </c>
      <c r="V38">
        <f t="shared" si="79"/>
        <v>6609</v>
      </c>
      <c r="W38">
        <f t="shared" si="79"/>
        <v>6609</v>
      </c>
      <c r="X38">
        <f t="shared" si="79"/>
        <v>6609</v>
      </c>
      <c r="Y38">
        <f t="shared" si="79"/>
        <v>6609</v>
      </c>
      <c r="Z38">
        <f t="shared" si="63"/>
        <v>165.22499999999999</v>
      </c>
      <c r="AA38">
        <f t="shared" ref="AA38:AE38" si="80">Z38</f>
        <v>165.22499999999999</v>
      </c>
      <c r="AB38">
        <f t="shared" si="80"/>
        <v>165.22499999999999</v>
      </c>
      <c r="AC38">
        <f t="shared" si="80"/>
        <v>165.22499999999999</v>
      </c>
      <c r="AD38">
        <f t="shared" si="80"/>
        <v>165.22499999999999</v>
      </c>
      <c r="AE38">
        <f t="shared" si="80"/>
        <v>165.22499999999999</v>
      </c>
    </row>
    <row r="39" spans="3:31" x14ac:dyDescent="0.2">
      <c r="C39" t="str">
        <f>IF([3]Medium!Q46="West","D1",IF([3]Medium!Q46="East","D3",IF([3]Medium!Q46="South","D2","D4")))</f>
        <v>D4</v>
      </c>
      <c r="D39" s="4" t="str">
        <f>[3]Medium!A46&amp;"  "&amp;[3]Medium!B46</f>
        <v>SF-0993  SF-0993</v>
      </c>
      <c r="E39" t="str">
        <f t="shared" si="2"/>
        <v>HSF0993</v>
      </c>
      <c r="F39" t="str">
        <f t="shared" si="61"/>
        <v>D4HSF0993</v>
      </c>
      <c r="G39" t="str">
        <f>C39&amp;[1]FUEL!$C$4</f>
        <v>D4HY00</v>
      </c>
      <c r="H39" t="str">
        <f>C39&amp;[1]FUEL!$C$11</f>
        <v>D4ELC01</v>
      </c>
      <c r="I39" s="1" t="s">
        <v>217</v>
      </c>
      <c r="J39" s="1">
        <f t="shared" si="4"/>
        <v>4.7899999999999998E-2</v>
      </c>
      <c r="K39">
        <v>30</v>
      </c>
      <c r="L39">
        <v>31.536000000000001</v>
      </c>
      <c r="M39">
        <v>2025</v>
      </c>
      <c r="N39">
        <v>1</v>
      </c>
      <c r="O39">
        <v>0.5</v>
      </c>
      <c r="P39">
        <f>Scenarios!$G$7</f>
        <v>0.56000000000000005</v>
      </c>
      <c r="Q39">
        <f>Scenarios!$H$7</f>
        <v>1</v>
      </c>
      <c r="R39">
        <f>ROUND([3]Medium!L46/1000,4)</f>
        <v>4.7899999999999998E-2</v>
      </c>
      <c r="S39">
        <f t="shared" si="5"/>
        <v>160.74950209716354</v>
      </c>
      <c r="T39">
        <f>ROUND([3]Medium!X46/1000,0)</f>
        <v>6016</v>
      </c>
      <c r="U39">
        <f t="shared" ref="U39:Y39" si="81">T39</f>
        <v>6016</v>
      </c>
      <c r="V39">
        <f t="shared" si="81"/>
        <v>6016</v>
      </c>
      <c r="W39">
        <f t="shared" si="81"/>
        <v>6016</v>
      </c>
      <c r="X39">
        <f t="shared" si="81"/>
        <v>6016</v>
      </c>
      <c r="Y39">
        <f t="shared" si="81"/>
        <v>6016</v>
      </c>
      <c r="Z39">
        <f t="shared" si="63"/>
        <v>150.4</v>
      </c>
      <c r="AA39">
        <f t="shared" ref="AA39:AE39" si="82">Z39</f>
        <v>150.4</v>
      </c>
      <c r="AB39">
        <f t="shared" si="82"/>
        <v>150.4</v>
      </c>
      <c r="AC39">
        <f t="shared" si="82"/>
        <v>150.4</v>
      </c>
      <c r="AD39">
        <f t="shared" si="82"/>
        <v>150.4</v>
      </c>
      <c r="AE39">
        <f t="shared" si="82"/>
        <v>150.4</v>
      </c>
    </row>
    <row r="40" spans="3:31" x14ac:dyDescent="0.2">
      <c r="C40" t="str">
        <f>IF([3]Medium!Q47="West","D1",IF([3]Medium!Q47="East","D3",IF([3]Medium!Q47="South","D2","D4")))</f>
        <v>D1</v>
      </c>
      <c r="D40" s="4" t="str">
        <f>[3]Medium!A47&amp;"  "&amp;[3]Medium!B47</f>
        <v>SF-0994  SF-0994</v>
      </c>
      <c r="E40" t="str">
        <f t="shared" si="2"/>
        <v>HSF0994</v>
      </c>
      <c r="F40" t="str">
        <f t="shared" si="61"/>
        <v>D1HSF0994</v>
      </c>
      <c r="G40" t="str">
        <f>C40&amp;[1]FUEL!$C$4</f>
        <v>D1HY00</v>
      </c>
      <c r="H40" t="str">
        <f>C40&amp;[1]FUEL!$C$11</f>
        <v>D1ELC01</v>
      </c>
      <c r="I40" s="1" t="s">
        <v>217</v>
      </c>
      <c r="J40" s="1">
        <f t="shared" si="4"/>
        <v>6.9199999999999998E-2</v>
      </c>
      <c r="K40">
        <v>30</v>
      </c>
      <c r="L40">
        <v>31.536000000000001</v>
      </c>
      <c r="M40">
        <v>2025</v>
      </c>
      <c r="N40">
        <v>1</v>
      </c>
      <c r="O40">
        <v>0.5</v>
      </c>
      <c r="P40">
        <f>Scenarios!$G$7</f>
        <v>0.56000000000000005</v>
      </c>
      <c r="Q40">
        <f>Scenarios!$H$7</f>
        <v>1</v>
      </c>
      <c r="R40">
        <f>ROUND([3]Medium!L47/1000,4)</f>
        <v>6.9199999999999998E-2</v>
      </c>
      <c r="S40">
        <f t="shared" si="5"/>
        <v>126.25355675018248</v>
      </c>
      <c r="T40">
        <f>ROUND([3]Medium!X47/1000,0)</f>
        <v>4725</v>
      </c>
      <c r="U40">
        <f t="shared" ref="U40:Y40" si="83">T40</f>
        <v>4725</v>
      </c>
      <c r="V40">
        <f t="shared" si="83"/>
        <v>4725</v>
      </c>
      <c r="W40">
        <f t="shared" si="83"/>
        <v>4725</v>
      </c>
      <c r="X40">
        <f t="shared" si="83"/>
        <v>4725</v>
      </c>
      <c r="Y40">
        <f t="shared" si="83"/>
        <v>4725</v>
      </c>
      <c r="Z40">
        <f t="shared" si="63"/>
        <v>118.125</v>
      </c>
      <c r="AA40">
        <f t="shared" ref="AA40:AE40" si="84">Z40</f>
        <v>118.125</v>
      </c>
      <c r="AB40">
        <f t="shared" si="84"/>
        <v>118.125</v>
      </c>
      <c r="AC40">
        <f t="shared" si="84"/>
        <v>118.125</v>
      </c>
      <c r="AD40">
        <f t="shared" si="84"/>
        <v>118.125</v>
      </c>
      <c r="AE40">
        <f t="shared" si="84"/>
        <v>118.125</v>
      </c>
    </row>
    <row r="41" spans="3:31" x14ac:dyDescent="0.2">
      <c r="C41" t="str">
        <f>IF([3]Medium!Q48="West","D1",IF([3]Medium!Q48="East","D3",IF([3]Medium!Q48="South","D2","D4")))</f>
        <v>D1</v>
      </c>
      <c r="D41" s="4" t="str">
        <f>[3]Medium!A48&amp;"  "&amp;[3]Medium!B48</f>
        <v>SF-0996  SF-0996</v>
      </c>
      <c r="E41" t="str">
        <f t="shared" si="2"/>
        <v>HSF0996</v>
      </c>
      <c r="F41" t="str">
        <f t="shared" si="61"/>
        <v>D1HSF0996</v>
      </c>
      <c r="G41" t="str">
        <f>C41&amp;[1]FUEL!$C$4</f>
        <v>D1HY00</v>
      </c>
      <c r="H41" t="str">
        <f>C41&amp;[1]FUEL!$C$11</f>
        <v>D1ELC01</v>
      </c>
      <c r="I41" s="1" t="s">
        <v>217</v>
      </c>
      <c r="J41" s="1">
        <f t="shared" si="4"/>
        <v>5.1200000000000002E-2</v>
      </c>
      <c r="K41">
        <v>30</v>
      </c>
      <c r="L41">
        <v>31.536000000000001</v>
      </c>
      <c r="M41">
        <v>2025</v>
      </c>
      <c r="N41">
        <v>1</v>
      </c>
      <c r="O41">
        <v>0.5</v>
      </c>
      <c r="P41">
        <f>Scenarios!$G$7</f>
        <v>0.56000000000000005</v>
      </c>
      <c r="Q41">
        <f>Scenarios!$H$7</f>
        <v>1</v>
      </c>
      <c r="R41">
        <f>ROUND([3]Medium!L48/1000,4)</f>
        <v>5.1200000000000002E-2</v>
      </c>
      <c r="S41">
        <f t="shared" si="5"/>
        <v>147.89702362164235</v>
      </c>
      <c r="T41">
        <f>ROUND([3]Medium!X48/1000,0)</f>
        <v>5535</v>
      </c>
      <c r="U41">
        <f t="shared" ref="U41:Y41" si="85">T41</f>
        <v>5535</v>
      </c>
      <c r="V41">
        <f t="shared" si="85"/>
        <v>5535</v>
      </c>
      <c r="W41">
        <f t="shared" si="85"/>
        <v>5535</v>
      </c>
      <c r="X41">
        <f t="shared" si="85"/>
        <v>5535</v>
      </c>
      <c r="Y41">
        <f t="shared" si="85"/>
        <v>5535</v>
      </c>
      <c r="Z41">
        <f t="shared" si="63"/>
        <v>138.375</v>
      </c>
      <c r="AA41">
        <f t="shared" ref="AA41:AE41" si="86">Z41</f>
        <v>138.375</v>
      </c>
      <c r="AB41">
        <f t="shared" si="86"/>
        <v>138.375</v>
      </c>
      <c r="AC41">
        <f t="shared" si="86"/>
        <v>138.375</v>
      </c>
      <c r="AD41">
        <f t="shared" si="86"/>
        <v>138.375</v>
      </c>
      <c r="AE41">
        <f t="shared" si="86"/>
        <v>138.375</v>
      </c>
    </row>
    <row r="42" spans="3:31" x14ac:dyDescent="0.2">
      <c r="C42" t="str">
        <f>IF([3]Medium!Q49="West","D1",IF([3]Medium!Q49="East","D3",IF([3]Medium!Q49="South","D2","D4")))</f>
        <v>D1</v>
      </c>
      <c r="D42" s="4" t="str">
        <f>[3]Medium!A49&amp;"  "&amp;[3]Medium!B49</f>
        <v>SF-0997  SF-0997</v>
      </c>
      <c r="E42" t="str">
        <f t="shared" si="2"/>
        <v>HSF0997</v>
      </c>
      <c r="F42" t="str">
        <f t="shared" si="61"/>
        <v>D1HSF0997</v>
      </c>
      <c r="G42" t="str">
        <f>C42&amp;[1]FUEL!$C$4</f>
        <v>D1HY00</v>
      </c>
      <c r="H42" t="str">
        <f>C42&amp;[1]FUEL!$C$11</f>
        <v>D1ELC01</v>
      </c>
      <c r="I42" s="1" t="s">
        <v>217</v>
      </c>
      <c r="J42" s="1">
        <f t="shared" si="4"/>
        <v>6.6299999999999998E-2</v>
      </c>
      <c r="K42">
        <v>30</v>
      </c>
      <c r="L42">
        <v>31.536000000000001</v>
      </c>
      <c r="M42">
        <v>2025</v>
      </c>
      <c r="N42">
        <v>1</v>
      </c>
      <c r="O42">
        <v>0.5</v>
      </c>
      <c r="P42">
        <f>Scenarios!$G$7</f>
        <v>0.56000000000000005</v>
      </c>
      <c r="Q42">
        <f>Scenarios!$H$7</f>
        <v>1</v>
      </c>
      <c r="R42">
        <f>ROUND([3]Medium!L49/1000,4)</f>
        <v>6.6299999999999998E-2</v>
      </c>
      <c r="S42">
        <f t="shared" si="5"/>
        <v>105.19793712708325</v>
      </c>
      <c r="T42">
        <f>ROUND([3]Medium!X49/1000,0)</f>
        <v>3937</v>
      </c>
      <c r="U42">
        <f t="shared" ref="U42:Y42" si="87">T42</f>
        <v>3937</v>
      </c>
      <c r="V42">
        <f t="shared" si="87"/>
        <v>3937</v>
      </c>
      <c r="W42">
        <f t="shared" si="87"/>
        <v>3937</v>
      </c>
      <c r="X42">
        <f t="shared" si="87"/>
        <v>3937</v>
      </c>
      <c r="Y42">
        <f t="shared" si="87"/>
        <v>3937</v>
      </c>
      <c r="Z42">
        <f t="shared" si="63"/>
        <v>98.424999999999997</v>
      </c>
      <c r="AA42">
        <f t="shared" ref="AA42:AE42" si="88">Z42</f>
        <v>98.424999999999997</v>
      </c>
      <c r="AB42">
        <f t="shared" si="88"/>
        <v>98.424999999999997</v>
      </c>
      <c r="AC42">
        <f t="shared" si="88"/>
        <v>98.424999999999997</v>
      </c>
      <c r="AD42">
        <f t="shared" si="88"/>
        <v>98.424999999999997</v>
      </c>
      <c r="AE42">
        <f t="shared" si="88"/>
        <v>98.424999999999997</v>
      </c>
    </row>
    <row r="43" spans="3:31" x14ac:dyDescent="0.2">
      <c r="C43" t="str">
        <f>IF([3]Medium!Q50="West","D1",IF([3]Medium!Q50="East","D3",IF([3]Medium!Q50="South","D2","D4")))</f>
        <v>D4</v>
      </c>
      <c r="D43" s="4" t="str">
        <f>[3]Medium!A50&amp;"  "&amp;[3]Medium!B50</f>
        <v>SF-0998  SF-0998</v>
      </c>
      <c r="E43" t="str">
        <f t="shared" si="2"/>
        <v>HSF0998</v>
      </c>
      <c r="F43" t="str">
        <f t="shared" si="61"/>
        <v>D4HSF0998</v>
      </c>
      <c r="G43" t="str">
        <f>C43&amp;[1]FUEL!$C$4</f>
        <v>D4HY00</v>
      </c>
      <c r="H43" t="str">
        <f>C43&amp;[1]FUEL!$C$11</f>
        <v>D4ELC01</v>
      </c>
      <c r="I43" s="1" t="s">
        <v>217</v>
      </c>
      <c r="J43" s="1">
        <f t="shared" si="4"/>
        <v>6.7299999999999999E-2</v>
      </c>
      <c r="K43">
        <v>30</v>
      </c>
      <c r="L43">
        <v>31.536000000000001</v>
      </c>
      <c r="M43">
        <v>2025</v>
      </c>
      <c r="N43">
        <v>1</v>
      </c>
      <c r="O43">
        <v>0.5</v>
      </c>
      <c r="P43">
        <f>Scenarios!$G$7</f>
        <v>0.56000000000000005</v>
      </c>
      <c r="Q43">
        <f>Scenarios!$H$7</f>
        <v>1</v>
      </c>
      <c r="R43">
        <f>ROUND([3]Medium!L50/1000,4)</f>
        <v>6.7299999999999999E-2</v>
      </c>
      <c r="S43">
        <f t="shared" si="5"/>
        <v>145.35859232190322</v>
      </c>
      <c r="T43">
        <f>ROUND([3]Medium!X50/1000,0)</f>
        <v>5440</v>
      </c>
      <c r="U43">
        <f t="shared" ref="U43:Y43" si="89">T43</f>
        <v>5440</v>
      </c>
      <c r="V43">
        <f t="shared" si="89"/>
        <v>5440</v>
      </c>
      <c r="W43">
        <f t="shared" si="89"/>
        <v>5440</v>
      </c>
      <c r="X43">
        <f t="shared" si="89"/>
        <v>5440</v>
      </c>
      <c r="Y43">
        <f t="shared" si="89"/>
        <v>5440</v>
      </c>
      <c r="Z43">
        <f t="shared" si="63"/>
        <v>136</v>
      </c>
      <c r="AA43">
        <f t="shared" ref="AA43:AE43" si="90">Z43</f>
        <v>136</v>
      </c>
      <c r="AB43">
        <f t="shared" si="90"/>
        <v>136</v>
      </c>
      <c r="AC43">
        <f t="shared" si="90"/>
        <v>136</v>
      </c>
      <c r="AD43">
        <f t="shared" si="90"/>
        <v>136</v>
      </c>
      <c r="AE43">
        <f t="shared" si="90"/>
        <v>136</v>
      </c>
    </row>
    <row r="44" spans="3:31" x14ac:dyDescent="0.2">
      <c r="C44" t="str">
        <f>IF([3]Medium!Q51="West","D1",IF([3]Medium!Q51="East","D3",IF([3]Medium!Q51="South","D2","D4")))</f>
        <v>D4</v>
      </c>
      <c r="D44" s="4" t="str">
        <f>[3]Medium!A51&amp;"  "&amp;[3]Medium!B51</f>
        <v>SF-1002  SF-1002</v>
      </c>
      <c r="E44" t="str">
        <f t="shared" si="2"/>
        <v>HSF1002</v>
      </c>
      <c r="F44" t="str">
        <f t="shared" si="61"/>
        <v>D4HSF1002</v>
      </c>
      <c r="G44" t="str">
        <f>C44&amp;[1]FUEL!$C$4</f>
        <v>D4HY00</v>
      </c>
      <c r="H44" t="str">
        <f>C44&amp;[1]FUEL!$C$11</f>
        <v>D4ELC01</v>
      </c>
      <c r="I44" s="1" t="s">
        <v>217</v>
      </c>
      <c r="J44" s="1">
        <f>R44</f>
        <v>9.9099999999999994E-2</v>
      </c>
      <c r="K44">
        <v>30</v>
      </c>
      <c r="L44">
        <v>31.536000000000001</v>
      </c>
      <c r="M44">
        <v>2025</v>
      </c>
      <c r="N44">
        <v>1</v>
      </c>
      <c r="O44">
        <v>0.5</v>
      </c>
      <c r="P44">
        <f>Scenarios!$G$7</f>
        <v>0.56000000000000005</v>
      </c>
      <c r="Q44">
        <f>Scenarios!$H$7</f>
        <v>1</v>
      </c>
      <c r="R44">
        <f>ROUND([3]Medium!L51/1000,4)</f>
        <v>9.9099999999999994E-2</v>
      </c>
      <c r="S44">
        <f t="shared" si="5"/>
        <v>120.02771998345389</v>
      </c>
      <c r="T44">
        <f>ROUND([3]Medium!X51/1000,0)</f>
        <v>4492</v>
      </c>
      <c r="U44">
        <f t="shared" ref="U44:Y44" si="91">T44</f>
        <v>4492</v>
      </c>
      <c r="V44">
        <f t="shared" si="91"/>
        <v>4492</v>
      </c>
      <c r="W44">
        <f t="shared" si="91"/>
        <v>4492</v>
      </c>
      <c r="X44">
        <f t="shared" si="91"/>
        <v>4492</v>
      </c>
      <c r="Y44">
        <f t="shared" si="91"/>
        <v>4492</v>
      </c>
      <c r="Z44">
        <f t="shared" si="63"/>
        <v>112.3</v>
      </c>
      <c r="AA44">
        <f t="shared" ref="AA44:AE44" si="92">Z44</f>
        <v>112.3</v>
      </c>
      <c r="AB44">
        <f t="shared" si="92"/>
        <v>112.3</v>
      </c>
      <c r="AC44">
        <f t="shared" si="92"/>
        <v>112.3</v>
      </c>
      <c r="AD44">
        <f t="shared" si="92"/>
        <v>112.3</v>
      </c>
      <c r="AE44">
        <f t="shared" si="92"/>
        <v>112.3</v>
      </c>
    </row>
    <row r="45" spans="3:31" x14ac:dyDescent="0.2">
      <c r="D45" s="4"/>
      <c r="I45" s="1"/>
      <c r="J45" s="1"/>
    </row>
    <row r="46" spans="3:31" x14ac:dyDescent="0.2">
      <c r="D46" s="4"/>
      <c r="I46" s="1"/>
      <c r="J46" s="1"/>
    </row>
    <row r="47" spans="3:31" x14ac:dyDescent="0.2">
      <c r="D47" s="4"/>
      <c r="I47" s="1"/>
      <c r="J47" s="1"/>
    </row>
    <row r="48" spans="3:31" x14ac:dyDescent="0.2">
      <c r="D48" s="4"/>
      <c r="I48" s="1"/>
      <c r="J48" s="1"/>
    </row>
    <row r="49" spans="4:10" x14ac:dyDescent="0.2">
      <c r="D49" s="4"/>
      <c r="I49" s="1"/>
      <c r="J49" s="1"/>
    </row>
    <row r="50" spans="4:10" x14ac:dyDescent="0.2">
      <c r="D50" s="4"/>
      <c r="I50" s="1"/>
      <c r="J50" s="1"/>
    </row>
    <row r="51" spans="4:10" x14ac:dyDescent="0.2">
      <c r="D51" s="4"/>
      <c r="I51" s="1"/>
      <c r="J51" s="1"/>
    </row>
    <row r="52" spans="4:10" x14ac:dyDescent="0.2">
      <c r="D52" s="4"/>
      <c r="I52" s="1"/>
      <c r="J52" s="1"/>
    </row>
    <row r="53" spans="4:10" x14ac:dyDescent="0.2">
      <c r="D53" s="4"/>
      <c r="I53" s="1"/>
      <c r="J53" s="1"/>
    </row>
    <row r="54" spans="4:10" x14ac:dyDescent="0.2">
      <c r="D54" s="4"/>
      <c r="I54" s="1"/>
      <c r="J54" s="1"/>
    </row>
    <row r="55" spans="4:10" x14ac:dyDescent="0.2">
      <c r="D55" s="4"/>
      <c r="I55" s="1"/>
      <c r="J55" s="1"/>
    </row>
    <row r="56" spans="4:10" x14ac:dyDescent="0.2">
      <c r="D56" s="4"/>
      <c r="I56" s="1"/>
      <c r="J56" s="1"/>
    </row>
    <row r="57" spans="4:10" x14ac:dyDescent="0.2">
      <c r="D57" s="4"/>
      <c r="I57" s="1"/>
      <c r="J57" s="1"/>
    </row>
    <row r="58" spans="4:10" x14ac:dyDescent="0.2">
      <c r="D58" s="4"/>
      <c r="I58" s="1"/>
      <c r="J58" s="1"/>
    </row>
    <row r="59" spans="4:10" x14ac:dyDescent="0.2">
      <c r="D59" s="4"/>
      <c r="I59" s="1"/>
      <c r="J59" s="1"/>
    </row>
    <row r="60" spans="4:10" x14ac:dyDescent="0.2">
      <c r="D60" s="4"/>
      <c r="I60" s="1"/>
      <c r="J60" s="1"/>
    </row>
    <row r="61" spans="4:10" x14ac:dyDescent="0.2">
      <c r="D61" s="4"/>
      <c r="I61" s="1"/>
      <c r="J61" s="1"/>
    </row>
    <row r="62" spans="4:10" x14ac:dyDescent="0.2">
      <c r="D62" s="4"/>
    </row>
    <row r="63" spans="4:10" x14ac:dyDescent="0.2">
      <c r="D63" s="4"/>
    </row>
    <row r="64" spans="4:10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7FF0-6029-B34B-B992-2F2B8ECEF993}">
  <dimension ref="A1:BF51"/>
  <sheetViews>
    <sheetView topLeftCell="B1" workbookViewId="0">
      <selection activeCell="B11" sqref="A11:XFD11"/>
    </sheetView>
  </sheetViews>
  <sheetFormatPr baseColWidth="10" defaultRowHeight="16" x14ac:dyDescent="0.2"/>
  <cols>
    <col min="4" max="4" width="22.33203125" customWidth="1"/>
  </cols>
  <sheetData>
    <row r="1" spans="1:58" ht="17" x14ac:dyDescent="0.2">
      <c r="A1" s="5" t="s">
        <v>99</v>
      </c>
      <c r="B1" s="5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216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P1" t="s">
        <v>12</v>
      </c>
      <c r="Q1" t="s">
        <v>199</v>
      </c>
      <c r="R1" t="s">
        <v>198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</row>
    <row r="2" spans="1:58" ht="17" customHeight="1" x14ac:dyDescent="0.2">
      <c r="C2" t="str">
        <f>IF([3]Large!Q9="West","D1",IF([3]Large!Q9="East","D3",IF([3]Large!Q9="South","D2","D4")))</f>
        <v>D3</v>
      </c>
      <c r="D2" s="4" t="str">
        <f>[3]Large!A9&amp;"  "&amp;[3]Large!B9</f>
        <v>LT-0033  Ruzizi IV - Sisi V</v>
      </c>
      <c r="E2" t="str">
        <f>"H"&amp;LEFT(D2,2)&amp;MID(D2,4,4)</f>
        <v>HLT0033</v>
      </c>
      <c r="F2" t="str">
        <f>C2&amp;E2</f>
        <v>D3HLT0033</v>
      </c>
      <c r="G2" t="str">
        <f>C2&amp;[1]FUEL!$C$4</f>
        <v>D3HY00</v>
      </c>
      <c r="H2" t="str">
        <f>C2&amp;[1]FUEL!$C$11</f>
        <v>D3ELC01</v>
      </c>
      <c r="I2" s="1" t="s">
        <v>217</v>
      </c>
      <c r="J2" s="1">
        <f>R2</f>
        <v>0.13350000000000001</v>
      </c>
      <c r="K2">
        <v>30</v>
      </c>
      <c r="L2">
        <v>31.536000000000001</v>
      </c>
      <c r="M2">
        <v>2027</v>
      </c>
      <c r="N2">
        <v>1</v>
      </c>
      <c r="O2">
        <v>0.5</v>
      </c>
      <c r="P2">
        <f>Scenarios!$G$7</f>
        <v>0.56000000000000005</v>
      </c>
      <c r="Q2">
        <f>Scenarios!$H$7</f>
        <v>1</v>
      </c>
      <c r="R2" s="47">
        <f>[3]Large!L9/1000/2</f>
        <v>0.13350000000000001</v>
      </c>
      <c r="S2">
        <f t="shared" ref="S2:S51" si="0">(U2*((0.1*(1+0.1)^K2)/((1+0.1)^K2-1))+Z2)/(8760*P2)*1000</f>
        <v>65.8656121458624</v>
      </c>
      <c r="T2">
        <f>ROUND([3]Large!X9/1000,0)</f>
        <v>2465</v>
      </c>
      <c r="U2">
        <f>T2</f>
        <v>2465</v>
      </c>
      <c r="V2">
        <f t="shared" ref="V2:Y2" si="1">U2</f>
        <v>2465</v>
      </c>
      <c r="W2">
        <f t="shared" si="1"/>
        <v>2465</v>
      </c>
      <c r="X2">
        <f t="shared" si="1"/>
        <v>2465</v>
      </c>
      <c r="Y2">
        <f t="shared" si="1"/>
        <v>2465</v>
      </c>
      <c r="Z2">
        <f>T2*2.5/100</f>
        <v>61.625</v>
      </c>
      <c r="AA2">
        <f>Z2</f>
        <v>61.625</v>
      </c>
      <c r="AB2">
        <f t="shared" ref="AB2:AE2" si="2">AA2</f>
        <v>61.625</v>
      </c>
      <c r="AC2">
        <f t="shared" si="2"/>
        <v>61.625</v>
      </c>
      <c r="AD2">
        <f t="shared" si="2"/>
        <v>61.625</v>
      </c>
      <c r="AE2">
        <f t="shared" si="2"/>
        <v>61.625</v>
      </c>
    </row>
    <row r="3" spans="1:58" ht="17" customHeight="1" x14ac:dyDescent="0.2">
      <c r="C3" t="str">
        <f>IF([3]Large!Q10="West","D1",IF([3]Large!Q10="East","D3",IF([3]Large!Q10="South","D2","D4")))</f>
        <v>D2</v>
      </c>
      <c r="D3" s="4" t="str">
        <f>[3]Large!A10&amp;"  "&amp;[3]Large!B10</f>
        <v>LT-0075  Nzilo II</v>
      </c>
      <c r="E3" t="str">
        <f t="shared" ref="E3:E25" si="3">"H"&amp;LEFT(D3,2)&amp;MID(D3,4,4)</f>
        <v>HLT0075</v>
      </c>
      <c r="F3" t="str">
        <f t="shared" ref="F3:F25" si="4">C3&amp;E3</f>
        <v>D2HLT0075</v>
      </c>
      <c r="G3" t="str">
        <f>C3&amp;[1]FUEL!$C$4</f>
        <v>D2HY00</v>
      </c>
      <c r="H3" t="str">
        <f>C3&amp;[1]FUEL!$C$11</f>
        <v>D2ELC01</v>
      </c>
      <c r="I3" s="1" t="s">
        <v>217</v>
      </c>
      <c r="J3" s="1">
        <f t="shared" ref="J3:J25" si="5">R3</f>
        <v>0.12</v>
      </c>
      <c r="K3">
        <v>30</v>
      </c>
      <c r="L3">
        <v>31.536000000000001</v>
      </c>
      <c r="M3">
        <v>2027</v>
      </c>
      <c r="N3">
        <v>1</v>
      </c>
      <c r="O3">
        <v>0.5</v>
      </c>
      <c r="P3">
        <f>Scenarios!$G$7</f>
        <v>0.56000000000000005</v>
      </c>
      <c r="Q3">
        <f>Scenarios!$H$7</f>
        <v>1</v>
      </c>
      <c r="R3">
        <f>[3]Large!L10/1000</f>
        <v>0.12</v>
      </c>
      <c r="S3">
        <f t="shared" si="0"/>
        <v>89.05885812663665</v>
      </c>
      <c r="T3">
        <f>ROUND([3]Large!X10/1000,0)</f>
        <v>3333</v>
      </c>
      <c r="U3">
        <f t="shared" ref="U3:Y3" si="6">T3</f>
        <v>3333</v>
      </c>
      <c r="V3">
        <f t="shared" si="6"/>
        <v>3333</v>
      </c>
      <c r="W3">
        <f t="shared" si="6"/>
        <v>3333</v>
      </c>
      <c r="X3">
        <f t="shared" si="6"/>
        <v>3333</v>
      </c>
      <c r="Y3">
        <f t="shared" si="6"/>
        <v>3333</v>
      </c>
      <c r="Z3">
        <f t="shared" ref="Z3:Z25" si="7">T3*2.5/100</f>
        <v>83.325000000000003</v>
      </c>
      <c r="AA3">
        <f t="shared" ref="AA3:AE3" si="8">Z3</f>
        <v>83.325000000000003</v>
      </c>
      <c r="AB3">
        <f t="shared" si="8"/>
        <v>83.325000000000003</v>
      </c>
      <c r="AC3">
        <f t="shared" si="8"/>
        <v>83.325000000000003</v>
      </c>
      <c r="AD3">
        <f t="shared" si="8"/>
        <v>83.325000000000003</v>
      </c>
      <c r="AE3">
        <f t="shared" si="8"/>
        <v>83.325000000000003</v>
      </c>
    </row>
    <row r="4" spans="1:58" ht="17" customHeight="1" x14ac:dyDescent="0.2">
      <c r="C4" t="str">
        <f>IF([3]Large!Q11="West","D1",IF([3]Large!Q11="East","D3",IF([3]Large!Q11="South","D2","D4")))</f>
        <v>D2</v>
      </c>
      <c r="D4" s="4" t="str">
        <f>[3]Large!A11&amp;"  "&amp;[3]Large!B11</f>
        <v>LT-0084  Mambilima Falls II</v>
      </c>
      <c r="E4" t="str">
        <f t="shared" si="3"/>
        <v>HLT0084</v>
      </c>
      <c r="F4" t="str">
        <f t="shared" si="4"/>
        <v>D2HLT0084</v>
      </c>
      <c r="G4" t="str">
        <f>C4&amp;[1]FUEL!$C$4</f>
        <v>D2HY00</v>
      </c>
      <c r="H4" t="str">
        <f>C4&amp;[1]FUEL!$C$11</f>
        <v>D2ELC01</v>
      </c>
      <c r="I4" s="1" t="s">
        <v>217</v>
      </c>
      <c r="J4" s="1">
        <f t="shared" si="5"/>
        <v>0.126</v>
      </c>
      <c r="K4">
        <v>30</v>
      </c>
      <c r="L4">
        <v>31.536000000000001</v>
      </c>
      <c r="M4">
        <v>2027</v>
      </c>
      <c r="N4">
        <v>1</v>
      </c>
      <c r="O4">
        <v>0.5</v>
      </c>
      <c r="P4">
        <f>Scenarios!$G$7</f>
        <v>0.56000000000000005</v>
      </c>
      <c r="Q4">
        <f>Scenarios!$H$7</f>
        <v>1</v>
      </c>
      <c r="R4">
        <f>[3]Large!L11/1000</f>
        <v>0.126</v>
      </c>
      <c r="S4">
        <f t="shared" si="0"/>
        <v>102.73966681575696</v>
      </c>
      <c r="T4">
        <f>ROUND([3]Large!X11/1000,0)</f>
        <v>3845</v>
      </c>
      <c r="U4">
        <f t="shared" ref="U4:Y4" si="9">T4</f>
        <v>3845</v>
      </c>
      <c r="V4">
        <f t="shared" si="9"/>
        <v>3845</v>
      </c>
      <c r="W4">
        <f t="shared" si="9"/>
        <v>3845</v>
      </c>
      <c r="X4">
        <f t="shared" si="9"/>
        <v>3845</v>
      </c>
      <c r="Y4">
        <f t="shared" si="9"/>
        <v>3845</v>
      </c>
      <c r="Z4">
        <f t="shared" si="7"/>
        <v>96.125</v>
      </c>
      <c r="AA4">
        <f t="shared" ref="AA4:AE4" si="10">Z4</f>
        <v>96.125</v>
      </c>
      <c r="AB4">
        <f t="shared" si="10"/>
        <v>96.125</v>
      </c>
      <c r="AC4">
        <f t="shared" si="10"/>
        <v>96.125</v>
      </c>
      <c r="AD4">
        <f t="shared" si="10"/>
        <v>96.125</v>
      </c>
      <c r="AE4">
        <f t="shared" si="10"/>
        <v>96.125</v>
      </c>
    </row>
    <row r="5" spans="1:58" ht="17" customHeight="1" x14ac:dyDescent="0.2">
      <c r="C5" t="str">
        <f>IF([3]Large!Q12="West","D1",IF([3]Large!Q12="East","D3",IF([3]Large!Q12="South","D2","D4")))</f>
        <v>D4</v>
      </c>
      <c r="D5" s="4" t="str">
        <f>[3]Large!A12&amp;"  "&amp;[3]Large!B12</f>
        <v>LT-0085  Lungudi II</v>
      </c>
      <c r="E5" t="str">
        <f t="shared" si="3"/>
        <v>HLT0085</v>
      </c>
      <c r="F5" t="str">
        <f t="shared" si="4"/>
        <v>D4HLT0085</v>
      </c>
      <c r="G5" t="str">
        <f>C5&amp;[1]FUEL!$C$4</f>
        <v>D4HY00</v>
      </c>
      <c r="H5" t="str">
        <f>C5&amp;[1]FUEL!$C$11</f>
        <v>D4ELC01</v>
      </c>
      <c r="I5" s="1" t="s">
        <v>217</v>
      </c>
      <c r="J5" s="1">
        <f t="shared" si="5"/>
        <v>0.1</v>
      </c>
      <c r="K5">
        <v>30</v>
      </c>
      <c r="L5">
        <v>31.536000000000001</v>
      </c>
      <c r="M5">
        <v>2027</v>
      </c>
      <c r="N5">
        <v>1</v>
      </c>
      <c r="O5">
        <v>0.5</v>
      </c>
      <c r="P5">
        <f>Scenarios!$G$7</f>
        <v>0.56000000000000005</v>
      </c>
      <c r="Q5">
        <f>Scenarios!$H$7</f>
        <v>1</v>
      </c>
      <c r="R5">
        <f>[3]Large!L12/1000</f>
        <v>0.1</v>
      </c>
      <c r="S5">
        <f t="shared" si="0"/>
        <v>128.15070014261909</v>
      </c>
      <c r="T5">
        <f>ROUND([3]Large!X12/1000,0)</f>
        <v>4796</v>
      </c>
      <c r="U5">
        <f t="shared" ref="U5:Y5" si="11">T5</f>
        <v>4796</v>
      </c>
      <c r="V5">
        <f t="shared" si="11"/>
        <v>4796</v>
      </c>
      <c r="W5">
        <f t="shared" si="11"/>
        <v>4796</v>
      </c>
      <c r="X5">
        <f t="shared" si="11"/>
        <v>4796</v>
      </c>
      <c r="Y5">
        <f t="shared" si="11"/>
        <v>4796</v>
      </c>
      <c r="Z5">
        <f t="shared" si="7"/>
        <v>119.9</v>
      </c>
      <c r="AA5">
        <f t="shared" ref="AA5:AE5" si="12">Z5</f>
        <v>119.9</v>
      </c>
      <c r="AB5">
        <f t="shared" si="12"/>
        <v>119.9</v>
      </c>
      <c r="AC5">
        <f t="shared" si="12"/>
        <v>119.9</v>
      </c>
      <c r="AD5">
        <f t="shared" si="12"/>
        <v>119.9</v>
      </c>
      <c r="AE5">
        <f t="shared" si="12"/>
        <v>119.9</v>
      </c>
    </row>
    <row r="6" spans="1:58" x14ac:dyDescent="0.2">
      <c r="C6" t="str">
        <f>IF([3]Large!Q13="West","D1",IF([3]Large!Q13="East","D3",IF([3]Large!Q13="South","D2","D4")))</f>
        <v>D2</v>
      </c>
      <c r="D6" s="4" t="str">
        <f>[3]Large!A13&amp;"  "&amp;[3]Large!B13</f>
        <v>LT-0091  Kalengwe</v>
      </c>
      <c r="E6" t="str">
        <f t="shared" si="3"/>
        <v>HLT0091</v>
      </c>
      <c r="F6" t="str">
        <f t="shared" si="4"/>
        <v>D2HLT0091</v>
      </c>
      <c r="G6" t="str">
        <f>C6&amp;[1]FUEL!$C$4</f>
        <v>D2HY00</v>
      </c>
      <c r="H6" t="str">
        <f>C6&amp;[1]FUEL!$C$11</f>
        <v>D2ELC01</v>
      </c>
      <c r="I6" s="1" t="s">
        <v>217</v>
      </c>
      <c r="J6" s="1">
        <f t="shared" si="5"/>
        <v>0.20399999999999999</v>
      </c>
      <c r="K6">
        <v>30</v>
      </c>
      <c r="L6">
        <v>31.536000000000001</v>
      </c>
      <c r="M6">
        <v>2027</v>
      </c>
      <c r="N6">
        <v>1</v>
      </c>
      <c r="O6">
        <v>0.5</v>
      </c>
      <c r="P6">
        <f>Scenarios!$G$7</f>
        <v>0.56000000000000005</v>
      </c>
      <c r="Q6">
        <f>Scenarios!$H$7</f>
        <v>1</v>
      </c>
      <c r="R6">
        <f>[3]Large!L13/1000</f>
        <v>0.20399999999999999</v>
      </c>
      <c r="S6">
        <f t="shared" si="0"/>
        <v>72.518974184125966</v>
      </c>
      <c r="T6">
        <f>ROUND([3]Large!X13/1000,0)</f>
        <v>2714</v>
      </c>
      <c r="U6">
        <f t="shared" ref="U6:Y6" si="13">T6</f>
        <v>2714</v>
      </c>
      <c r="V6">
        <f t="shared" si="13"/>
        <v>2714</v>
      </c>
      <c r="W6">
        <f t="shared" si="13"/>
        <v>2714</v>
      </c>
      <c r="X6">
        <f t="shared" si="13"/>
        <v>2714</v>
      </c>
      <c r="Y6">
        <f t="shared" si="13"/>
        <v>2714</v>
      </c>
      <c r="Z6">
        <f t="shared" si="7"/>
        <v>67.849999999999994</v>
      </c>
      <c r="AA6">
        <f t="shared" ref="AA6:AE6" si="14">Z6</f>
        <v>67.849999999999994</v>
      </c>
      <c r="AB6">
        <f t="shared" si="14"/>
        <v>67.849999999999994</v>
      </c>
      <c r="AC6">
        <f t="shared" si="14"/>
        <v>67.849999999999994</v>
      </c>
      <c r="AD6">
        <f t="shared" si="14"/>
        <v>67.849999999999994</v>
      </c>
      <c r="AE6">
        <f t="shared" si="14"/>
        <v>67.849999999999994</v>
      </c>
    </row>
    <row r="7" spans="1:58" x14ac:dyDescent="0.2">
      <c r="C7" t="str">
        <f>IF([3]Large!Q14="West","D1",IF([3]Large!Q14="East","D3",IF([3]Large!Q14="South","D2","D4")))</f>
        <v>D2</v>
      </c>
      <c r="D7" s="4" t="str">
        <f>[3]Large!A14&amp;"  "&amp;[3]Large!B14</f>
        <v>LT-0094  Mumbotuta M</v>
      </c>
      <c r="E7" t="str">
        <f t="shared" si="3"/>
        <v>HLT0094</v>
      </c>
      <c r="F7" t="str">
        <f t="shared" si="4"/>
        <v>D2HLT0094</v>
      </c>
      <c r="G7" t="str">
        <f>C7&amp;[1]FUEL!$C$4</f>
        <v>D2HY00</v>
      </c>
      <c r="H7" t="str">
        <f>C7&amp;[1]FUEL!$C$11</f>
        <v>D2ELC01</v>
      </c>
      <c r="I7" s="1" t="s">
        <v>217</v>
      </c>
      <c r="J7" s="1">
        <f t="shared" si="5"/>
        <v>0.21</v>
      </c>
      <c r="K7">
        <v>30</v>
      </c>
      <c r="L7">
        <v>31.536000000000001</v>
      </c>
      <c r="M7">
        <v>2027</v>
      </c>
      <c r="N7">
        <v>1</v>
      </c>
      <c r="O7">
        <v>0.5</v>
      </c>
      <c r="P7">
        <f>Scenarios!$G$7</f>
        <v>0.56000000000000005</v>
      </c>
      <c r="Q7">
        <f>Scenarios!$H$7</f>
        <v>1</v>
      </c>
      <c r="R7">
        <f>[3]Large!L14/1000</f>
        <v>0.21</v>
      </c>
      <c r="S7">
        <f t="shared" si="0"/>
        <v>93.467712489341437</v>
      </c>
      <c r="T7">
        <f>ROUND([3]Large!X14/1000,0)</f>
        <v>3498</v>
      </c>
      <c r="U7">
        <f t="shared" ref="U7:Y7" si="15">T7</f>
        <v>3498</v>
      </c>
      <c r="V7">
        <f t="shared" si="15"/>
        <v>3498</v>
      </c>
      <c r="W7">
        <f t="shared" si="15"/>
        <v>3498</v>
      </c>
      <c r="X7">
        <f t="shared" si="15"/>
        <v>3498</v>
      </c>
      <c r="Y7">
        <f t="shared" si="15"/>
        <v>3498</v>
      </c>
      <c r="Z7">
        <f t="shared" si="7"/>
        <v>87.45</v>
      </c>
      <c r="AA7">
        <f t="shared" ref="AA7:AE7" si="16">Z7</f>
        <v>87.45</v>
      </c>
      <c r="AB7">
        <f t="shared" si="16"/>
        <v>87.45</v>
      </c>
      <c r="AC7">
        <f t="shared" si="16"/>
        <v>87.45</v>
      </c>
      <c r="AD7">
        <f t="shared" si="16"/>
        <v>87.45</v>
      </c>
      <c r="AE7">
        <f t="shared" si="16"/>
        <v>87.45</v>
      </c>
    </row>
    <row r="8" spans="1:58" s="2" customFormat="1" x14ac:dyDescent="0.2">
      <c r="C8" s="2" t="str">
        <f>IF([3]Large!Q15="West","D1",IF([3]Large!Q15="East","D3",IF([3]Large!Q15="South","D2","D4")))</f>
        <v>D1</v>
      </c>
      <c r="D8" s="13" t="str">
        <f>[3]Large!A15&amp;"  "&amp;[3]Large!B15</f>
        <v>LT-0109  Inga III</v>
      </c>
      <c r="E8" s="2" t="str">
        <f t="shared" si="3"/>
        <v>HLT0109</v>
      </c>
      <c r="F8" s="2" t="str">
        <f t="shared" si="4"/>
        <v>D1HLT0109</v>
      </c>
      <c r="G8" s="2" t="str">
        <f>C8&amp;[1]FUEL!$C$4</f>
        <v>D1HY00</v>
      </c>
      <c r="H8" s="2" t="str">
        <f>C8&amp;[1]FUEL!$C$11</f>
        <v>D1ELC01</v>
      </c>
      <c r="I8" s="1" t="s">
        <v>217</v>
      </c>
      <c r="J8" s="1">
        <f t="shared" si="5"/>
        <v>4.7549999999999999</v>
      </c>
      <c r="K8" s="2">
        <v>30</v>
      </c>
      <c r="L8" s="2">
        <v>31.536000000000001</v>
      </c>
      <c r="M8">
        <v>2027</v>
      </c>
      <c r="N8" s="2">
        <v>1</v>
      </c>
      <c r="O8" s="2">
        <v>0.5</v>
      </c>
      <c r="P8">
        <f>Scenarios!$G$7</f>
        <v>0.56000000000000005</v>
      </c>
      <c r="Q8">
        <f>Scenarios!$H$7</f>
        <v>1</v>
      </c>
      <c r="R8">
        <f>[3]Large!L15/1000</f>
        <v>4.7549999999999999</v>
      </c>
      <c r="S8">
        <f t="shared" si="0"/>
        <v>32.037675035654772</v>
      </c>
      <c r="T8" s="2">
        <f>ROUND([3]Large!X15/1000,0)</f>
        <v>1199</v>
      </c>
      <c r="U8" s="2">
        <f t="shared" ref="U8:Y8" si="17">T8</f>
        <v>1199</v>
      </c>
      <c r="V8" s="2">
        <f t="shared" si="17"/>
        <v>1199</v>
      </c>
      <c r="W8" s="2">
        <f t="shared" si="17"/>
        <v>1199</v>
      </c>
      <c r="X8" s="2">
        <f t="shared" si="17"/>
        <v>1199</v>
      </c>
      <c r="Y8" s="2">
        <f t="shared" si="17"/>
        <v>1199</v>
      </c>
      <c r="Z8" s="2">
        <f t="shared" si="7"/>
        <v>29.975000000000001</v>
      </c>
      <c r="AA8" s="2">
        <f t="shared" ref="AA8:AE8" si="18">Z8</f>
        <v>29.975000000000001</v>
      </c>
      <c r="AB8" s="2">
        <f t="shared" si="18"/>
        <v>29.975000000000001</v>
      </c>
      <c r="AC8" s="2">
        <f t="shared" si="18"/>
        <v>29.975000000000001</v>
      </c>
      <c r="AD8" s="2">
        <f t="shared" si="18"/>
        <v>29.975000000000001</v>
      </c>
      <c r="AE8" s="2">
        <f t="shared" si="18"/>
        <v>29.975000000000001</v>
      </c>
    </row>
    <row r="9" spans="1:58" s="2" customFormat="1" x14ac:dyDescent="0.2">
      <c r="C9" s="2" t="str">
        <f>IF([3]Large!Q16="West","D1",IF([3]Large!Q16="East","D3",IF([3]Large!Q16="South","D2","D4")))</f>
        <v>D1</v>
      </c>
      <c r="D9" s="13" t="str">
        <f>[3]Large!A16&amp;"  "&amp;[3]Large!B16</f>
        <v>LT-0110  Inga III(HC)-IV-V-VI-VII-VIII</v>
      </c>
      <c r="E9" s="2" t="str">
        <f t="shared" si="3"/>
        <v>HLT0110</v>
      </c>
      <c r="F9" s="2" t="str">
        <f t="shared" si="4"/>
        <v>D1HLT0110</v>
      </c>
      <c r="G9" s="2" t="str">
        <f>C9&amp;[1]FUEL!$C$4</f>
        <v>D1HY00</v>
      </c>
      <c r="H9" s="2" t="str">
        <f>C9&amp;[1]FUEL!$C$11</f>
        <v>D1ELC01</v>
      </c>
      <c r="I9" s="1" t="s">
        <v>217</v>
      </c>
      <c r="J9" s="1">
        <f t="shared" si="5"/>
        <v>0</v>
      </c>
      <c r="K9" s="2">
        <v>30</v>
      </c>
      <c r="L9" s="2">
        <v>31.536000000000001</v>
      </c>
      <c r="M9">
        <v>2027</v>
      </c>
      <c r="N9" s="2">
        <v>1</v>
      </c>
      <c r="O9" s="2">
        <v>0.5</v>
      </c>
      <c r="P9">
        <f>Scenarios!$G$7</f>
        <v>0.56000000000000005</v>
      </c>
      <c r="Q9">
        <f>Scenarios!$H$7*Scenarios!O7</f>
        <v>0</v>
      </c>
      <c r="R9">
        <f>[3]Large!L16/1000*Scenarios!O7</f>
        <v>0</v>
      </c>
      <c r="S9">
        <f t="shared" si="0"/>
        <v>15.818435046795351</v>
      </c>
      <c r="T9" s="2">
        <f>ROUND([3]Large!X16/1000,0)</f>
        <v>592</v>
      </c>
      <c r="U9" s="2">
        <f t="shared" ref="U9:Y9" si="19">T9</f>
        <v>592</v>
      </c>
      <c r="V9" s="2">
        <f t="shared" si="19"/>
        <v>592</v>
      </c>
      <c r="W9" s="2">
        <f t="shared" si="19"/>
        <v>592</v>
      </c>
      <c r="X9" s="2">
        <f t="shared" si="19"/>
        <v>592</v>
      </c>
      <c r="Y9" s="2">
        <f t="shared" si="19"/>
        <v>592</v>
      </c>
      <c r="Z9" s="2">
        <f t="shared" si="7"/>
        <v>14.8</v>
      </c>
      <c r="AA9" s="2">
        <f t="shared" ref="AA9:AE9" si="20">Z9</f>
        <v>14.8</v>
      </c>
      <c r="AB9" s="2">
        <f t="shared" si="20"/>
        <v>14.8</v>
      </c>
      <c r="AC9" s="2">
        <f t="shared" si="20"/>
        <v>14.8</v>
      </c>
      <c r="AD9" s="2">
        <f t="shared" si="20"/>
        <v>14.8</v>
      </c>
      <c r="AE9" s="2">
        <f t="shared" si="20"/>
        <v>14.8</v>
      </c>
    </row>
    <row r="10" spans="1:58" x14ac:dyDescent="0.2">
      <c r="C10" t="str">
        <f>IF([3]Large!Q17="West","D1",IF([3]Large!Q17="East","D3",IF([3]Large!Q17="South","D2","D4")))</f>
        <v>D1</v>
      </c>
      <c r="D10" s="4" t="str">
        <f>[3]Large!A17&amp;"  "&amp;[3]Large!B17</f>
        <v>LT-0127  Ruki</v>
      </c>
      <c r="E10" t="str">
        <f t="shared" si="3"/>
        <v>HLT0127</v>
      </c>
      <c r="F10" t="str">
        <f t="shared" si="4"/>
        <v>D1HLT0127</v>
      </c>
      <c r="G10" t="str">
        <f>C10&amp;[1]FUEL!$C$4</f>
        <v>D1HY00</v>
      </c>
      <c r="H10" t="str">
        <f>C10&amp;[1]FUEL!$C$11</f>
        <v>D1ELC01</v>
      </c>
      <c r="I10" s="1" t="s">
        <v>217</v>
      </c>
      <c r="J10" s="1">
        <f t="shared" si="5"/>
        <v>0.114</v>
      </c>
      <c r="K10">
        <v>30</v>
      </c>
      <c r="L10">
        <v>31.536000000000001</v>
      </c>
      <c r="M10">
        <v>2027</v>
      </c>
      <c r="N10">
        <v>1</v>
      </c>
      <c r="O10">
        <v>0.5</v>
      </c>
      <c r="P10">
        <f>Scenarios!$G$7</f>
        <v>0.56000000000000005</v>
      </c>
      <c r="Q10">
        <f>Scenarios!$H$7</f>
        <v>1</v>
      </c>
      <c r="R10">
        <f>[3]Large!L17/1000</f>
        <v>0.114</v>
      </c>
      <c r="S10">
        <f t="shared" si="0"/>
        <v>156.90177465334847</v>
      </c>
      <c r="T10">
        <f>ROUND([3]Large!X17/1000,0)</f>
        <v>5872</v>
      </c>
      <c r="U10">
        <f t="shared" ref="U10:Y10" si="21">T10</f>
        <v>5872</v>
      </c>
      <c r="V10">
        <f t="shared" si="21"/>
        <v>5872</v>
      </c>
      <c r="W10">
        <f t="shared" si="21"/>
        <v>5872</v>
      </c>
      <c r="X10">
        <f t="shared" si="21"/>
        <v>5872</v>
      </c>
      <c r="Y10">
        <f t="shared" si="21"/>
        <v>5872</v>
      </c>
      <c r="Z10">
        <f t="shared" si="7"/>
        <v>146.80000000000001</v>
      </c>
      <c r="AA10">
        <f t="shared" ref="AA10:AE10" si="22">Z10</f>
        <v>146.80000000000001</v>
      </c>
      <c r="AB10">
        <f t="shared" si="22"/>
        <v>146.80000000000001</v>
      </c>
      <c r="AC10">
        <f t="shared" si="22"/>
        <v>146.80000000000001</v>
      </c>
      <c r="AD10">
        <f t="shared" si="22"/>
        <v>146.80000000000001</v>
      </c>
      <c r="AE10">
        <f t="shared" si="22"/>
        <v>146.80000000000001</v>
      </c>
    </row>
    <row r="11" spans="1:58" x14ac:dyDescent="0.2">
      <c r="C11" t="str">
        <f>IF([3]Large!Q18="West","D1",IF([3]Large!Q18="East","D3",IF([3]Large!Q18="South","D2","D4")))</f>
        <v>D1</v>
      </c>
      <c r="D11" s="4" t="str">
        <f>[3]Large!A18&amp;"  "&amp;[3]Large!B18</f>
        <v>LT-0132  Pioka</v>
      </c>
      <c r="E11" t="str">
        <f t="shared" si="3"/>
        <v>HLT0132</v>
      </c>
      <c r="F11" t="str">
        <f t="shared" si="4"/>
        <v>D1HLT0132</v>
      </c>
      <c r="G11" t="str">
        <f>C11&amp;[1]FUEL!$C$4</f>
        <v>D1HY00</v>
      </c>
      <c r="H11" t="str">
        <f>C11&amp;[1]FUEL!$C$11</f>
        <v>D1ELC01</v>
      </c>
      <c r="I11" s="1" t="s">
        <v>217</v>
      </c>
      <c r="J11" s="1">
        <f t="shared" si="5"/>
        <v>20</v>
      </c>
      <c r="K11">
        <v>30</v>
      </c>
      <c r="L11">
        <v>31.536000000000001</v>
      </c>
      <c r="M11">
        <v>2027</v>
      </c>
      <c r="N11">
        <v>1</v>
      </c>
      <c r="O11">
        <v>0.5</v>
      </c>
      <c r="P11">
        <f>Scenarios!$G$7</f>
        <v>0.56000000000000005</v>
      </c>
      <c r="Q11">
        <f>Scenarios!$H$7</f>
        <v>1</v>
      </c>
      <c r="R11">
        <f>[3]Large!L18/1000</f>
        <v>20</v>
      </c>
      <c r="S11">
        <f t="shared" si="0"/>
        <v>20.387611386325762</v>
      </c>
      <c r="T11">
        <f>ROUND([3]Large!X18/1000,0)</f>
        <v>763</v>
      </c>
      <c r="U11">
        <f t="shared" ref="U11:Y11" si="23">T11</f>
        <v>763</v>
      </c>
      <c r="V11">
        <f t="shared" si="23"/>
        <v>763</v>
      </c>
      <c r="W11">
        <f t="shared" si="23"/>
        <v>763</v>
      </c>
      <c r="X11">
        <f t="shared" si="23"/>
        <v>763</v>
      </c>
      <c r="Y11">
        <f t="shared" si="23"/>
        <v>763</v>
      </c>
      <c r="Z11">
        <f t="shared" si="7"/>
        <v>19.074999999999999</v>
      </c>
      <c r="AA11">
        <f t="shared" ref="AA11:AE11" si="24">Z11</f>
        <v>19.074999999999999</v>
      </c>
      <c r="AB11">
        <f t="shared" si="24"/>
        <v>19.074999999999999</v>
      </c>
      <c r="AC11">
        <f t="shared" si="24"/>
        <v>19.074999999999999</v>
      </c>
      <c r="AD11">
        <f t="shared" si="24"/>
        <v>19.074999999999999</v>
      </c>
      <c r="AE11">
        <f t="shared" si="24"/>
        <v>19.074999999999999</v>
      </c>
    </row>
    <row r="12" spans="1:58" x14ac:dyDescent="0.2">
      <c r="C12" t="str">
        <f>IF([3]Large!Q19="West","D1",IF([3]Large!Q19="East","D3",IF([3]Large!Q19="South","D2","D4")))</f>
        <v>D1</v>
      </c>
      <c r="D12" s="4" t="str">
        <f>[3]Large!A19&amp;"  "&amp;[3]Large!B19</f>
        <v>LT-0136  Matadi</v>
      </c>
      <c r="E12" t="str">
        <f t="shared" si="3"/>
        <v>HLT0136</v>
      </c>
      <c r="F12" t="str">
        <f t="shared" si="4"/>
        <v>D1HLT0136</v>
      </c>
      <c r="G12" t="str">
        <f>C12&amp;[1]FUEL!$C$4</f>
        <v>D1HY00</v>
      </c>
      <c r="H12" t="str">
        <f>C12&amp;[1]FUEL!$C$11</f>
        <v>D1ELC01</v>
      </c>
      <c r="I12" s="1" t="s">
        <v>217</v>
      </c>
      <c r="J12" s="1">
        <f t="shared" si="5"/>
        <v>12</v>
      </c>
      <c r="K12">
        <v>30</v>
      </c>
      <c r="L12">
        <v>31.536000000000001</v>
      </c>
      <c r="M12">
        <v>2027</v>
      </c>
      <c r="N12">
        <v>1</v>
      </c>
      <c r="O12">
        <v>0.5</v>
      </c>
      <c r="P12">
        <f>Scenarios!$G$7</f>
        <v>0.56000000000000005</v>
      </c>
      <c r="Q12">
        <f>Scenarios!$H$7</f>
        <v>1</v>
      </c>
      <c r="R12">
        <f>[3]Large!L19/1000</f>
        <v>12</v>
      </c>
      <c r="S12">
        <f t="shared" si="0"/>
        <v>26.052321234164637</v>
      </c>
      <c r="T12">
        <f>ROUND([3]Large!X19/1000,0)</f>
        <v>975</v>
      </c>
      <c r="U12">
        <f t="shared" ref="U12:Y12" si="25">T12</f>
        <v>975</v>
      </c>
      <c r="V12">
        <f t="shared" si="25"/>
        <v>975</v>
      </c>
      <c r="W12">
        <f t="shared" si="25"/>
        <v>975</v>
      </c>
      <c r="X12">
        <f t="shared" si="25"/>
        <v>975</v>
      </c>
      <c r="Y12">
        <f t="shared" si="25"/>
        <v>975</v>
      </c>
      <c r="Z12">
        <f t="shared" si="7"/>
        <v>24.375</v>
      </c>
      <c r="AA12">
        <f t="shared" ref="AA12:AE12" si="26">Z12</f>
        <v>24.375</v>
      </c>
      <c r="AB12">
        <f t="shared" si="26"/>
        <v>24.375</v>
      </c>
      <c r="AC12">
        <f t="shared" si="26"/>
        <v>24.375</v>
      </c>
      <c r="AD12">
        <f t="shared" si="26"/>
        <v>24.375</v>
      </c>
      <c r="AE12">
        <f t="shared" si="26"/>
        <v>24.375</v>
      </c>
    </row>
    <row r="13" spans="1:58" x14ac:dyDescent="0.2">
      <c r="C13" t="str">
        <f>IF([3]Large!Q20="West","D1",IF([3]Large!Q20="East","D3",IF([3]Large!Q20="South","D2","D4")))</f>
        <v>D2</v>
      </c>
      <c r="D13" s="4" t="str">
        <f>[3]Large!A20&amp;"  "&amp;[3]Large!B20</f>
        <v>LT-0138  Mambilima Falls I</v>
      </c>
      <c r="E13" t="str">
        <f t="shared" si="3"/>
        <v>HLT0138</v>
      </c>
      <c r="F13" t="str">
        <f t="shared" si="4"/>
        <v>D2HLT0138</v>
      </c>
      <c r="G13" t="str">
        <f>C13&amp;[1]FUEL!$C$4</f>
        <v>D2HY00</v>
      </c>
      <c r="H13" t="str">
        <f>C13&amp;[1]FUEL!$C$11</f>
        <v>D2ELC01</v>
      </c>
      <c r="I13" s="1" t="s">
        <v>217</v>
      </c>
      <c r="J13" s="1">
        <f t="shared" si="5"/>
        <v>0.3</v>
      </c>
      <c r="K13">
        <v>30</v>
      </c>
      <c r="L13">
        <v>31.536000000000001</v>
      </c>
      <c r="M13">
        <v>2027</v>
      </c>
      <c r="N13">
        <v>1</v>
      </c>
      <c r="O13">
        <v>0.5</v>
      </c>
      <c r="P13">
        <f>Scenarios!$G$7</f>
        <v>0.56000000000000005</v>
      </c>
      <c r="Q13">
        <f>Scenarios!$H$7</f>
        <v>1</v>
      </c>
      <c r="R13">
        <f>[3]Large!L20/1000</f>
        <v>0.3</v>
      </c>
      <c r="S13">
        <f t="shared" si="0"/>
        <v>94.643406986062715</v>
      </c>
      <c r="T13">
        <f>ROUND([3]Large!X20/1000,0)</f>
        <v>3542</v>
      </c>
      <c r="U13">
        <f t="shared" ref="U13:Y13" si="27">T13</f>
        <v>3542</v>
      </c>
      <c r="V13">
        <f t="shared" si="27"/>
        <v>3542</v>
      </c>
      <c r="W13">
        <f t="shared" si="27"/>
        <v>3542</v>
      </c>
      <c r="X13">
        <f t="shared" si="27"/>
        <v>3542</v>
      </c>
      <c r="Y13">
        <f t="shared" si="27"/>
        <v>3542</v>
      </c>
      <c r="Z13">
        <f t="shared" si="7"/>
        <v>88.55</v>
      </c>
      <c r="AA13">
        <f t="shared" ref="AA13:AE13" si="28">Z13</f>
        <v>88.55</v>
      </c>
      <c r="AB13">
        <f t="shared" si="28"/>
        <v>88.55</v>
      </c>
      <c r="AC13">
        <f t="shared" si="28"/>
        <v>88.55</v>
      </c>
      <c r="AD13">
        <f t="shared" si="28"/>
        <v>88.55</v>
      </c>
      <c r="AE13">
        <f t="shared" si="28"/>
        <v>88.55</v>
      </c>
    </row>
    <row r="14" spans="1:58" x14ac:dyDescent="0.2">
      <c r="C14" t="str">
        <f>IF([3]Large!Q21="West","D1",IF([3]Large!Q21="East","D3",IF([3]Large!Q21="South","D2","D4")))</f>
        <v>D2</v>
      </c>
      <c r="D14" s="4" t="str">
        <f>[3]Large!A21&amp;"  "&amp;[3]Large!B21</f>
        <v>LT-0139  Mambilima Falls V</v>
      </c>
      <c r="E14" t="str">
        <f t="shared" si="3"/>
        <v>HLT0139</v>
      </c>
      <c r="F14" t="str">
        <f t="shared" si="4"/>
        <v>D2HLT0139</v>
      </c>
      <c r="G14" t="str">
        <f>C14&amp;[1]FUEL!$C$4</f>
        <v>D2HY00</v>
      </c>
      <c r="H14" t="str">
        <f>C14&amp;[1]FUEL!$C$11</f>
        <v>D2ELC01</v>
      </c>
      <c r="I14" s="1" t="s">
        <v>217</v>
      </c>
      <c r="J14" s="1">
        <f t="shared" si="5"/>
        <v>0.372</v>
      </c>
      <c r="K14">
        <v>30</v>
      </c>
      <c r="L14">
        <v>31.536000000000001</v>
      </c>
      <c r="M14">
        <v>2027</v>
      </c>
      <c r="N14">
        <v>1</v>
      </c>
      <c r="O14">
        <v>0.5</v>
      </c>
      <c r="P14">
        <f>Scenarios!$G$7</f>
        <v>0.56000000000000005</v>
      </c>
      <c r="Q14">
        <f>Scenarios!$H$7</f>
        <v>1</v>
      </c>
      <c r="R14">
        <f>[3]Large!L21/1000</f>
        <v>0.372</v>
      </c>
      <c r="S14">
        <f t="shared" si="0"/>
        <v>76.580464263708549</v>
      </c>
      <c r="T14">
        <f>ROUND([3]Large!X21/1000,0)</f>
        <v>2866</v>
      </c>
      <c r="U14">
        <f t="shared" ref="U14:Y14" si="29">T14</f>
        <v>2866</v>
      </c>
      <c r="V14">
        <f t="shared" si="29"/>
        <v>2866</v>
      </c>
      <c r="W14">
        <f t="shared" si="29"/>
        <v>2866</v>
      </c>
      <c r="X14">
        <f t="shared" si="29"/>
        <v>2866</v>
      </c>
      <c r="Y14">
        <f t="shared" si="29"/>
        <v>2866</v>
      </c>
      <c r="Z14">
        <f t="shared" si="7"/>
        <v>71.650000000000006</v>
      </c>
      <c r="AA14">
        <f t="shared" ref="AA14:AE14" si="30">Z14</f>
        <v>71.650000000000006</v>
      </c>
      <c r="AB14">
        <f t="shared" si="30"/>
        <v>71.650000000000006</v>
      </c>
      <c r="AC14">
        <f t="shared" si="30"/>
        <v>71.650000000000006</v>
      </c>
      <c r="AD14">
        <f t="shared" si="30"/>
        <v>71.650000000000006</v>
      </c>
      <c r="AE14">
        <f t="shared" si="30"/>
        <v>71.650000000000006</v>
      </c>
    </row>
    <row r="15" spans="1:58" x14ac:dyDescent="0.2">
      <c r="C15" t="str">
        <f>IF([3]Large!Q22="West","D1",IF([3]Large!Q22="East","D3",IF([3]Large!Q22="South","D2","D4")))</f>
        <v>D2</v>
      </c>
      <c r="D15" s="4" t="str">
        <f>[3]Large!A22&amp;"  "&amp;[3]Large!B22</f>
        <v>LT-0140  Mumbotuta CX</v>
      </c>
      <c r="E15" t="str">
        <f t="shared" si="3"/>
        <v>HLT0140</v>
      </c>
      <c r="F15" t="str">
        <f t="shared" si="4"/>
        <v>D2HLT0140</v>
      </c>
      <c r="G15" t="str">
        <f>C15&amp;[1]FUEL!$C$4</f>
        <v>D2HY00</v>
      </c>
      <c r="H15" t="str">
        <f>C15&amp;[1]FUEL!$C$11</f>
        <v>D2ELC01</v>
      </c>
      <c r="I15" s="1" t="s">
        <v>217</v>
      </c>
      <c r="J15" s="1">
        <f t="shared" si="5"/>
        <v>0.3</v>
      </c>
      <c r="K15">
        <v>30</v>
      </c>
      <c r="L15">
        <v>31.536000000000001</v>
      </c>
      <c r="M15">
        <v>2027</v>
      </c>
      <c r="N15">
        <v>1</v>
      </c>
      <c r="O15">
        <v>0.5</v>
      </c>
      <c r="P15">
        <f>Scenarios!$G$7</f>
        <v>0.56000000000000005</v>
      </c>
      <c r="Q15">
        <f>Scenarios!$H$7</f>
        <v>1</v>
      </c>
      <c r="R15">
        <f>[3]Large!L22/1000</f>
        <v>0.3</v>
      </c>
      <c r="S15">
        <f t="shared" si="0"/>
        <v>94.402924020824273</v>
      </c>
      <c r="T15">
        <f>ROUND([3]Large!X22/1000,0)</f>
        <v>3533</v>
      </c>
      <c r="U15">
        <f t="shared" ref="U15:Y15" si="31">T15</f>
        <v>3533</v>
      </c>
      <c r="V15">
        <f t="shared" si="31"/>
        <v>3533</v>
      </c>
      <c r="W15">
        <f t="shared" si="31"/>
        <v>3533</v>
      </c>
      <c r="X15">
        <f t="shared" si="31"/>
        <v>3533</v>
      </c>
      <c r="Y15">
        <f t="shared" si="31"/>
        <v>3533</v>
      </c>
      <c r="Z15">
        <f t="shared" si="7"/>
        <v>88.325000000000003</v>
      </c>
      <c r="AA15">
        <f t="shared" ref="AA15:AE15" si="32">Z15</f>
        <v>88.325000000000003</v>
      </c>
      <c r="AB15">
        <f t="shared" si="32"/>
        <v>88.325000000000003</v>
      </c>
      <c r="AC15">
        <f t="shared" si="32"/>
        <v>88.325000000000003</v>
      </c>
      <c r="AD15">
        <f t="shared" si="32"/>
        <v>88.325000000000003</v>
      </c>
      <c r="AE15">
        <f t="shared" si="32"/>
        <v>88.325000000000003</v>
      </c>
    </row>
    <row r="16" spans="1:58" x14ac:dyDescent="0.2">
      <c r="C16" t="str">
        <f>IF([3]Large!Q23="West","D1",IF([3]Large!Q23="East","D3",IF([3]Large!Q23="South","D2","D4")))</f>
        <v>D2</v>
      </c>
      <c r="D16" s="4" t="str">
        <f>[3]Large!A23&amp;"  "&amp;[3]Large!B23</f>
        <v>LT-0141  Kimimbi-Fuka</v>
      </c>
      <c r="E16" t="str">
        <f t="shared" si="3"/>
        <v>HLT0141</v>
      </c>
      <c r="F16" t="str">
        <f t="shared" si="4"/>
        <v>D2HLT0141</v>
      </c>
      <c r="G16" t="str">
        <f>C16&amp;[1]FUEL!$C$4</f>
        <v>D2HY00</v>
      </c>
      <c r="H16" t="str">
        <f>C16&amp;[1]FUEL!$C$11</f>
        <v>D2ELC01</v>
      </c>
      <c r="I16" s="1" t="s">
        <v>217</v>
      </c>
      <c r="J16" s="1">
        <f t="shared" si="5"/>
        <v>0.153</v>
      </c>
      <c r="K16">
        <v>30</v>
      </c>
      <c r="L16">
        <v>31.536000000000001</v>
      </c>
      <c r="M16">
        <v>2027</v>
      </c>
      <c r="N16">
        <v>1</v>
      </c>
      <c r="O16">
        <v>0.5</v>
      </c>
      <c r="P16">
        <f>Scenarios!$G$7</f>
        <v>0.56000000000000005</v>
      </c>
      <c r="Q16">
        <f>Scenarios!$H$7</f>
        <v>1</v>
      </c>
      <c r="R16">
        <f>[3]Large!L23/1000</f>
        <v>0.153</v>
      </c>
      <c r="S16">
        <f t="shared" si="0"/>
        <v>86.680748803723162</v>
      </c>
      <c r="T16">
        <f>ROUND([3]Large!X23/1000,0)</f>
        <v>3244</v>
      </c>
      <c r="U16">
        <f t="shared" ref="U16:Y16" si="33">T16</f>
        <v>3244</v>
      </c>
      <c r="V16">
        <f t="shared" si="33"/>
        <v>3244</v>
      </c>
      <c r="W16">
        <f t="shared" si="33"/>
        <v>3244</v>
      </c>
      <c r="X16">
        <f t="shared" si="33"/>
        <v>3244</v>
      </c>
      <c r="Y16">
        <f t="shared" si="33"/>
        <v>3244</v>
      </c>
      <c r="Z16">
        <f t="shared" si="7"/>
        <v>81.099999999999994</v>
      </c>
      <c r="AA16">
        <f t="shared" ref="AA16:AE16" si="34">Z16</f>
        <v>81.099999999999994</v>
      </c>
      <c r="AB16">
        <f t="shared" si="34"/>
        <v>81.099999999999994</v>
      </c>
      <c r="AC16">
        <f t="shared" si="34"/>
        <v>81.099999999999994</v>
      </c>
      <c r="AD16">
        <f t="shared" si="34"/>
        <v>81.099999999999994</v>
      </c>
      <c r="AE16">
        <f t="shared" si="34"/>
        <v>81.099999999999994</v>
      </c>
    </row>
    <row r="17" spans="3:31" x14ac:dyDescent="0.2">
      <c r="C17" t="str">
        <f>IF([3]Large!Q25="West","D1",IF([3]Large!Q25="East","D3",IF([3]Large!Q25="South","D2","D4")))</f>
        <v>D1</v>
      </c>
      <c r="D17" s="4" t="str">
        <f>[3]Large!A25&amp;"  "&amp;[3]Large!B25</f>
        <v>LT-0183  Kinsuka</v>
      </c>
      <c r="E17" t="str">
        <f t="shared" si="3"/>
        <v>HLT0183</v>
      </c>
      <c r="F17" t="str">
        <f t="shared" si="4"/>
        <v>D1HLT0183</v>
      </c>
      <c r="G17" t="str">
        <f>C17&amp;[1]FUEL!$C$4</f>
        <v>D1HY00</v>
      </c>
      <c r="H17" t="str">
        <f>C17&amp;[1]FUEL!$C$11</f>
        <v>D1ELC01</v>
      </c>
      <c r="I17" s="1" t="s">
        <v>217</v>
      </c>
      <c r="J17" s="1">
        <f t="shared" si="5"/>
        <v>0.9</v>
      </c>
      <c r="K17">
        <v>30</v>
      </c>
      <c r="L17">
        <v>31.536000000000001</v>
      </c>
      <c r="M17">
        <v>2027</v>
      </c>
      <c r="N17">
        <v>1</v>
      </c>
      <c r="O17">
        <v>0.5</v>
      </c>
      <c r="P17">
        <f>Scenarios!$G$7</f>
        <v>0.56000000000000005</v>
      </c>
      <c r="Q17">
        <f>Scenarios!$H$7</f>
        <v>1</v>
      </c>
      <c r="R17">
        <f>[3]Large!L25/1000</f>
        <v>0.9</v>
      </c>
      <c r="S17">
        <f t="shared" si="0"/>
        <v>64.502875342844547</v>
      </c>
      <c r="T17">
        <f>ROUND([3]Large!X25/1000,0)</f>
        <v>2414</v>
      </c>
      <c r="U17">
        <f t="shared" ref="U17:Y17" si="35">T17</f>
        <v>2414</v>
      </c>
      <c r="V17">
        <f t="shared" si="35"/>
        <v>2414</v>
      </c>
      <c r="W17">
        <f t="shared" si="35"/>
        <v>2414</v>
      </c>
      <c r="X17">
        <f t="shared" si="35"/>
        <v>2414</v>
      </c>
      <c r="Y17">
        <f t="shared" si="35"/>
        <v>2414</v>
      </c>
      <c r="Z17">
        <f t="shared" si="7"/>
        <v>60.35</v>
      </c>
      <c r="AA17">
        <f t="shared" ref="AA17:AE17" si="36">Z17</f>
        <v>60.35</v>
      </c>
      <c r="AB17">
        <f t="shared" si="36"/>
        <v>60.35</v>
      </c>
      <c r="AC17">
        <f t="shared" si="36"/>
        <v>60.35</v>
      </c>
      <c r="AD17">
        <f t="shared" si="36"/>
        <v>60.35</v>
      </c>
      <c r="AE17">
        <f t="shared" si="36"/>
        <v>60.35</v>
      </c>
    </row>
    <row r="18" spans="3:31" x14ac:dyDescent="0.2">
      <c r="C18" t="str">
        <f>IF([3]Large!Q26="West","D1",IF([3]Large!Q26="East","D3",IF([3]Large!Q26="South","D2","D4")))</f>
        <v>D1</v>
      </c>
      <c r="D18" s="4" t="str">
        <f>[3]Large!A26&amp;"  "&amp;[3]Large!B26</f>
        <v>LT-0184  Kibombo Madimba</v>
      </c>
      <c r="E18" t="str">
        <f t="shared" si="3"/>
        <v>HLT0184</v>
      </c>
      <c r="F18" t="str">
        <f t="shared" si="4"/>
        <v>D1HLT0184</v>
      </c>
      <c r="G18" t="str">
        <f>C18&amp;[1]FUEL!$C$4</f>
        <v>D1HY00</v>
      </c>
      <c r="H18" t="str">
        <f>C18&amp;[1]FUEL!$C$11</f>
        <v>D1ELC01</v>
      </c>
      <c r="I18" s="1" t="s">
        <v>217</v>
      </c>
      <c r="J18" s="1">
        <f t="shared" si="5"/>
        <v>0.24</v>
      </c>
      <c r="K18">
        <v>30</v>
      </c>
      <c r="L18">
        <v>31.536000000000001</v>
      </c>
      <c r="M18">
        <v>2027</v>
      </c>
      <c r="N18">
        <v>1</v>
      </c>
      <c r="O18">
        <v>0.5</v>
      </c>
      <c r="P18">
        <f>Scenarios!$G$7</f>
        <v>0.56000000000000005</v>
      </c>
      <c r="Q18">
        <f>Scenarios!$H$7</f>
        <v>1</v>
      </c>
      <c r="R18">
        <f>[3]Large!L26/1000</f>
        <v>0.24</v>
      </c>
      <c r="S18">
        <f t="shared" si="0"/>
        <v>68.297162127717741</v>
      </c>
      <c r="T18">
        <f>ROUND([3]Large!X26/1000,0)</f>
        <v>2556</v>
      </c>
      <c r="U18">
        <f t="shared" ref="U18:Y18" si="37">T18</f>
        <v>2556</v>
      </c>
      <c r="V18">
        <f t="shared" si="37"/>
        <v>2556</v>
      </c>
      <c r="W18">
        <f t="shared" si="37"/>
        <v>2556</v>
      </c>
      <c r="X18">
        <f t="shared" si="37"/>
        <v>2556</v>
      </c>
      <c r="Y18">
        <f t="shared" si="37"/>
        <v>2556</v>
      </c>
      <c r="Z18">
        <f t="shared" si="7"/>
        <v>63.9</v>
      </c>
      <c r="AA18">
        <f t="shared" ref="AA18:AE18" si="38">Z18</f>
        <v>63.9</v>
      </c>
      <c r="AB18">
        <f t="shared" si="38"/>
        <v>63.9</v>
      </c>
      <c r="AC18">
        <f t="shared" si="38"/>
        <v>63.9</v>
      </c>
      <c r="AD18">
        <f t="shared" si="38"/>
        <v>63.9</v>
      </c>
      <c r="AE18">
        <f t="shared" si="38"/>
        <v>63.9</v>
      </c>
    </row>
    <row r="19" spans="3:31" x14ac:dyDescent="0.2">
      <c r="C19" t="str">
        <f>IF([3]Large!Q27="West","D1",IF([3]Large!Q27="East","D3",IF([3]Large!Q27="South","D2","D4")))</f>
        <v>D1</v>
      </c>
      <c r="D19" s="4" t="str">
        <f>[3]Large!A27&amp;"  "&amp;[3]Large!B27</f>
        <v>SF-0873  SF-0873</v>
      </c>
      <c r="E19" t="str">
        <f t="shared" si="3"/>
        <v>HSF0873</v>
      </c>
      <c r="F19" t="str">
        <f t="shared" si="4"/>
        <v>D1HSF0873</v>
      </c>
      <c r="G19" t="str">
        <f>C19&amp;[1]FUEL!$C$4</f>
        <v>D1HY00</v>
      </c>
      <c r="H19" t="str">
        <f>C19&amp;[1]FUEL!$C$11</f>
        <v>D1ELC01</v>
      </c>
      <c r="I19" s="1" t="s">
        <v>217</v>
      </c>
      <c r="J19" s="1">
        <f t="shared" si="5"/>
        <v>0.1123</v>
      </c>
      <c r="K19">
        <v>30</v>
      </c>
      <c r="L19">
        <v>31.536000000000001</v>
      </c>
      <c r="M19">
        <v>2027</v>
      </c>
      <c r="N19">
        <v>1</v>
      </c>
      <c r="O19">
        <v>0.5</v>
      </c>
      <c r="P19">
        <f>Scenarios!$G$7</f>
        <v>0.56000000000000005</v>
      </c>
      <c r="Q19">
        <f>Scenarios!$H$7</f>
        <v>1</v>
      </c>
      <c r="R19">
        <f>[3]Large!L27/1000</f>
        <v>0.1123</v>
      </c>
      <c r="S19">
        <f t="shared" si="0"/>
        <v>89.245900432933226</v>
      </c>
      <c r="T19">
        <f>ROUND([3]Large!X27/1000,0)</f>
        <v>3340</v>
      </c>
      <c r="U19">
        <f t="shared" ref="U19:Y19" si="39">T19</f>
        <v>3340</v>
      </c>
      <c r="V19">
        <f t="shared" si="39"/>
        <v>3340</v>
      </c>
      <c r="W19">
        <f t="shared" si="39"/>
        <v>3340</v>
      </c>
      <c r="X19">
        <f t="shared" si="39"/>
        <v>3340</v>
      </c>
      <c r="Y19">
        <f t="shared" si="39"/>
        <v>3340</v>
      </c>
      <c r="Z19">
        <f t="shared" si="7"/>
        <v>83.5</v>
      </c>
      <c r="AA19">
        <f t="shared" ref="AA19:AE19" si="40">Z19</f>
        <v>83.5</v>
      </c>
      <c r="AB19">
        <f t="shared" si="40"/>
        <v>83.5</v>
      </c>
      <c r="AC19">
        <f t="shared" si="40"/>
        <v>83.5</v>
      </c>
      <c r="AD19">
        <f t="shared" si="40"/>
        <v>83.5</v>
      </c>
      <c r="AE19">
        <f t="shared" si="40"/>
        <v>83.5</v>
      </c>
    </row>
    <row r="20" spans="3:31" x14ac:dyDescent="0.2">
      <c r="C20" t="str">
        <f>IF([3]Large!Q28="West","D1",IF([3]Large!Q28="East","D3",IF([3]Large!Q28="South","D2","D4")))</f>
        <v>D1</v>
      </c>
      <c r="D20" s="4" t="str">
        <f>[3]Large!A28&amp;"  "&amp;[3]Large!B28</f>
        <v>SF-0980  SF-0980</v>
      </c>
      <c r="E20" t="str">
        <f t="shared" si="3"/>
        <v>HSF0980</v>
      </c>
      <c r="F20" t="str">
        <f t="shared" si="4"/>
        <v>D1HSF0980</v>
      </c>
      <c r="G20" t="str">
        <f>C20&amp;[1]FUEL!$C$4</f>
        <v>D1HY00</v>
      </c>
      <c r="H20" t="str">
        <f>C20&amp;[1]FUEL!$C$11</f>
        <v>D1ELC01</v>
      </c>
      <c r="I20" s="1" t="s">
        <v>217</v>
      </c>
      <c r="J20" s="1">
        <f t="shared" si="5"/>
        <v>0.12140000000000001</v>
      </c>
      <c r="K20">
        <v>30</v>
      </c>
      <c r="L20">
        <v>31.536000000000001</v>
      </c>
      <c r="M20">
        <v>2027</v>
      </c>
      <c r="N20">
        <v>1</v>
      </c>
      <c r="O20">
        <v>0.5</v>
      </c>
      <c r="P20">
        <f>Scenarios!$G$7</f>
        <v>0.56000000000000005</v>
      </c>
      <c r="Q20">
        <f>Scenarios!$H$7</f>
        <v>1</v>
      </c>
      <c r="R20">
        <f>[3]Large!L28/1000</f>
        <v>0.12140000000000001</v>
      </c>
      <c r="S20">
        <f t="shared" si="0"/>
        <v>98.357532782523108</v>
      </c>
      <c r="T20">
        <f>ROUND([3]Large!X28/1000,0)</f>
        <v>3681</v>
      </c>
      <c r="U20">
        <f t="shared" ref="U20:Y20" si="41">T20</f>
        <v>3681</v>
      </c>
      <c r="V20">
        <f t="shared" si="41"/>
        <v>3681</v>
      </c>
      <c r="W20">
        <f t="shared" si="41"/>
        <v>3681</v>
      </c>
      <c r="X20">
        <f t="shared" si="41"/>
        <v>3681</v>
      </c>
      <c r="Y20">
        <f t="shared" si="41"/>
        <v>3681</v>
      </c>
      <c r="Z20">
        <f t="shared" si="7"/>
        <v>92.025000000000006</v>
      </c>
      <c r="AA20">
        <f t="shared" ref="AA20:AE20" si="42">Z20</f>
        <v>92.025000000000006</v>
      </c>
      <c r="AB20">
        <f t="shared" si="42"/>
        <v>92.025000000000006</v>
      </c>
      <c r="AC20">
        <f t="shared" si="42"/>
        <v>92.025000000000006</v>
      </c>
      <c r="AD20">
        <f t="shared" si="42"/>
        <v>92.025000000000006</v>
      </c>
      <c r="AE20">
        <f t="shared" si="42"/>
        <v>92.025000000000006</v>
      </c>
    </row>
    <row r="21" spans="3:31" x14ac:dyDescent="0.2">
      <c r="C21" t="str">
        <f>IF([3]Large!Q29="West","D1",IF([3]Large!Q29="East","D3",IF([3]Large!Q29="South","D2","D4")))</f>
        <v>D4</v>
      </c>
      <c r="D21" s="4" t="str">
        <f>[3]Large!A29&amp;"  "&amp;[3]Large!B29</f>
        <v>SF-1001  SF-1001</v>
      </c>
      <c r="E21" t="str">
        <f t="shared" si="3"/>
        <v>HSF1001</v>
      </c>
      <c r="F21" t="str">
        <f t="shared" si="4"/>
        <v>D4HSF1001</v>
      </c>
      <c r="G21" t="str">
        <f>C21&amp;[1]FUEL!$C$4</f>
        <v>D4HY00</v>
      </c>
      <c r="H21" t="str">
        <f>C21&amp;[1]FUEL!$C$11</f>
        <v>D4ELC01</v>
      </c>
      <c r="I21" s="1" t="s">
        <v>217</v>
      </c>
      <c r="J21" s="1">
        <f t="shared" si="5"/>
        <v>0.155</v>
      </c>
      <c r="K21">
        <v>30</v>
      </c>
      <c r="L21">
        <v>31.536000000000001</v>
      </c>
      <c r="M21">
        <v>2027</v>
      </c>
      <c r="N21">
        <v>1</v>
      </c>
      <c r="O21">
        <v>0.5</v>
      </c>
      <c r="P21">
        <f>Scenarios!$G$7</f>
        <v>0.56000000000000005</v>
      </c>
      <c r="Q21">
        <f>Scenarios!$H$7</f>
        <v>1</v>
      </c>
      <c r="R21">
        <f>[3]Large!L29/1000</f>
        <v>0.155</v>
      </c>
      <c r="S21">
        <f t="shared" si="0"/>
        <v>97.636083886807782</v>
      </c>
      <c r="T21">
        <f>ROUND([3]Large!X29/1000,0)</f>
        <v>3654</v>
      </c>
      <c r="U21">
        <f t="shared" ref="U21:Y21" si="43">T21</f>
        <v>3654</v>
      </c>
      <c r="V21">
        <f t="shared" si="43"/>
        <v>3654</v>
      </c>
      <c r="W21">
        <f t="shared" si="43"/>
        <v>3654</v>
      </c>
      <c r="X21">
        <f t="shared" si="43"/>
        <v>3654</v>
      </c>
      <c r="Y21">
        <f t="shared" si="43"/>
        <v>3654</v>
      </c>
      <c r="Z21">
        <f t="shared" si="7"/>
        <v>91.35</v>
      </c>
      <c r="AA21">
        <f t="shared" ref="AA21:AE21" si="44">Z21</f>
        <v>91.35</v>
      </c>
      <c r="AB21">
        <f t="shared" si="44"/>
        <v>91.35</v>
      </c>
      <c r="AC21">
        <f t="shared" si="44"/>
        <v>91.35</v>
      </c>
      <c r="AD21">
        <f t="shared" si="44"/>
        <v>91.35</v>
      </c>
      <c r="AE21">
        <f t="shared" si="44"/>
        <v>91.35</v>
      </c>
    </row>
    <row r="22" spans="3:31" x14ac:dyDescent="0.2">
      <c r="C22" t="str">
        <f>IF([3]Large!Q30="West","D1",IF([3]Large!Q30="East","D3",IF([3]Large!Q30="South","D2","D4")))</f>
        <v>D4</v>
      </c>
      <c r="D22" s="4" t="str">
        <f>[3]Large!A30&amp;"  "&amp;[3]Large!B30</f>
        <v>SF-1003  SF-1003</v>
      </c>
      <c r="E22" t="str">
        <f t="shared" si="3"/>
        <v>HSF1003</v>
      </c>
      <c r="F22" t="str">
        <f t="shared" si="4"/>
        <v>D4HSF1003</v>
      </c>
      <c r="G22" t="str">
        <f>C22&amp;[1]FUEL!$C$4</f>
        <v>D4HY00</v>
      </c>
      <c r="H22" t="str">
        <f>C22&amp;[1]FUEL!$C$11</f>
        <v>D4ELC01</v>
      </c>
      <c r="I22" s="1" t="s">
        <v>217</v>
      </c>
      <c r="J22" s="1">
        <f t="shared" si="5"/>
        <v>0.1026</v>
      </c>
      <c r="K22">
        <v>30</v>
      </c>
      <c r="L22">
        <v>31.536000000000001</v>
      </c>
      <c r="M22">
        <v>2027</v>
      </c>
      <c r="N22">
        <v>1</v>
      </c>
      <c r="O22">
        <v>0.5</v>
      </c>
      <c r="P22">
        <f>Scenarios!$G$7</f>
        <v>0.56000000000000005</v>
      </c>
      <c r="Q22">
        <f>Scenarios!$H$7</f>
        <v>1</v>
      </c>
      <c r="R22">
        <f>[3]Large!L30/1000</f>
        <v>0.1026</v>
      </c>
      <c r="S22">
        <f t="shared" si="0"/>
        <v>118.66498318043605</v>
      </c>
      <c r="T22">
        <f>ROUND([3]Large!X30/1000,0)</f>
        <v>4441</v>
      </c>
      <c r="U22">
        <f t="shared" ref="U22:Y22" si="45">T22</f>
        <v>4441</v>
      </c>
      <c r="V22">
        <f t="shared" si="45"/>
        <v>4441</v>
      </c>
      <c r="W22">
        <f t="shared" si="45"/>
        <v>4441</v>
      </c>
      <c r="X22">
        <f t="shared" si="45"/>
        <v>4441</v>
      </c>
      <c r="Y22">
        <f t="shared" si="45"/>
        <v>4441</v>
      </c>
      <c r="Z22">
        <f t="shared" si="7"/>
        <v>111.02500000000001</v>
      </c>
      <c r="AA22">
        <f t="shared" ref="AA22:AE22" si="46">Z22</f>
        <v>111.02500000000001</v>
      </c>
      <c r="AB22">
        <f t="shared" si="46"/>
        <v>111.02500000000001</v>
      </c>
      <c r="AC22">
        <f t="shared" si="46"/>
        <v>111.02500000000001</v>
      </c>
      <c r="AD22">
        <f t="shared" si="46"/>
        <v>111.02500000000001</v>
      </c>
      <c r="AE22">
        <f t="shared" si="46"/>
        <v>111.02500000000001</v>
      </c>
    </row>
    <row r="23" spans="3:31" x14ac:dyDescent="0.2">
      <c r="C23" t="str">
        <f>IF([3]Large!Q31="West","D1",IF([3]Large!Q31="East","D3",IF([3]Large!Q31="South","D2","D4")))</f>
        <v>D1</v>
      </c>
      <c r="D23" s="4" t="str">
        <f>[3]Large!A31&amp;"  "&amp;[3]Large!B31</f>
        <v>SF-1004  SF-1004</v>
      </c>
      <c r="E23" t="str">
        <f t="shared" si="3"/>
        <v>HSF1004</v>
      </c>
      <c r="F23" t="str">
        <f t="shared" si="4"/>
        <v>D1HSF1004</v>
      </c>
      <c r="G23" t="str">
        <f>C23&amp;[1]FUEL!$C$4</f>
        <v>D1HY00</v>
      </c>
      <c r="H23" t="str">
        <f>C23&amp;[1]FUEL!$C$11</f>
        <v>D1ELC01</v>
      </c>
      <c r="I23" s="1" t="s">
        <v>217</v>
      </c>
      <c r="J23" s="1">
        <f t="shared" si="5"/>
        <v>0.17299999999999999</v>
      </c>
      <c r="K23">
        <v>30</v>
      </c>
      <c r="L23">
        <v>31.536000000000001</v>
      </c>
      <c r="M23">
        <v>2027</v>
      </c>
      <c r="N23">
        <v>1</v>
      </c>
      <c r="O23">
        <v>0.5</v>
      </c>
      <c r="P23">
        <f>Scenarios!$G$7</f>
        <v>0.56000000000000005</v>
      </c>
      <c r="Q23">
        <f>Scenarios!$H$7</f>
        <v>1</v>
      </c>
      <c r="R23">
        <f>[3]Large!L31/1000</f>
        <v>0.17299999999999999</v>
      </c>
      <c r="S23">
        <f t="shared" si="0"/>
        <v>83.714792232449028</v>
      </c>
      <c r="T23">
        <f>ROUND([3]Large!X31/1000,0)</f>
        <v>3133</v>
      </c>
      <c r="U23">
        <f t="shared" ref="U23:Y23" si="47">T23</f>
        <v>3133</v>
      </c>
      <c r="V23">
        <f t="shared" si="47"/>
        <v>3133</v>
      </c>
      <c r="W23">
        <f t="shared" si="47"/>
        <v>3133</v>
      </c>
      <c r="X23">
        <f t="shared" si="47"/>
        <v>3133</v>
      </c>
      <c r="Y23">
        <f t="shared" si="47"/>
        <v>3133</v>
      </c>
      <c r="Z23">
        <f t="shared" si="7"/>
        <v>78.325000000000003</v>
      </c>
      <c r="AA23">
        <f t="shared" ref="AA23:AE23" si="48">Z23</f>
        <v>78.325000000000003</v>
      </c>
      <c r="AB23">
        <f t="shared" si="48"/>
        <v>78.325000000000003</v>
      </c>
      <c r="AC23">
        <f t="shared" si="48"/>
        <v>78.325000000000003</v>
      </c>
      <c r="AD23">
        <f t="shared" si="48"/>
        <v>78.325000000000003</v>
      </c>
      <c r="AE23">
        <f t="shared" si="48"/>
        <v>78.325000000000003</v>
      </c>
    </row>
    <row r="24" spans="3:31" x14ac:dyDescent="0.2">
      <c r="C24" t="str">
        <f>IF([3]Large!Q32="West","D1",IF([3]Large!Q32="East","D3",IF([3]Large!Q32="South","D2","D4")))</f>
        <v>D1</v>
      </c>
      <c r="D24" s="4" t="str">
        <f>[3]Large!A32&amp;"  "&amp;[3]Large!B32</f>
        <v>SF-1005  SF-1005</v>
      </c>
      <c r="E24" t="str">
        <f t="shared" si="3"/>
        <v>HSF1005</v>
      </c>
      <c r="F24" t="str">
        <f t="shared" si="4"/>
        <v>D1HSF1005</v>
      </c>
      <c r="G24" t="str">
        <f>C24&amp;[1]FUEL!$C$4</f>
        <v>D1HY00</v>
      </c>
      <c r="H24" t="str">
        <f>C24&amp;[1]FUEL!$C$11</f>
        <v>D1ELC01</v>
      </c>
      <c r="I24" s="1" t="s">
        <v>217</v>
      </c>
      <c r="J24" s="1">
        <f t="shared" si="5"/>
        <v>0.1152</v>
      </c>
      <c r="K24">
        <v>30</v>
      </c>
      <c r="L24">
        <v>31.536000000000001</v>
      </c>
      <c r="M24">
        <v>2027</v>
      </c>
      <c r="N24">
        <v>1</v>
      </c>
      <c r="O24">
        <v>0.5</v>
      </c>
      <c r="P24">
        <f>Scenarios!$G$7</f>
        <v>0.56000000000000005</v>
      </c>
      <c r="Q24">
        <f>Scenarios!$H$7</f>
        <v>1</v>
      </c>
      <c r="R24">
        <f>[3]Large!L32/1000</f>
        <v>0.1152</v>
      </c>
      <c r="S24">
        <f t="shared" si="0"/>
        <v>125.98635345547309</v>
      </c>
      <c r="T24">
        <f>ROUND([3]Large!X32/1000,0)</f>
        <v>4715</v>
      </c>
      <c r="U24">
        <f t="shared" ref="U24:Y24" si="49">T24</f>
        <v>4715</v>
      </c>
      <c r="V24">
        <f t="shared" si="49"/>
        <v>4715</v>
      </c>
      <c r="W24">
        <f t="shared" si="49"/>
        <v>4715</v>
      </c>
      <c r="X24">
        <f t="shared" si="49"/>
        <v>4715</v>
      </c>
      <c r="Y24">
        <f t="shared" si="49"/>
        <v>4715</v>
      </c>
      <c r="Z24">
        <f t="shared" si="7"/>
        <v>117.875</v>
      </c>
      <c r="AA24">
        <f t="shared" ref="AA24:AE24" si="50">Z24</f>
        <v>117.875</v>
      </c>
      <c r="AB24">
        <f t="shared" si="50"/>
        <v>117.875</v>
      </c>
      <c r="AC24">
        <f t="shared" si="50"/>
        <v>117.875</v>
      </c>
      <c r="AD24">
        <f t="shared" si="50"/>
        <v>117.875</v>
      </c>
      <c r="AE24">
        <f t="shared" si="50"/>
        <v>117.875</v>
      </c>
    </row>
    <row r="25" spans="3:31" x14ac:dyDescent="0.2">
      <c r="C25" t="str">
        <f>IF([3]Large!Q33="West","D1",IF([3]Large!Q33="East","D3",IF([3]Large!Q33="South","D2","D4")))</f>
        <v>D1</v>
      </c>
      <c r="D25" s="4" t="str">
        <f>[3]Large!A33&amp;"  "&amp;[3]Large!B33</f>
        <v>SF-1011  SF-1011</v>
      </c>
      <c r="E25" t="str">
        <f t="shared" si="3"/>
        <v>HSF1011</v>
      </c>
      <c r="F25" t="str">
        <f t="shared" si="4"/>
        <v>D1HSF1011</v>
      </c>
      <c r="G25" t="str">
        <f>C25&amp;[1]FUEL!$C$4</f>
        <v>D1HY00</v>
      </c>
      <c r="H25" t="str">
        <f>C25&amp;[1]FUEL!$C$11</f>
        <v>D1ELC01</v>
      </c>
      <c r="I25" s="1" t="s">
        <v>217</v>
      </c>
      <c r="J25" s="1">
        <f t="shared" si="5"/>
        <v>0.17930000000000001</v>
      </c>
      <c r="K25">
        <v>30</v>
      </c>
      <c r="L25">
        <v>31.536000000000001</v>
      </c>
      <c r="M25">
        <v>2027</v>
      </c>
      <c r="N25">
        <v>1</v>
      </c>
      <c r="O25">
        <v>0.5</v>
      </c>
      <c r="P25">
        <f>Scenarios!$G$7</f>
        <v>0.56000000000000005</v>
      </c>
      <c r="Q25">
        <f>Scenarios!$H$7</f>
        <v>1</v>
      </c>
      <c r="R25">
        <f>[3]Large!L33/1000</f>
        <v>0.17930000000000001</v>
      </c>
      <c r="S25">
        <f t="shared" si="0"/>
        <v>98.517854759348737</v>
      </c>
      <c r="T25">
        <f>ROUND([3]Large!X33/1000,0)</f>
        <v>3687</v>
      </c>
      <c r="U25">
        <f t="shared" ref="U25:Y25" si="51">T25</f>
        <v>3687</v>
      </c>
      <c r="V25">
        <f t="shared" si="51"/>
        <v>3687</v>
      </c>
      <c r="W25">
        <f t="shared" si="51"/>
        <v>3687</v>
      </c>
      <c r="X25">
        <f t="shared" si="51"/>
        <v>3687</v>
      </c>
      <c r="Y25">
        <f t="shared" si="51"/>
        <v>3687</v>
      </c>
      <c r="Z25">
        <f t="shared" si="7"/>
        <v>92.174999999999997</v>
      </c>
      <c r="AA25">
        <f t="shared" ref="AA25:AE25" si="52">Z25</f>
        <v>92.174999999999997</v>
      </c>
      <c r="AB25">
        <f t="shared" si="52"/>
        <v>92.174999999999997</v>
      </c>
      <c r="AC25">
        <f t="shared" si="52"/>
        <v>92.174999999999997</v>
      </c>
      <c r="AD25">
        <f t="shared" si="52"/>
        <v>92.174999999999997</v>
      </c>
      <c r="AE25">
        <f t="shared" si="52"/>
        <v>92.174999999999997</v>
      </c>
    </row>
    <row r="26" spans="3:31" hidden="1" x14ac:dyDescent="0.2">
      <c r="D26" s="4"/>
      <c r="I26" s="1"/>
      <c r="J26" s="1"/>
      <c r="S26" t="e">
        <f t="shared" si="0"/>
        <v>#DIV/0!</v>
      </c>
    </row>
    <row r="27" spans="3:31" hidden="1" x14ac:dyDescent="0.2">
      <c r="D27" s="4"/>
      <c r="I27" s="1"/>
      <c r="J27" s="1"/>
      <c r="S27" t="e">
        <f t="shared" si="0"/>
        <v>#DIV/0!</v>
      </c>
    </row>
    <row r="28" spans="3:31" hidden="1" x14ac:dyDescent="0.2">
      <c r="D28" s="4"/>
      <c r="I28" s="1"/>
      <c r="J28" s="1"/>
      <c r="S28" t="e">
        <f t="shared" si="0"/>
        <v>#DIV/0!</v>
      </c>
    </row>
    <row r="29" spans="3:31" hidden="1" x14ac:dyDescent="0.2">
      <c r="S29" t="e">
        <f t="shared" si="0"/>
        <v>#DIV/0!</v>
      </c>
    </row>
    <row r="30" spans="3:31" hidden="1" x14ac:dyDescent="0.2">
      <c r="D30" s="4"/>
      <c r="S30" t="e">
        <f t="shared" si="0"/>
        <v>#DIV/0!</v>
      </c>
    </row>
    <row r="31" spans="3:31" hidden="1" x14ac:dyDescent="0.2">
      <c r="D31" s="4"/>
      <c r="S31" t="e">
        <f t="shared" si="0"/>
        <v>#DIV/0!</v>
      </c>
    </row>
    <row r="32" spans="3:31" hidden="1" x14ac:dyDescent="0.2">
      <c r="D32" s="4"/>
      <c r="S32" t="e">
        <f t="shared" si="0"/>
        <v>#DIV/0!</v>
      </c>
    </row>
    <row r="33" spans="4:19" hidden="1" x14ac:dyDescent="0.2">
      <c r="D33" s="4"/>
      <c r="S33" t="e">
        <f t="shared" si="0"/>
        <v>#DIV/0!</v>
      </c>
    </row>
    <row r="34" spans="4:19" hidden="1" x14ac:dyDescent="0.2">
      <c r="D34" s="4"/>
      <c r="S34" t="e">
        <f t="shared" si="0"/>
        <v>#DIV/0!</v>
      </c>
    </row>
    <row r="35" spans="4:19" hidden="1" x14ac:dyDescent="0.2">
      <c r="D35" s="4"/>
      <c r="S35" t="e">
        <f t="shared" si="0"/>
        <v>#DIV/0!</v>
      </c>
    </row>
    <row r="36" spans="4:19" hidden="1" x14ac:dyDescent="0.2">
      <c r="D36" s="4"/>
      <c r="S36" t="e">
        <f t="shared" si="0"/>
        <v>#DIV/0!</v>
      </c>
    </row>
    <row r="37" spans="4:19" hidden="1" x14ac:dyDescent="0.2">
      <c r="D37" s="4"/>
      <c r="S37" t="e">
        <f t="shared" si="0"/>
        <v>#DIV/0!</v>
      </c>
    </row>
    <row r="38" spans="4:19" hidden="1" x14ac:dyDescent="0.2">
      <c r="D38" s="4"/>
      <c r="S38" t="e">
        <f t="shared" si="0"/>
        <v>#DIV/0!</v>
      </c>
    </row>
    <row r="39" spans="4:19" hidden="1" x14ac:dyDescent="0.2">
      <c r="D39" s="4"/>
      <c r="S39" t="e">
        <f t="shared" si="0"/>
        <v>#DIV/0!</v>
      </c>
    </row>
    <row r="40" spans="4:19" hidden="1" x14ac:dyDescent="0.2">
      <c r="S40" t="e">
        <f t="shared" si="0"/>
        <v>#DIV/0!</v>
      </c>
    </row>
    <row r="41" spans="4:19" hidden="1" x14ac:dyDescent="0.2">
      <c r="S41" t="e">
        <f t="shared" si="0"/>
        <v>#DIV/0!</v>
      </c>
    </row>
    <row r="42" spans="4:19" hidden="1" x14ac:dyDescent="0.2">
      <c r="S42" t="e">
        <f t="shared" si="0"/>
        <v>#DIV/0!</v>
      </c>
    </row>
    <row r="43" spans="4:19" hidden="1" x14ac:dyDescent="0.2">
      <c r="S43" t="e">
        <f t="shared" si="0"/>
        <v>#DIV/0!</v>
      </c>
    </row>
    <row r="44" spans="4:19" hidden="1" x14ac:dyDescent="0.2">
      <c r="S44" t="e">
        <f t="shared" si="0"/>
        <v>#DIV/0!</v>
      </c>
    </row>
    <row r="45" spans="4:19" hidden="1" x14ac:dyDescent="0.2">
      <c r="S45" t="e">
        <f t="shared" si="0"/>
        <v>#DIV/0!</v>
      </c>
    </row>
    <row r="46" spans="4:19" hidden="1" x14ac:dyDescent="0.2">
      <c r="S46" t="e">
        <f t="shared" si="0"/>
        <v>#DIV/0!</v>
      </c>
    </row>
    <row r="47" spans="4:19" hidden="1" x14ac:dyDescent="0.2">
      <c r="S47" t="e">
        <f t="shared" si="0"/>
        <v>#DIV/0!</v>
      </c>
    </row>
    <row r="48" spans="4:19" hidden="1" x14ac:dyDescent="0.2">
      <c r="S48" t="e">
        <f t="shared" si="0"/>
        <v>#DIV/0!</v>
      </c>
    </row>
    <row r="49" spans="3:31" hidden="1" x14ac:dyDescent="0.2">
      <c r="S49" t="e">
        <f t="shared" si="0"/>
        <v>#DIV/0!</v>
      </c>
    </row>
    <row r="51" spans="3:31" x14ac:dyDescent="0.2">
      <c r="C51" t="str">
        <f>IF([3]Large!Q24="West","D1",IF([3]Large!Q24="East","D3",IF([3]Large!Q24="South","D2","D4")))</f>
        <v>D3</v>
      </c>
      <c r="D51" s="4" t="str">
        <f>[3]Large!A24&amp;"  "&amp;[3]Large!B24</f>
        <v>LT-0178  Ruzizi III</v>
      </c>
      <c r="E51" t="str">
        <f>"H"&amp;LEFT(D51,2)&amp;MID(D51,4,4)</f>
        <v>HLT0178</v>
      </c>
      <c r="F51" t="str">
        <f>C51&amp;E51</f>
        <v>D3HLT0178</v>
      </c>
      <c r="G51" t="str">
        <f>C51&amp;[1]FUEL!$C$4</f>
        <v>D3HY00</v>
      </c>
      <c r="H51" t="str">
        <f>C51&amp;[1]FUEL!$C$11</f>
        <v>D3ELC01</v>
      </c>
      <c r="I51" s="1" t="s">
        <v>217</v>
      </c>
      <c r="J51" s="1">
        <f>R51</f>
        <v>0.14499999999999999</v>
      </c>
      <c r="K51">
        <v>30</v>
      </c>
      <c r="L51">
        <v>31.536000000000001</v>
      </c>
      <c r="M51">
        <v>2027</v>
      </c>
      <c r="N51">
        <v>1</v>
      </c>
      <c r="O51">
        <v>0.5</v>
      </c>
      <c r="P51">
        <f>Scenarios!$G$7</f>
        <v>0.56000000000000005</v>
      </c>
      <c r="Q51">
        <f>Scenarios!$H$7</f>
        <v>1</v>
      </c>
      <c r="R51">
        <f>[3]Large!L24/1000</f>
        <v>0.14499999999999999</v>
      </c>
      <c r="S51">
        <f t="shared" si="0"/>
        <v>85.050808705995948</v>
      </c>
      <c r="T51">
        <f>ROUND([3]Large!X24/1000,0)</f>
        <v>3183</v>
      </c>
      <c r="U51">
        <f t="shared" ref="U51:Y51" si="53">T51</f>
        <v>3183</v>
      </c>
      <c r="V51">
        <f t="shared" si="53"/>
        <v>3183</v>
      </c>
      <c r="W51">
        <f t="shared" si="53"/>
        <v>3183</v>
      </c>
      <c r="X51">
        <f t="shared" si="53"/>
        <v>3183</v>
      </c>
      <c r="Y51">
        <f t="shared" si="53"/>
        <v>3183</v>
      </c>
      <c r="Z51">
        <f>T51*2.5/100</f>
        <v>79.575000000000003</v>
      </c>
      <c r="AA51">
        <f t="shared" ref="AA51:AE51" si="54">Z51</f>
        <v>79.575000000000003</v>
      </c>
      <c r="AB51">
        <f t="shared" si="54"/>
        <v>79.575000000000003</v>
      </c>
      <c r="AC51">
        <f t="shared" si="54"/>
        <v>79.575000000000003</v>
      </c>
      <c r="AD51">
        <f t="shared" si="54"/>
        <v>79.575000000000003</v>
      </c>
      <c r="AE51">
        <f t="shared" si="54"/>
        <v>79.575000000000003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8995-754D-C642-AAE7-E7161254801C}">
  <dimension ref="A1:BI24"/>
  <sheetViews>
    <sheetView topLeftCell="F1" workbookViewId="0">
      <selection activeCell="U12" sqref="U12"/>
    </sheetView>
  </sheetViews>
  <sheetFormatPr baseColWidth="10" defaultRowHeight="16" x14ac:dyDescent="0.2"/>
  <cols>
    <col min="10" max="10" width="19.1640625" customWidth="1"/>
  </cols>
  <sheetData>
    <row r="1" spans="1:61" ht="17" x14ac:dyDescent="0.2">
      <c r="A1" s="5" t="s">
        <v>99</v>
      </c>
      <c r="B1" s="5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216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P1" t="s">
        <v>12</v>
      </c>
      <c r="Q1" t="s">
        <v>199</v>
      </c>
      <c r="R1" t="s">
        <v>198</v>
      </c>
      <c r="S1" t="s">
        <v>429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I1" s="2" t="s">
        <v>51</v>
      </c>
    </row>
    <row r="2" spans="1:61" x14ac:dyDescent="0.2">
      <c r="A2" s="11"/>
      <c r="B2" s="11"/>
      <c r="C2" s="11" t="s">
        <v>52</v>
      </c>
      <c r="D2" s="11" t="s">
        <v>83</v>
      </c>
      <c r="E2" s="11" t="str">
        <f>"WDLC"&amp;'[4]West Wind IRENA'!$A3</f>
        <v>WDLC1</v>
      </c>
      <c r="F2" s="11" t="str">
        <f t="shared" ref="F2:F12" si="0">C2&amp;E2</f>
        <v>D1WDLC1</v>
      </c>
      <c r="G2" s="11" t="str">
        <f t="shared" ref="G2:G13" si="1">LEFT(F2,4)&amp;"00"</f>
        <v>D1WD00</v>
      </c>
      <c r="H2" s="11" t="str">
        <f t="shared" ref="H2:H13" si="2">C2&amp;"ELC01"</f>
        <v>D1ELC01</v>
      </c>
      <c r="I2" s="1" t="s">
        <v>217</v>
      </c>
      <c r="J2" s="1">
        <f>'[4]West Wind IRENA'!$C3/1000</f>
        <v>0.19819999999999999</v>
      </c>
      <c r="K2">
        <v>25</v>
      </c>
      <c r="L2">
        <v>31.536000000000001</v>
      </c>
      <c r="M2">
        <v>2023</v>
      </c>
      <c r="N2">
        <v>1</v>
      </c>
      <c r="O2">
        <v>0</v>
      </c>
      <c r="P2">
        <f>'[5]Wind profile'!$AA$6*Scenarios!K7</f>
        <v>0.35499999999999998</v>
      </c>
      <c r="Q2" t="s">
        <v>82</v>
      </c>
      <c r="R2">
        <f t="shared" ref="R2:R20" si="3">J2</f>
        <v>0.19819999999999999</v>
      </c>
      <c r="S2">
        <f>(U2*((0.1*(1+0.1)^K2)/((1+0.1)^K2-1))+Z2)/(8760*P2)*1000</f>
        <v>89.851617033298211</v>
      </c>
      <c r="T2">
        <f t="shared" ref="T2:T20" si="4">U2</f>
        <v>1827.54</v>
      </c>
      <c r="U2">
        <f>(1700+'[4]West Wind IRENA'!R3+'[4]West Wind IRENA'!T3)+Scenarios!$L$7</f>
        <v>1827.54</v>
      </c>
      <c r="V2">
        <f t="shared" ref="V2:X3" si="5">U2+($Y2-$U2)/4</f>
        <v>1658.4925499999999</v>
      </c>
      <c r="W2">
        <f t="shared" si="5"/>
        <v>1489.4450999999999</v>
      </c>
      <c r="X2">
        <f t="shared" si="5"/>
        <v>1320.3976499999999</v>
      </c>
      <c r="Y2">
        <f t="shared" ref="Y2:Y13" si="6">U2*0.63</f>
        <v>1151.3502000000001</v>
      </c>
      <c r="Z2">
        <f t="shared" ref="Z2:Z13" si="7">90.14+(AA2-90.14)*2/5</f>
        <v>78.084000000000003</v>
      </c>
      <c r="AA2">
        <v>60</v>
      </c>
      <c r="AB2">
        <v>47.99</v>
      </c>
      <c r="AC2">
        <v>43.8</v>
      </c>
      <c r="AD2">
        <v>37.6</v>
      </c>
      <c r="AE2">
        <v>37.6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f>($U2*((0.1*(1+0.1)^$K2)/((1+0.1)^$K2-1))+AA2)/(8760*$P2)</f>
        <v>8.4036452070921183E-2</v>
      </c>
      <c r="BG2">
        <f>(V2*((0.1*(1+0.1)^$K2)/((1+0.1)^$K2-1))+AB2)/(8760*$P2)</f>
        <v>7.4185776247672447E-2</v>
      </c>
      <c r="BH2">
        <f>(W2*((0.1*(1+0.1)^$K2)/((1+0.1)^$K2-1))+AC2)/(8760*$P2)</f>
        <v>6.6849731590415087E-2</v>
      </c>
    </row>
    <row r="3" spans="1:61" x14ac:dyDescent="0.2">
      <c r="A3" s="11"/>
      <c r="B3" s="11"/>
      <c r="C3" s="11" t="s">
        <v>52</v>
      </c>
      <c r="D3" s="11" t="s">
        <v>83</v>
      </c>
      <c r="E3" s="11" t="str">
        <f>"WDLC"&amp;'[4]West Wind IRENA'!$A2</f>
        <v>WDLC5</v>
      </c>
      <c r="F3" s="11" t="str">
        <f t="shared" si="0"/>
        <v>D1WDLC5</v>
      </c>
      <c r="G3" s="11" t="str">
        <f t="shared" si="1"/>
        <v>D1WD00</v>
      </c>
      <c r="H3" s="11" t="str">
        <f t="shared" si="2"/>
        <v>D1ELC01</v>
      </c>
      <c r="I3" s="1" t="s">
        <v>217</v>
      </c>
      <c r="J3" s="1">
        <f>'[4]West Wind IRENA'!$C2/1000</f>
        <v>0.12809999999999999</v>
      </c>
      <c r="K3">
        <v>25</v>
      </c>
      <c r="L3">
        <v>31.536000000000001</v>
      </c>
      <c r="M3">
        <v>2023</v>
      </c>
      <c r="N3">
        <v>1</v>
      </c>
      <c r="O3">
        <v>0</v>
      </c>
      <c r="P3">
        <f>'[5]Wind profile'!$AB$6*Scenarios!K7</f>
        <v>0.33200000000000002</v>
      </c>
      <c r="Q3" t="s">
        <v>82</v>
      </c>
      <c r="R3">
        <f t="shared" si="3"/>
        <v>0.12809999999999999</v>
      </c>
      <c r="S3">
        <f t="shared" ref="S3:S11" si="8">(U3*((0.1*(1+0.1)^K3)/((1+0.1)^K3-1))+Z3)/(8760*P3)*1000</f>
        <v>94.888729433828985</v>
      </c>
      <c r="T3">
        <f t="shared" si="4"/>
        <v>1796.19</v>
      </c>
      <c r="U3">
        <f>(1700+'[4]West Wind IRENA'!R2+'[4]West Wind IRENA'!T2)+Scenarios!$L$7</f>
        <v>1796.19</v>
      </c>
      <c r="V3">
        <f t="shared" si="5"/>
        <v>1630.0424250000001</v>
      </c>
      <c r="W3">
        <f t="shared" si="5"/>
        <v>1463.8948500000001</v>
      </c>
      <c r="X3">
        <f t="shared" si="5"/>
        <v>1297.7472750000002</v>
      </c>
      <c r="Y3">
        <f t="shared" si="6"/>
        <v>1131.5997</v>
      </c>
      <c r="Z3">
        <f t="shared" si="7"/>
        <v>78.084000000000003</v>
      </c>
      <c r="AA3">
        <v>60</v>
      </c>
      <c r="AB3">
        <v>47.99</v>
      </c>
      <c r="AC3">
        <v>43.8</v>
      </c>
      <c r="AD3">
        <v>37.6</v>
      </c>
      <c r="AE3">
        <v>37.6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f t="shared" ref="BF3:BF24" si="9">($U3*((0.1*(1+0.1)^$K3)/((1+0.1)^$K3-1))+AA3)/(8760*$P3)</f>
        <v>8.8670706657793349E-2</v>
      </c>
      <c r="BG3">
        <f t="shared" ref="BG3:BG24" si="10">(V3*((0.1*(1+0.1)^$K3)/((1+0.1)^$K3-1))+AB3)/(8760*$P3)</f>
        <v>7.8247452670337725E-2</v>
      </c>
      <c r="BH3">
        <f t="shared" ref="BH3:BH24" si="11">(W3*((0.1*(1+0.1)^$K3)/((1+0.1)^$K3-1))+AC3)/(8760*$P3)</f>
        <v>7.0513036224830752E-2</v>
      </c>
    </row>
    <row r="4" spans="1:61" x14ac:dyDescent="0.2">
      <c r="A4" s="50"/>
      <c r="B4" s="50"/>
      <c r="C4" s="50" t="s">
        <v>79</v>
      </c>
      <c r="D4" s="50" t="s">
        <v>83</v>
      </c>
      <c r="E4" s="50" t="str">
        <f>"WDLC"&amp;[6]Sheet1!$B2</f>
        <v>WDLC2</v>
      </c>
      <c r="F4" s="50" t="str">
        <f t="shared" si="0"/>
        <v>D2WDLC2</v>
      </c>
      <c r="G4" s="50" t="str">
        <f t="shared" si="1"/>
        <v>D2WD00</v>
      </c>
      <c r="H4" s="50" t="str">
        <f t="shared" si="2"/>
        <v>D2ELC01</v>
      </c>
      <c r="I4" s="1" t="s">
        <v>217</v>
      </c>
      <c r="J4" s="1">
        <f>[6]Sheet1!$D2/1000</f>
        <v>7.0099999999999996E-2</v>
      </c>
      <c r="K4">
        <v>25</v>
      </c>
      <c r="L4">
        <v>31.536000000000001</v>
      </c>
      <c r="M4">
        <v>2023</v>
      </c>
      <c r="N4">
        <v>1</v>
      </c>
      <c r="O4">
        <v>0</v>
      </c>
      <c r="P4">
        <f>0.366*Scenarios!K7</f>
        <v>0.36599999999999999</v>
      </c>
      <c r="Q4" t="s">
        <v>82</v>
      </c>
      <c r="R4">
        <f t="shared" si="3"/>
        <v>7.0099999999999996E-2</v>
      </c>
      <c r="S4">
        <f t="shared" si="8"/>
        <v>86.745465274500916</v>
      </c>
      <c r="T4">
        <f t="shared" si="4"/>
        <v>1815.7333333333333</v>
      </c>
      <c r="U4">
        <f>(1700+[6]Sheet1!$S2+[6]Sheet1!$U2)+Scenarios!$L$7</f>
        <v>1815.7333333333333</v>
      </c>
      <c r="V4">
        <f t="shared" ref="V4:X4" si="12">U4+($Y4-$U4)/4</f>
        <v>1647.778</v>
      </c>
      <c r="W4">
        <f t="shared" si="12"/>
        <v>1479.8226666666667</v>
      </c>
      <c r="X4">
        <f t="shared" si="12"/>
        <v>1311.8673333333334</v>
      </c>
      <c r="Y4">
        <f t="shared" si="6"/>
        <v>1143.912</v>
      </c>
      <c r="Z4">
        <f t="shared" si="7"/>
        <v>78.084000000000003</v>
      </c>
      <c r="AA4">
        <v>60</v>
      </c>
      <c r="AB4">
        <v>47.99</v>
      </c>
      <c r="AC4">
        <v>43.8</v>
      </c>
      <c r="AD4">
        <v>37.6</v>
      </c>
      <c r="AE4">
        <v>37.6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f t="shared" si="9"/>
        <v>8.11050730295724E-2</v>
      </c>
      <c r="BG4">
        <f t="shared" si="10"/>
        <v>7.1587982401729228E-2</v>
      </c>
      <c r="BH4">
        <f t="shared" si="11"/>
        <v>6.4509946593358555E-2</v>
      </c>
      <c r="BI4" t="s">
        <v>56</v>
      </c>
    </row>
    <row r="5" spans="1:61" x14ac:dyDescent="0.2">
      <c r="A5" s="50"/>
      <c r="B5" s="50"/>
      <c r="C5" s="50" t="s">
        <v>79</v>
      </c>
      <c r="D5" s="50" t="s">
        <v>83</v>
      </c>
      <c r="E5" s="50" t="str">
        <f>"WDLC"&amp;[6]Sheet1!$B3</f>
        <v>WDLC3</v>
      </c>
      <c r="F5" s="50" t="str">
        <f t="shared" si="0"/>
        <v>D2WDLC3</v>
      </c>
      <c r="G5" s="50" t="str">
        <f t="shared" si="1"/>
        <v>D2WD00</v>
      </c>
      <c r="H5" s="50" t="str">
        <f t="shared" si="2"/>
        <v>D2ELC01</v>
      </c>
      <c r="I5" s="1" t="s">
        <v>217</v>
      </c>
      <c r="J5" s="1">
        <f>[6]Sheet1!$D3/1000</f>
        <v>7.2400000000000006E-2</v>
      </c>
      <c r="K5">
        <v>25</v>
      </c>
      <c r="L5">
        <v>31.536000000000001</v>
      </c>
      <c r="M5">
        <v>2023</v>
      </c>
      <c r="N5">
        <v>1</v>
      </c>
      <c r="O5">
        <v>0</v>
      </c>
      <c r="P5">
        <f>0.352*Scenarios!K7</f>
        <v>0.35199999999999998</v>
      </c>
      <c r="Q5" t="s">
        <v>82</v>
      </c>
      <c r="R5">
        <f t="shared" si="3"/>
        <v>7.2400000000000006E-2</v>
      </c>
      <c r="S5">
        <f t="shared" si="8"/>
        <v>92.688551329326927</v>
      </c>
      <c r="T5">
        <f t="shared" si="4"/>
        <v>1885.51</v>
      </c>
      <c r="U5">
        <f>(1700+[6]Sheet1!$S3+[6]Sheet1!$U3)+Scenarios!$L$7</f>
        <v>1885.51</v>
      </c>
      <c r="V5">
        <f t="shared" ref="V5:X5" si="13">U5+($Y5-$U5)/4</f>
        <v>1711.1003249999999</v>
      </c>
      <c r="W5">
        <f t="shared" si="13"/>
        <v>1536.69065</v>
      </c>
      <c r="X5">
        <f t="shared" si="13"/>
        <v>1362.2809750000001</v>
      </c>
      <c r="Y5">
        <f t="shared" si="6"/>
        <v>1187.8713</v>
      </c>
      <c r="Z5">
        <f t="shared" si="7"/>
        <v>78.084000000000003</v>
      </c>
      <c r="AA5">
        <v>60</v>
      </c>
      <c r="AB5">
        <v>47.99</v>
      </c>
      <c r="AC5">
        <v>43.8</v>
      </c>
      <c r="AD5">
        <v>37.6</v>
      </c>
      <c r="AE5">
        <v>37.6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f t="shared" si="9"/>
        <v>8.6823825301929683E-2</v>
      </c>
      <c r="BG5">
        <f t="shared" si="10"/>
        <v>7.6697613159301098E-2</v>
      </c>
      <c r="BH5">
        <f t="shared" si="11"/>
        <v>6.9107463698283134E-2</v>
      </c>
    </row>
    <row r="6" spans="1:61" x14ac:dyDescent="0.2">
      <c r="A6" s="50"/>
      <c r="B6" s="50"/>
      <c r="C6" s="50" t="s">
        <v>79</v>
      </c>
      <c r="D6" s="50" t="s">
        <v>83</v>
      </c>
      <c r="E6" s="50" t="str">
        <f>"WDLC"&amp;[6]Sheet1!$B4</f>
        <v>WDLC4</v>
      </c>
      <c r="F6" s="50" t="str">
        <f t="shared" si="0"/>
        <v>D2WDLC4</v>
      </c>
      <c r="G6" s="50" t="str">
        <f t="shared" si="1"/>
        <v>D2WD00</v>
      </c>
      <c r="H6" s="50" t="str">
        <f t="shared" si="2"/>
        <v>D2ELC01</v>
      </c>
      <c r="I6" s="1" t="s">
        <v>217</v>
      </c>
      <c r="J6" s="1">
        <f>[6]Sheet1!$D4/1000</f>
        <v>2.47E-2</v>
      </c>
      <c r="K6">
        <v>25</v>
      </c>
      <c r="L6">
        <v>31.536000000000001</v>
      </c>
      <c r="M6">
        <v>2023</v>
      </c>
      <c r="N6">
        <v>1</v>
      </c>
      <c r="O6">
        <v>0</v>
      </c>
      <c r="P6">
        <f>0.349*Scenarios!K7</f>
        <v>0.34899999999999998</v>
      </c>
      <c r="Q6" t="s">
        <v>82</v>
      </c>
      <c r="R6">
        <f t="shared" si="3"/>
        <v>2.47E-2</v>
      </c>
      <c r="S6">
        <f t="shared" si="8"/>
        <v>93.219722070549196</v>
      </c>
      <c r="T6">
        <f t="shared" si="4"/>
        <v>1878.14</v>
      </c>
      <c r="U6">
        <f>(1700+[6]Sheet1!$S4+[6]Sheet1!$U4)+Scenarios!$L$7</f>
        <v>1878.14</v>
      </c>
      <c r="V6">
        <f t="shared" ref="V6:X6" si="14">U6+($Y6-$U6)/4</f>
        <v>1704.4120500000001</v>
      </c>
      <c r="W6">
        <f t="shared" si="14"/>
        <v>1530.6841000000002</v>
      </c>
      <c r="X6">
        <f t="shared" si="14"/>
        <v>1356.9561500000002</v>
      </c>
      <c r="Y6">
        <f t="shared" si="6"/>
        <v>1183.2282</v>
      </c>
      <c r="Z6">
        <f t="shared" si="7"/>
        <v>78.084000000000003</v>
      </c>
      <c r="AA6">
        <v>60</v>
      </c>
      <c r="AB6">
        <v>47.99</v>
      </c>
      <c r="AC6">
        <v>43.8</v>
      </c>
      <c r="AD6">
        <v>37.6</v>
      </c>
      <c r="AE6">
        <v>37.6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f t="shared" si="9"/>
        <v>8.7304582925437899E-2</v>
      </c>
      <c r="BG6">
        <f t="shared" si="10"/>
        <v>7.7115892035280659E-2</v>
      </c>
      <c r="BH6">
        <f t="shared" si="11"/>
        <v>6.9485063792478541E-2</v>
      </c>
    </row>
    <row r="7" spans="1:61" x14ac:dyDescent="0.2">
      <c r="A7" s="50"/>
      <c r="B7" s="50"/>
      <c r="C7" s="50" t="s">
        <v>79</v>
      </c>
      <c r="D7" s="50" t="s">
        <v>83</v>
      </c>
      <c r="E7" s="50" t="str">
        <f>"WDLC"&amp;[6]Sheet1!$B5</f>
        <v>WDLC6</v>
      </c>
      <c r="F7" s="50" t="str">
        <f t="shared" si="0"/>
        <v>D2WDLC6</v>
      </c>
      <c r="G7" s="50" t="str">
        <f t="shared" si="1"/>
        <v>D2WD00</v>
      </c>
      <c r="H7" s="50" t="str">
        <f t="shared" si="2"/>
        <v>D2ELC01</v>
      </c>
      <c r="I7" s="1" t="s">
        <v>217</v>
      </c>
      <c r="J7" s="1">
        <f>[6]Sheet1!$D5/1000</f>
        <v>7.8299999999999995E-2</v>
      </c>
      <c r="K7">
        <v>25</v>
      </c>
      <c r="L7">
        <v>31.536000000000001</v>
      </c>
      <c r="M7">
        <v>2023</v>
      </c>
      <c r="N7">
        <v>1</v>
      </c>
      <c r="O7">
        <v>0</v>
      </c>
      <c r="P7">
        <f>0.352*Scenarios!K7</f>
        <v>0.35199999999999998</v>
      </c>
      <c r="Q7" t="s">
        <v>82</v>
      </c>
      <c r="R7">
        <f t="shared" si="3"/>
        <v>7.8299999999999995E-2</v>
      </c>
      <c r="S7">
        <f t="shared" si="8"/>
        <v>90.195569007009468</v>
      </c>
      <c r="T7">
        <f t="shared" si="4"/>
        <v>1815.7333333333333</v>
      </c>
      <c r="U7">
        <f>(1700+[6]Sheet1!$S5+[6]Sheet1!$U5)+Scenarios!$L$7</f>
        <v>1815.7333333333333</v>
      </c>
      <c r="V7">
        <f t="shared" ref="V7:X7" si="15">U7+($Y7-$U7)/4</f>
        <v>1647.778</v>
      </c>
      <c r="W7">
        <f t="shared" si="15"/>
        <v>1479.8226666666667</v>
      </c>
      <c r="X7">
        <f t="shared" si="15"/>
        <v>1311.8673333333334</v>
      </c>
      <c r="Y7">
        <f t="shared" si="6"/>
        <v>1143.912</v>
      </c>
      <c r="Z7">
        <f t="shared" si="7"/>
        <v>78.084000000000003</v>
      </c>
      <c r="AA7">
        <v>60</v>
      </c>
      <c r="AB7">
        <v>47.99</v>
      </c>
      <c r="AC7">
        <v>43.8</v>
      </c>
      <c r="AD7">
        <v>37.6</v>
      </c>
      <c r="AE7">
        <v>37.6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f t="shared" si="9"/>
        <v>8.43308429796122E-2</v>
      </c>
      <c r="BG7">
        <f t="shared" si="10"/>
        <v>7.4435231701797999E-2</v>
      </c>
      <c r="BH7">
        <f t="shared" si="11"/>
        <v>6.7075683105594405E-2</v>
      </c>
    </row>
    <row r="8" spans="1:61" x14ac:dyDescent="0.2">
      <c r="A8" s="50"/>
      <c r="B8" s="50"/>
      <c r="C8" s="50" t="s">
        <v>79</v>
      </c>
      <c r="D8" s="50" t="s">
        <v>83</v>
      </c>
      <c r="E8" s="50" t="str">
        <f>"WDLC"&amp;[6]Sheet1!$B6</f>
        <v>WDLC7</v>
      </c>
      <c r="F8" s="50" t="str">
        <f t="shared" si="0"/>
        <v>D2WDLC7</v>
      </c>
      <c r="G8" s="50" t="str">
        <f t="shared" si="1"/>
        <v>D2WD00</v>
      </c>
      <c r="H8" s="50" t="str">
        <f t="shared" si="2"/>
        <v>D2ELC01</v>
      </c>
      <c r="I8" s="1" t="s">
        <v>217</v>
      </c>
      <c r="J8" s="1">
        <f>[6]Sheet1!$D6/1000</f>
        <v>0.1295</v>
      </c>
      <c r="K8">
        <v>25</v>
      </c>
      <c r="L8">
        <v>31.536000000000001</v>
      </c>
      <c r="M8">
        <v>2023</v>
      </c>
      <c r="N8">
        <v>1</v>
      </c>
      <c r="O8">
        <v>0</v>
      </c>
      <c r="P8">
        <f>0.369*Scenarios!K7</f>
        <v>0.36899999999999999</v>
      </c>
      <c r="Q8" t="s">
        <v>82</v>
      </c>
      <c r="R8">
        <f t="shared" si="3"/>
        <v>0.1295</v>
      </c>
      <c r="S8">
        <f t="shared" si="8"/>
        <v>88.939461094031628</v>
      </c>
      <c r="T8">
        <f t="shared" si="4"/>
        <v>1900.8</v>
      </c>
      <c r="U8">
        <f>(1700+[6]Sheet1!$S6+[6]Sheet1!$U6)+Scenarios!$L$7</f>
        <v>1900.8</v>
      </c>
      <c r="V8">
        <f t="shared" ref="V8:X8" si="16">U8+($Y8-$U8)/4</f>
        <v>1724.9759999999999</v>
      </c>
      <c r="W8">
        <f t="shared" si="16"/>
        <v>1549.1519999999998</v>
      </c>
      <c r="X8">
        <f t="shared" si="16"/>
        <v>1373.3279999999997</v>
      </c>
      <c r="Y8">
        <f t="shared" si="6"/>
        <v>1197.5039999999999</v>
      </c>
      <c r="Z8">
        <f t="shared" si="7"/>
        <v>78.084000000000003</v>
      </c>
      <c r="AA8">
        <v>60</v>
      </c>
      <c r="AB8">
        <v>47.99</v>
      </c>
      <c r="AC8">
        <v>43.8</v>
      </c>
      <c r="AD8">
        <v>37.6</v>
      </c>
      <c r="AE8">
        <v>37.6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f t="shared" si="9"/>
        <v>8.3344925696622871E-2</v>
      </c>
      <c r="BG8">
        <f t="shared" si="10"/>
        <v>7.3637029765147494E-2</v>
      </c>
      <c r="BH8">
        <f t="shared" si="11"/>
        <v>6.63483589391652E-2</v>
      </c>
    </row>
    <row r="9" spans="1:61" x14ac:dyDescent="0.2">
      <c r="A9" s="14"/>
      <c r="B9" s="14"/>
      <c r="C9" s="14" t="s">
        <v>84</v>
      </c>
      <c r="D9" s="14" t="s">
        <v>83</v>
      </c>
      <c r="E9" s="14" t="str">
        <f>"WDLC"&amp;'[7]East Wind IRENA'!$A2</f>
        <v>WDLC0</v>
      </c>
      <c r="F9" s="14" t="str">
        <f t="shared" si="0"/>
        <v>D3WDLC0</v>
      </c>
      <c r="G9" s="14" t="str">
        <f t="shared" si="1"/>
        <v>D3WD00</v>
      </c>
      <c r="H9" s="14" t="str">
        <f t="shared" si="2"/>
        <v>D3ELC01</v>
      </c>
      <c r="I9" s="1" t="s">
        <v>217</v>
      </c>
      <c r="J9" s="1">
        <f>'[7]East Wind IRENA'!$C2/1000</f>
        <v>2.4799999999999999E-2</v>
      </c>
      <c r="K9">
        <v>25</v>
      </c>
      <c r="L9">
        <v>31.536000000000001</v>
      </c>
      <c r="M9">
        <v>2023</v>
      </c>
      <c r="N9">
        <v>1</v>
      </c>
      <c r="O9">
        <v>0</v>
      </c>
      <c r="P9">
        <f>'[7]East Wind IRENA'!$N2*Scenarios!K7</f>
        <v>0.13300000000000001</v>
      </c>
      <c r="Q9" t="s">
        <v>82</v>
      </c>
      <c r="R9">
        <f t="shared" si="3"/>
        <v>2.4799999999999999E-2</v>
      </c>
      <c r="S9">
        <f t="shared" si="8"/>
        <v>270.83178346778107</v>
      </c>
      <c r="T9">
        <f t="shared" si="4"/>
        <v>2155.4039166000002</v>
      </c>
      <c r="U9">
        <f>(1700+'[7]East Wind IRENA'!$R2+'[7]East Wind IRENA'!$T2)+Scenarios!$L$7</f>
        <v>2155.4039166000002</v>
      </c>
      <c r="V9">
        <f t="shared" ref="V9:X9" si="17">U9+($Y9-$U9)/4</f>
        <v>1956.0290543145002</v>
      </c>
      <c r="W9">
        <f t="shared" si="17"/>
        <v>1756.6541920290001</v>
      </c>
      <c r="X9">
        <f t="shared" si="17"/>
        <v>1557.2793297435001</v>
      </c>
      <c r="Y9">
        <f t="shared" si="6"/>
        <v>1357.9044674580002</v>
      </c>
      <c r="Z9">
        <f t="shared" si="7"/>
        <v>78.084000000000003</v>
      </c>
      <c r="AA9">
        <v>60</v>
      </c>
      <c r="AB9">
        <v>47.99</v>
      </c>
      <c r="AC9">
        <v>43.8</v>
      </c>
      <c r="AD9">
        <v>37.6</v>
      </c>
      <c r="AE9">
        <v>37.6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f t="shared" si="9"/>
        <v>0.25531010255316583</v>
      </c>
      <c r="BG9">
        <f t="shared" si="10"/>
        <v>0.22614923444012255</v>
      </c>
      <c r="BH9">
        <f t="shared" si="11"/>
        <v>0.20370035177013901</v>
      </c>
      <c r="BI9" t="s">
        <v>56</v>
      </c>
    </row>
    <row r="10" spans="1:61" x14ac:dyDescent="0.2">
      <c r="A10" s="14"/>
      <c r="B10" s="14"/>
      <c r="C10" s="14" t="s">
        <v>84</v>
      </c>
      <c r="D10" s="14" t="s">
        <v>83</v>
      </c>
      <c r="E10" s="14" t="str">
        <f>"WDLC"&amp;'[7]East Wind IRENA'!$A3</f>
        <v>WDLC2</v>
      </c>
      <c r="F10" s="14" t="str">
        <f t="shared" si="0"/>
        <v>D3WDLC2</v>
      </c>
      <c r="G10" s="14" t="str">
        <f t="shared" si="1"/>
        <v>D3WD00</v>
      </c>
      <c r="H10" s="14" t="str">
        <f t="shared" si="2"/>
        <v>D3ELC01</v>
      </c>
      <c r="I10" s="1" t="s">
        <v>217</v>
      </c>
      <c r="J10" s="1">
        <f>'[7]East Wind IRENA'!$C3/1000</f>
        <v>2.3800000000000002E-2</v>
      </c>
      <c r="K10">
        <v>25</v>
      </c>
      <c r="L10">
        <v>31.536000000000001</v>
      </c>
      <c r="M10">
        <v>2023</v>
      </c>
      <c r="N10">
        <v>1</v>
      </c>
      <c r="O10">
        <v>0</v>
      </c>
      <c r="P10">
        <f>'[7]East Wind IRENA'!$N3*Scenarios!K7</f>
        <v>9.9000000000000005E-2</v>
      </c>
      <c r="Q10" t="s">
        <v>82</v>
      </c>
      <c r="R10">
        <f t="shared" si="3"/>
        <v>2.3800000000000002E-2</v>
      </c>
      <c r="S10">
        <f t="shared" si="8"/>
        <v>383.82742327059532</v>
      </c>
      <c r="T10">
        <f t="shared" si="4"/>
        <v>2312.7072072000001</v>
      </c>
      <c r="U10">
        <f>(1700+'[7]East Wind IRENA'!$R3+'[7]East Wind IRENA'!$T3)+Scenarios!$L$7</f>
        <v>2312.7072072000001</v>
      </c>
      <c r="V10">
        <f t="shared" ref="V10:X10" si="18">U10+($Y10-$U10)/4</f>
        <v>2098.7817905340003</v>
      </c>
      <c r="W10">
        <f t="shared" si="18"/>
        <v>1884.8563738680002</v>
      </c>
      <c r="X10">
        <f t="shared" si="18"/>
        <v>1670.9309572020002</v>
      </c>
      <c r="Y10">
        <f t="shared" si="6"/>
        <v>1457.0055405360001</v>
      </c>
      <c r="Z10">
        <f t="shared" si="7"/>
        <v>78.084000000000003</v>
      </c>
      <c r="AA10">
        <v>60</v>
      </c>
      <c r="AB10">
        <v>47.99</v>
      </c>
      <c r="AC10">
        <v>43.8</v>
      </c>
      <c r="AD10">
        <v>37.6</v>
      </c>
      <c r="AE10">
        <v>37.6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f t="shared" si="9"/>
        <v>0.3629750640620717</v>
      </c>
      <c r="BG10">
        <f t="shared" si="10"/>
        <v>0.32195095222850756</v>
      </c>
      <c r="BH10">
        <f t="shared" si="11"/>
        <v>0.28994395215178126</v>
      </c>
    </row>
    <row r="11" spans="1:61" x14ac:dyDescent="0.2">
      <c r="A11" s="14"/>
      <c r="B11" s="14"/>
      <c r="C11" s="14" t="s">
        <v>84</v>
      </c>
      <c r="D11" s="14" t="s">
        <v>83</v>
      </c>
      <c r="E11" s="14" t="str">
        <f>"WDLC"&amp;'[7]East Wind IRENA'!$A4</f>
        <v>WDLC1</v>
      </c>
      <c r="F11" s="14" t="str">
        <f t="shared" si="0"/>
        <v>D3WDLC1</v>
      </c>
      <c r="G11" s="14" t="str">
        <f t="shared" si="1"/>
        <v>D3WD00</v>
      </c>
      <c r="H11" s="14" t="str">
        <f t="shared" si="2"/>
        <v>D3ELC01</v>
      </c>
      <c r="I11" s="1" t="s">
        <v>217</v>
      </c>
      <c r="J11" s="1">
        <f>'[7]East Wind IRENA'!$C4/1000</f>
        <v>3.0699999999999998E-2</v>
      </c>
      <c r="K11">
        <v>25</v>
      </c>
      <c r="L11">
        <v>31.536000000000001</v>
      </c>
      <c r="M11">
        <v>2023</v>
      </c>
      <c r="N11">
        <v>1</v>
      </c>
      <c r="O11">
        <v>0</v>
      </c>
      <c r="P11">
        <f>'[7]East Wind IRENA'!$N4*Scenarios!K7</f>
        <v>8.4000000000000005E-2</v>
      </c>
      <c r="Q11" t="s">
        <v>82</v>
      </c>
      <c r="R11">
        <f t="shared" si="3"/>
        <v>3.0699999999999998E-2</v>
      </c>
      <c r="S11">
        <f t="shared" si="8"/>
        <v>468.79070036773442</v>
      </c>
      <c r="T11">
        <f t="shared" si="4"/>
        <v>2422.3982833999999</v>
      </c>
      <c r="U11">
        <f>(1700+'[7]East Wind IRENA'!$R4+'[7]East Wind IRENA'!$T4)+Scenarios!$L$7</f>
        <v>2422.3982833999999</v>
      </c>
      <c r="V11">
        <f t="shared" ref="V11:X11" si="19">U11+($Y11-$U11)/4</f>
        <v>2198.3264421854997</v>
      </c>
      <c r="W11">
        <f t="shared" si="19"/>
        <v>1974.2546009709997</v>
      </c>
      <c r="X11">
        <f t="shared" si="19"/>
        <v>1750.1827597564998</v>
      </c>
      <c r="Y11">
        <f t="shared" si="6"/>
        <v>1526.1109185419998</v>
      </c>
      <c r="Z11">
        <f t="shared" si="7"/>
        <v>78.084000000000003</v>
      </c>
      <c r="AA11">
        <v>60</v>
      </c>
      <c r="AB11">
        <v>47.99</v>
      </c>
      <c r="AC11">
        <v>43.8</v>
      </c>
      <c r="AD11">
        <v>37.6</v>
      </c>
      <c r="AE11">
        <v>37.6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f t="shared" si="9"/>
        <v>0.44421470558626019</v>
      </c>
      <c r="BG11">
        <f t="shared" si="10"/>
        <v>0.39434576291031176</v>
      </c>
      <c r="BH11">
        <f t="shared" si="11"/>
        <v>0.35510413051920781</v>
      </c>
    </row>
    <row r="12" spans="1:61" x14ac:dyDescent="0.2">
      <c r="A12" s="14"/>
      <c r="B12" s="14"/>
      <c r="C12" s="14" t="s">
        <v>84</v>
      </c>
      <c r="D12" s="14" t="s">
        <v>83</v>
      </c>
      <c r="E12" s="14" t="s">
        <v>402</v>
      </c>
      <c r="F12" s="14" t="str">
        <f t="shared" si="0"/>
        <v>D3WDLDUM1</v>
      </c>
      <c r="G12" s="14" t="str">
        <f t="shared" si="1"/>
        <v>D3WD00</v>
      </c>
      <c r="H12" s="14" t="str">
        <f t="shared" si="2"/>
        <v>D3ELC01</v>
      </c>
      <c r="I12" s="1" t="s">
        <v>217</v>
      </c>
      <c r="J12" s="1">
        <f>'[7]East Wind IRENA'!$C5/1000</f>
        <v>0</v>
      </c>
      <c r="K12">
        <v>25</v>
      </c>
      <c r="L12">
        <v>31.536000000000001</v>
      </c>
      <c r="M12">
        <v>2023</v>
      </c>
      <c r="N12">
        <v>1</v>
      </c>
      <c r="O12">
        <v>0</v>
      </c>
      <c r="P12">
        <v>0</v>
      </c>
      <c r="Q12" t="s">
        <v>82</v>
      </c>
      <c r="R12">
        <f t="shared" si="3"/>
        <v>0</v>
      </c>
      <c r="S12" t="e">
        <f t="shared" ref="S12:S23" si="20">(U12*((0.1*(1+0.1)^K12)/((1+0.1)^K12-1))+Z12)/(8760*P12)</f>
        <v>#DIV/0!</v>
      </c>
      <c r="T12">
        <v>999999</v>
      </c>
      <c r="U12">
        <v>999999</v>
      </c>
      <c r="V12">
        <f t="shared" ref="V12:X12" si="21">U12+($Y12-$U12)/4</f>
        <v>907499.09250000003</v>
      </c>
      <c r="W12">
        <f t="shared" si="21"/>
        <v>814999.18500000006</v>
      </c>
      <c r="X12">
        <f t="shared" si="21"/>
        <v>722499.27750000008</v>
      </c>
      <c r="Y12">
        <f t="shared" si="6"/>
        <v>629999.37</v>
      </c>
      <c r="Z12">
        <f t="shared" si="7"/>
        <v>78.084000000000003</v>
      </c>
      <c r="AA12">
        <v>60</v>
      </c>
      <c r="AB12">
        <v>47.99</v>
      </c>
      <c r="AC12">
        <v>43.8</v>
      </c>
      <c r="AD12">
        <v>37.6</v>
      </c>
      <c r="AE12">
        <v>37.6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e">
        <f t="shared" si="9"/>
        <v>#DIV/0!</v>
      </c>
      <c r="BG12" t="e">
        <f t="shared" si="10"/>
        <v>#DIV/0!</v>
      </c>
      <c r="BH12" t="e">
        <f t="shared" si="11"/>
        <v>#DIV/0!</v>
      </c>
    </row>
    <row r="13" spans="1:61" x14ac:dyDescent="0.2">
      <c r="A13" s="14"/>
      <c r="B13" s="14"/>
      <c r="C13" s="14" t="s">
        <v>84</v>
      </c>
      <c r="D13" s="14" t="s">
        <v>83</v>
      </c>
      <c r="E13" s="14" t="s">
        <v>403</v>
      </c>
      <c r="F13" s="14" t="str">
        <f>C13&amp;E13</f>
        <v>D3WDLDUM2</v>
      </c>
      <c r="G13" s="14" t="str">
        <f t="shared" si="1"/>
        <v>D3WD00</v>
      </c>
      <c r="H13" s="14" t="str">
        <f t="shared" si="2"/>
        <v>D3ELC01</v>
      </c>
      <c r="I13" s="1" t="s">
        <v>217</v>
      </c>
      <c r="J13" s="1">
        <f>'[7]East Wind IRENA'!$C6/1000</f>
        <v>0</v>
      </c>
      <c r="K13">
        <v>25</v>
      </c>
      <c r="L13">
        <v>31.536000000000001</v>
      </c>
      <c r="M13">
        <v>2023</v>
      </c>
      <c r="N13">
        <v>1</v>
      </c>
      <c r="O13">
        <v>0</v>
      </c>
      <c r="P13">
        <v>0</v>
      </c>
      <c r="Q13" t="s">
        <v>82</v>
      </c>
      <c r="R13">
        <f t="shared" si="3"/>
        <v>0</v>
      </c>
      <c r="S13" t="e">
        <f t="shared" si="20"/>
        <v>#DIV/0!</v>
      </c>
      <c r="T13">
        <v>999999</v>
      </c>
      <c r="U13">
        <v>999999</v>
      </c>
      <c r="V13">
        <f t="shared" ref="V13:X13" si="22">U13+($Y13-$U13)/4</f>
        <v>907499.09250000003</v>
      </c>
      <c r="W13">
        <f t="shared" si="22"/>
        <v>814999.18500000006</v>
      </c>
      <c r="X13">
        <f t="shared" si="22"/>
        <v>722499.27750000008</v>
      </c>
      <c r="Y13">
        <f t="shared" si="6"/>
        <v>629999.37</v>
      </c>
      <c r="Z13">
        <f t="shared" si="7"/>
        <v>78.084000000000003</v>
      </c>
      <c r="AA13">
        <v>60</v>
      </c>
      <c r="AB13">
        <v>47.99</v>
      </c>
      <c r="AC13">
        <v>43.8</v>
      </c>
      <c r="AD13">
        <v>37.6</v>
      </c>
      <c r="AE13">
        <v>37.6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e">
        <f t="shared" si="9"/>
        <v>#DIV/0!</v>
      </c>
      <c r="BG13" t="e">
        <f t="shared" si="10"/>
        <v>#DIV/0!</v>
      </c>
      <c r="BH13" t="e">
        <f t="shared" si="11"/>
        <v>#DIV/0!</v>
      </c>
    </row>
    <row r="14" spans="1:61" x14ac:dyDescent="0.2">
      <c r="A14" s="14"/>
      <c r="B14" s="14"/>
      <c r="C14" s="14" t="s">
        <v>84</v>
      </c>
      <c r="D14" s="14" t="s">
        <v>83</v>
      </c>
      <c r="E14" s="14" t="s">
        <v>404</v>
      </c>
      <c r="F14" s="14" t="str">
        <f t="shared" ref="F14:F19" si="23">C14&amp;E14</f>
        <v>D3WDLDUM3</v>
      </c>
      <c r="G14" s="14" t="str">
        <f t="shared" ref="G14:G19" si="24">LEFT(F14,4)&amp;"00"</f>
        <v>D3WD00</v>
      </c>
      <c r="H14" s="14" t="str">
        <f t="shared" ref="H14:H19" si="25">C14&amp;"ELC01"</f>
        <v>D3ELC01</v>
      </c>
      <c r="I14" s="1" t="s">
        <v>217</v>
      </c>
      <c r="J14" s="1">
        <f>'[7]East Wind IRENA'!$C7/1000</f>
        <v>0</v>
      </c>
      <c r="K14">
        <v>25</v>
      </c>
      <c r="L14">
        <v>31.536000000000001</v>
      </c>
      <c r="M14">
        <v>2023</v>
      </c>
      <c r="N14">
        <v>1</v>
      </c>
      <c r="O14">
        <v>0</v>
      </c>
      <c r="P14">
        <v>0</v>
      </c>
      <c r="Q14" t="s">
        <v>82</v>
      </c>
      <c r="R14">
        <f t="shared" si="3"/>
        <v>0</v>
      </c>
      <c r="S14" t="e">
        <f t="shared" si="20"/>
        <v>#DIV/0!</v>
      </c>
      <c r="T14">
        <v>999999</v>
      </c>
      <c r="U14">
        <v>999999</v>
      </c>
      <c r="V14">
        <f t="shared" ref="V14:V19" si="26">U14+($Y14-$U14)/4</f>
        <v>907499.09250000003</v>
      </c>
      <c r="W14">
        <f t="shared" ref="W14:W19" si="27">V14+($Y14-$U14)/4</f>
        <v>814999.18500000006</v>
      </c>
      <c r="X14">
        <f t="shared" ref="X14:X19" si="28">W14+($Y14-$U14)/4</f>
        <v>722499.27750000008</v>
      </c>
      <c r="Y14">
        <f t="shared" ref="Y14:Y19" si="29">U14*0.63</f>
        <v>629999.37</v>
      </c>
      <c r="Z14">
        <f t="shared" ref="Z14:Z19" si="30">90.14+(AA14-90.14)*2/5</f>
        <v>78.084000000000003</v>
      </c>
      <c r="AA14">
        <v>60</v>
      </c>
      <c r="AB14">
        <v>47.99</v>
      </c>
      <c r="AC14">
        <v>43.8</v>
      </c>
      <c r="AD14">
        <v>37.6</v>
      </c>
      <c r="AE14">
        <v>37.6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e">
        <f t="shared" si="9"/>
        <v>#DIV/0!</v>
      </c>
      <c r="BG14" t="e">
        <f t="shared" si="10"/>
        <v>#DIV/0!</v>
      </c>
      <c r="BH14" t="e">
        <f t="shared" si="11"/>
        <v>#DIV/0!</v>
      </c>
    </row>
    <row r="15" spans="1:61" x14ac:dyDescent="0.2">
      <c r="A15" s="14"/>
      <c r="B15" s="14"/>
      <c r="C15" s="14" t="s">
        <v>84</v>
      </c>
      <c r="D15" s="14" t="s">
        <v>83</v>
      </c>
      <c r="E15" s="14" t="s">
        <v>410</v>
      </c>
      <c r="F15" s="14" t="str">
        <f t="shared" si="23"/>
        <v>D3WDLDUM4</v>
      </c>
      <c r="G15" s="14" t="str">
        <f t="shared" si="24"/>
        <v>D3WD00</v>
      </c>
      <c r="H15" s="14" t="str">
        <f t="shared" si="25"/>
        <v>D3ELC01</v>
      </c>
      <c r="I15" s="1" t="s">
        <v>217</v>
      </c>
      <c r="J15" s="1">
        <f>'[7]East Wind IRENA'!$C8/1000</f>
        <v>0</v>
      </c>
      <c r="K15">
        <v>25</v>
      </c>
      <c r="L15">
        <v>31.536000000000001</v>
      </c>
      <c r="M15">
        <v>2023</v>
      </c>
      <c r="N15">
        <v>1</v>
      </c>
      <c r="O15">
        <v>0</v>
      </c>
      <c r="P15">
        <v>0</v>
      </c>
      <c r="Q15" t="s">
        <v>82</v>
      </c>
      <c r="R15">
        <f t="shared" si="3"/>
        <v>0</v>
      </c>
      <c r="S15" t="e">
        <f t="shared" si="20"/>
        <v>#DIV/0!</v>
      </c>
      <c r="T15">
        <v>999999</v>
      </c>
      <c r="U15">
        <v>999999</v>
      </c>
      <c r="V15">
        <f t="shared" si="26"/>
        <v>907499.09250000003</v>
      </c>
      <c r="W15">
        <f t="shared" si="27"/>
        <v>814999.18500000006</v>
      </c>
      <c r="X15">
        <f t="shared" si="28"/>
        <v>722499.27750000008</v>
      </c>
      <c r="Y15">
        <f t="shared" si="29"/>
        <v>629999.37</v>
      </c>
      <c r="Z15">
        <f t="shared" si="30"/>
        <v>78.084000000000003</v>
      </c>
      <c r="AA15">
        <v>60</v>
      </c>
      <c r="AB15">
        <v>47.99</v>
      </c>
      <c r="AC15">
        <v>43.8</v>
      </c>
      <c r="AD15">
        <v>37.6</v>
      </c>
      <c r="AE15">
        <v>37.6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e">
        <f t="shared" si="9"/>
        <v>#DIV/0!</v>
      </c>
      <c r="BG15" t="e">
        <f t="shared" si="10"/>
        <v>#DIV/0!</v>
      </c>
      <c r="BH15" t="e">
        <f t="shared" si="11"/>
        <v>#DIV/0!</v>
      </c>
    </row>
    <row r="16" spans="1:61" x14ac:dyDescent="0.2">
      <c r="A16" s="14"/>
      <c r="B16" s="14"/>
      <c r="C16" s="14" t="s">
        <v>84</v>
      </c>
      <c r="D16" s="14" t="s">
        <v>83</v>
      </c>
      <c r="E16" s="14" t="s">
        <v>411</v>
      </c>
      <c r="F16" s="14" t="str">
        <f t="shared" si="23"/>
        <v>D3WDLDUM5</v>
      </c>
      <c r="G16" s="14" t="str">
        <f t="shared" si="24"/>
        <v>D3WD00</v>
      </c>
      <c r="H16" s="14" t="str">
        <f t="shared" si="25"/>
        <v>D3ELC01</v>
      </c>
      <c r="I16" s="1" t="s">
        <v>217</v>
      </c>
      <c r="J16" s="1">
        <f>'[7]East Wind IRENA'!$C9/1000</f>
        <v>0</v>
      </c>
      <c r="K16">
        <v>25</v>
      </c>
      <c r="L16">
        <v>31.536000000000001</v>
      </c>
      <c r="M16">
        <v>2023</v>
      </c>
      <c r="N16">
        <v>1</v>
      </c>
      <c r="O16">
        <v>0</v>
      </c>
      <c r="P16">
        <v>0</v>
      </c>
      <c r="Q16" t="s">
        <v>82</v>
      </c>
      <c r="R16">
        <f t="shared" si="3"/>
        <v>0</v>
      </c>
      <c r="S16" t="e">
        <f t="shared" si="20"/>
        <v>#DIV/0!</v>
      </c>
      <c r="T16">
        <v>999999</v>
      </c>
      <c r="U16">
        <v>999999</v>
      </c>
      <c r="V16">
        <f t="shared" si="26"/>
        <v>907499.09250000003</v>
      </c>
      <c r="W16">
        <f t="shared" si="27"/>
        <v>814999.18500000006</v>
      </c>
      <c r="X16">
        <f t="shared" si="28"/>
        <v>722499.27750000008</v>
      </c>
      <c r="Y16">
        <f t="shared" si="29"/>
        <v>629999.37</v>
      </c>
      <c r="Z16">
        <f t="shared" si="30"/>
        <v>78.084000000000003</v>
      </c>
      <c r="AA16">
        <v>60</v>
      </c>
      <c r="AB16">
        <v>47.99</v>
      </c>
      <c r="AC16">
        <v>43.8</v>
      </c>
      <c r="AD16">
        <v>37.6</v>
      </c>
      <c r="AE16">
        <v>37.6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e">
        <f t="shared" si="9"/>
        <v>#DIV/0!</v>
      </c>
      <c r="BG16" t="e">
        <f t="shared" si="10"/>
        <v>#DIV/0!</v>
      </c>
      <c r="BH16" t="e">
        <f t="shared" si="11"/>
        <v>#DIV/0!</v>
      </c>
    </row>
    <row r="17" spans="1:60" x14ac:dyDescent="0.2">
      <c r="A17" s="14"/>
      <c r="B17" s="14"/>
      <c r="C17" s="14" t="s">
        <v>84</v>
      </c>
      <c r="D17" s="14" t="s">
        <v>83</v>
      </c>
      <c r="E17" s="14" t="s">
        <v>412</v>
      </c>
      <c r="F17" s="14" t="str">
        <f t="shared" si="23"/>
        <v>D3WDLDUM6</v>
      </c>
      <c r="G17" s="14" t="str">
        <f t="shared" si="24"/>
        <v>D3WD00</v>
      </c>
      <c r="H17" s="14" t="str">
        <f t="shared" si="25"/>
        <v>D3ELC01</v>
      </c>
      <c r="I17" s="1" t="s">
        <v>217</v>
      </c>
      <c r="J17" s="1">
        <f>'[7]East Wind IRENA'!$C10/1000</f>
        <v>0</v>
      </c>
      <c r="K17">
        <v>25</v>
      </c>
      <c r="L17">
        <v>31.536000000000001</v>
      </c>
      <c r="M17">
        <v>2023</v>
      </c>
      <c r="N17">
        <v>1</v>
      </c>
      <c r="O17">
        <v>0</v>
      </c>
      <c r="P17">
        <v>0</v>
      </c>
      <c r="Q17" t="s">
        <v>82</v>
      </c>
      <c r="R17">
        <f t="shared" si="3"/>
        <v>0</v>
      </c>
      <c r="S17" t="e">
        <f t="shared" si="20"/>
        <v>#DIV/0!</v>
      </c>
      <c r="T17">
        <v>999999</v>
      </c>
      <c r="U17">
        <v>999999</v>
      </c>
      <c r="V17">
        <f t="shared" si="26"/>
        <v>907499.09250000003</v>
      </c>
      <c r="W17">
        <f t="shared" si="27"/>
        <v>814999.18500000006</v>
      </c>
      <c r="X17">
        <f t="shared" si="28"/>
        <v>722499.27750000008</v>
      </c>
      <c r="Y17">
        <f t="shared" si="29"/>
        <v>629999.37</v>
      </c>
      <c r="Z17">
        <f t="shared" si="30"/>
        <v>78.084000000000003</v>
      </c>
      <c r="AA17">
        <v>60</v>
      </c>
      <c r="AB17">
        <v>47.99</v>
      </c>
      <c r="AC17">
        <v>43.8</v>
      </c>
      <c r="AD17">
        <v>37.6</v>
      </c>
      <c r="AE17">
        <v>37.6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e">
        <f t="shared" si="9"/>
        <v>#DIV/0!</v>
      </c>
      <c r="BG17" t="e">
        <f t="shared" si="10"/>
        <v>#DIV/0!</v>
      </c>
      <c r="BH17" t="e">
        <f t="shared" si="11"/>
        <v>#DIV/0!</v>
      </c>
    </row>
    <row r="18" spans="1:60" x14ac:dyDescent="0.2">
      <c r="A18" s="14"/>
      <c r="B18" s="14"/>
      <c r="C18" s="14" t="s">
        <v>84</v>
      </c>
      <c r="D18" s="14" t="s">
        <v>83</v>
      </c>
      <c r="E18" s="14" t="s">
        <v>413</v>
      </c>
      <c r="F18" s="14" t="str">
        <f t="shared" si="23"/>
        <v>D3WDLDUM7</v>
      </c>
      <c r="G18" s="14" t="str">
        <f t="shared" si="24"/>
        <v>D3WD00</v>
      </c>
      <c r="H18" s="14" t="str">
        <f t="shared" si="25"/>
        <v>D3ELC01</v>
      </c>
      <c r="I18" s="1" t="s">
        <v>217</v>
      </c>
      <c r="J18" s="1">
        <f>'[7]East Wind IRENA'!$C11/1000</f>
        <v>0</v>
      </c>
      <c r="K18">
        <v>25</v>
      </c>
      <c r="L18">
        <v>31.536000000000001</v>
      </c>
      <c r="M18">
        <v>2023</v>
      </c>
      <c r="N18">
        <v>1</v>
      </c>
      <c r="O18">
        <v>0</v>
      </c>
      <c r="P18">
        <v>0</v>
      </c>
      <c r="Q18" t="s">
        <v>82</v>
      </c>
      <c r="R18">
        <f t="shared" si="3"/>
        <v>0</v>
      </c>
      <c r="S18" t="e">
        <f t="shared" si="20"/>
        <v>#DIV/0!</v>
      </c>
      <c r="T18">
        <v>999999</v>
      </c>
      <c r="U18">
        <v>999999</v>
      </c>
      <c r="V18">
        <f t="shared" si="26"/>
        <v>907499.09250000003</v>
      </c>
      <c r="W18">
        <f t="shared" si="27"/>
        <v>814999.18500000006</v>
      </c>
      <c r="X18">
        <f t="shared" si="28"/>
        <v>722499.27750000008</v>
      </c>
      <c r="Y18">
        <f t="shared" si="29"/>
        <v>629999.37</v>
      </c>
      <c r="Z18">
        <f t="shared" si="30"/>
        <v>78.084000000000003</v>
      </c>
      <c r="AA18">
        <v>60</v>
      </c>
      <c r="AB18">
        <v>47.99</v>
      </c>
      <c r="AC18">
        <v>43.8</v>
      </c>
      <c r="AD18">
        <v>37.6</v>
      </c>
      <c r="AE18">
        <v>37.6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e">
        <f t="shared" si="9"/>
        <v>#DIV/0!</v>
      </c>
      <c r="BG18" t="e">
        <f t="shared" si="10"/>
        <v>#DIV/0!</v>
      </c>
      <c r="BH18" t="e">
        <f t="shared" si="11"/>
        <v>#DIV/0!</v>
      </c>
    </row>
    <row r="19" spans="1:60" x14ac:dyDescent="0.2">
      <c r="A19" s="50"/>
      <c r="B19" s="50"/>
      <c r="C19" s="50" t="s">
        <v>79</v>
      </c>
      <c r="D19" s="50" t="s">
        <v>83</v>
      </c>
      <c r="E19" s="50" t="str">
        <f>"WDLC"&amp;[6]Sheet1!$B7</f>
        <v>WDLC8</v>
      </c>
      <c r="F19" s="50" t="str">
        <f t="shared" si="23"/>
        <v>D2WDLC8</v>
      </c>
      <c r="G19" s="50" t="str">
        <f t="shared" si="24"/>
        <v>D2WD00</v>
      </c>
      <c r="H19" s="50" t="str">
        <f t="shared" si="25"/>
        <v>D2ELC01</v>
      </c>
      <c r="I19" s="1" t="s">
        <v>217</v>
      </c>
      <c r="J19" s="1">
        <f>[6]Sheet1!$D7/1000</f>
        <v>0.313</v>
      </c>
      <c r="K19">
        <v>25</v>
      </c>
      <c r="L19">
        <v>31.536000000000001</v>
      </c>
      <c r="M19">
        <v>2023</v>
      </c>
      <c r="N19">
        <v>1</v>
      </c>
      <c r="O19">
        <v>0</v>
      </c>
      <c r="P19">
        <f>0.37*Scenarios!K7</f>
        <v>0.37</v>
      </c>
      <c r="Q19" t="s">
        <v>82</v>
      </c>
      <c r="R19">
        <f t="shared" si="3"/>
        <v>0.313</v>
      </c>
      <c r="S19">
        <f>(U19*((0.1*(1+0.1)^K19)/((1+0.1)^K19-1))+Z19)/(8760*P19)*1000</f>
        <v>89.555289817739805</v>
      </c>
      <c r="T19">
        <f t="shared" si="4"/>
        <v>1925.99</v>
      </c>
      <c r="U19">
        <f>(1700+[6]Sheet1!$S7+[6]Sheet1!$U7)+Scenarios!$L$7</f>
        <v>1925.99</v>
      </c>
      <c r="V19">
        <f t="shared" si="26"/>
        <v>1747.8359250000001</v>
      </c>
      <c r="W19">
        <f t="shared" si="27"/>
        <v>1569.6818500000002</v>
      </c>
      <c r="X19">
        <f t="shared" si="28"/>
        <v>1391.5277750000002</v>
      </c>
      <c r="Y19">
        <f t="shared" si="29"/>
        <v>1213.3737000000001</v>
      </c>
      <c r="Z19">
        <f t="shared" si="30"/>
        <v>78.084000000000003</v>
      </c>
      <c r="AA19">
        <v>60</v>
      </c>
      <c r="AB19">
        <v>47.99</v>
      </c>
      <c r="AC19">
        <v>43.8</v>
      </c>
      <c r="AD19">
        <v>37.6</v>
      </c>
      <c r="AE19">
        <v>37.6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f t="shared" si="9"/>
        <v>8.3975874786269986E-2</v>
      </c>
      <c r="BG19">
        <f t="shared" si="10"/>
        <v>7.4215017389149665E-2</v>
      </c>
      <c r="BH19">
        <f t="shared" si="11"/>
        <v>6.6866846651291348E-2</v>
      </c>
    </row>
    <row r="20" spans="1:60" x14ac:dyDescent="0.2">
      <c r="A20" s="50"/>
      <c r="B20" s="50"/>
      <c r="C20" s="50" t="s">
        <v>79</v>
      </c>
      <c r="D20" s="50" t="s">
        <v>83</v>
      </c>
      <c r="E20" s="50" t="str">
        <f>"WDLC"&amp;[6]Sheet1!$B8</f>
        <v>WDLC10</v>
      </c>
      <c r="F20" s="50" t="str">
        <f t="shared" ref="F20:F23" si="31">C20&amp;E20</f>
        <v>D2WDLC10</v>
      </c>
      <c r="G20" s="50" t="str">
        <f t="shared" ref="G20:G23" si="32">LEFT(F20,4)&amp;"00"</f>
        <v>D2WD00</v>
      </c>
      <c r="H20" s="50" t="str">
        <f t="shared" ref="H20:H23" si="33">C20&amp;"ELC01"</f>
        <v>D2ELC01</v>
      </c>
      <c r="I20" s="1" t="s">
        <v>217</v>
      </c>
      <c r="J20" s="1">
        <f>[6]Sheet1!$D8/1000</f>
        <v>8.270000000000001E-2</v>
      </c>
      <c r="K20">
        <v>25</v>
      </c>
      <c r="L20">
        <v>31.536000000000001</v>
      </c>
      <c r="M20">
        <v>2023</v>
      </c>
      <c r="N20">
        <v>1</v>
      </c>
      <c r="O20">
        <v>0</v>
      </c>
      <c r="P20">
        <f>0.375*Scenarios!K7</f>
        <v>0.375</v>
      </c>
      <c r="Q20" t="s">
        <v>82</v>
      </c>
      <c r="R20">
        <f t="shared" si="3"/>
        <v>8.270000000000001E-2</v>
      </c>
      <c r="S20">
        <f>(U20*((0.1*(1+0.1)^K20)/((1+0.1)^K20-1))+Z20)/(8760*P20)*1000</f>
        <v>83.602361008674066</v>
      </c>
      <c r="T20">
        <f t="shared" si="4"/>
        <v>1784.0900000000001</v>
      </c>
      <c r="U20">
        <f>(1700+[6]Sheet1!$S8+[6]Sheet1!$U8)+Scenarios!$L$7</f>
        <v>1784.0900000000001</v>
      </c>
      <c r="V20">
        <f t="shared" ref="V20:V23" si="34">U20+($Y20-$U20)/4</f>
        <v>1619.0616750000002</v>
      </c>
      <c r="W20">
        <f t="shared" ref="W20:W23" si="35">V20+($Y20-$U20)/4</f>
        <v>1454.0333500000002</v>
      </c>
      <c r="X20">
        <f t="shared" ref="X20:X23" si="36">W20+($Y20-$U20)/4</f>
        <v>1289.0050250000002</v>
      </c>
      <c r="Y20">
        <f t="shared" ref="Y20:Y23" si="37">U20*0.63</f>
        <v>1123.9767000000002</v>
      </c>
      <c r="Z20">
        <f t="shared" ref="Z20:Z23" si="38">90.14+(AA20-90.14)*2/5</f>
        <v>78.084000000000003</v>
      </c>
      <c r="AA20">
        <v>60</v>
      </c>
      <c r="AB20">
        <v>47.99</v>
      </c>
      <c r="AC20">
        <v>43.8</v>
      </c>
      <c r="AD20">
        <v>37.6</v>
      </c>
      <c r="AE20">
        <v>37.6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f t="shared" si="9"/>
        <v>7.8097338177623848E-2</v>
      </c>
      <c r="BG20">
        <f t="shared" si="10"/>
        <v>6.8906819936528488E-2</v>
      </c>
      <c r="BH20">
        <f t="shared" si="11"/>
        <v>6.2096819199238304E-2</v>
      </c>
    </row>
    <row r="21" spans="1:60" x14ac:dyDescent="0.2">
      <c r="A21" s="50"/>
      <c r="B21" s="50"/>
      <c r="C21" s="50" t="s">
        <v>79</v>
      </c>
      <c r="D21" s="50" t="s">
        <v>83</v>
      </c>
      <c r="E21" s="50" t="s">
        <v>402</v>
      </c>
      <c r="F21" s="50" t="str">
        <f t="shared" si="31"/>
        <v>D2WDLDUM1</v>
      </c>
      <c r="G21" s="50" t="str">
        <f t="shared" si="32"/>
        <v>D2WD00</v>
      </c>
      <c r="H21" s="50" t="str">
        <f t="shared" si="33"/>
        <v>D2ELC01</v>
      </c>
      <c r="I21" s="1" t="s">
        <v>217</v>
      </c>
      <c r="J21" s="1">
        <f>[6]Sheet1!$D10/1000</f>
        <v>2.2810000000000001</v>
      </c>
      <c r="K21">
        <v>25</v>
      </c>
      <c r="L21">
        <v>31.536000000000001</v>
      </c>
      <c r="M21">
        <v>2050</v>
      </c>
      <c r="N21">
        <v>1</v>
      </c>
      <c r="O21">
        <v>0</v>
      </c>
      <c r="P21">
        <v>0</v>
      </c>
      <c r="Q21" t="s">
        <v>82</v>
      </c>
      <c r="R21">
        <v>0</v>
      </c>
      <c r="S21" t="e">
        <f t="shared" si="20"/>
        <v>#DIV/0!</v>
      </c>
      <c r="T21">
        <v>999999</v>
      </c>
      <c r="U21">
        <f>T21</f>
        <v>999999</v>
      </c>
      <c r="V21">
        <f t="shared" si="34"/>
        <v>907499.09250000003</v>
      </c>
      <c r="W21">
        <f t="shared" si="35"/>
        <v>814999.18500000006</v>
      </c>
      <c r="X21">
        <f t="shared" si="36"/>
        <v>722499.27750000008</v>
      </c>
      <c r="Y21">
        <f t="shared" si="37"/>
        <v>629999.37</v>
      </c>
      <c r="Z21">
        <f t="shared" si="38"/>
        <v>78.084000000000003</v>
      </c>
      <c r="AA21">
        <v>60</v>
      </c>
      <c r="AB21">
        <v>47.99</v>
      </c>
      <c r="AC21">
        <v>43.8</v>
      </c>
      <c r="AD21">
        <v>37.6</v>
      </c>
      <c r="AE21">
        <v>37.6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e">
        <f t="shared" si="9"/>
        <v>#DIV/0!</v>
      </c>
      <c r="BG21" t="e">
        <f t="shared" si="10"/>
        <v>#DIV/0!</v>
      </c>
      <c r="BH21" t="e">
        <f t="shared" si="11"/>
        <v>#DIV/0!</v>
      </c>
    </row>
    <row r="22" spans="1:60" x14ac:dyDescent="0.2">
      <c r="A22" s="50"/>
      <c r="B22" s="50"/>
      <c r="C22" s="50" t="s">
        <v>79</v>
      </c>
      <c r="D22" s="50" t="s">
        <v>83</v>
      </c>
      <c r="E22" s="50" t="s">
        <v>403</v>
      </c>
      <c r="F22" s="50" t="str">
        <f t="shared" si="31"/>
        <v>D2WDLDUM2</v>
      </c>
      <c r="G22" s="50" t="str">
        <f t="shared" si="32"/>
        <v>D2WD00</v>
      </c>
      <c r="H22" s="50" t="str">
        <f t="shared" si="33"/>
        <v>D2ELC01</v>
      </c>
      <c r="I22" s="1" t="s">
        <v>217</v>
      </c>
      <c r="J22" s="1">
        <f>[6]Sheet1!$D11/1000</f>
        <v>2.3E-2</v>
      </c>
      <c r="K22">
        <v>25</v>
      </c>
      <c r="L22">
        <v>31.536000000000001</v>
      </c>
      <c r="M22">
        <v>2050</v>
      </c>
      <c r="N22">
        <v>1</v>
      </c>
      <c r="O22">
        <v>0</v>
      </c>
      <c r="P22">
        <v>0</v>
      </c>
      <c r="Q22" t="s">
        <v>82</v>
      </c>
      <c r="R22">
        <v>0</v>
      </c>
      <c r="S22" t="e">
        <f t="shared" si="20"/>
        <v>#DIV/0!</v>
      </c>
      <c r="T22">
        <v>999999</v>
      </c>
      <c r="U22">
        <f t="shared" ref="U22:U23" si="39">T22</f>
        <v>999999</v>
      </c>
      <c r="V22">
        <f t="shared" si="34"/>
        <v>907499.09250000003</v>
      </c>
      <c r="W22">
        <f t="shared" si="35"/>
        <v>814999.18500000006</v>
      </c>
      <c r="X22">
        <f t="shared" si="36"/>
        <v>722499.27750000008</v>
      </c>
      <c r="Y22">
        <f t="shared" si="37"/>
        <v>629999.37</v>
      </c>
      <c r="Z22">
        <f t="shared" si="38"/>
        <v>78.084000000000003</v>
      </c>
      <c r="AA22">
        <v>60</v>
      </c>
      <c r="AB22">
        <v>47.99</v>
      </c>
      <c r="AC22">
        <v>43.8</v>
      </c>
      <c r="AD22">
        <v>37.6</v>
      </c>
      <c r="AE22">
        <v>37.6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e">
        <f t="shared" si="9"/>
        <v>#DIV/0!</v>
      </c>
      <c r="BG22" t="e">
        <f t="shared" si="10"/>
        <v>#DIV/0!</v>
      </c>
      <c r="BH22" t="e">
        <f t="shared" si="11"/>
        <v>#DIV/0!</v>
      </c>
    </row>
    <row r="23" spans="1:60" x14ac:dyDescent="0.2">
      <c r="A23" s="50"/>
      <c r="B23" s="50"/>
      <c r="C23" s="50" t="s">
        <v>79</v>
      </c>
      <c r="D23" s="50" t="s">
        <v>83</v>
      </c>
      <c r="E23" s="50" t="s">
        <v>404</v>
      </c>
      <c r="F23" s="50" t="str">
        <f t="shared" si="31"/>
        <v>D2WDLDUM3</v>
      </c>
      <c r="G23" s="50" t="str">
        <f t="shared" si="32"/>
        <v>D2WD00</v>
      </c>
      <c r="H23" s="50" t="str">
        <f t="shared" si="33"/>
        <v>D2ELC01</v>
      </c>
      <c r="I23" s="1" t="s">
        <v>217</v>
      </c>
      <c r="J23" s="1">
        <f>[6]Sheet1!$D12/1000</f>
        <v>0.14699999999999999</v>
      </c>
      <c r="K23">
        <v>25</v>
      </c>
      <c r="L23">
        <v>31.536000000000001</v>
      </c>
      <c r="M23">
        <v>2050</v>
      </c>
      <c r="N23">
        <v>1</v>
      </c>
      <c r="O23">
        <v>0</v>
      </c>
      <c r="P23">
        <v>0</v>
      </c>
      <c r="Q23" t="s">
        <v>82</v>
      </c>
      <c r="R23">
        <v>0</v>
      </c>
      <c r="S23" t="e">
        <f t="shared" si="20"/>
        <v>#DIV/0!</v>
      </c>
      <c r="T23">
        <v>999999</v>
      </c>
      <c r="U23">
        <f t="shared" si="39"/>
        <v>999999</v>
      </c>
      <c r="V23">
        <f t="shared" si="34"/>
        <v>907499.09250000003</v>
      </c>
      <c r="W23">
        <f t="shared" si="35"/>
        <v>814999.18500000006</v>
      </c>
      <c r="X23">
        <f t="shared" si="36"/>
        <v>722499.27750000008</v>
      </c>
      <c r="Y23">
        <f t="shared" si="37"/>
        <v>629999.37</v>
      </c>
      <c r="Z23">
        <f t="shared" si="38"/>
        <v>78.084000000000003</v>
      </c>
      <c r="AA23">
        <v>60</v>
      </c>
      <c r="AB23">
        <v>47.99</v>
      </c>
      <c r="AC23">
        <v>43.8</v>
      </c>
      <c r="AD23">
        <v>37.6</v>
      </c>
      <c r="AE23">
        <v>37.6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e">
        <f t="shared" si="9"/>
        <v>#DIV/0!</v>
      </c>
      <c r="BG23" t="e">
        <f t="shared" si="10"/>
        <v>#DIV/0!</v>
      </c>
      <c r="BH23" t="e">
        <f t="shared" si="11"/>
        <v>#DIV/0!</v>
      </c>
    </row>
    <row r="24" spans="1:60" x14ac:dyDescent="0.2">
      <c r="BF24" t="e">
        <f t="shared" si="9"/>
        <v>#DIV/0!</v>
      </c>
      <c r="BG24" t="e">
        <f t="shared" si="10"/>
        <v>#DIV/0!</v>
      </c>
      <c r="BH24" t="e">
        <f t="shared" si="11"/>
        <v>#DIV/0!</v>
      </c>
    </row>
  </sheetData>
  <phoneticPr fontId="4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FF77-451C-F54C-8188-643E73A8EEEE}">
  <dimension ref="A1:BH29"/>
  <sheetViews>
    <sheetView topLeftCell="J1" workbookViewId="0">
      <selection activeCell="BF2" sqref="BF2:BH2"/>
    </sheetView>
  </sheetViews>
  <sheetFormatPr baseColWidth="10" defaultRowHeight="16" x14ac:dyDescent="0.2"/>
  <cols>
    <col min="4" max="4" width="25.1640625" customWidth="1"/>
    <col min="6" max="6" width="17.83203125" customWidth="1"/>
    <col min="16" max="16" width="10.83203125" style="23"/>
  </cols>
  <sheetData>
    <row r="1" spans="1:60" ht="17" x14ac:dyDescent="0.2">
      <c r="A1" s="5" t="s">
        <v>99</v>
      </c>
      <c r="B1" s="5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216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P1" s="23" t="s">
        <v>12</v>
      </c>
      <c r="Q1" t="s">
        <v>199</v>
      </c>
      <c r="R1" t="s">
        <v>198</v>
      </c>
      <c r="S1" t="s">
        <v>430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430</v>
      </c>
      <c r="BG1" s="2" t="s">
        <v>431</v>
      </c>
      <c r="BH1" s="2" t="s">
        <v>432</v>
      </c>
    </row>
    <row r="2" spans="1:60" x14ac:dyDescent="0.2">
      <c r="C2" t="s">
        <v>52</v>
      </c>
      <c r="D2" s="4" t="str">
        <f>CONCATENATE("PV","W",'[8]West PV IRENA v3'!$A2)</f>
        <v>PVW1886</v>
      </c>
      <c r="E2" t="str">
        <f>"SOPC"&amp;'[8]West PV IRENA v3'!$A2</f>
        <v>SOPC1886</v>
      </c>
      <c r="F2" t="str">
        <f t="shared" ref="F2:F29" si="0">C2&amp;E2</f>
        <v>D1SOPC1886</v>
      </c>
      <c r="G2" t="str">
        <f t="shared" ref="G2:G12" si="1">LEFT(F2,4)&amp;"00"</f>
        <v>D1SO00</v>
      </c>
      <c r="H2" t="str">
        <f t="shared" ref="H2:H29" si="2">C2&amp;"ELC01"</f>
        <v>D1ELC01</v>
      </c>
      <c r="I2" s="1" t="s">
        <v>217</v>
      </c>
      <c r="J2" s="1">
        <f>('[8]West PV IRENA v3'!$W$2+'[8]West PV IRENA v3'!$W$3)/1000</f>
        <v>7.6999999999999999E-2</v>
      </c>
      <c r="K2">
        <v>25</v>
      </c>
      <c r="L2">
        <v>31.536000000000001</v>
      </c>
      <c r="M2">
        <v>2022</v>
      </c>
      <c r="N2">
        <v>1</v>
      </c>
      <c r="O2">
        <v>0</v>
      </c>
      <c r="P2" s="23">
        <f>'[9]PV profile'!$B$5</f>
        <v>0.18974554794520554</v>
      </c>
      <c r="Q2" t="s">
        <v>82</v>
      </c>
      <c r="R2">
        <f>J2*Scenarios!M7</f>
        <v>7.6999999999999999E-2</v>
      </c>
      <c r="S2">
        <f>(U2*((0.1*(1+0.1)^K2)/((1+0.1)^K2-1))+AA2)/(8760*P2)</f>
        <v>0.13487718309433006</v>
      </c>
      <c r="T2">
        <f>2771+(U2-2771)*2/5</f>
        <v>2295.0479999999998</v>
      </c>
      <c r="U2" s="22">
        <f>1500+('[8]West PV IRENA v3'!$S2+'[8]West PV IRENA v3'!$U2+Scenarios!$N$7)</f>
        <v>1581.12</v>
      </c>
      <c r="V2">
        <f>U2+($Y2-$U2)/4</f>
        <v>1351.84</v>
      </c>
      <c r="W2">
        <f t="shared" ref="W2:X2" si="3">V2+($Y2-$U2)/4</f>
        <v>1122.56</v>
      </c>
      <c r="X2">
        <f t="shared" si="3"/>
        <v>893.28</v>
      </c>
      <c r="Y2">
        <f>ROUND(U2*0.42,0)</f>
        <v>664</v>
      </c>
      <c r="Z2">
        <f>32.48+(AA2-32.48)*2/5</f>
        <v>39.488</v>
      </c>
      <c r="AA2">
        <v>50</v>
      </c>
      <c r="AB2">
        <f>ROUND(AA2-($AA2-$AE2)/4,1)</f>
        <v>40</v>
      </c>
      <c r="AC2">
        <f t="shared" ref="AC2:AD2" si="4">ROUND(AB2-($AA2-$AE2)/4,1)</f>
        <v>30</v>
      </c>
      <c r="AD2">
        <f t="shared" si="4"/>
        <v>20</v>
      </c>
      <c r="AE2">
        <v>9.9700000000000006</v>
      </c>
      <c r="AF2">
        <v>0</v>
      </c>
      <c r="AG2">
        <f>AF2</f>
        <v>0</v>
      </c>
      <c r="AH2">
        <f t="shared" ref="AH2:BE9" si="5">AG2</f>
        <v>0</v>
      </c>
      <c r="AI2">
        <f t="shared" si="5"/>
        <v>0</v>
      </c>
      <c r="AJ2">
        <f t="shared" si="5"/>
        <v>0</v>
      </c>
      <c r="AK2">
        <f t="shared" si="5"/>
        <v>0</v>
      </c>
      <c r="AL2">
        <f t="shared" si="5"/>
        <v>0</v>
      </c>
      <c r="AM2">
        <f t="shared" si="5"/>
        <v>0</v>
      </c>
      <c r="AN2">
        <f t="shared" si="5"/>
        <v>0</v>
      </c>
      <c r="AO2">
        <f t="shared" si="5"/>
        <v>0</v>
      </c>
      <c r="AP2">
        <f t="shared" si="5"/>
        <v>0</v>
      </c>
      <c r="AQ2">
        <f t="shared" si="5"/>
        <v>0</v>
      </c>
      <c r="AR2">
        <f t="shared" si="5"/>
        <v>0</v>
      </c>
      <c r="AS2">
        <f t="shared" si="5"/>
        <v>0</v>
      </c>
      <c r="AT2">
        <f t="shared" si="5"/>
        <v>0</v>
      </c>
      <c r="AU2">
        <f t="shared" si="5"/>
        <v>0</v>
      </c>
      <c r="AV2">
        <f t="shared" si="5"/>
        <v>0</v>
      </c>
      <c r="AW2">
        <f t="shared" si="5"/>
        <v>0</v>
      </c>
      <c r="AX2">
        <f t="shared" si="5"/>
        <v>0</v>
      </c>
      <c r="AY2">
        <f t="shared" si="5"/>
        <v>0</v>
      </c>
      <c r="AZ2">
        <f t="shared" si="5"/>
        <v>0</v>
      </c>
      <c r="BA2">
        <f t="shared" si="5"/>
        <v>0</v>
      </c>
      <c r="BB2">
        <f t="shared" si="5"/>
        <v>0</v>
      </c>
      <c r="BC2">
        <f t="shared" si="5"/>
        <v>0</v>
      </c>
      <c r="BD2">
        <f t="shared" si="5"/>
        <v>0</v>
      </c>
      <c r="BE2">
        <f t="shared" si="5"/>
        <v>0</v>
      </c>
      <c r="BF2">
        <f>($U2*((0.1*(1+0.1)^$K2)/((1+0.1)^$K2-1))+AA2)/(8760*$P2)</f>
        <v>0.13487718309433006</v>
      </c>
      <c r="BG2">
        <f>(V2*((0.1*(1+0.1)^$K2)/((1+0.1)^$K2-1))+AB2)/(8760*$P2)</f>
        <v>0.11366436227641903</v>
      </c>
      <c r="BH2">
        <f>(W2*((0.1*(1+0.1)^$K2)/((1+0.1)^$K2-1))+AC2)/(8760*$P2)</f>
        <v>9.2451541458508035E-2</v>
      </c>
    </row>
    <row r="3" spans="1:60" x14ac:dyDescent="0.2">
      <c r="C3" t="s">
        <v>52</v>
      </c>
      <c r="D3" s="4" t="str">
        <f>CONCATENATE("PV","W",'[8]West PV IRENA v3'!$A3)</f>
        <v>PVW1874</v>
      </c>
      <c r="E3" t="str">
        <f>"SOPC"&amp;'[8]West PV IRENA v3'!$A5</f>
        <v>SOPC1904</v>
      </c>
      <c r="F3" t="str">
        <f t="shared" si="0"/>
        <v>D1SOPC1904</v>
      </c>
      <c r="G3" t="str">
        <f t="shared" ref="G3:G4" si="6">LEFT(F3,4)&amp;"00"</f>
        <v>D1SO00</v>
      </c>
      <c r="H3" t="str">
        <f t="shared" ref="H3:H4" si="7">C3&amp;"ELC01"</f>
        <v>D1ELC01</v>
      </c>
      <c r="I3" s="1" t="s">
        <v>217</v>
      </c>
      <c r="J3" s="1">
        <f>('[8]West PV IRENA v3'!$C4+'[8]West PV IRENA v3'!$W$5+'[8]West PV IRENA v3'!$W$6)/1000</f>
        <v>0.55600000000000005</v>
      </c>
      <c r="K3">
        <v>25</v>
      </c>
      <c r="L3">
        <v>31.536000000000001</v>
      </c>
      <c r="M3">
        <v>2022</v>
      </c>
      <c r="N3">
        <v>1</v>
      </c>
      <c r="O3">
        <v>0</v>
      </c>
      <c r="P3" s="23">
        <f>'[9]PV profile'!$C$5</f>
        <v>0.19007499999999966</v>
      </c>
      <c r="Q3" t="s">
        <v>82</v>
      </c>
      <c r="R3">
        <f>J3*Scenarios!M7</f>
        <v>0.55600000000000005</v>
      </c>
      <c r="S3">
        <f t="shared" ref="S3:S29" si="8">(U3*((0.1*(1+0.1)^K3)/((1+0.1)^K3-1))+AA3)/(8760*P3)</f>
        <v>0.13550950049521038</v>
      </c>
      <c r="T3">
        <f>2771+(U3-2771)*2/5</f>
        <v>2300.2840000000001</v>
      </c>
      <c r="U3" s="22">
        <f>1500+('[8]West PV IRENA v3'!$S5+'[8]West PV IRENA v3'!$U5+Scenarios!$N$7)</f>
        <v>1594.21</v>
      </c>
      <c r="V3">
        <f t="shared" ref="V3:X3" si="9">U3+($Y3-$U3)/4</f>
        <v>1363.1575</v>
      </c>
      <c r="W3">
        <f t="shared" si="9"/>
        <v>1132.105</v>
      </c>
      <c r="X3">
        <f t="shared" si="9"/>
        <v>901.05250000000001</v>
      </c>
      <c r="Y3">
        <f t="shared" ref="Y3:Y4" si="10">ROUND(U3*0.42,0)</f>
        <v>670</v>
      </c>
      <c r="Z3">
        <f>32.48+(AA3-32.48)*2/5</f>
        <v>39.488</v>
      </c>
      <c r="AA3">
        <v>50</v>
      </c>
      <c r="AB3">
        <f t="shared" ref="AB3:AD4" si="11">ROUND(AA3-($AA3-$AE3)/4,1)</f>
        <v>40</v>
      </c>
      <c r="AC3">
        <f t="shared" si="11"/>
        <v>30</v>
      </c>
      <c r="AD3">
        <f t="shared" si="11"/>
        <v>20</v>
      </c>
      <c r="AE3">
        <v>9.9700000000000006</v>
      </c>
      <c r="AF3">
        <v>0</v>
      </c>
      <c r="AG3">
        <f t="shared" ref="AG3:AV9" si="12">AF3</f>
        <v>0</v>
      </c>
      <c r="AH3">
        <f t="shared" si="12"/>
        <v>0</v>
      </c>
      <c r="AI3">
        <f t="shared" si="12"/>
        <v>0</v>
      </c>
      <c r="AJ3">
        <f t="shared" si="12"/>
        <v>0</v>
      </c>
      <c r="AK3">
        <f t="shared" si="12"/>
        <v>0</v>
      </c>
      <c r="AL3">
        <f t="shared" si="12"/>
        <v>0</v>
      </c>
      <c r="AM3">
        <f t="shared" si="12"/>
        <v>0</v>
      </c>
      <c r="AN3">
        <f t="shared" si="12"/>
        <v>0</v>
      </c>
      <c r="AO3">
        <f t="shared" si="12"/>
        <v>0</v>
      </c>
      <c r="AP3">
        <f t="shared" si="12"/>
        <v>0</v>
      </c>
      <c r="AQ3">
        <f t="shared" si="12"/>
        <v>0</v>
      </c>
      <c r="AR3">
        <f t="shared" si="12"/>
        <v>0</v>
      </c>
      <c r="AS3">
        <f t="shared" si="12"/>
        <v>0</v>
      </c>
      <c r="AT3">
        <f t="shared" si="12"/>
        <v>0</v>
      </c>
      <c r="AU3">
        <f t="shared" si="12"/>
        <v>0</v>
      </c>
      <c r="AV3">
        <f t="shared" si="12"/>
        <v>0</v>
      </c>
      <c r="AW3">
        <f t="shared" si="5"/>
        <v>0</v>
      </c>
      <c r="AX3">
        <f t="shared" si="5"/>
        <v>0</v>
      </c>
      <c r="AY3">
        <f t="shared" si="5"/>
        <v>0</v>
      </c>
      <c r="AZ3">
        <f t="shared" si="5"/>
        <v>0</v>
      </c>
      <c r="BA3">
        <f t="shared" si="5"/>
        <v>0</v>
      </c>
      <c r="BB3">
        <f t="shared" si="5"/>
        <v>0</v>
      </c>
      <c r="BC3">
        <f t="shared" si="5"/>
        <v>0</v>
      </c>
      <c r="BD3">
        <f t="shared" si="5"/>
        <v>0</v>
      </c>
      <c r="BE3">
        <f t="shared" si="5"/>
        <v>0</v>
      </c>
      <c r="BF3">
        <f t="shared" ref="BF3:BF29" si="13">($U3*((0.1*(1+0.1)^$K3)/((1+0.1)^$K3-1))+AA3)/(8760*$P3)</f>
        <v>0.13550950049521038</v>
      </c>
      <c r="BG3">
        <f t="shared" ref="BG3:BG29" si="14">($V3*((0.1*(1+0.1)^$K3)/((1+0.1)^$K3-1))+AB3)/(8760*$P3)</f>
        <v>0.11421617029709415</v>
      </c>
      <c r="BH3">
        <f t="shared" ref="BH3:BH29" si="15">(W3*((0.1*(1+0.1)^$K3)/((1+0.1)^$K3-1))+AC3)/(8760*$P3)</f>
        <v>9.2922840098977888E-2</v>
      </c>
    </row>
    <row r="4" spans="1:60" x14ac:dyDescent="0.2">
      <c r="C4" t="s">
        <v>52</v>
      </c>
      <c r="D4" s="4" t="str">
        <f>CONCATENATE("PV","W",'[8]West PV IRENA v3'!$A4)</f>
        <v>PVW296</v>
      </c>
      <c r="E4" t="str">
        <f>"SOPC"&amp;'[8]West PV IRENA v3'!$A8</f>
        <v>SOPC1807</v>
      </c>
      <c r="F4" t="str">
        <f t="shared" si="0"/>
        <v>D1SOPC1807</v>
      </c>
      <c r="G4" t="str">
        <f t="shared" si="6"/>
        <v>D1SO00</v>
      </c>
      <c r="H4" t="str">
        <f t="shared" si="7"/>
        <v>D1ELC01</v>
      </c>
      <c r="I4" s="1" t="s">
        <v>217</v>
      </c>
      <c r="J4" s="1">
        <f>('[8]West PV IRENA v3'!$C7+'[8]West PV IRENA v3'!$W$8+'[8]West PV IRENA v3'!$W$9+'[8]West PV IRENA v3'!$W$10)/1000</f>
        <v>0.34499999999999997</v>
      </c>
      <c r="K4">
        <v>25</v>
      </c>
      <c r="L4">
        <v>31.536000000000001</v>
      </c>
      <c r="M4">
        <v>2022</v>
      </c>
      <c r="N4">
        <v>1</v>
      </c>
      <c r="O4">
        <v>0</v>
      </c>
      <c r="P4" s="23">
        <f>'[9]PV profile'!$D$5</f>
        <v>0.18865079908675725</v>
      </c>
      <c r="Q4" t="s">
        <v>82</v>
      </c>
      <c r="R4">
        <f>J4*Scenarios!M7</f>
        <v>0.34499999999999997</v>
      </c>
      <c r="S4">
        <f t="shared" si="8"/>
        <v>0.13584320798775321</v>
      </c>
      <c r="T4">
        <f>2771+(U4-2771)*2/5</f>
        <v>2296.1480000000001</v>
      </c>
      <c r="U4" s="22">
        <f>1500+'[8]West PV IRENA v3'!$S8+'[8]West PV IRENA v3'!$U8+Scenarios!$N$7</f>
        <v>1583.87</v>
      </c>
      <c r="V4">
        <f t="shared" ref="V4:X4" si="16">U4+($Y4-$U4)/4</f>
        <v>1354.1524999999999</v>
      </c>
      <c r="W4">
        <f t="shared" si="16"/>
        <v>1124.4349999999999</v>
      </c>
      <c r="X4">
        <f t="shared" si="16"/>
        <v>894.71749999999997</v>
      </c>
      <c r="Y4">
        <f t="shared" si="10"/>
        <v>665</v>
      </c>
      <c r="Z4">
        <f>32.48+(AA4-32.48)*2/5</f>
        <v>39.488</v>
      </c>
      <c r="AA4">
        <v>50</v>
      </c>
      <c r="AB4">
        <f t="shared" si="11"/>
        <v>40</v>
      </c>
      <c r="AC4">
        <f t="shared" si="11"/>
        <v>30</v>
      </c>
      <c r="AD4">
        <f t="shared" si="11"/>
        <v>20</v>
      </c>
      <c r="AE4">
        <v>9.9700000000000006</v>
      </c>
      <c r="AF4">
        <v>0</v>
      </c>
      <c r="AG4">
        <f t="shared" si="12"/>
        <v>0</v>
      </c>
      <c r="AH4">
        <f t="shared" si="5"/>
        <v>0</v>
      </c>
      <c r="AI4">
        <f t="shared" si="5"/>
        <v>0</v>
      </c>
      <c r="AJ4">
        <f t="shared" si="5"/>
        <v>0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0</v>
      </c>
      <c r="AY4">
        <f t="shared" si="5"/>
        <v>0</v>
      </c>
      <c r="AZ4">
        <f t="shared" si="5"/>
        <v>0</v>
      </c>
      <c r="BA4">
        <f t="shared" si="5"/>
        <v>0</v>
      </c>
      <c r="BB4">
        <f t="shared" si="5"/>
        <v>0</v>
      </c>
      <c r="BC4">
        <f t="shared" si="5"/>
        <v>0</v>
      </c>
      <c r="BD4">
        <f t="shared" si="5"/>
        <v>0</v>
      </c>
      <c r="BE4">
        <f t="shared" si="5"/>
        <v>0</v>
      </c>
      <c r="BF4">
        <f t="shared" si="13"/>
        <v>0.13584320798775321</v>
      </c>
      <c r="BG4">
        <f t="shared" si="14"/>
        <v>0.11447812263138564</v>
      </c>
      <c r="BH4">
        <f t="shared" si="15"/>
        <v>9.3113037275018101E-2</v>
      </c>
    </row>
    <row r="5" spans="1:60" x14ac:dyDescent="0.2">
      <c r="C5" t="str">
        <f>C4</f>
        <v>D1</v>
      </c>
      <c r="D5" s="4" t="str">
        <f>CONCATENATE("PV","W",'[8]West PV IRENA v3'!$A5)</f>
        <v>PVW1904</v>
      </c>
      <c r="E5" t="str">
        <f>"SOPC"&amp;'[8]West PV IRENA v3'!$A15</f>
        <v>SOPC1820</v>
      </c>
      <c r="F5" t="str">
        <f t="shared" ref="F5:F9" si="17">C5&amp;E5</f>
        <v>D1SOPC1820</v>
      </c>
      <c r="G5" t="str">
        <f t="shared" ref="G5:G9" si="18">LEFT(F5,4)&amp;"00"</f>
        <v>D1SO00</v>
      </c>
      <c r="H5" t="str">
        <f t="shared" ref="H5:H9" si="19">C5&amp;"ELC01"</f>
        <v>D1ELC01</v>
      </c>
      <c r="I5" s="1" t="s">
        <v>217</v>
      </c>
      <c r="J5" s="1">
        <f>SUM('[8]West PV IRENA v3'!$C11:C19)/1000</f>
        <v>1.198</v>
      </c>
      <c r="K5">
        <v>25</v>
      </c>
      <c r="L5">
        <v>31.536000000000001</v>
      </c>
      <c r="M5">
        <v>2022</v>
      </c>
      <c r="N5">
        <v>1</v>
      </c>
      <c r="O5">
        <v>0</v>
      </c>
      <c r="P5" s="23">
        <f>'[9]PV profile 4-10'!$B$6</f>
        <v>0.18879337899543339</v>
      </c>
      <c r="Q5" t="s">
        <v>82</v>
      </c>
      <c r="R5">
        <f>J5*Scenarios!M7</f>
        <v>1.198</v>
      </c>
      <c r="S5">
        <f t="shared" si="8"/>
        <v>0.13701940670454144</v>
      </c>
      <c r="U5" s="22">
        <f>1500+'[8]West PV IRENA v3'!$S15+'[8]West PV IRENA v3'!$U15+Scenarios!$N$7</f>
        <v>1593.99</v>
      </c>
      <c r="V5">
        <f t="shared" ref="V5:V9" si="20">U5+($Y5-$U5)/4</f>
        <v>1362.7425000000001</v>
      </c>
      <c r="W5">
        <f t="shared" ref="W5:W9" si="21">V5+($Y5-$U5)/4</f>
        <v>1131.4950000000001</v>
      </c>
      <c r="X5">
        <f t="shared" ref="X5:X9" si="22">W5+($Y5-$U5)/4</f>
        <v>900.24750000000017</v>
      </c>
      <c r="Y5">
        <f t="shared" ref="Y5:Y9" si="23">ROUND(U5*0.42,0)</f>
        <v>669</v>
      </c>
      <c r="Z5">
        <f t="shared" ref="Z5:Z9" si="24">32.48+(AA5-32.48)*2/5</f>
        <v>39.887999999999998</v>
      </c>
      <c r="AA5">
        <v>51</v>
      </c>
      <c r="AB5">
        <f t="shared" ref="AB5:AB9" si="25">ROUND(AA5-($AA5-$AE5)/4,1)</f>
        <v>40.700000000000003</v>
      </c>
      <c r="AC5">
        <f t="shared" ref="AC5:AC9" si="26">ROUND(AB5-($AA5-$AE5)/4,1)</f>
        <v>30.4</v>
      </c>
      <c r="AD5">
        <f t="shared" ref="AD5:AD9" si="27">ROUND(AC5-($AA5-$AE5)/4,1)</f>
        <v>20.100000000000001</v>
      </c>
      <c r="AE5">
        <v>9.9700000000000006</v>
      </c>
      <c r="AF5">
        <v>0</v>
      </c>
      <c r="AG5">
        <f t="shared" si="12"/>
        <v>0</v>
      </c>
      <c r="AH5">
        <f t="shared" si="5"/>
        <v>0</v>
      </c>
      <c r="AI5">
        <f t="shared" si="5"/>
        <v>0</v>
      </c>
      <c r="AJ5">
        <f t="shared" si="5"/>
        <v>0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0</v>
      </c>
      <c r="AY5">
        <f t="shared" si="5"/>
        <v>0</v>
      </c>
      <c r="AZ5">
        <f t="shared" si="5"/>
        <v>0</v>
      </c>
      <c r="BA5">
        <f t="shared" si="5"/>
        <v>0</v>
      </c>
      <c r="BB5">
        <f t="shared" si="5"/>
        <v>0</v>
      </c>
      <c r="BC5">
        <f t="shared" si="5"/>
        <v>0</v>
      </c>
      <c r="BD5">
        <f t="shared" si="5"/>
        <v>0</v>
      </c>
      <c r="BE5">
        <f t="shared" si="5"/>
        <v>0</v>
      </c>
      <c r="BF5">
        <f t="shared" si="13"/>
        <v>0.13701940670454144</v>
      </c>
      <c r="BG5">
        <f t="shared" si="14"/>
        <v>0.11538714022385002</v>
      </c>
      <c r="BH5">
        <f t="shared" si="15"/>
        <v>9.3754873743158579E-2</v>
      </c>
    </row>
    <row r="6" spans="1:60" x14ac:dyDescent="0.2">
      <c r="C6" t="str">
        <f t="shared" ref="C6:C9" si="28">C5</f>
        <v>D1</v>
      </c>
      <c r="D6" s="4" t="str">
        <f>CONCATENATE("PV","W",'[8]West PV IRENA v3'!$A6)</f>
        <v>PVW1849</v>
      </c>
      <c r="E6" t="str">
        <f>"SOPC"&amp;'[8]West PV IRENA v3'!$A20</f>
        <v>SOPC1804</v>
      </c>
      <c r="F6" t="str">
        <f t="shared" si="17"/>
        <v>D1SOPC1804</v>
      </c>
      <c r="G6" t="str">
        <f t="shared" si="18"/>
        <v>D1SO00</v>
      </c>
      <c r="H6" t="str">
        <f t="shared" si="19"/>
        <v>D1ELC01</v>
      </c>
      <c r="I6" s="1" t="s">
        <v>217</v>
      </c>
      <c r="J6" s="1">
        <f>SUM('[8]West PV IRENA v3'!$C20:C21)/1000</f>
        <v>8.6999999999999994E-2</v>
      </c>
      <c r="K6">
        <v>25</v>
      </c>
      <c r="L6">
        <v>31.536000000000001</v>
      </c>
      <c r="M6">
        <v>2022</v>
      </c>
      <c r="N6">
        <v>1</v>
      </c>
      <c r="O6">
        <v>0</v>
      </c>
      <c r="P6" s="23">
        <f>'[9]PV profile 4-10'!$C$6</f>
        <v>0.18900616438356127</v>
      </c>
      <c r="Q6" t="s">
        <v>82</v>
      </c>
      <c r="R6">
        <f>J6*Scenarios!M7</f>
        <v>8.6999999999999994E-2</v>
      </c>
      <c r="S6">
        <f t="shared" si="8"/>
        <v>0.13793023960372425</v>
      </c>
      <c r="U6" s="22">
        <f>1500+'[8]West PV IRENA v3'!$S20+'[8]West PV IRENA v3'!$U20+Scenarios!$N$7</f>
        <v>1600.92</v>
      </c>
      <c r="V6">
        <f t="shared" si="20"/>
        <v>1368.69</v>
      </c>
      <c r="W6">
        <f t="shared" si="21"/>
        <v>1136.46</v>
      </c>
      <c r="X6">
        <f t="shared" si="22"/>
        <v>904.23</v>
      </c>
      <c r="Y6">
        <f t="shared" si="23"/>
        <v>672</v>
      </c>
      <c r="Z6">
        <f t="shared" si="24"/>
        <v>40.287999999999997</v>
      </c>
      <c r="AA6">
        <v>52</v>
      </c>
      <c r="AB6">
        <f t="shared" si="25"/>
        <v>41.5</v>
      </c>
      <c r="AC6">
        <f t="shared" si="26"/>
        <v>31</v>
      </c>
      <c r="AD6">
        <f t="shared" si="27"/>
        <v>20.5</v>
      </c>
      <c r="AE6">
        <v>9.9700000000000006</v>
      </c>
      <c r="AF6">
        <v>0</v>
      </c>
      <c r="AG6">
        <f t="shared" si="12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0</v>
      </c>
      <c r="AY6">
        <f t="shared" si="5"/>
        <v>0</v>
      </c>
      <c r="AZ6">
        <f t="shared" si="5"/>
        <v>0</v>
      </c>
      <c r="BA6">
        <f t="shared" si="5"/>
        <v>0</v>
      </c>
      <c r="BB6">
        <f t="shared" si="5"/>
        <v>0</v>
      </c>
      <c r="BC6">
        <f t="shared" si="5"/>
        <v>0</v>
      </c>
      <c r="BD6">
        <f t="shared" si="5"/>
        <v>0</v>
      </c>
      <c r="BE6">
        <f t="shared" si="5"/>
        <v>0</v>
      </c>
      <c r="BF6">
        <f t="shared" si="13"/>
        <v>0.13793023960372425</v>
      </c>
      <c r="BG6">
        <f t="shared" si="14"/>
        <v>0.11613615724026299</v>
      </c>
      <c r="BH6">
        <f t="shared" si="15"/>
        <v>9.4342074876801754E-2</v>
      </c>
    </row>
    <row r="7" spans="1:60" x14ac:dyDescent="0.2">
      <c r="C7" t="str">
        <f t="shared" si="28"/>
        <v>D1</v>
      </c>
      <c r="D7" s="4" t="str">
        <f>CONCATENATE("PV","W",'[8]West PV IRENA v3'!$A7)</f>
        <v>PVW1835</v>
      </c>
      <c r="E7" t="str">
        <f>"SOPC"&amp;'[8]West PV IRENA v3'!$A22</f>
        <v>SOPC26</v>
      </c>
      <c r="F7" t="str">
        <f t="shared" si="17"/>
        <v>D1SOPC26</v>
      </c>
      <c r="G7" t="str">
        <f t="shared" si="18"/>
        <v>D1SO00</v>
      </c>
      <c r="H7" t="str">
        <f t="shared" si="19"/>
        <v>D1ELC01</v>
      </c>
      <c r="I7" s="1" t="s">
        <v>217</v>
      </c>
      <c r="J7" s="1">
        <f>'[8]West PV IRENA v3'!$C22/1000</f>
        <v>0.69</v>
      </c>
      <c r="K7">
        <v>25</v>
      </c>
      <c r="L7">
        <v>31.536000000000001</v>
      </c>
      <c r="M7">
        <v>2022</v>
      </c>
      <c r="N7">
        <v>1</v>
      </c>
      <c r="O7">
        <v>0</v>
      </c>
      <c r="P7" s="23">
        <f>'[9]PV profile 4-10'!$D$6</f>
        <v>0.18830582191780773</v>
      </c>
      <c r="Q7" t="s">
        <v>82</v>
      </c>
      <c r="R7">
        <f>J7*Scenarios!M7</f>
        <v>0.69</v>
      </c>
      <c r="S7">
        <f t="shared" si="8"/>
        <v>0.13846907542144141</v>
      </c>
      <c r="U7" s="22">
        <f>1500+'[8]West PV IRENA v3'!$S22+'[8]West PV IRENA v3'!$U22+Scenarios!$N$7</f>
        <v>1592.23</v>
      </c>
      <c r="V7">
        <f t="shared" si="20"/>
        <v>1361.4225000000001</v>
      </c>
      <c r="W7">
        <f t="shared" si="21"/>
        <v>1130.6150000000002</v>
      </c>
      <c r="X7">
        <f t="shared" si="22"/>
        <v>899.80750000000023</v>
      </c>
      <c r="Y7">
        <f t="shared" si="23"/>
        <v>669</v>
      </c>
      <c r="Z7">
        <f t="shared" si="24"/>
        <v>40.688000000000002</v>
      </c>
      <c r="AA7">
        <v>53</v>
      </c>
      <c r="AB7">
        <f t="shared" si="25"/>
        <v>42.2</v>
      </c>
      <c r="AC7">
        <f t="shared" si="26"/>
        <v>31.4</v>
      </c>
      <c r="AD7">
        <f t="shared" si="27"/>
        <v>20.6</v>
      </c>
      <c r="AE7">
        <v>9.9700000000000006</v>
      </c>
      <c r="AF7">
        <v>0</v>
      </c>
      <c r="AG7">
        <f t="shared" si="12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0</v>
      </c>
      <c r="AY7">
        <f t="shared" si="5"/>
        <v>0</v>
      </c>
      <c r="AZ7">
        <f t="shared" si="5"/>
        <v>0</v>
      </c>
      <c r="BA7">
        <f t="shared" si="5"/>
        <v>0</v>
      </c>
      <c r="BB7">
        <f t="shared" si="5"/>
        <v>0</v>
      </c>
      <c r="BC7">
        <f t="shared" si="5"/>
        <v>0</v>
      </c>
      <c r="BD7">
        <f t="shared" si="5"/>
        <v>0</v>
      </c>
      <c r="BE7">
        <f t="shared" si="5"/>
        <v>0</v>
      </c>
      <c r="BF7">
        <f t="shared" si="13"/>
        <v>0.13846907542144141</v>
      </c>
      <c r="BG7">
        <f t="shared" si="14"/>
        <v>0.11650707386708761</v>
      </c>
      <c r="BH7">
        <f t="shared" si="15"/>
        <v>9.4545072312733791E-2</v>
      </c>
    </row>
    <row r="8" spans="1:60" x14ac:dyDescent="0.2">
      <c r="C8" t="str">
        <f t="shared" si="28"/>
        <v>D1</v>
      </c>
      <c r="D8" s="4" t="str">
        <f>CONCATENATE("PV","W",'[8]West PV IRENA v3'!$A8)</f>
        <v>PVW1807</v>
      </c>
      <c r="E8" t="str">
        <f>"SOPC"&amp;'[8]West PV IRENA v3'!$A26</f>
        <v>SOPC1885</v>
      </c>
      <c r="F8" t="str">
        <f t="shared" si="17"/>
        <v>D1SOPC1885</v>
      </c>
      <c r="G8" t="str">
        <f t="shared" si="18"/>
        <v>D1SO00</v>
      </c>
      <c r="H8" t="str">
        <f t="shared" si="19"/>
        <v>D1ELC01</v>
      </c>
      <c r="I8" s="1" t="s">
        <v>217</v>
      </c>
      <c r="J8" s="1">
        <f>SUM('[8]West PV IRENA v3'!$C23:C29)/1000</f>
        <v>1.4730000000000001</v>
      </c>
      <c r="K8">
        <v>25</v>
      </c>
      <c r="L8">
        <v>31.536000000000001</v>
      </c>
      <c r="M8">
        <v>2022</v>
      </c>
      <c r="N8">
        <v>1</v>
      </c>
      <c r="O8">
        <v>0</v>
      </c>
      <c r="P8" s="23">
        <f>'[9]PV profile 4-10'!$E$6</f>
        <v>0.18865468036529667</v>
      </c>
      <c r="Q8" t="s">
        <v>82</v>
      </c>
      <c r="R8">
        <f>J8*Scenarios!M7</f>
        <v>1.4730000000000001</v>
      </c>
      <c r="S8">
        <f t="shared" si="8"/>
        <v>0.13922876465952905</v>
      </c>
      <c r="U8" s="22">
        <f>1500+'[8]West PV IRENA v3'!$S26+'[8]West PV IRENA v3'!$U26+Scenarios!$N$7</f>
        <v>1598.39</v>
      </c>
      <c r="V8">
        <f t="shared" si="20"/>
        <v>1366.5425</v>
      </c>
      <c r="W8">
        <f t="shared" si="21"/>
        <v>1134.6949999999999</v>
      </c>
      <c r="X8">
        <f t="shared" si="22"/>
        <v>902.84749999999985</v>
      </c>
      <c r="Y8">
        <f t="shared" si="23"/>
        <v>671</v>
      </c>
      <c r="Z8">
        <f t="shared" si="24"/>
        <v>41.087999999999994</v>
      </c>
      <c r="AA8">
        <v>54</v>
      </c>
      <c r="AB8">
        <f t="shared" si="25"/>
        <v>43</v>
      </c>
      <c r="AC8">
        <f t="shared" si="26"/>
        <v>32</v>
      </c>
      <c r="AD8">
        <f t="shared" si="27"/>
        <v>21</v>
      </c>
      <c r="AE8">
        <v>9.9700000000000006</v>
      </c>
      <c r="AF8">
        <v>0</v>
      </c>
      <c r="AG8">
        <f t="shared" si="12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0</v>
      </c>
      <c r="AY8">
        <f t="shared" si="5"/>
        <v>0</v>
      </c>
      <c r="AZ8">
        <f t="shared" si="5"/>
        <v>0</v>
      </c>
      <c r="BA8">
        <f t="shared" si="5"/>
        <v>0</v>
      </c>
      <c r="BB8">
        <f t="shared" si="5"/>
        <v>0</v>
      </c>
      <c r="BC8">
        <f t="shared" si="5"/>
        <v>0</v>
      </c>
      <c r="BD8">
        <f t="shared" si="5"/>
        <v>0</v>
      </c>
      <c r="BE8">
        <f t="shared" si="5"/>
        <v>0</v>
      </c>
      <c r="BF8">
        <f t="shared" si="13"/>
        <v>0.13922876465952905</v>
      </c>
      <c r="BG8">
        <f t="shared" si="14"/>
        <v>0.11711702531486866</v>
      </c>
      <c r="BH8">
        <f t="shared" si="15"/>
        <v>9.5005285970208297E-2</v>
      </c>
    </row>
    <row r="9" spans="1:60" x14ac:dyDescent="0.2">
      <c r="C9" t="str">
        <f t="shared" si="28"/>
        <v>D1</v>
      </c>
      <c r="D9" s="4" t="str">
        <f>CONCATENATE("PV","W",'[8]West PV IRENA v3'!$A9)</f>
        <v>PVW329</v>
      </c>
      <c r="E9" t="str">
        <f>"SOPC"&amp;'[8]West PV IRENA v3'!$A32</f>
        <v>SOPC291</v>
      </c>
      <c r="F9" t="str">
        <f t="shared" si="17"/>
        <v>D1SOPC291</v>
      </c>
      <c r="G9" t="str">
        <f t="shared" si="18"/>
        <v>D1SO00</v>
      </c>
      <c r="H9" t="str">
        <f t="shared" si="19"/>
        <v>D1ELC01</v>
      </c>
      <c r="I9" s="1" t="s">
        <v>217</v>
      </c>
      <c r="J9" s="1">
        <f>SUM('[8]West PV IRENA v3'!$C30:C35)/1000</f>
        <v>0.3</v>
      </c>
      <c r="K9">
        <v>25</v>
      </c>
      <c r="L9">
        <v>31.536000000000001</v>
      </c>
      <c r="M9">
        <v>2022</v>
      </c>
      <c r="N9">
        <v>1</v>
      </c>
      <c r="O9">
        <v>0</v>
      </c>
      <c r="P9" s="23">
        <f>'[9]PV profile 4-10'!$F$6</f>
        <v>0.18823915525114163</v>
      </c>
      <c r="Q9" t="s">
        <v>82</v>
      </c>
      <c r="R9">
        <f>J9*Scenarios!M7</f>
        <v>0.3</v>
      </c>
      <c r="S9">
        <f t="shared" si="8"/>
        <v>0.1401939837313444</v>
      </c>
      <c r="U9" s="22">
        <f>1500+'[8]West PV IRENA v3'!$S32+'[8]West PV IRENA v3'!$U32+Scenarios!$N$7</f>
        <v>1599.16</v>
      </c>
      <c r="V9">
        <f t="shared" si="20"/>
        <v>1367.3700000000001</v>
      </c>
      <c r="W9">
        <f t="shared" si="21"/>
        <v>1135.5800000000002</v>
      </c>
      <c r="X9">
        <f t="shared" si="22"/>
        <v>903.79000000000019</v>
      </c>
      <c r="Y9">
        <f t="shared" si="23"/>
        <v>672</v>
      </c>
      <c r="Z9">
        <f t="shared" si="24"/>
        <v>41.488</v>
      </c>
      <c r="AA9">
        <v>55</v>
      </c>
      <c r="AB9">
        <f t="shared" si="25"/>
        <v>43.7</v>
      </c>
      <c r="AC9">
        <f t="shared" si="26"/>
        <v>32.4</v>
      </c>
      <c r="AD9">
        <f t="shared" si="27"/>
        <v>21.1</v>
      </c>
      <c r="AE9">
        <v>9.9700000000000006</v>
      </c>
      <c r="AF9">
        <v>0</v>
      </c>
      <c r="AG9">
        <f t="shared" si="12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0</v>
      </c>
      <c r="AY9">
        <f t="shared" si="5"/>
        <v>0</v>
      </c>
      <c r="AZ9">
        <f t="shared" si="5"/>
        <v>0</v>
      </c>
      <c r="BA9">
        <f t="shared" si="5"/>
        <v>0</v>
      </c>
      <c r="BB9">
        <f t="shared" si="5"/>
        <v>0</v>
      </c>
      <c r="BC9">
        <f t="shared" si="5"/>
        <v>0</v>
      </c>
      <c r="BD9">
        <f t="shared" si="5"/>
        <v>0</v>
      </c>
      <c r="BE9">
        <f t="shared" si="5"/>
        <v>0</v>
      </c>
      <c r="BF9">
        <f t="shared" si="13"/>
        <v>0.1401939837313444</v>
      </c>
      <c r="BG9">
        <f t="shared" si="14"/>
        <v>0.11785534460526616</v>
      </c>
      <c r="BH9">
        <f t="shared" si="15"/>
        <v>9.5516705479187877E-2</v>
      </c>
    </row>
    <row r="10" spans="1:60" x14ac:dyDescent="0.2">
      <c r="C10" t="s">
        <v>52</v>
      </c>
      <c r="D10" t="s">
        <v>71</v>
      </c>
      <c r="E10" t="s">
        <v>72</v>
      </c>
      <c r="F10" t="str">
        <f t="shared" si="0"/>
        <v>D1SOTN00</v>
      </c>
      <c r="G10" t="str">
        <f t="shared" si="1"/>
        <v>D1SO00</v>
      </c>
      <c r="H10" t="str">
        <f t="shared" si="2"/>
        <v>D1ELC01</v>
      </c>
      <c r="I10" s="1" t="s">
        <v>55</v>
      </c>
      <c r="J10" s="1">
        <v>0.2</v>
      </c>
      <c r="K10">
        <v>30</v>
      </c>
      <c r="L10">
        <v>31.536000000000001</v>
      </c>
      <c r="M10">
        <v>2026</v>
      </c>
      <c r="N10">
        <v>1</v>
      </c>
      <c r="O10">
        <v>0</v>
      </c>
      <c r="P10" s="23">
        <f>P2</f>
        <v>0.18974554794520554</v>
      </c>
      <c r="Q10" t="s">
        <v>82</v>
      </c>
      <c r="R10">
        <f>J10*Scenarios!M7</f>
        <v>0.2</v>
      </c>
      <c r="S10">
        <f t="shared" si="8"/>
        <v>0.29567931904069328</v>
      </c>
      <c r="T10">
        <f>6051+(U10-6051)*2/5</f>
        <v>5253.8</v>
      </c>
      <c r="U10">
        <f>4058</f>
        <v>4058</v>
      </c>
      <c r="V10">
        <f>U10+($Y10-$U10)/5</f>
        <v>3758.8</v>
      </c>
      <c r="W10">
        <f t="shared" ref="W10:X10" si="29">V10+($Y10-$U10)/5</f>
        <v>3459.6000000000004</v>
      </c>
      <c r="X10">
        <f t="shared" si="29"/>
        <v>3160.4000000000005</v>
      </c>
      <c r="Y10">
        <f>2562</f>
        <v>2562</v>
      </c>
      <c r="Z10">
        <f>90.96+(AA10-90.96)*2/5</f>
        <v>78.975999999999999</v>
      </c>
      <c r="AA10">
        <v>61</v>
      </c>
      <c r="AB10">
        <v>49.14</v>
      </c>
      <c r="AC10">
        <v>39.590000000000003</v>
      </c>
      <c r="AD10">
        <v>39.049999999999997</v>
      </c>
      <c r="AE10">
        <v>38.51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f t="shared" si="13"/>
        <v>0.29567931904069328</v>
      </c>
      <c r="BG10">
        <f t="shared" si="14"/>
        <v>0.26944921932340304</v>
      </c>
      <c r="BH10">
        <f t="shared" si="15"/>
        <v>0.24460886831427819</v>
      </c>
    </row>
    <row r="11" spans="1:60" x14ac:dyDescent="0.2">
      <c r="C11" t="s">
        <v>52</v>
      </c>
      <c r="D11" t="s">
        <v>73</v>
      </c>
      <c r="E11" t="s">
        <v>74</v>
      </c>
      <c r="F11" t="str">
        <f t="shared" si="0"/>
        <v>D1SOTS00</v>
      </c>
      <c r="G11" t="str">
        <f t="shared" si="1"/>
        <v>D1SO00</v>
      </c>
      <c r="H11" t="str">
        <f t="shared" si="2"/>
        <v>D1ELC01</v>
      </c>
      <c r="I11" s="1" t="s">
        <v>55</v>
      </c>
      <c r="J11" s="1">
        <v>0.1</v>
      </c>
      <c r="K11">
        <v>30</v>
      </c>
      <c r="L11">
        <v>31.536000000000001</v>
      </c>
      <c r="M11">
        <v>2026</v>
      </c>
      <c r="N11">
        <v>1</v>
      </c>
      <c r="O11">
        <v>0</v>
      </c>
      <c r="P11" s="23">
        <v>0.3</v>
      </c>
      <c r="Q11">
        <v>0.3</v>
      </c>
      <c r="R11">
        <v>0</v>
      </c>
      <c r="S11">
        <f t="shared" si="8"/>
        <v>0.26672047264859922</v>
      </c>
      <c r="T11">
        <f>8645+(U11-8645)*2/5</f>
        <v>7505.8</v>
      </c>
      <c r="U11">
        <v>5797</v>
      </c>
      <c r="V11">
        <v>4670</v>
      </c>
      <c r="W11">
        <v>3763</v>
      </c>
      <c r="X11">
        <v>3711</v>
      </c>
      <c r="Y11">
        <v>3660</v>
      </c>
      <c r="Z11">
        <f>128.25+(AA11-128.25)*2/5</f>
        <v>111.35</v>
      </c>
      <c r="AA11">
        <v>86</v>
      </c>
      <c r="AB11">
        <v>69.28</v>
      </c>
      <c r="AC11">
        <v>55.83</v>
      </c>
      <c r="AD11">
        <v>55.05</v>
      </c>
      <c r="AE11">
        <v>54.3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f t="shared" si="13"/>
        <v>0.26672047264859922</v>
      </c>
      <c r="BG11">
        <f t="shared" si="14"/>
        <v>0.21486685286902601</v>
      </c>
      <c r="BH11">
        <f t="shared" si="15"/>
        <v>0.17313782769203248</v>
      </c>
    </row>
    <row r="12" spans="1:60" s="9" customFormat="1" x14ac:dyDescent="0.2">
      <c r="C12" s="9" t="s">
        <v>52</v>
      </c>
      <c r="D12" s="9" t="s">
        <v>75</v>
      </c>
      <c r="E12" s="9" t="s">
        <v>76</v>
      </c>
      <c r="F12" s="9" t="str">
        <f t="shared" si="0"/>
        <v>D1NGSO00</v>
      </c>
      <c r="G12" s="9" t="str">
        <f t="shared" si="1"/>
        <v>D1NG00</v>
      </c>
      <c r="H12" s="9" t="str">
        <f t="shared" si="2"/>
        <v>D1ELC01</v>
      </c>
      <c r="I12" s="51" t="s">
        <v>55</v>
      </c>
      <c r="J12" s="51">
        <v>0.2</v>
      </c>
      <c r="K12" s="9">
        <v>30</v>
      </c>
      <c r="L12" s="9">
        <v>31.536000000000001</v>
      </c>
      <c r="M12" s="9">
        <v>2050</v>
      </c>
      <c r="N12" s="9">
        <f>1/0.53</f>
        <v>1.8867924528301885</v>
      </c>
      <c r="O12" s="9">
        <v>0</v>
      </c>
      <c r="P12" s="52">
        <v>0</v>
      </c>
      <c r="Q12" s="9">
        <v>0.92200000000000004</v>
      </c>
      <c r="R12" s="9">
        <v>0</v>
      </c>
      <c r="S12" t="e">
        <f t="shared" si="8"/>
        <v>#DIV/0!</v>
      </c>
      <c r="T12" s="9">
        <v>6051</v>
      </c>
      <c r="U12" s="9">
        <f>T12</f>
        <v>6051</v>
      </c>
      <c r="V12" s="9">
        <f t="shared" ref="V12:Y12" si="30">U12</f>
        <v>6051</v>
      </c>
      <c r="W12" s="9">
        <f t="shared" si="30"/>
        <v>6051</v>
      </c>
      <c r="X12" s="9">
        <f t="shared" si="30"/>
        <v>6051</v>
      </c>
      <c r="Y12" s="9">
        <f t="shared" si="30"/>
        <v>6051</v>
      </c>
      <c r="Z12" s="9">
        <v>60.51</v>
      </c>
      <c r="AA12" s="9">
        <v>60.51</v>
      </c>
      <c r="AB12" s="9">
        <v>60.51</v>
      </c>
      <c r="AC12" s="9">
        <v>60.51</v>
      </c>
      <c r="AD12" s="9">
        <v>60.51</v>
      </c>
      <c r="AE12" s="9">
        <v>60.51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t="e">
        <f t="shared" si="13"/>
        <v>#DIV/0!</v>
      </c>
      <c r="BG12" t="e">
        <f t="shared" si="14"/>
        <v>#DIV/0!</v>
      </c>
      <c r="BH12" t="e">
        <f t="shared" si="15"/>
        <v>#DIV/0!</v>
      </c>
    </row>
    <row r="13" spans="1:60" x14ac:dyDescent="0.2">
      <c r="C13" t="s">
        <v>79</v>
      </c>
      <c r="D13" s="4" t="str">
        <f>CONCATENATE("PV","S",'[10]South PV IRENA V3'!$A2)</f>
        <v>PVS3750</v>
      </c>
      <c r="E13" t="str">
        <f>"SOPC"&amp;'[10]South PV IRENA V3'!$A2</f>
        <v>SOPC3750</v>
      </c>
      <c r="F13" t="str">
        <f t="shared" si="0"/>
        <v>D2SOPC3750</v>
      </c>
      <c r="G13" t="str">
        <f t="shared" ref="G13" si="31">LEFT(F13,4)&amp;"00"</f>
        <v>D2SO00</v>
      </c>
      <c r="H13" t="str">
        <f t="shared" ref="H13" si="32">C13&amp;"ELC01"</f>
        <v>D2ELC01</v>
      </c>
      <c r="I13" s="1" t="s">
        <v>217</v>
      </c>
      <c r="J13" s="1">
        <f>'[10]South PV IRENA V3'!$C2/1000</f>
        <v>2.4E-2</v>
      </c>
      <c r="K13">
        <v>25</v>
      </c>
      <c r="L13">
        <v>31.536000000000001</v>
      </c>
      <c r="M13">
        <v>2022</v>
      </c>
      <c r="N13">
        <v>1</v>
      </c>
      <c r="O13">
        <v>0</v>
      </c>
      <c r="P13" s="23">
        <f>'[9]PV profile'!$E$5</f>
        <v>0.2168214611872144</v>
      </c>
      <c r="Q13" t="str">
        <f>Q2</f>
        <v>NA</v>
      </c>
      <c r="R13">
        <f>J13*Scenarios!M7</f>
        <v>2.4E-2</v>
      </c>
      <c r="S13">
        <f t="shared" si="8"/>
        <v>0.11761946711671079</v>
      </c>
      <c r="T13">
        <f>2771+(U13-2771)*2/5</f>
        <v>2292.1880000000001</v>
      </c>
      <c r="U13" s="22">
        <f>1500+'[10]South PV IRENA V3'!$S2+'[10]South PV IRENA V3'!$U2+Scenarios!$N$7</f>
        <v>1573.97</v>
      </c>
      <c r="V13">
        <f>U13+($Y13-$U13)/4</f>
        <v>1345.7275</v>
      </c>
      <c r="W13">
        <f t="shared" ref="W13:X13" si="33">V13+($Y13-$U13)/4</f>
        <v>1117.4849999999999</v>
      </c>
      <c r="X13">
        <f t="shared" si="33"/>
        <v>889.24249999999984</v>
      </c>
      <c r="Y13">
        <f>ROUND(U13*0.42,0)</f>
        <v>661</v>
      </c>
      <c r="Z13">
        <f>32.48+(AA13-32.48)*2/5</f>
        <v>39.488</v>
      </c>
      <c r="AA13">
        <f>AA2</f>
        <v>50</v>
      </c>
      <c r="AB13">
        <f t="shared" ref="AB13:AF13" si="34">AB2</f>
        <v>40</v>
      </c>
      <c r="AC13">
        <f t="shared" si="34"/>
        <v>30</v>
      </c>
      <c r="AD13">
        <f t="shared" si="34"/>
        <v>20</v>
      </c>
      <c r="AE13">
        <f t="shared" si="34"/>
        <v>9.9700000000000006</v>
      </c>
      <c r="AF13">
        <f t="shared" si="34"/>
        <v>0</v>
      </c>
      <c r="AG13">
        <f t="shared" ref="AG13:BE13" si="35">AG2</f>
        <v>0</v>
      </c>
      <c r="AH13">
        <f t="shared" si="35"/>
        <v>0</v>
      </c>
      <c r="AI13">
        <f t="shared" si="35"/>
        <v>0</v>
      </c>
      <c r="AJ13">
        <f t="shared" si="35"/>
        <v>0</v>
      </c>
      <c r="AK13">
        <f t="shared" si="35"/>
        <v>0</v>
      </c>
      <c r="AL13">
        <f t="shared" si="35"/>
        <v>0</v>
      </c>
      <c r="AM13">
        <f t="shared" si="35"/>
        <v>0</v>
      </c>
      <c r="AN13">
        <f t="shared" si="35"/>
        <v>0</v>
      </c>
      <c r="AO13">
        <f t="shared" si="35"/>
        <v>0</v>
      </c>
      <c r="AP13">
        <f t="shared" si="35"/>
        <v>0</v>
      </c>
      <c r="AQ13">
        <f t="shared" si="35"/>
        <v>0</v>
      </c>
      <c r="AR13">
        <f t="shared" si="35"/>
        <v>0</v>
      </c>
      <c r="AS13">
        <f t="shared" si="35"/>
        <v>0</v>
      </c>
      <c r="AT13">
        <f t="shared" si="35"/>
        <v>0</v>
      </c>
      <c r="AU13">
        <f t="shared" si="35"/>
        <v>0</v>
      </c>
      <c r="AV13">
        <f t="shared" si="35"/>
        <v>0</v>
      </c>
      <c r="AW13">
        <f t="shared" si="35"/>
        <v>0</v>
      </c>
      <c r="AX13">
        <f t="shared" si="35"/>
        <v>0</v>
      </c>
      <c r="AY13">
        <f t="shared" si="35"/>
        <v>0</v>
      </c>
      <c r="AZ13">
        <f t="shared" si="35"/>
        <v>0</v>
      </c>
      <c r="BA13">
        <f t="shared" si="35"/>
        <v>0</v>
      </c>
      <c r="BB13">
        <f t="shared" si="35"/>
        <v>0</v>
      </c>
      <c r="BC13">
        <f t="shared" si="35"/>
        <v>0</v>
      </c>
      <c r="BD13">
        <f t="shared" si="35"/>
        <v>0</v>
      </c>
      <c r="BE13">
        <f t="shared" si="35"/>
        <v>0</v>
      </c>
      <c r="BF13">
        <f t="shared" si="13"/>
        <v>0.11761946711671079</v>
      </c>
      <c r="BG13">
        <f t="shared" si="14"/>
        <v>9.9115807867559552E-2</v>
      </c>
      <c r="BH13">
        <f t="shared" si="15"/>
        <v>8.0612148618408319E-2</v>
      </c>
    </row>
    <row r="14" spans="1:60" x14ac:dyDescent="0.2">
      <c r="C14" t="s">
        <v>79</v>
      </c>
      <c r="D14" s="4" t="str">
        <f>CONCATENATE("PV","S",'[10]South PV IRENA V3'!$A3)</f>
        <v>PVS1343</v>
      </c>
      <c r="E14" t="str">
        <f>"SOPC"&amp;'[10]South PV IRENA V3'!$A4</f>
        <v>SOPC1354</v>
      </c>
      <c r="F14" t="str">
        <f t="shared" si="0"/>
        <v>D2SOPC1354</v>
      </c>
      <c r="G14" t="str">
        <f t="shared" ref="G14:G15" si="36">LEFT(F14,4)&amp;"00"</f>
        <v>D2SO00</v>
      </c>
      <c r="H14" t="str">
        <f t="shared" ref="H14:H15" si="37">C14&amp;"ELC01"</f>
        <v>D2ELC01</v>
      </c>
      <c r="I14" s="1" t="s">
        <v>217</v>
      </c>
      <c r="J14" s="1">
        <f>SUM('[10]South PV IRENA V3'!$C3:C5)/1000</f>
        <v>2.9350000000000001</v>
      </c>
      <c r="K14">
        <v>25</v>
      </c>
      <c r="L14">
        <v>31.536000000000001</v>
      </c>
      <c r="M14">
        <v>2022</v>
      </c>
      <c r="N14">
        <v>1</v>
      </c>
      <c r="O14">
        <v>0</v>
      </c>
      <c r="P14" s="23">
        <f>'[9]PV profile'!$F$5</f>
        <v>0.21657945205479431</v>
      </c>
      <c r="Q14" t="str">
        <f>Q3</f>
        <v>NA</v>
      </c>
      <c r="R14">
        <f>J14*Scenarios!M7</f>
        <v>2.9350000000000001</v>
      </c>
      <c r="S14">
        <f t="shared" si="8"/>
        <v>0.11909864747477789</v>
      </c>
      <c r="T14">
        <f>2771+(U14-2771)*2/5</f>
        <v>2301.4720000000002</v>
      </c>
      <c r="U14" s="22">
        <f>1500+'[10]South PV IRENA V3'!$S4+'[10]South PV IRENA V3'!$U4+Scenarios!$N$7</f>
        <v>1597.18</v>
      </c>
      <c r="V14">
        <f t="shared" ref="V14:X14" si="38">U14+($Y14-$U14)/4</f>
        <v>1365.635</v>
      </c>
      <c r="W14">
        <f t="shared" si="38"/>
        <v>1134.0899999999999</v>
      </c>
      <c r="X14">
        <f t="shared" si="38"/>
        <v>902.54499999999985</v>
      </c>
      <c r="Y14">
        <f t="shared" ref="Y14:Y15" si="39">ROUND(U14*0.42,0)</f>
        <v>671</v>
      </c>
      <c r="Z14">
        <f>32.48+(AA14-32.48)*2/5</f>
        <v>39.488</v>
      </c>
      <c r="AA14">
        <f>AA3</f>
        <v>50</v>
      </c>
      <c r="AB14">
        <f t="shared" ref="AB14:AF15" si="40">AB3</f>
        <v>40</v>
      </c>
      <c r="AC14">
        <f t="shared" si="40"/>
        <v>30</v>
      </c>
      <c r="AD14">
        <f t="shared" si="40"/>
        <v>20</v>
      </c>
      <c r="AE14">
        <f t="shared" si="40"/>
        <v>9.9700000000000006</v>
      </c>
      <c r="AF14">
        <f t="shared" si="40"/>
        <v>0</v>
      </c>
      <c r="AG14">
        <f t="shared" ref="AG14:BE14" si="41">AG3</f>
        <v>0</v>
      </c>
      <c r="AH14">
        <f t="shared" si="41"/>
        <v>0</v>
      </c>
      <c r="AI14">
        <f t="shared" si="41"/>
        <v>0</v>
      </c>
      <c r="AJ14">
        <f t="shared" si="41"/>
        <v>0</v>
      </c>
      <c r="AK14">
        <f t="shared" si="41"/>
        <v>0</v>
      </c>
      <c r="AL14">
        <f t="shared" si="41"/>
        <v>0</v>
      </c>
      <c r="AM14">
        <f t="shared" si="41"/>
        <v>0</v>
      </c>
      <c r="AN14">
        <f t="shared" si="41"/>
        <v>0</v>
      </c>
      <c r="AO14">
        <f t="shared" si="41"/>
        <v>0</v>
      </c>
      <c r="AP14">
        <f t="shared" si="41"/>
        <v>0</v>
      </c>
      <c r="AQ14">
        <f t="shared" si="41"/>
        <v>0</v>
      </c>
      <c r="AR14">
        <f t="shared" si="41"/>
        <v>0</v>
      </c>
      <c r="AS14">
        <f t="shared" si="41"/>
        <v>0</v>
      </c>
      <c r="AT14">
        <f t="shared" si="41"/>
        <v>0</v>
      </c>
      <c r="AU14">
        <f t="shared" si="41"/>
        <v>0</v>
      </c>
      <c r="AV14">
        <f t="shared" si="41"/>
        <v>0</v>
      </c>
      <c r="AW14">
        <f t="shared" si="41"/>
        <v>0</v>
      </c>
      <c r="AX14">
        <f t="shared" si="41"/>
        <v>0</v>
      </c>
      <c r="AY14">
        <f t="shared" si="41"/>
        <v>0</v>
      </c>
      <c r="AZ14">
        <f t="shared" si="41"/>
        <v>0</v>
      </c>
      <c r="BA14">
        <f t="shared" si="41"/>
        <v>0</v>
      </c>
      <c r="BB14">
        <f t="shared" si="41"/>
        <v>0</v>
      </c>
      <c r="BC14">
        <f t="shared" si="41"/>
        <v>0</v>
      </c>
      <c r="BD14">
        <f t="shared" si="41"/>
        <v>0</v>
      </c>
      <c r="BE14">
        <f t="shared" si="41"/>
        <v>0</v>
      </c>
      <c r="BF14">
        <f t="shared" si="13"/>
        <v>0.11909864747477789</v>
      </c>
      <c r="BG14">
        <f t="shared" si="14"/>
        <v>0.10038254348179103</v>
      </c>
      <c r="BH14">
        <f t="shared" si="15"/>
        <v>8.1666439488804171E-2</v>
      </c>
    </row>
    <row r="15" spans="1:60" x14ac:dyDescent="0.2">
      <c r="C15" t="s">
        <v>79</v>
      </c>
      <c r="D15" s="4" t="str">
        <f>CONCATENATE("PV","S",'[10]South PV IRENA V3'!$A4)</f>
        <v>PVS1354</v>
      </c>
      <c r="E15" t="str">
        <f>"SOPC"&amp;'[10]South PV IRENA V3'!$A9</f>
        <v>SOPC1390</v>
      </c>
      <c r="F15" t="str">
        <f t="shared" si="0"/>
        <v>D2SOPC1390</v>
      </c>
      <c r="G15" t="str">
        <f t="shared" si="36"/>
        <v>D2SO00</v>
      </c>
      <c r="H15" t="str">
        <f t="shared" si="37"/>
        <v>D2ELC01</v>
      </c>
      <c r="I15" s="1" t="s">
        <v>217</v>
      </c>
      <c r="J15" s="1">
        <f>SUM('[10]South PV IRENA V3'!$C6:C10)/1000</f>
        <v>0.38300000000000001</v>
      </c>
      <c r="K15">
        <v>25</v>
      </c>
      <c r="L15">
        <v>31.536000000000001</v>
      </c>
      <c r="M15">
        <v>2022</v>
      </c>
      <c r="N15">
        <v>1</v>
      </c>
      <c r="O15">
        <v>0</v>
      </c>
      <c r="P15" s="23">
        <f>'[9]PV profile'!$G$5</f>
        <v>0.21646849315068489</v>
      </c>
      <c r="Q15" t="str">
        <f>Q4</f>
        <v>NA</v>
      </c>
      <c r="R15">
        <f>J15*Scenarios!M7</f>
        <v>0.38300000000000001</v>
      </c>
      <c r="S15">
        <f t="shared" si="8"/>
        <v>0.11969012544643173</v>
      </c>
      <c r="T15">
        <f>2771+(U15-2771)*2/5</f>
        <v>2305.1240000000003</v>
      </c>
      <c r="U15" s="22">
        <f>1500+'[10]South PV IRENA V3'!$S9+'[10]South PV IRENA V3'!$U9+Scenarios!$N$7</f>
        <v>1606.3100000000002</v>
      </c>
      <c r="V15">
        <f t="shared" ref="V15:X15" si="42">U15+($Y15-$U15)/4</f>
        <v>1373.4825000000001</v>
      </c>
      <c r="W15">
        <f t="shared" si="42"/>
        <v>1140.655</v>
      </c>
      <c r="X15">
        <f t="shared" si="42"/>
        <v>907.82749999999987</v>
      </c>
      <c r="Y15">
        <f t="shared" si="39"/>
        <v>675</v>
      </c>
      <c r="Z15">
        <f>32.48+(AA15-32.48)*2/5</f>
        <v>39.488</v>
      </c>
      <c r="AA15">
        <f>AA4</f>
        <v>50</v>
      </c>
      <c r="AB15">
        <f t="shared" si="40"/>
        <v>40</v>
      </c>
      <c r="AC15">
        <f t="shared" si="40"/>
        <v>30</v>
      </c>
      <c r="AD15">
        <f t="shared" si="40"/>
        <v>20</v>
      </c>
      <c r="AE15">
        <f t="shared" si="40"/>
        <v>9.9700000000000006</v>
      </c>
      <c r="AF15">
        <f t="shared" si="40"/>
        <v>0</v>
      </c>
      <c r="AG15">
        <f t="shared" ref="AG15:BE15" si="43">AG4</f>
        <v>0</v>
      </c>
      <c r="AH15">
        <f t="shared" si="43"/>
        <v>0</v>
      </c>
      <c r="AI15">
        <f t="shared" si="43"/>
        <v>0</v>
      </c>
      <c r="AJ15">
        <f t="shared" si="43"/>
        <v>0</v>
      </c>
      <c r="AK15">
        <f t="shared" si="43"/>
        <v>0</v>
      </c>
      <c r="AL15">
        <f t="shared" si="43"/>
        <v>0</v>
      </c>
      <c r="AM15">
        <f t="shared" si="43"/>
        <v>0</v>
      </c>
      <c r="AN15">
        <f t="shared" si="43"/>
        <v>0</v>
      </c>
      <c r="AO15">
        <f t="shared" si="43"/>
        <v>0</v>
      </c>
      <c r="AP15">
        <f t="shared" si="43"/>
        <v>0</v>
      </c>
      <c r="AQ15">
        <f t="shared" si="43"/>
        <v>0</v>
      </c>
      <c r="AR15">
        <f t="shared" si="43"/>
        <v>0</v>
      </c>
      <c r="AS15">
        <f t="shared" si="43"/>
        <v>0</v>
      </c>
      <c r="AT15">
        <f t="shared" si="43"/>
        <v>0</v>
      </c>
      <c r="AU15">
        <f t="shared" si="43"/>
        <v>0</v>
      </c>
      <c r="AV15">
        <f t="shared" si="43"/>
        <v>0</v>
      </c>
      <c r="AW15">
        <f t="shared" si="43"/>
        <v>0</v>
      </c>
      <c r="AX15">
        <f t="shared" si="43"/>
        <v>0</v>
      </c>
      <c r="AY15">
        <f t="shared" si="43"/>
        <v>0</v>
      </c>
      <c r="AZ15">
        <f t="shared" si="43"/>
        <v>0</v>
      </c>
      <c r="BA15">
        <f t="shared" si="43"/>
        <v>0</v>
      </c>
      <c r="BB15">
        <f t="shared" si="43"/>
        <v>0</v>
      </c>
      <c r="BC15">
        <f t="shared" si="43"/>
        <v>0</v>
      </c>
      <c r="BD15">
        <f t="shared" si="43"/>
        <v>0</v>
      </c>
      <c r="BE15">
        <f t="shared" si="43"/>
        <v>0</v>
      </c>
      <c r="BF15">
        <f t="shared" si="13"/>
        <v>0.11969012544643173</v>
      </c>
      <c r="BG15">
        <f t="shared" si="14"/>
        <v>0.10088991786572457</v>
      </c>
      <c r="BH15">
        <f t="shared" si="15"/>
        <v>8.2089710285017409E-2</v>
      </c>
    </row>
    <row r="16" spans="1:60" x14ac:dyDescent="0.2">
      <c r="C16" t="str">
        <f>C15</f>
        <v>D2</v>
      </c>
      <c r="D16" s="4" t="str">
        <f>CONCATENATE("PV","S",'[10]South PV IRENA V3'!$A5)</f>
        <v>PVS3735</v>
      </c>
      <c r="E16" t="str">
        <f>"SOPC"&amp;'[10]South PV IRENA V3'!$A12</f>
        <v>SOPC1364</v>
      </c>
      <c r="F16" t="str">
        <f t="shared" ref="F16:F20" si="44">C16&amp;E16</f>
        <v>D2SOPC1364</v>
      </c>
      <c r="G16" t="str">
        <f t="shared" ref="G16:G20" si="45">LEFT(F16,4)&amp;"00"</f>
        <v>D2SO00</v>
      </c>
      <c r="H16" t="str">
        <f t="shared" ref="H16:H20" si="46">C16&amp;"ELC01"</f>
        <v>D2ELC01</v>
      </c>
      <c r="I16" s="1" t="s">
        <v>217</v>
      </c>
      <c r="J16" s="1">
        <f>SUM('[10]South PV IRENA V3'!$C11:C13)/1000</f>
        <v>1.417</v>
      </c>
      <c r="K16">
        <v>25</v>
      </c>
      <c r="L16">
        <v>31.536000000000001</v>
      </c>
      <c r="M16">
        <v>2022</v>
      </c>
      <c r="N16">
        <v>1</v>
      </c>
      <c r="O16">
        <v>0</v>
      </c>
      <c r="P16" s="23">
        <f>'[9]PV profile 4-10'!$G$6</f>
        <v>0.21701541095890384</v>
      </c>
      <c r="Q16" t="str">
        <f t="shared" ref="Q16:Q20" si="47">Q5</f>
        <v>NA</v>
      </c>
      <c r="R16">
        <f>J16*Scenarios!M7</f>
        <v>1.417</v>
      </c>
      <c r="S16">
        <f t="shared" si="8"/>
        <v>0.12060296663545773</v>
      </c>
      <c r="U16" s="22">
        <f>1500+'[10]South PV IRENA V3'!$S12+'[10]South PV IRENA V3'!$U12+Scenarios!$N$7</f>
        <v>1618.19</v>
      </c>
      <c r="V16">
        <f t="shared" ref="V16:V20" si="48">U16+($Y16-$U16)/4</f>
        <v>1383.6424999999999</v>
      </c>
      <c r="W16">
        <f t="shared" ref="W16:W20" si="49">V16+($Y16-$U16)/4</f>
        <v>1149.0949999999998</v>
      </c>
      <c r="X16">
        <f t="shared" ref="X16:X20" si="50">W16+($Y16-$U16)/4</f>
        <v>914.54749999999979</v>
      </c>
      <c r="Y16">
        <f t="shared" ref="Y16:Y20" si="51">ROUND(U16*0.42,0)</f>
        <v>680</v>
      </c>
      <c r="Z16">
        <f t="shared" ref="Z16:Z20" si="52">32.48+(AA16-32.48)*2/5</f>
        <v>39.887999999999998</v>
      </c>
      <c r="AA16">
        <f t="shared" ref="AA16:BE16" si="53">AA5</f>
        <v>51</v>
      </c>
      <c r="AB16">
        <f t="shared" si="53"/>
        <v>40.700000000000003</v>
      </c>
      <c r="AC16">
        <f t="shared" si="53"/>
        <v>30.4</v>
      </c>
      <c r="AD16">
        <f t="shared" si="53"/>
        <v>20.100000000000001</v>
      </c>
      <c r="AE16">
        <f t="shared" si="53"/>
        <v>9.9700000000000006</v>
      </c>
      <c r="AF16">
        <f t="shared" si="53"/>
        <v>0</v>
      </c>
      <c r="AG16">
        <f t="shared" si="53"/>
        <v>0</v>
      </c>
      <c r="AH16">
        <f t="shared" si="53"/>
        <v>0</v>
      </c>
      <c r="AI16">
        <f t="shared" si="53"/>
        <v>0</v>
      </c>
      <c r="AJ16">
        <f t="shared" si="53"/>
        <v>0</v>
      </c>
      <c r="AK16">
        <f t="shared" si="53"/>
        <v>0</v>
      </c>
      <c r="AL16">
        <f t="shared" si="53"/>
        <v>0</v>
      </c>
      <c r="AM16">
        <f t="shared" si="53"/>
        <v>0</v>
      </c>
      <c r="AN16">
        <f t="shared" si="53"/>
        <v>0</v>
      </c>
      <c r="AO16">
        <f t="shared" si="53"/>
        <v>0</v>
      </c>
      <c r="AP16">
        <f t="shared" si="53"/>
        <v>0</v>
      </c>
      <c r="AQ16">
        <f t="shared" si="53"/>
        <v>0</v>
      </c>
      <c r="AR16">
        <f t="shared" si="53"/>
        <v>0</v>
      </c>
      <c r="AS16">
        <f t="shared" si="53"/>
        <v>0</v>
      </c>
      <c r="AT16">
        <f t="shared" si="53"/>
        <v>0</v>
      </c>
      <c r="AU16">
        <f t="shared" si="53"/>
        <v>0</v>
      </c>
      <c r="AV16">
        <f t="shared" si="53"/>
        <v>0</v>
      </c>
      <c r="AW16">
        <f t="shared" si="53"/>
        <v>0</v>
      </c>
      <c r="AX16">
        <f t="shared" si="53"/>
        <v>0</v>
      </c>
      <c r="AY16">
        <f t="shared" si="53"/>
        <v>0</v>
      </c>
      <c r="AZ16">
        <f t="shared" si="53"/>
        <v>0</v>
      </c>
      <c r="BA16">
        <f t="shared" si="53"/>
        <v>0</v>
      </c>
      <c r="BB16">
        <f t="shared" si="53"/>
        <v>0</v>
      </c>
      <c r="BC16">
        <f t="shared" si="53"/>
        <v>0</v>
      </c>
      <c r="BD16">
        <f t="shared" si="53"/>
        <v>0</v>
      </c>
      <c r="BE16">
        <f t="shared" si="53"/>
        <v>0</v>
      </c>
      <c r="BF16">
        <f t="shared" si="13"/>
        <v>0.12060296663545773</v>
      </c>
      <c r="BG16">
        <f t="shared" si="14"/>
        <v>0.10159265609105531</v>
      </c>
      <c r="BH16">
        <f t="shared" si="15"/>
        <v>8.2582345546652877E-2</v>
      </c>
    </row>
    <row r="17" spans="3:60" x14ac:dyDescent="0.2">
      <c r="C17" t="str">
        <f t="shared" ref="C17:C20" si="54">C16</f>
        <v>D2</v>
      </c>
      <c r="D17" s="4" t="str">
        <f>CONCATENATE("PV","S",'[10]South PV IRENA V3'!$A6)</f>
        <v>PVS3580</v>
      </c>
      <c r="E17" t="str">
        <f>"SOPC"&amp;'[10]South PV IRENA V3'!$A14</f>
        <v>SOPC1367</v>
      </c>
      <c r="F17" t="str">
        <f t="shared" si="44"/>
        <v>D2SOPC1367</v>
      </c>
      <c r="G17" t="str">
        <f t="shared" si="45"/>
        <v>D2SO00</v>
      </c>
      <c r="H17" t="str">
        <f t="shared" si="46"/>
        <v>D2ELC01</v>
      </c>
      <c r="I17" s="1" t="s">
        <v>217</v>
      </c>
      <c r="J17" s="1">
        <f>SUM('[10]South PV IRENA V3'!$C14:C16)/1000</f>
        <v>1.1439999999999999</v>
      </c>
      <c r="K17">
        <v>25</v>
      </c>
      <c r="L17">
        <v>31.536000000000001</v>
      </c>
      <c r="M17">
        <v>2022</v>
      </c>
      <c r="N17">
        <v>1</v>
      </c>
      <c r="O17">
        <v>0</v>
      </c>
      <c r="P17" s="23">
        <f>'[9]PV profile 4-10'!$H$6</f>
        <v>0.21474212328767134</v>
      </c>
      <c r="Q17" t="str">
        <f t="shared" si="47"/>
        <v>NA</v>
      </c>
      <c r="R17">
        <f>J17*Scenarios!M7</f>
        <v>1.1439999999999999</v>
      </c>
      <c r="S17">
        <f t="shared" si="8"/>
        <v>0.12089094309417357</v>
      </c>
      <c r="U17" s="22">
        <f>1500+'[10]South PV IRENA V3'!$S14+'[10]South PV IRENA V3'!$U14+Scenarios!$N$7</f>
        <v>1592.23</v>
      </c>
      <c r="V17">
        <f t="shared" si="48"/>
        <v>1361.4225000000001</v>
      </c>
      <c r="W17">
        <f t="shared" si="49"/>
        <v>1130.6150000000002</v>
      </c>
      <c r="X17">
        <f t="shared" si="50"/>
        <v>899.80750000000023</v>
      </c>
      <c r="Y17">
        <f t="shared" si="51"/>
        <v>669</v>
      </c>
      <c r="Z17">
        <f t="shared" si="52"/>
        <v>40.287999999999997</v>
      </c>
      <c r="AA17">
        <f t="shared" ref="AA17:BE17" si="55">AA6</f>
        <v>52</v>
      </c>
      <c r="AB17">
        <f t="shared" si="55"/>
        <v>41.5</v>
      </c>
      <c r="AC17">
        <f t="shared" si="55"/>
        <v>31</v>
      </c>
      <c r="AD17">
        <f t="shared" si="55"/>
        <v>20.5</v>
      </c>
      <c r="AE17">
        <f t="shared" si="55"/>
        <v>9.9700000000000006</v>
      </c>
      <c r="AF17">
        <f t="shared" si="55"/>
        <v>0</v>
      </c>
      <c r="AG17">
        <f t="shared" si="55"/>
        <v>0</v>
      </c>
      <c r="AH17">
        <f t="shared" si="55"/>
        <v>0</v>
      </c>
      <c r="AI17">
        <f t="shared" si="55"/>
        <v>0</v>
      </c>
      <c r="AJ17">
        <f t="shared" si="55"/>
        <v>0</v>
      </c>
      <c r="AK17">
        <f t="shared" si="55"/>
        <v>0</v>
      </c>
      <c r="AL17">
        <f t="shared" si="55"/>
        <v>0</v>
      </c>
      <c r="AM17">
        <f t="shared" si="55"/>
        <v>0</v>
      </c>
      <c r="AN17">
        <f t="shared" si="55"/>
        <v>0</v>
      </c>
      <c r="AO17">
        <f t="shared" si="55"/>
        <v>0</v>
      </c>
      <c r="AP17">
        <f t="shared" si="55"/>
        <v>0</v>
      </c>
      <c r="AQ17">
        <f t="shared" si="55"/>
        <v>0</v>
      </c>
      <c r="AR17">
        <f t="shared" si="55"/>
        <v>0</v>
      </c>
      <c r="AS17">
        <f t="shared" si="55"/>
        <v>0</v>
      </c>
      <c r="AT17">
        <f t="shared" si="55"/>
        <v>0</v>
      </c>
      <c r="AU17">
        <f t="shared" si="55"/>
        <v>0</v>
      </c>
      <c r="AV17">
        <f t="shared" si="55"/>
        <v>0</v>
      </c>
      <c r="AW17">
        <f t="shared" si="55"/>
        <v>0</v>
      </c>
      <c r="AX17">
        <f t="shared" si="55"/>
        <v>0</v>
      </c>
      <c r="AY17">
        <f t="shared" si="55"/>
        <v>0</v>
      </c>
      <c r="AZ17">
        <f t="shared" si="55"/>
        <v>0</v>
      </c>
      <c r="BA17">
        <f t="shared" si="55"/>
        <v>0</v>
      </c>
      <c r="BB17">
        <f t="shared" si="55"/>
        <v>0</v>
      </c>
      <c r="BC17">
        <f t="shared" si="55"/>
        <v>0</v>
      </c>
      <c r="BD17">
        <f t="shared" si="55"/>
        <v>0</v>
      </c>
      <c r="BE17">
        <f t="shared" si="55"/>
        <v>0</v>
      </c>
      <c r="BF17">
        <f t="shared" si="13"/>
        <v>0.12089094309417357</v>
      </c>
      <c r="BG17">
        <f t="shared" si="14"/>
        <v>0.10179209972092393</v>
      </c>
      <c r="BH17">
        <f t="shared" si="15"/>
        <v>8.2693256347674285E-2</v>
      </c>
    </row>
    <row r="18" spans="3:60" x14ac:dyDescent="0.2">
      <c r="C18" t="str">
        <f t="shared" si="54"/>
        <v>D2</v>
      </c>
      <c r="D18" s="4" t="str">
        <f>CONCATENATE("PV","S",'[10]South PV IRENA V3'!$A7)</f>
        <v>PVS1281</v>
      </c>
      <c r="E18" t="str">
        <f>"SOPC"&amp;'[10]South PV IRENA V3'!$A19</f>
        <v>SOPC1331</v>
      </c>
      <c r="F18" t="str">
        <f t="shared" si="44"/>
        <v>D2SOPC1331</v>
      </c>
      <c r="G18" t="str">
        <f t="shared" si="45"/>
        <v>D2SO00</v>
      </c>
      <c r="H18" t="str">
        <f t="shared" si="46"/>
        <v>D2ELC01</v>
      </c>
      <c r="I18" s="1" t="s">
        <v>217</v>
      </c>
      <c r="J18" s="1">
        <f>SUM('[10]South PV IRENA V3'!$C17:C19)/1000</f>
        <v>2.1890000000000001</v>
      </c>
      <c r="K18">
        <v>25</v>
      </c>
      <c r="L18">
        <v>31.536000000000001</v>
      </c>
      <c r="M18">
        <v>2022</v>
      </c>
      <c r="N18">
        <v>1</v>
      </c>
      <c r="O18">
        <v>0</v>
      </c>
      <c r="P18" s="23">
        <f>'[9]PV profile 4-10'!$I$6</f>
        <v>0.21520102739726046</v>
      </c>
      <c r="Q18" t="str">
        <f t="shared" si="47"/>
        <v>NA</v>
      </c>
      <c r="R18">
        <f>J18*Scenarios!M7</f>
        <v>2.1890000000000001</v>
      </c>
      <c r="S18">
        <f t="shared" si="8"/>
        <v>0.1217550174619991</v>
      </c>
      <c r="U18" s="22">
        <f>1500+'[10]South PV IRENA V3'!$S19+'[10]South PV IRENA V3'!$U19+Scenarios!$N$7</f>
        <v>1602.3500000000001</v>
      </c>
      <c r="V18">
        <f t="shared" si="48"/>
        <v>1370.0125</v>
      </c>
      <c r="W18">
        <f t="shared" si="49"/>
        <v>1137.675</v>
      </c>
      <c r="X18">
        <f t="shared" si="50"/>
        <v>905.33749999999986</v>
      </c>
      <c r="Y18">
        <f t="shared" si="51"/>
        <v>673</v>
      </c>
      <c r="Z18">
        <f t="shared" si="52"/>
        <v>40.688000000000002</v>
      </c>
      <c r="AA18">
        <f t="shared" ref="AA18:BE18" si="56">AA7</f>
        <v>53</v>
      </c>
      <c r="AB18">
        <f t="shared" si="56"/>
        <v>42.2</v>
      </c>
      <c r="AC18">
        <f t="shared" si="56"/>
        <v>31.4</v>
      </c>
      <c r="AD18">
        <f t="shared" si="56"/>
        <v>20.6</v>
      </c>
      <c r="AE18">
        <f t="shared" si="56"/>
        <v>9.9700000000000006</v>
      </c>
      <c r="AF18">
        <f t="shared" si="56"/>
        <v>0</v>
      </c>
      <c r="AG18">
        <f t="shared" si="56"/>
        <v>0</v>
      </c>
      <c r="AH18">
        <f t="shared" si="56"/>
        <v>0</v>
      </c>
      <c r="AI18">
        <f t="shared" si="56"/>
        <v>0</v>
      </c>
      <c r="AJ18">
        <f t="shared" si="56"/>
        <v>0</v>
      </c>
      <c r="AK18">
        <f t="shared" si="56"/>
        <v>0</v>
      </c>
      <c r="AL18">
        <f t="shared" si="56"/>
        <v>0</v>
      </c>
      <c r="AM18">
        <f t="shared" si="56"/>
        <v>0</v>
      </c>
      <c r="AN18">
        <f t="shared" si="56"/>
        <v>0</v>
      </c>
      <c r="AO18">
        <f t="shared" si="56"/>
        <v>0</v>
      </c>
      <c r="AP18">
        <f t="shared" si="56"/>
        <v>0</v>
      </c>
      <c r="AQ18">
        <f t="shared" si="56"/>
        <v>0</v>
      </c>
      <c r="AR18">
        <f t="shared" si="56"/>
        <v>0</v>
      </c>
      <c r="AS18">
        <f t="shared" si="56"/>
        <v>0</v>
      </c>
      <c r="AT18">
        <f t="shared" si="56"/>
        <v>0</v>
      </c>
      <c r="AU18">
        <f t="shared" si="56"/>
        <v>0</v>
      </c>
      <c r="AV18">
        <f t="shared" si="56"/>
        <v>0</v>
      </c>
      <c r="AW18">
        <f t="shared" si="56"/>
        <v>0</v>
      </c>
      <c r="AX18">
        <f t="shared" si="56"/>
        <v>0</v>
      </c>
      <c r="AY18">
        <f t="shared" si="56"/>
        <v>0</v>
      </c>
      <c r="AZ18">
        <f t="shared" si="56"/>
        <v>0</v>
      </c>
      <c r="BA18">
        <f t="shared" si="56"/>
        <v>0</v>
      </c>
      <c r="BB18">
        <f t="shared" si="56"/>
        <v>0</v>
      </c>
      <c r="BC18">
        <f t="shared" si="56"/>
        <v>0</v>
      </c>
      <c r="BD18">
        <f t="shared" si="56"/>
        <v>0</v>
      </c>
      <c r="BE18">
        <f t="shared" si="56"/>
        <v>0</v>
      </c>
      <c r="BF18">
        <f t="shared" si="13"/>
        <v>0.1217550174619991</v>
      </c>
      <c r="BG18">
        <f t="shared" si="14"/>
        <v>0.10244835109639484</v>
      </c>
      <c r="BH18">
        <f t="shared" si="15"/>
        <v>8.3141684730790533E-2</v>
      </c>
    </row>
    <row r="19" spans="3:60" x14ac:dyDescent="0.2">
      <c r="C19" t="str">
        <f t="shared" si="54"/>
        <v>D2</v>
      </c>
      <c r="D19" s="4" t="str">
        <f>CONCATENATE("PV","S",'[10]South PV IRENA V3'!$A8)</f>
        <v>PVS1333</v>
      </c>
      <c r="E19" t="str">
        <f>"SOPC"&amp;'[10]South PV IRENA V3'!$A21</f>
        <v>SOPC1355</v>
      </c>
      <c r="F19" t="str">
        <f t="shared" si="44"/>
        <v>D2SOPC1355</v>
      </c>
      <c r="G19" t="str">
        <f t="shared" si="45"/>
        <v>D2SO00</v>
      </c>
      <c r="H19" t="str">
        <f t="shared" si="46"/>
        <v>D2ELC01</v>
      </c>
      <c r="I19" s="1" t="s">
        <v>217</v>
      </c>
      <c r="J19" s="1">
        <f>SUM('[10]South PV IRENA V3'!$C20:C21)/1000</f>
        <v>1.8620000000000001</v>
      </c>
      <c r="K19">
        <v>25</v>
      </c>
      <c r="L19">
        <v>31.536000000000001</v>
      </c>
      <c r="M19">
        <v>2022</v>
      </c>
      <c r="N19">
        <v>1</v>
      </c>
      <c r="O19">
        <v>0</v>
      </c>
      <c r="P19" s="23">
        <f>'[9]PV profile 4-10'!$J$6</f>
        <v>0.21640148401826448</v>
      </c>
      <c r="Q19" t="str">
        <f t="shared" si="47"/>
        <v>NA</v>
      </c>
      <c r="R19">
        <f>J19*Scenarios!M7</f>
        <v>1.8620000000000001</v>
      </c>
      <c r="S19">
        <f t="shared" si="8"/>
        <v>0.12266830239110887</v>
      </c>
      <c r="U19" s="22">
        <f>1500+'[10]South PV IRENA V3'!$S21+'[10]South PV IRENA V3'!$U21+Scenarios!$N$7</f>
        <v>1620.6100000000001</v>
      </c>
      <c r="V19">
        <f t="shared" si="48"/>
        <v>1385.7075</v>
      </c>
      <c r="W19">
        <f t="shared" si="49"/>
        <v>1150.8049999999998</v>
      </c>
      <c r="X19">
        <f t="shared" si="50"/>
        <v>915.9024999999998</v>
      </c>
      <c r="Y19">
        <f t="shared" si="51"/>
        <v>681</v>
      </c>
      <c r="Z19">
        <f t="shared" si="52"/>
        <v>41.087999999999994</v>
      </c>
      <c r="AA19">
        <f t="shared" ref="AA19:BE19" si="57">AA8</f>
        <v>54</v>
      </c>
      <c r="AB19">
        <f t="shared" si="57"/>
        <v>43</v>
      </c>
      <c r="AC19">
        <f t="shared" si="57"/>
        <v>32</v>
      </c>
      <c r="AD19">
        <f t="shared" si="57"/>
        <v>21</v>
      </c>
      <c r="AE19">
        <f t="shared" si="57"/>
        <v>9.9700000000000006</v>
      </c>
      <c r="AF19">
        <f t="shared" si="57"/>
        <v>0</v>
      </c>
      <c r="AG19">
        <f t="shared" si="57"/>
        <v>0</v>
      </c>
      <c r="AH19">
        <f t="shared" si="57"/>
        <v>0</v>
      </c>
      <c r="AI19">
        <f t="shared" si="57"/>
        <v>0</v>
      </c>
      <c r="AJ19">
        <f t="shared" si="57"/>
        <v>0</v>
      </c>
      <c r="AK19">
        <f t="shared" si="57"/>
        <v>0</v>
      </c>
      <c r="AL19">
        <f t="shared" si="57"/>
        <v>0</v>
      </c>
      <c r="AM19">
        <f t="shared" si="57"/>
        <v>0</v>
      </c>
      <c r="AN19">
        <f t="shared" si="57"/>
        <v>0</v>
      </c>
      <c r="AO19">
        <f t="shared" si="57"/>
        <v>0</v>
      </c>
      <c r="AP19">
        <f t="shared" si="57"/>
        <v>0</v>
      </c>
      <c r="AQ19">
        <f t="shared" si="57"/>
        <v>0</v>
      </c>
      <c r="AR19">
        <f t="shared" si="57"/>
        <v>0</v>
      </c>
      <c r="AS19">
        <f t="shared" si="57"/>
        <v>0</v>
      </c>
      <c r="AT19">
        <f t="shared" si="57"/>
        <v>0</v>
      </c>
      <c r="AU19">
        <f t="shared" si="57"/>
        <v>0</v>
      </c>
      <c r="AV19">
        <f t="shared" si="57"/>
        <v>0</v>
      </c>
      <c r="AW19">
        <f t="shared" si="57"/>
        <v>0</v>
      </c>
      <c r="AX19">
        <f t="shared" si="57"/>
        <v>0</v>
      </c>
      <c r="AY19">
        <f t="shared" si="57"/>
        <v>0</v>
      </c>
      <c r="AZ19">
        <f t="shared" si="57"/>
        <v>0</v>
      </c>
      <c r="BA19">
        <f t="shared" si="57"/>
        <v>0</v>
      </c>
      <c r="BB19">
        <f t="shared" si="57"/>
        <v>0</v>
      </c>
      <c r="BC19">
        <f t="shared" si="57"/>
        <v>0</v>
      </c>
      <c r="BD19">
        <f t="shared" si="57"/>
        <v>0</v>
      </c>
      <c r="BE19">
        <f t="shared" si="57"/>
        <v>0</v>
      </c>
      <c r="BF19">
        <f t="shared" si="13"/>
        <v>0.12266830239110887</v>
      </c>
      <c r="BG19">
        <f t="shared" si="14"/>
        <v>0.10321416775867072</v>
      </c>
      <c r="BH19">
        <f t="shared" si="15"/>
        <v>8.3760033126232564E-2</v>
      </c>
    </row>
    <row r="20" spans="3:60" x14ac:dyDescent="0.2">
      <c r="C20" t="str">
        <f t="shared" si="54"/>
        <v>D2</v>
      </c>
      <c r="D20" s="4" t="str">
        <f>CONCATENATE("PV","S",'[10]South PV IRENA V3'!$A9)</f>
        <v>PVS1390</v>
      </c>
      <c r="E20" t="str">
        <f>"SOPC"&amp;'[10]South PV IRENA V3'!$A22</f>
        <v>SOPC1332</v>
      </c>
      <c r="F20" t="str">
        <f t="shared" si="44"/>
        <v>D2SOPC1332</v>
      </c>
      <c r="G20" t="str">
        <f t="shared" si="45"/>
        <v>D2SO00</v>
      </c>
      <c r="H20" t="str">
        <f t="shared" si="46"/>
        <v>D2ELC01</v>
      </c>
      <c r="I20" s="1" t="s">
        <v>217</v>
      </c>
      <c r="J20" s="1">
        <f>'[10]South PV IRENA V3'!$C22/1000</f>
        <v>0.47199999999999998</v>
      </c>
      <c r="K20">
        <v>25</v>
      </c>
      <c r="L20">
        <v>31.536000000000001</v>
      </c>
      <c r="M20">
        <v>2022</v>
      </c>
      <c r="N20">
        <v>1</v>
      </c>
      <c r="O20">
        <v>0</v>
      </c>
      <c r="P20" s="23">
        <f>'[9]PV profile 4-10'!$K$6</f>
        <v>0.21339600456620927</v>
      </c>
      <c r="Q20" t="str">
        <f t="shared" si="47"/>
        <v>NA</v>
      </c>
      <c r="R20">
        <f>J20*Scenarios!M7</f>
        <v>0.47199999999999998</v>
      </c>
      <c r="S20">
        <f t="shared" si="8"/>
        <v>0.12283699184419766</v>
      </c>
      <c r="U20" s="22">
        <f>1500+'[10]South PV IRENA V3'!$S22+'[10]South PV IRENA V3'!$U22+Scenarios!$N$7</f>
        <v>1585.0800000000002</v>
      </c>
      <c r="V20">
        <f t="shared" si="48"/>
        <v>1355.3100000000002</v>
      </c>
      <c r="W20">
        <f t="shared" si="49"/>
        <v>1125.5400000000002</v>
      </c>
      <c r="X20">
        <f t="shared" si="50"/>
        <v>895.77000000000021</v>
      </c>
      <c r="Y20">
        <f t="shared" si="51"/>
        <v>666</v>
      </c>
      <c r="Z20">
        <f t="shared" si="52"/>
        <v>41.488</v>
      </c>
      <c r="AA20">
        <f t="shared" ref="AA20:BE20" si="58">AA9</f>
        <v>55</v>
      </c>
      <c r="AB20">
        <f t="shared" si="58"/>
        <v>43.7</v>
      </c>
      <c r="AC20">
        <f t="shared" si="58"/>
        <v>32.4</v>
      </c>
      <c r="AD20">
        <f t="shared" si="58"/>
        <v>21.1</v>
      </c>
      <c r="AE20">
        <f t="shared" si="58"/>
        <v>9.9700000000000006</v>
      </c>
      <c r="AF20">
        <f t="shared" si="58"/>
        <v>0</v>
      </c>
      <c r="AG20">
        <f t="shared" si="58"/>
        <v>0</v>
      </c>
      <c r="AH20">
        <f t="shared" si="58"/>
        <v>0</v>
      </c>
      <c r="AI20">
        <f t="shared" si="58"/>
        <v>0</v>
      </c>
      <c r="AJ20">
        <f t="shared" si="58"/>
        <v>0</v>
      </c>
      <c r="AK20">
        <f t="shared" si="58"/>
        <v>0</v>
      </c>
      <c r="AL20">
        <f t="shared" si="58"/>
        <v>0</v>
      </c>
      <c r="AM20">
        <f t="shared" si="58"/>
        <v>0</v>
      </c>
      <c r="AN20">
        <f t="shared" si="58"/>
        <v>0</v>
      </c>
      <c r="AO20">
        <f t="shared" si="58"/>
        <v>0</v>
      </c>
      <c r="AP20">
        <f t="shared" si="58"/>
        <v>0</v>
      </c>
      <c r="AQ20">
        <f t="shared" si="58"/>
        <v>0</v>
      </c>
      <c r="AR20">
        <f t="shared" si="58"/>
        <v>0</v>
      </c>
      <c r="AS20">
        <f t="shared" si="58"/>
        <v>0</v>
      </c>
      <c r="AT20">
        <f t="shared" si="58"/>
        <v>0</v>
      </c>
      <c r="AU20">
        <f t="shared" si="58"/>
        <v>0</v>
      </c>
      <c r="AV20">
        <f t="shared" si="58"/>
        <v>0</v>
      </c>
      <c r="AW20">
        <f t="shared" si="58"/>
        <v>0</v>
      </c>
      <c r="AX20">
        <f t="shared" si="58"/>
        <v>0</v>
      </c>
      <c r="AY20">
        <f t="shared" si="58"/>
        <v>0</v>
      </c>
      <c r="AZ20">
        <f t="shared" si="58"/>
        <v>0</v>
      </c>
      <c r="BA20">
        <f t="shared" si="58"/>
        <v>0</v>
      </c>
      <c r="BB20">
        <f t="shared" si="58"/>
        <v>0</v>
      </c>
      <c r="BC20">
        <f t="shared" si="58"/>
        <v>0</v>
      </c>
      <c r="BD20">
        <f t="shared" si="58"/>
        <v>0</v>
      </c>
      <c r="BE20">
        <f t="shared" si="58"/>
        <v>0</v>
      </c>
      <c r="BF20">
        <f t="shared" si="13"/>
        <v>0.12283699184419766</v>
      </c>
      <c r="BG20">
        <f t="shared" si="14"/>
        <v>0.10325085894600625</v>
      </c>
      <c r="BH20">
        <f t="shared" si="15"/>
        <v>8.3664726047814858E-2</v>
      </c>
    </row>
    <row r="21" spans="3:60" x14ac:dyDescent="0.2">
      <c r="C21" t="s">
        <v>79</v>
      </c>
      <c r="D21" t="str">
        <f t="shared" ref="D21:E21" si="59">D10</f>
        <v>Generic Solar thermal no storage</v>
      </c>
      <c r="E21" t="str">
        <f t="shared" si="59"/>
        <v>SOTN00</v>
      </c>
      <c r="F21" t="str">
        <f t="shared" si="0"/>
        <v>D2SOTN00</v>
      </c>
      <c r="G21" t="str">
        <f>G13</f>
        <v>D2SO00</v>
      </c>
      <c r="H21" t="str">
        <f t="shared" si="2"/>
        <v>D2ELC01</v>
      </c>
      <c r="I21" s="1" t="s">
        <v>55</v>
      </c>
      <c r="J21" s="1">
        <f t="shared" ref="J21:L23" si="60">J10</f>
        <v>0.2</v>
      </c>
      <c r="K21">
        <f t="shared" si="60"/>
        <v>30</v>
      </c>
      <c r="L21">
        <f t="shared" si="60"/>
        <v>31.536000000000001</v>
      </c>
      <c r="M21">
        <v>2026</v>
      </c>
      <c r="N21">
        <f t="shared" ref="N21:O23" si="61">N10</f>
        <v>1</v>
      </c>
      <c r="O21">
        <f t="shared" si="61"/>
        <v>0</v>
      </c>
      <c r="P21" s="23">
        <f t="shared" ref="P21:P22" si="62">P10</f>
        <v>0.18974554794520554</v>
      </c>
      <c r="Q21" t="str">
        <f>Q10</f>
        <v>NA</v>
      </c>
      <c r="R21">
        <f>J21*Scenarios!M7</f>
        <v>0.2</v>
      </c>
      <c r="S21">
        <f t="shared" si="8"/>
        <v>0.29567931904069328</v>
      </c>
      <c r="T21">
        <f t="shared" ref="T21:AE21" si="63">T10</f>
        <v>5253.8</v>
      </c>
      <c r="U21">
        <f t="shared" si="63"/>
        <v>4058</v>
      </c>
      <c r="V21">
        <f t="shared" si="63"/>
        <v>3758.8</v>
      </c>
      <c r="W21">
        <f t="shared" si="63"/>
        <v>3459.6000000000004</v>
      </c>
      <c r="X21">
        <f t="shared" si="63"/>
        <v>3160.4000000000005</v>
      </c>
      <c r="Y21">
        <f t="shared" si="63"/>
        <v>2562</v>
      </c>
      <c r="Z21">
        <f t="shared" si="63"/>
        <v>78.975999999999999</v>
      </c>
      <c r="AA21">
        <f t="shared" si="63"/>
        <v>61</v>
      </c>
      <c r="AB21">
        <f t="shared" si="63"/>
        <v>49.14</v>
      </c>
      <c r="AC21">
        <f t="shared" si="63"/>
        <v>39.590000000000003</v>
      </c>
      <c r="AD21">
        <f t="shared" si="63"/>
        <v>39.049999999999997</v>
      </c>
      <c r="AE21">
        <f t="shared" si="63"/>
        <v>38.51</v>
      </c>
      <c r="AF21">
        <f t="shared" ref="AF21:BE21" si="64">AF10</f>
        <v>0</v>
      </c>
      <c r="AG21">
        <f t="shared" si="64"/>
        <v>0</v>
      </c>
      <c r="AH21">
        <f t="shared" si="64"/>
        <v>0</v>
      </c>
      <c r="AI21">
        <f t="shared" si="64"/>
        <v>0</v>
      </c>
      <c r="AJ21">
        <f t="shared" si="64"/>
        <v>0</v>
      </c>
      <c r="AK21">
        <f t="shared" si="64"/>
        <v>0</v>
      </c>
      <c r="AL21">
        <f t="shared" si="64"/>
        <v>0</v>
      </c>
      <c r="AM21">
        <f t="shared" si="64"/>
        <v>0</v>
      </c>
      <c r="AN21">
        <f t="shared" si="64"/>
        <v>0</v>
      </c>
      <c r="AO21">
        <f t="shared" si="64"/>
        <v>0</v>
      </c>
      <c r="AP21">
        <f t="shared" si="64"/>
        <v>0</v>
      </c>
      <c r="AQ21">
        <f t="shared" si="64"/>
        <v>0</v>
      </c>
      <c r="AR21">
        <f t="shared" si="64"/>
        <v>0</v>
      </c>
      <c r="AS21">
        <f t="shared" si="64"/>
        <v>0</v>
      </c>
      <c r="AT21">
        <f t="shared" si="64"/>
        <v>0</v>
      </c>
      <c r="AU21">
        <f t="shared" si="64"/>
        <v>0</v>
      </c>
      <c r="AV21">
        <f t="shared" si="64"/>
        <v>0</v>
      </c>
      <c r="AW21">
        <f t="shared" si="64"/>
        <v>0</v>
      </c>
      <c r="AX21">
        <f t="shared" si="64"/>
        <v>0</v>
      </c>
      <c r="AY21">
        <f t="shared" si="64"/>
        <v>0</v>
      </c>
      <c r="AZ21">
        <f t="shared" si="64"/>
        <v>0</v>
      </c>
      <c r="BA21">
        <f t="shared" si="64"/>
        <v>0</v>
      </c>
      <c r="BB21">
        <f t="shared" si="64"/>
        <v>0</v>
      </c>
      <c r="BC21">
        <f t="shared" si="64"/>
        <v>0</v>
      </c>
      <c r="BD21">
        <f t="shared" si="64"/>
        <v>0</v>
      </c>
      <c r="BE21">
        <f t="shared" si="64"/>
        <v>0</v>
      </c>
      <c r="BF21">
        <f t="shared" si="13"/>
        <v>0.29567931904069328</v>
      </c>
      <c r="BG21">
        <f t="shared" si="14"/>
        <v>0.26944921932340304</v>
      </c>
      <c r="BH21">
        <f t="shared" si="15"/>
        <v>0.24460886831427819</v>
      </c>
    </row>
    <row r="22" spans="3:60" x14ac:dyDescent="0.2">
      <c r="C22" t="s">
        <v>79</v>
      </c>
      <c r="D22" t="str">
        <f t="shared" ref="D22:E22" si="65">D11</f>
        <v>Generic Solar thermal with Storage</v>
      </c>
      <c r="E22" t="str">
        <f t="shared" si="65"/>
        <v>SOTS00</v>
      </c>
      <c r="F22" t="str">
        <f t="shared" si="0"/>
        <v>D2SOTS00</v>
      </c>
      <c r="G22" t="str">
        <f>G14</f>
        <v>D2SO00</v>
      </c>
      <c r="H22" t="str">
        <f t="shared" si="2"/>
        <v>D2ELC01</v>
      </c>
      <c r="I22" s="1" t="s">
        <v>55</v>
      </c>
      <c r="J22" s="1">
        <f t="shared" si="60"/>
        <v>0.1</v>
      </c>
      <c r="K22">
        <f t="shared" si="60"/>
        <v>30</v>
      </c>
      <c r="L22">
        <f t="shared" si="60"/>
        <v>31.536000000000001</v>
      </c>
      <c r="M22">
        <v>2026</v>
      </c>
      <c r="N22">
        <f t="shared" si="61"/>
        <v>1</v>
      </c>
      <c r="O22">
        <f t="shared" si="61"/>
        <v>0</v>
      </c>
      <c r="P22" s="23">
        <f t="shared" si="62"/>
        <v>0.3</v>
      </c>
      <c r="Q22">
        <f>Q11</f>
        <v>0.3</v>
      </c>
      <c r="R22">
        <f>R11</f>
        <v>0</v>
      </c>
      <c r="S22">
        <f t="shared" si="8"/>
        <v>0.26672047264859922</v>
      </c>
      <c r="T22">
        <f t="shared" ref="T22:AE22" si="66">T11</f>
        <v>7505.8</v>
      </c>
      <c r="U22">
        <f t="shared" si="66"/>
        <v>5797</v>
      </c>
      <c r="V22">
        <f t="shared" si="66"/>
        <v>4670</v>
      </c>
      <c r="W22">
        <f t="shared" si="66"/>
        <v>3763</v>
      </c>
      <c r="X22">
        <f t="shared" si="66"/>
        <v>3711</v>
      </c>
      <c r="Y22">
        <f t="shared" si="66"/>
        <v>3660</v>
      </c>
      <c r="Z22">
        <f t="shared" si="66"/>
        <v>111.35</v>
      </c>
      <c r="AA22">
        <f t="shared" si="66"/>
        <v>86</v>
      </c>
      <c r="AB22">
        <f t="shared" si="66"/>
        <v>69.28</v>
      </c>
      <c r="AC22">
        <f t="shared" si="66"/>
        <v>55.83</v>
      </c>
      <c r="AD22">
        <f t="shared" si="66"/>
        <v>55.05</v>
      </c>
      <c r="AE22">
        <f t="shared" si="66"/>
        <v>54.3</v>
      </c>
      <c r="AF22">
        <f t="shared" ref="AF22:BE22" si="67">AF11</f>
        <v>0</v>
      </c>
      <c r="AG22">
        <f t="shared" si="67"/>
        <v>0</v>
      </c>
      <c r="AH22">
        <f t="shared" si="67"/>
        <v>0</v>
      </c>
      <c r="AI22">
        <f t="shared" si="67"/>
        <v>0</v>
      </c>
      <c r="AJ22">
        <f t="shared" si="67"/>
        <v>0</v>
      </c>
      <c r="AK22">
        <f t="shared" si="67"/>
        <v>0</v>
      </c>
      <c r="AL22">
        <f t="shared" si="67"/>
        <v>0</v>
      </c>
      <c r="AM22">
        <f t="shared" si="67"/>
        <v>0</v>
      </c>
      <c r="AN22">
        <f t="shared" si="67"/>
        <v>0</v>
      </c>
      <c r="AO22">
        <f t="shared" si="67"/>
        <v>0</v>
      </c>
      <c r="AP22">
        <f t="shared" si="67"/>
        <v>0</v>
      </c>
      <c r="AQ22">
        <f t="shared" si="67"/>
        <v>0</v>
      </c>
      <c r="AR22">
        <f t="shared" si="67"/>
        <v>0</v>
      </c>
      <c r="AS22">
        <f t="shared" si="67"/>
        <v>0</v>
      </c>
      <c r="AT22">
        <f t="shared" si="67"/>
        <v>0</v>
      </c>
      <c r="AU22">
        <f t="shared" si="67"/>
        <v>0</v>
      </c>
      <c r="AV22">
        <f t="shared" si="67"/>
        <v>0</v>
      </c>
      <c r="AW22">
        <f t="shared" si="67"/>
        <v>0</v>
      </c>
      <c r="AX22">
        <f t="shared" si="67"/>
        <v>0</v>
      </c>
      <c r="AY22">
        <f t="shared" si="67"/>
        <v>0</v>
      </c>
      <c r="AZ22">
        <f t="shared" si="67"/>
        <v>0</v>
      </c>
      <c r="BA22">
        <f t="shared" si="67"/>
        <v>0</v>
      </c>
      <c r="BB22">
        <f t="shared" si="67"/>
        <v>0</v>
      </c>
      <c r="BC22">
        <f t="shared" si="67"/>
        <v>0</v>
      </c>
      <c r="BD22">
        <f t="shared" si="67"/>
        <v>0</v>
      </c>
      <c r="BE22">
        <f t="shared" si="67"/>
        <v>0</v>
      </c>
      <c r="BF22">
        <f t="shared" si="13"/>
        <v>0.26672047264859922</v>
      </c>
      <c r="BG22">
        <f t="shared" si="14"/>
        <v>0.21486685286902601</v>
      </c>
      <c r="BH22">
        <f t="shared" si="15"/>
        <v>0.17313782769203248</v>
      </c>
    </row>
    <row r="23" spans="3:60" s="9" customFormat="1" x14ac:dyDescent="0.2">
      <c r="C23" s="9" t="s">
        <v>79</v>
      </c>
      <c r="D23" s="9" t="str">
        <f t="shared" ref="D23:E23" si="68">D12</f>
        <v>Generic Solar thermal with Gas co-firing</v>
      </c>
      <c r="E23" s="9" t="str">
        <f t="shared" si="68"/>
        <v>NGSO00</v>
      </c>
      <c r="F23" s="9" t="str">
        <f t="shared" si="0"/>
        <v>D2NGSO00</v>
      </c>
      <c r="G23" s="9" t="str">
        <f>G15</f>
        <v>D2SO00</v>
      </c>
      <c r="H23" s="9" t="str">
        <f t="shared" si="2"/>
        <v>D2ELC01</v>
      </c>
      <c r="I23" s="51" t="s">
        <v>55</v>
      </c>
      <c r="J23" s="51">
        <f t="shared" si="60"/>
        <v>0.2</v>
      </c>
      <c r="K23" s="9">
        <f t="shared" si="60"/>
        <v>30</v>
      </c>
      <c r="L23" s="9">
        <f t="shared" si="60"/>
        <v>31.536000000000001</v>
      </c>
      <c r="M23" s="9">
        <v>2050</v>
      </c>
      <c r="N23" s="9">
        <f t="shared" si="61"/>
        <v>1.8867924528301885</v>
      </c>
      <c r="O23" s="9">
        <f t="shared" si="61"/>
        <v>0</v>
      </c>
      <c r="P23" s="52">
        <v>0</v>
      </c>
      <c r="Q23" s="9">
        <f>Q12</f>
        <v>0.92200000000000004</v>
      </c>
      <c r="R23" s="9">
        <v>0</v>
      </c>
      <c r="S23" t="e">
        <f t="shared" si="8"/>
        <v>#DIV/0!</v>
      </c>
      <c r="T23" s="9">
        <f t="shared" ref="T23:AE23" si="69">T12</f>
        <v>6051</v>
      </c>
      <c r="U23" s="9">
        <f t="shared" si="69"/>
        <v>6051</v>
      </c>
      <c r="V23" s="9">
        <f t="shared" si="69"/>
        <v>6051</v>
      </c>
      <c r="W23" s="9">
        <f t="shared" si="69"/>
        <v>6051</v>
      </c>
      <c r="X23" s="9">
        <f t="shared" si="69"/>
        <v>6051</v>
      </c>
      <c r="Y23" s="9">
        <f t="shared" si="69"/>
        <v>6051</v>
      </c>
      <c r="Z23" s="9">
        <f t="shared" si="69"/>
        <v>60.51</v>
      </c>
      <c r="AA23" s="9">
        <f t="shared" si="69"/>
        <v>60.51</v>
      </c>
      <c r="AB23" s="9">
        <f t="shared" si="69"/>
        <v>60.51</v>
      </c>
      <c r="AC23" s="9">
        <f t="shared" si="69"/>
        <v>60.51</v>
      </c>
      <c r="AD23" s="9">
        <f t="shared" si="69"/>
        <v>60.51</v>
      </c>
      <c r="AE23" s="9">
        <f t="shared" si="69"/>
        <v>60.51</v>
      </c>
      <c r="AF23" s="9">
        <f t="shared" ref="AF23:BE23" si="70">AF12</f>
        <v>0</v>
      </c>
      <c r="AG23" s="9">
        <f t="shared" si="70"/>
        <v>0</v>
      </c>
      <c r="AH23" s="9">
        <f t="shared" si="70"/>
        <v>0</v>
      </c>
      <c r="AI23" s="9">
        <f t="shared" si="70"/>
        <v>0</v>
      </c>
      <c r="AJ23" s="9">
        <f t="shared" si="70"/>
        <v>0</v>
      </c>
      <c r="AK23" s="9">
        <f t="shared" si="70"/>
        <v>0</v>
      </c>
      <c r="AL23" s="9">
        <f t="shared" si="70"/>
        <v>0</v>
      </c>
      <c r="AM23" s="9">
        <f t="shared" si="70"/>
        <v>0</v>
      </c>
      <c r="AN23" s="9">
        <f t="shared" si="70"/>
        <v>0</v>
      </c>
      <c r="AO23" s="9">
        <f t="shared" si="70"/>
        <v>0</v>
      </c>
      <c r="AP23" s="9">
        <f t="shared" si="70"/>
        <v>0</v>
      </c>
      <c r="AQ23" s="9">
        <f t="shared" si="70"/>
        <v>0</v>
      </c>
      <c r="AR23" s="9">
        <f t="shared" si="70"/>
        <v>0</v>
      </c>
      <c r="AS23" s="9">
        <f t="shared" si="70"/>
        <v>0</v>
      </c>
      <c r="AT23" s="9">
        <f t="shared" si="70"/>
        <v>0</v>
      </c>
      <c r="AU23" s="9">
        <f t="shared" si="70"/>
        <v>0</v>
      </c>
      <c r="AV23" s="9">
        <f t="shared" si="70"/>
        <v>0</v>
      </c>
      <c r="AW23" s="9">
        <f t="shared" si="70"/>
        <v>0</v>
      </c>
      <c r="AX23" s="9">
        <f t="shared" si="70"/>
        <v>0</v>
      </c>
      <c r="AY23" s="9">
        <f t="shared" si="70"/>
        <v>0</v>
      </c>
      <c r="AZ23" s="9">
        <f t="shared" si="70"/>
        <v>0</v>
      </c>
      <c r="BA23" s="9">
        <f t="shared" si="70"/>
        <v>0</v>
      </c>
      <c r="BB23" s="9">
        <f t="shared" si="70"/>
        <v>0</v>
      </c>
      <c r="BC23" s="9">
        <f t="shared" si="70"/>
        <v>0</v>
      </c>
      <c r="BD23" s="9">
        <f t="shared" si="70"/>
        <v>0</v>
      </c>
      <c r="BE23" s="9">
        <f t="shared" si="70"/>
        <v>0</v>
      </c>
      <c r="BF23" t="e">
        <f t="shared" si="13"/>
        <v>#DIV/0!</v>
      </c>
      <c r="BG23" t="e">
        <f t="shared" si="14"/>
        <v>#DIV/0!</v>
      </c>
      <c r="BH23" t="e">
        <f t="shared" si="15"/>
        <v>#DIV/0!</v>
      </c>
    </row>
    <row r="24" spans="3:60" x14ac:dyDescent="0.2">
      <c r="C24" t="s">
        <v>84</v>
      </c>
      <c r="D24" s="4" t="str">
        <f>CONCATENATE("PV","E",'[11]East PV IRENAv3'!$C2)</f>
        <v>PVE330</v>
      </c>
      <c r="E24" t="str">
        <f>"SOPC"&amp;'[11]East PV IRENAv3'!$C2</f>
        <v>SOPC330</v>
      </c>
      <c r="F24" t="str">
        <f t="shared" si="0"/>
        <v>D3SOPC330</v>
      </c>
      <c r="G24" t="str">
        <f t="shared" ref="G24:G26" si="71">LEFT(F24,4)&amp;"00"</f>
        <v>D3SO00</v>
      </c>
      <c r="H24" t="str">
        <f t="shared" ref="H24:H26" si="72">C24&amp;"ELC01"</f>
        <v>D3ELC01</v>
      </c>
      <c r="I24" s="1" t="s">
        <v>217</v>
      </c>
      <c r="J24" s="1">
        <f>'[11]East PV IRENAv3'!$E2/1000</f>
        <v>0.33400000000000002</v>
      </c>
      <c r="K24">
        <v>30</v>
      </c>
      <c r="L24">
        <v>31.536000000000001</v>
      </c>
      <c r="M24">
        <v>2022</v>
      </c>
      <c r="N24">
        <v>1</v>
      </c>
      <c r="O24">
        <v>0</v>
      </c>
      <c r="P24" s="23">
        <f>'[9]PV profile'!$H$5</f>
        <v>0.19765639269406376</v>
      </c>
      <c r="Q24" t="str">
        <f>Q2</f>
        <v>NA</v>
      </c>
      <c r="R24">
        <f>J24*Scenarios!M7</f>
        <v>0.33400000000000002</v>
      </c>
      <c r="S24">
        <f t="shared" si="8"/>
        <v>0.12598779928054493</v>
      </c>
      <c r="T24">
        <f>2771+(U24-2771)*2/5</f>
        <v>2296.6320000000001</v>
      </c>
      <c r="U24" s="22">
        <f>1500+'[11]East PV IRENAv3'!$U2+'[11]East PV IRENAv3'!$W2+Scenarios!$N$7</f>
        <v>1585.0800000000002</v>
      </c>
      <c r="V24">
        <f>ROUND(U24+($Y24-$U24)/4,0)</f>
        <v>1355</v>
      </c>
      <c r="W24">
        <f t="shared" ref="W24:X24" si="73">ROUND(V24+($Y24-$U24)/4,0)</f>
        <v>1125</v>
      </c>
      <c r="X24">
        <f t="shared" si="73"/>
        <v>895</v>
      </c>
      <c r="Y24">
        <f>ROUND(U24*0.42,0)</f>
        <v>666</v>
      </c>
      <c r="Z24">
        <f>32.48+(AA24-32.48)*2/5</f>
        <v>39.488</v>
      </c>
      <c r="AA24">
        <f>AA13</f>
        <v>50</v>
      </c>
      <c r="AB24">
        <f t="shared" ref="AB24:AF24" si="74">AB13</f>
        <v>40</v>
      </c>
      <c r="AC24">
        <f t="shared" si="74"/>
        <v>30</v>
      </c>
      <c r="AD24">
        <f t="shared" si="74"/>
        <v>20</v>
      </c>
      <c r="AE24">
        <f t="shared" si="74"/>
        <v>9.9700000000000006</v>
      </c>
      <c r="AF24">
        <f t="shared" si="74"/>
        <v>0</v>
      </c>
      <c r="AG24">
        <f t="shared" ref="AG24:BE24" si="75">AG13</f>
        <v>0</v>
      </c>
      <c r="AH24">
        <f t="shared" si="75"/>
        <v>0</v>
      </c>
      <c r="AI24">
        <f t="shared" si="75"/>
        <v>0</v>
      </c>
      <c r="AJ24">
        <f t="shared" si="75"/>
        <v>0</v>
      </c>
      <c r="AK24">
        <f t="shared" si="75"/>
        <v>0</v>
      </c>
      <c r="AL24">
        <f t="shared" si="75"/>
        <v>0</v>
      </c>
      <c r="AM24">
        <f t="shared" si="75"/>
        <v>0</v>
      </c>
      <c r="AN24">
        <f t="shared" si="75"/>
        <v>0</v>
      </c>
      <c r="AO24">
        <f t="shared" si="75"/>
        <v>0</v>
      </c>
      <c r="AP24">
        <f t="shared" si="75"/>
        <v>0</v>
      </c>
      <c r="AQ24">
        <f t="shared" si="75"/>
        <v>0</v>
      </c>
      <c r="AR24">
        <f t="shared" si="75"/>
        <v>0</v>
      </c>
      <c r="AS24">
        <f t="shared" si="75"/>
        <v>0</v>
      </c>
      <c r="AT24">
        <f t="shared" si="75"/>
        <v>0</v>
      </c>
      <c r="AU24">
        <f t="shared" si="75"/>
        <v>0</v>
      </c>
      <c r="AV24">
        <f t="shared" si="75"/>
        <v>0</v>
      </c>
      <c r="AW24">
        <f t="shared" si="75"/>
        <v>0</v>
      </c>
      <c r="AX24">
        <f t="shared" si="75"/>
        <v>0</v>
      </c>
      <c r="AY24">
        <f t="shared" si="75"/>
        <v>0</v>
      </c>
      <c r="AZ24">
        <f t="shared" si="75"/>
        <v>0</v>
      </c>
      <c r="BA24">
        <f t="shared" si="75"/>
        <v>0</v>
      </c>
      <c r="BB24">
        <f t="shared" si="75"/>
        <v>0</v>
      </c>
      <c r="BC24">
        <f t="shared" si="75"/>
        <v>0</v>
      </c>
      <c r="BD24">
        <f t="shared" si="75"/>
        <v>0</v>
      </c>
      <c r="BE24">
        <f t="shared" si="75"/>
        <v>0</v>
      </c>
      <c r="BF24">
        <f t="shared" si="13"/>
        <v>0.12598779928054493</v>
      </c>
      <c r="BG24">
        <f t="shared" si="14"/>
        <v>0.10611641055422219</v>
      </c>
      <c r="BH24">
        <f t="shared" si="15"/>
        <v>8.6249923062030096E-2</v>
      </c>
    </row>
    <row r="25" spans="3:60" x14ac:dyDescent="0.2">
      <c r="C25" t="s">
        <v>84</v>
      </c>
      <c r="D25" s="4" t="str">
        <f>CONCATENATE("PV","W",'[11]East PV IRENAv3'!$C3)</f>
        <v>PVW331</v>
      </c>
      <c r="E25" t="str">
        <f>"SOPC"&amp;'[11]East PV IRENAv3'!$C3</f>
        <v>SOPC331</v>
      </c>
      <c r="F25" t="str">
        <f t="shared" si="0"/>
        <v>D3SOPC331</v>
      </c>
      <c r="G25" t="str">
        <f t="shared" si="71"/>
        <v>D3SO00</v>
      </c>
      <c r="H25" t="str">
        <f t="shared" si="72"/>
        <v>D3ELC01</v>
      </c>
      <c r="I25" s="1" t="s">
        <v>217</v>
      </c>
      <c r="J25" s="1">
        <f>'[11]East PV IRENAv3'!$E3/1000</f>
        <v>0.96099999999999997</v>
      </c>
      <c r="K25">
        <v>30</v>
      </c>
      <c r="L25">
        <v>31.536000000000001</v>
      </c>
      <c r="M25">
        <v>2022</v>
      </c>
      <c r="N25">
        <v>1</v>
      </c>
      <c r="O25">
        <v>0</v>
      </c>
      <c r="P25" s="23">
        <f>'[9]PV profile'!$I$5</f>
        <v>0.20075251141552516</v>
      </c>
      <c r="Q25" t="str">
        <f>Q3</f>
        <v>NA</v>
      </c>
      <c r="R25">
        <f>J25*Scenarios!M7</f>
        <v>0.96099999999999997</v>
      </c>
      <c r="S25">
        <f t="shared" si="8"/>
        <v>0.12471490559969091</v>
      </c>
      <c r="T25">
        <f>2771+(U25-2771)*2/5</f>
        <v>2301.076</v>
      </c>
      <c r="U25" s="22">
        <f>1500+'[11]East PV IRENAv3'!$U3+'[11]East PV IRENAv3'!$W3+Scenarios!$N$7</f>
        <v>1596.19</v>
      </c>
      <c r="V25">
        <f t="shared" ref="V25:X26" si="76">ROUND(U25+($Y25-$U25)/4,0)</f>
        <v>1365</v>
      </c>
      <c r="W25">
        <f t="shared" si="76"/>
        <v>1133</v>
      </c>
      <c r="X25">
        <f t="shared" si="76"/>
        <v>901</v>
      </c>
      <c r="Y25">
        <f t="shared" ref="Y25:Y26" si="77">ROUND(U25*0.42,0)</f>
        <v>670</v>
      </c>
      <c r="Z25">
        <f>32.48+(AA25-32.48)*2/5</f>
        <v>39.488</v>
      </c>
      <c r="AA25">
        <f>AA14</f>
        <v>50</v>
      </c>
      <c r="AB25">
        <f t="shared" ref="AB25:AF26" si="78">AB14</f>
        <v>40</v>
      </c>
      <c r="AC25">
        <f t="shared" si="78"/>
        <v>30</v>
      </c>
      <c r="AD25">
        <f t="shared" si="78"/>
        <v>20</v>
      </c>
      <c r="AE25">
        <f t="shared" si="78"/>
        <v>9.9700000000000006</v>
      </c>
      <c r="AF25">
        <f t="shared" si="78"/>
        <v>0</v>
      </c>
      <c r="AG25">
        <f t="shared" ref="AG25:BE25" si="79">AG14</f>
        <v>0</v>
      </c>
      <c r="AH25">
        <f t="shared" si="79"/>
        <v>0</v>
      </c>
      <c r="AI25">
        <f t="shared" si="79"/>
        <v>0</v>
      </c>
      <c r="AJ25">
        <f t="shared" si="79"/>
        <v>0</v>
      </c>
      <c r="AK25">
        <f t="shared" si="79"/>
        <v>0</v>
      </c>
      <c r="AL25">
        <f t="shared" si="79"/>
        <v>0</v>
      </c>
      <c r="AM25">
        <f t="shared" si="79"/>
        <v>0</v>
      </c>
      <c r="AN25">
        <f t="shared" si="79"/>
        <v>0</v>
      </c>
      <c r="AO25">
        <f t="shared" si="79"/>
        <v>0</v>
      </c>
      <c r="AP25">
        <f t="shared" si="79"/>
        <v>0</v>
      </c>
      <c r="AQ25">
        <f t="shared" si="79"/>
        <v>0</v>
      </c>
      <c r="AR25">
        <f t="shared" si="79"/>
        <v>0</v>
      </c>
      <c r="AS25">
        <f t="shared" si="79"/>
        <v>0</v>
      </c>
      <c r="AT25">
        <f t="shared" si="79"/>
        <v>0</v>
      </c>
      <c r="AU25">
        <f t="shared" si="79"/>
        <v>0</v>
      </c>
      <c r="AV25">
        <f t="shared" si="79"/>
        <v>0</v>
      </c>
      <c r="AW25">
        <f t="shared" si="79"/>
        <v>0</v>
      </c>
      <c r="AX25">
        <f t="shared" si="79"/>
        <v>0</v>
      </c>
      <c r="AY25">
        <f t="shared" si="79"/>
        <v>0</v>
      </c>
      <c r="AZ25">
        <f t="shared" si="79"/>
        <v>0</v>
      </c>
      <c r="BA25">
        <f t="shared" si="79"/>
        <v>0</v>
      </c>
      <c r="BB25">
        <f t="shared" si="79"/>
        <v>0</v>
      </c>
      <c r="BC25">
        <f t="shared" si="79"/>
        <v>0</v>
      </c>
      <c r="BD25">
        <f t="shared" si="79"/>
        <v>0</v>
      </c>
      <c r="BE25">
        <f t="shared" si="79"/>
        <v>0</v>
      </c>
      <c r="BF25">
        <f t="shared" si="13"/>
        <v>0.12471490559969091</v>
      </c>
      <c r="BG25">
        <f t="shared" si="14"/>
        <v>0.10508302884628454</v>
      </c>
      <c r="BH25">
        <f t="shared" si="15"/>
        <v>8.5402292442041214E-2</v>
      </c>
    </row>
    <row r="26" spans="3:60" x14ac:dyDescent="0.2">
      <c r="C26" t="s">
        <v>84</v>
      </c>
      <c r="D26" s="4" t="str">
        <f>CONCATENATE("PV","W",'[11]East PV IRENAv3'!$C4)</f>
        <v>PVW1616</v>
      </c>
      <c r="E26" t="str">
        <f>"SOPC"&amp;'[11]East PV IRENAv3'!$C4</f>
        <v>SOPC1616</v>
      </c>
      <c r="F26" t="str">
        <f t="shared" si="0"/>
        <v>D3SOPC1616</v>
      </c>
      <c r="G26" t="str">
        <f t="shared" si="71"/>
        <v>D3SO00</v>
      </c>
      <c r="H26" t="str">
        <f t="shared" si="72"/>
        <v>D3ELC01</v>
      </c>
      <c r="I26" s="1" t="s">
        <v>217</v>
      </c>
      <c r="J26" s="1">
        <f>'[11]East PV IRENAv3'!$E4/1000</f>
        <v>0.04</v>
      </c>
      <c r="K26">
        <v>30</v>
      </c>
      <c r="L26">
        <v>31.536000000000001</v>
      </c>
      <c r="M26">
        <v>2022</v>
      </c>
      <c r="N26">
        <v>1</v>
      </c>
      <c r="O26">
        <v>0</v>
      </c>
      <c r="P26" s="23">
        <f>'[9]PV profile'!$J$5</f>
        <v>0.20217477168949877</v>
      </c>
      <c r="Q26" t="str">
        <f>Q4</f>
        <v>NA</v>
      </c>
      <c r="R26">
        <f>J26*Scenarios!M7</f>
        <v>0.04</v>
      </c>
      <c r="S26">
        <f t="shared" si="8"/>
        <v>0.12244736933968978</v>
      </c>
      <c r="T26">
        <f>2771+(U26-2771)*2/5</f>
        <v>2291.7919999999999</v>
      </c>
      <c r="U26" s="22">
        <f>1500+'[11]East PV IRENAv3'!$U4+'[11]East PV IRENAv3'!$W4+Scenarios!$N$7</f>
        <v>1572.98</v>
      </c>
      <c r="V26">
        <f t="shared" si="76"/>
        <v>1345</v>
      </c>
      <c r="W26">
        <f t="shared" si="76"/>
        <v>1117</v>
      </c>
      <c r="X26">
        <f t="shared" si="76"/>
        <v>889</v>
      </c>
      <c r="Y26">
        <f t="shared" si="77"/>
        <v>661</v>
      </c>
      <c r="Z26">
        <f>32.48+(AA26-32.48)*2/5</f>
        <v>39.488</v>
      </c>
      <c r="AA26">
        <f>AA15</f>
        <v>50</v>
      </c>
      <c r="AB26">
        <f t="shared" si="78"/>
        <v>40</v>
      </c>
      <c r="AC26">
        <f t="shared" si="78"/>
        <v>30</v>
      </c>
      <c r="AD26">
        <f t="shared" si="78"/>
        <v>20</v>
      </c>
      <c r="AE26">
        <f t="shared" si="78"/>
        <v>9.9700000000000006</v>
      </c>
      <c r="AF26">
        <f t="shared" si="78"/>
        <v>0</v>
      </c>
      <c r="AG26">
        <f t="shared" ref="AG26:BE26" si="80">AG15</f>
        <v>0</v>
      </c>
      <c r="AH26">
        <f t="shared" si="80"/>
        <v>0</v>
      </c>
      <c r="AI26">
        <f t="shared" si="80"/>
        <v>0</v>
      </c>
      <c r="AJ26">
        <f t="shared" si="80"/>
        <v>0</v>
      </c>
      <c r="AK26">
        <f t="shared" si="80"/>
        <v>0</v>
      </c>
      <c r="AL26">
        <f t="shared" si="80"/>
        <v>0</v>
      </c>
      <c r="AM26">
        <f t="shared" si="80"/>
        <v>0</v>
      </c>
      <c r="AN26">
        <f t="shared" si="80"/>
        <v>0</v>
      </c>
      <c r="AO26">
        <f t="shared" si="80"/>
        <v>0</v>
      </c>
      <c r="AP26">
        <f t="shared" si="80"/>
        <v>0</v>
      </c>
      <c r="AQ26">
        <f t="shared" si="80"/>
        <v>0</v>
      </c>
      <c r="AR26">
        <f t="shared" si="80"/>
        <v>0</v>
      </c>
      <c r="AS26">
        <f t="shared" si="80"/>
        <v>0</v>
      </c>
      <c r="AT26">
        <f t="shared" si="80"/>
        <v>0</v>
      </c>
      <c r="AU26">
        <f t="shared" si="80"/>
        <v>0</v>
      </c>
      <c r="AV26">
        <f t="shared" si="80"/>
        <v>0</v>
      </c>
      <c r="AW26">
        <f t="shared" si="80"/>
        <v>0</v>
      </c>
      <c r="AX26">
        <f t="shared" si="80"/>
        <v>0</v>
      </c>
      <c r="AY26">
        <f t="shared" si="80"/>
        <v>0</v>
      </c>
      <c r="AZ26">
        <f t="shared" si="80"/>
        <v>0</v>
      </c>
      <c r="BA26">
        <f t="shared" si="80"/>
        <v>0</v>
      </c>
      <c r="BB26">
        <f t="shared" si="80"/>
        <v>0</v>
      </c>
      <c r="BC26">
        <f t="shared" si="80"/>
        <v>0</v>
      </c>
      <c r="BD26">
        <f t="shared" si="80"/>
        <v>0</v>
      </c>
      <c r="BE26">
        <f t="shared" si="80"/>
        <v>0</v>
      </c>
      <c r="BF26">
        <f t="shared" si="13"/>
        <v>0.12244736933968978</v>
      </c>
      <c r="BG26">
        <f t="shared" si="14"/>
        <v>0.10314586587274541</v>
      </c>
      <c r="BH26">
        <f t="shared" si="15"/>
        <v>8.3843164481537391E-2</v>
      </c>
    </row>
    <row r="27" spans="3:60" x14ac:dyDescent="0.2">
      <c r="C27" t="s">
        <v>84</v>
      </c>
      <c r="D27" t="str">
        <f t="shared" ref="D27:E27" si="81">D21</f>
        <v>Generic Solar thermal no storage</v>
      </c>
      <c r="E27" t="str">
        <f t="shared" si="81"/>
        <v>SOTN00</v>
      </c>
      <c r="F27" t="str">
        <f t="shared" si="0"/>
        <v>D3SOTN00</v>
      </c>
      <c r="G27" t="str">
        <f>G24</f>
        <v>D3SO00</v>
      </c>
      <c r="H27" t="str">
        <f t="shared" si="2"/>
        <v>D3ELC01</v>
      </c>
      <c r="I27" s="1" t="s">
        <v>55</v>
      </c>
      <c r="J27" s="1">
        <f>J10</f>
        <v>0.2</v>
      </c>
      <c r="K27">
        <f t="shared" ref="K27:K29" si="82">K21</f>
        <v>30</v>
      </c>
      <c r="L27">
        <f t="shared" ref="L27:AF28" si="83">L21</f>
        <v>31.536000000000001</v>
      </c>
      <c r="M27">
        <v>2026</v>
      </c>
      <c r="N27">
        <f t="shared" si="83"/>
        <v>1</v>
      </c>
      <c r="O27">
        <f t="shared" si="83"/>
        <v>0</v>
      </c>
      <c r="P27" s="23">
        <f>P24</f>
        <v>0.19765639269406376</v>
      </c>
      <c r="Q27" t="str">
        <f>Q10</f>
        <v>NA</v>
      </c>
      <c r="R27">
        <f>J27*Scenarios!M7</f>
        <v>0.2</v>
      </c>
      <c r="S27">
        <f t="shared" si="8"/>
        <v>0.28384528141359006</v>
      </c>
      <c r="T27">
        <f t="shared" si="83"/>
        <v>5253.8</v>
      </c>
      <c r="U27">
        <f t="shared" si="83"/>
        <v>4058</v>
      </c>
      <c r="V27">
        <f t="shared" si="83"/>
        <v>3758.8</v>
      </c>
      <c r="W27">
        <f t="shared" si="83"/>
        <v>3459.6000000000004</v>
      </c>
      <c r="X27">
        <f t="shared" si="83"/>
        <v>3160.4000000000005</v>
      </c>
      <c r="Y27">
        <f t="shared" si="83"/>
        <v>2562</v>
      </c>
      <c r="Z27">
        <f t="shared" si="83"/>
        <v>78.975999999999999</v>
      </c>
      <c r="AA27">
        <f t="shared" si="83"/>
        <v>61</v>
      </c>
      <c r="AB27">
        <f t="shared" si="83"/>
        <v>49.14</v>
      </c>
      <c r="AC27">
        <f t="shared" si="83"/>
        <v>39.590000000000003</v>
      </c>
      <c r="AD27">
        <f t="shared" si="83"/>
        <v>39.049999999999997</v>
      </c>
      <c r="AE27">
        <f t="shared" si="83"/>
        <v>38.51</v>
      </c>
      <c r="AF27">
        <f t="shared" si="83"/>
        <v>0</v>
      </c>
      <c r="AG27">
        <f t="shared" ref="AG27:BE27" si="84">AG21</f>
        <v>0</v>
      </c>
      <c r="AH27">
        <f t="shared" si="84"/>
        <v>0</v>
      </c>
      <c r="AI27">
        <f t="shared" si="84"/>
        <v>0</v>
      </c>
      <c r="AJ27">
        <f t="shared" si="84"/>
        <v>0</v>
      </c>
      <c r="AK27">
        <f t="shared" si="84"/>
        <v>0</v>
      </c>
      <c r="AL27">
        <f t="shared" si="84"/>
        <v>0</v>
      </c>
      <c r="AM27">
        <f t="shared" si="84"/>
        <v>0</v>
      </c>
      <c r="AN27">
        <f t="shared" si="84"/>
        <v>0</v>
      </c>
      <c r="AO27">
        <f t="shared" si="84"/>
        <v>0</v>
      </c>
      <c r="AP27">
        <f t="shared" si="84"/>
        <v>0</v>
      </c>
      <c r="AQ27">
        <f t="shared" si="84"/>
        <v>0</v>
      </c>
      <c r="AR27">
        <f t="shared" si="84"/>
        <v>0</v>
      </c>
      <c r="AS27">
        <f t="shared" si="84"/>
        <v>0</v>
      </c>
      <c r="AT27">
        <f t="shared" si="84"/>
        <v>0</v>
      </c>
      <c r="AU27">
        <f t="shared" si="84"/>
        <v>0</v>
      </c>
      <c r="AV27">
        <f t="shared" si="84"/>
        <v>0</v>
      </c>
      <c r="AW27">
        <f t="shared" si="84"/>
        <v>0</v>
      </c>
      <c r="AX27">
        <f t="shared" si="84"/>
        <v>0</v>
      </c>
      <c r="AY27">
        <f t="shared" si="84"/>
        <v>0</v>
      </c>
      <c r="AZ27">
        <f t="shared" si="84"/>
        <v>0</v>
      </c>
      <c r="BA27">
        <f t="shared" si="84"/>
        <v>0</v>
      </c>
      <c r="BB27">
        <f t="shared" si="84"/>
        <v>0</v>
      </c>
      <c r="BC27">
        <f t="shared" si="84"/>
        <v>0</v>
      </c>
      <c r="BD27">
        <f t="shared" si="84"/>
        <v>0</v>
      </c>
      <c r="BE27">
        <f t="shared" si="84"/>
        <v>0</v>
      </c>
      <c r="BF27">
        <f t="shared" si="13"/>
        <v>0.28384528141359006</v>
      </c>
      <c r="BG27">
        <f t="shared" si="14"/>
        <v>0.25866499467620035</v>
      </c>
      <c r="BH27">
        <f t="shared" si="15"/>
        <v>0.23481883443248369</v>
      </c>
    </row>
    <row r="28" spans="3:60" x14ac:dyDescent="0.2">
      <c r="C28" t="s">
        <v>84</v>
      </c>
      <c r="D28" t="str">
        <f t="shared" ref="D28:E28" si="85">D22</f>
        <v>Generic Solar thermal with Storage</v>
      </c>
      <c r="E28" t="str">
        <f t="shared" si="85"/>
        <v>SOTS00</v>
      </c>
      <c r="F28" t="str">
        <f t="shared" si="0"/>
        <v>D3SOTS00</v>
      </c>
      <c r="G28" t="str">
        <f t="shared" ref="G28:G29" si="86">G25</f>
        <v>D3SO00</v>
      </c>
      <c r="H28" t="str">
        <f t="shared" si="2"/>
        <v>D3ELC01</v>
      </c>
      <c r="I28" s="1" t="s">
        <v>55</v>
      </c>
      <c r="J28" s="1">
        <f>J11</f>
        <v>0.1</v>
      </c>
      <c r="K28">
        <f t="shared" si="82"/>
        <v>30</v>
      </c>
      <c r="L28">
        <f t="shared" si="83"/>
        <v>31.536000000000001</v>
      </c>
      <c r="M28">
        <v>2026</v>
      </c>
      <c r="N28">
        <f t="shared" si="83"/>
        <v>1</v>
      </c>
      <c r="O28">
        <f t="shared" si="83"/>
        <v>0</v>
      </c>
      <c r="P28" s="23">
        <f>P22</f>
        <v>0.3</v>
      </c>
      <c r="Q28">
        <f>Q11</f>
        <v>0.3</v>
      </c>
      <c r="R28">
        <f>R22</f>
        <v>0</v>
      </c>
      <c r="S28">
        <f t="shared" si="8"/>
        <v>0.26672047264859922</v>
      </c>
      <c r="T28">
        <f t="shared" si="83"/>
        <v>7505.8</v>
      </c>
      <c r="U28">
        <f t="shared" si="83"/>
        <v>5797</v>
      </c>
      <c r="V28">
        <f t="shared" si="83"/>
        <v>4670</v>
      </c>
      <c r="W28">
        <f t="shared" si="83"/>
        <v>3763</v>
      </c>
      <c r="X28">
        <f t="shared" si="83"/>
        <v>3711</v>
      </c>
      <c r="Y28">
        <f t="shared" si="83"/>
        <v>3660</v>
      </c>
      <c r="Z28">
        <f t="shared" si="83"/>
        <v>111.35</v>
      </c>
      <c r="AA28">
        <f t="shared" ref="L28:AF29" si="87">AA22</f>
        <v>86</v>
      </c>
      <c r="AB28">
        <f t="shared" si="87"/>
        <v>69.28</v>
      </c>
      <c r="AC28">
        <f t="shared" si="87"/>
        <v>55.83</v>
      </c>
      <c r="AD28">
        <f t="shared" si="87"/>
        <v>55.05</v>
      </c>
      <c r="AE28">
        <f t="shared" si="87"/>
        <v>54.3</v>
      </c>
      <c r="AF28">
        <f t="shared" si="87"/>
        <v>0</v>
      </c>
      <c r="AG28">
        <f t="shared" ref="AG28:BE28" si="88">AG22</f>
        <v>0</v>
      </c>
      <c r="AH28">
        <f t="shared" si="88"/>
        <v>0</v>
      </c>
      <c r="AI28">
        <f t="shared" si="88"/>
        <v>0</v>
      </c>
      <c r="AJ28">
        <f t="shared" si="88"/>
        <v>0</v>
      </c>
      <c r="AK28">
        <f t="shared" si="88"/>
        <v>0</v>
      </c>
      <c r="AL28">
        <f t="shared" si="88"/>
        <v>0</v>
      </c>
      <c r="AM28">
        <f t="shared" si="88"/>
        <v>0</v>
      </c>
      <c r="AN28">
        <f t="shared" si="88"/>
        <v>0</v>
      </c>
      <c r="AO28">
        <f t="shared" si="88"/>
        <v>0</v>
      </c>
      <c r="AP28">
        <f t="shared" si="88"/>
        <v>0</v>
      </c>
      <c r="AQ28">
        <f t="shared" si="88"/>
        <v>0</v>
      </c>
      <c r="AR28">
        <f t="shared" si="88"/>
        <v>0</v>
      </c>
      <c r="AS28">
        <f t="shared" si="88"/>
        <v>0</v>
      </c>
      <c r="AT28">
        <f t="shared" si="88"/>
        <v>0</v>
      </c>
      <c r="AU28">
        <f t="shared" si="88"/>
        <v>0</v>
      </c>
      <c r="AV28">
        <f t="shared" si="88"/>
        <v>0</v>
      </c>
      <c r="AW28">
        <f t="shared" si="88"/>
        <v>0</v>
      </c>
      <c r="AX28">
        <f t="shared" si="88"/>
        <v>0</v>
      </c>
      <c r="AY28">
        <f t="shared" si="88"/>
        <v>0</v>
      </c>
      <c r="AZ28">
        <f t="shared" si="88"/>
        <v>0</v>
      </c>
      <c r="BA28">
        <f t="shared" si="88"/>
        <v>0</v>
      </c>
      <c r="BB28">
        <f t="shared" si="88"/>
        <v>0</v>
      </c>
      <c r="BC28">
        <f t="shared" si="88"/>
        <v>0</v>
      </c>
      <c r="BD28">
        <f t="shared" si="88"/>
        <v>0</v>
      </c>
      <c r="BE28">
        <f t="shared" si="88"/>
        <v>0</v>
      </c>
      <c r="BF28">
        <f t="shared" si="13"/>
        <v>0.26672047264859922</v>
      </c>
      <c r="BG28">
        <f t="shared" si="14"/>
        <v>0.21486685286902601</v>
      </c>
      <c r="BH28">
        <f t="shared" si="15"/>
        <v>0.17313782769203248</v>
      </c>
    </row>
    <row r="29" spans="3:60" s="9" customFormat="1" x14ac:dyDescent="0.2">
      <c r="C29" s="9" t="s">
        <v>84</v>
      </c>
      <c r="D29" s="9" t="str">
        <f t="shared" ref="D29:E29" si="89">D23</f>
        <v>Generic Solar thermal with Gas co-firing</v>
      </c>
      <c r="E29" s="9" t="str">
        <f t="shared" si="89"/>
        <v>NGSO00</v>
      </c>
      <c r="F29" s="9" t="str">
        <f t="shared" si="0"/>
        <v>D3NGSO00</v>
      </c>
      <c r="G29" s="9" t="str">
        <f t="shared" si="86"/>
        <v>D3SO00</v>
      </c>
      <c r="H29" s="9" t="str">
        <f t="shared" si="2"/>
        <v>D3ELC01</v>
      </c>
      <c r="I29" s="51" t="s">
        <v>55</v>
      </c>
      <c r="J29" s="51">
        <f>J12</f>
        <v>0.2</v>
      </c>
      <c r="K29" s="9">
        <f t="shared" si="82"/>
        <v>30</v>
      </c>
      <c r="L29" s="9">
        <f t="shared" si="87"/>
        <v>31.536000000000001</v>
      </c>
      <c r="M29" s="9">
        <v>2050</v>
      </c>
      <c r="N29" s="9">
        <f t="shared" si="87"/>
        <v>1.8867924528301885</v>
      </c>
      <c r="O29" s="9">
        <f t="shared" si="87"/>
        <v>0</v>
      </c>
      <c r="P29" s="52">
        <v>0</v>
      </c>
      <c r="Q29" s="9">
        <f t="shared" si="87"/>
        <v>0.92200000000000004</v>
      </c>
      <c r="R29" s="9">
        <v>0</v>
      </c>
      <c r="S29" t="e">
        <f t="shared" si="8"/>
        <v>#DIV/0!</v>
      </c>
      <c r="T29" s="9">
        <f t="shared" si="87"/>
        <v>6051</v>
      </c>
      <c r="U29" s="9">
        <f t="shared" si="87"/>
        <v>6051</v>
      </c>
      <c r="V29" s="9">
        <f t="shared" si="87"/>
        <v>6051</v>
      </c>
      <c r="W29" s="9">
        <f t="shared" si="87"/>
        <v>6051</v>
      </c>
      <c r="X29" s="9">
        <f t="shared" si="87"/>
        <v>6051</v>
      </c>
      <c r="Y29" s="9">
        <f t="shared" si="87"/>
        <v>6051</v>
      </c>
      <c r="Z29" s="9">
        <f t="shared" si="87"/>
        <v>60.51</v>
      </c>
      <c r="AA29" s="9">
        <f t="shared" si="87"/>
        <v>60.51</v>
      </c>
      <c r="AB29" s="9">
        <f t="shared" si="87"/>
        <v>60.51</v>
      </c>
      <c r="AC29" s="9">
        <f t="shared" si="87"/>
        <v>60.51</v>
      </c>
      <c r="AD29" s="9">
        <f t="shared" si="87"/>
        <v>60.51</v>
      </c>
      <c r="AE29" s="9">
        <f t="shared" si="87"/>
        <v>60.51</v>
      </c>
      <c r="AF29" s="9">
        <f t="shared" si="87"/>
        <v>0</v>
      </c>
      <c r="AG29" s="9">
        <f t="shared" ref="AG29:BE29" si="90">AG23</f>
        <v>0</v>
      </c>
      <c r="AH29" s="9">
        <f t="shared" si="90"/>
        <v>0</v>
      </c>
      <c r="AI29" s="9">
        <f t="shared" si="90"/>
        <v>0</v>
      </c>
      <c r="AJ29" s="9">
        <f t="shared" si="90"/>
        <v>0</v>
      </c>
      <c r="AK29" s="9">
        <f t="shared" si="90"/>
        <v>0</v>
      </c>
      <c r="AL29" s="9">
        <f t="shared" si="90"/>
        <v>0</v>
      </c>
      <c r="AM29" s="9">
        <f t="shared" si="90"/>
        <v>0</v>
      </c>
      <c r="AN29" s="9">
        <f t="shared" si="90"/>
        <v>0</v>
      </c>
      <c r="AO29" s="9">
        <f t="shared" si="90"/>
        <v>0</v>
      </c>
      <c r="AP29" s="9">
        <f t="shared" si="90"/>
        <v>0</v>
      </c>
      <c r="AQ29" s="9">
        <f t="shared" si="90"/>
        <v>0</v>
      </c>
      <c r="AR29" s="9">
        <f t="shared" si="90"/>
        <v>0</v>
      </c>
      <c r="AS29" s="9">
        <f t="shared" si="90"/>
        <v>0</v>
      </c>
      <c r="AT29" s="9">
        <f t="shared" si="90"/>
        <v>0</v>
      </c>
      <c r="AU29" s="9">
        <f t="shared" si="90"/>
        <v>0</v>
      </c>
      <c r="AV29" s="9">
        <f t="shared" si="90"/>
        <v>0</v>
      </c>
      <c r="AW29" s="9">
        <f t="shared" si="90"/>
        <v>0</v>
      </c>
      <c r="AX29" s="9">
        <f t="shared" si="90"/>
        <v>0</v>
      </c>
      <c r="AY29" s="9">
        <f t="shared" si="90"/>
        <v>0</v>
      </c>
      <c r="AZ29" s="9">
        <f t="shared" si="90"/>
        <v>0</v>
      </c>
      <c r="BA29" s="9">
        <f t="shared" si="90"/>
        <v>0</v>
      </c>
      <c r="BB29" s="9">
        <f t="shared" si="90"/>
        <v>0</v>
      </c>
      <c r="BC29" s="9">
        <f t="shared" si="90"/>
        <v>0</v>
      </c>
      <c r="BD29" s="9">
        <f t="shared" si="90"/>
        <v>0</v>
      </c>
      <c r="BE29" s="9">
        <f t="shared" si="90"/>
        <v>0</v>
      </c>
      <c r="BF29" t="e">
        <f t="shared" si="13"/>
        <v>#DIV/0!</v>
      </c>
      <c r="BG29" t="e">
        <f t="shared" si="14"/>
        <v>#DIV/0!</v>
      </c>
      <c r="BH29" t="e">
        <f t="shared" si="15"/>
        <v>#DIV/0!</v>
      </c>
    </row>
  </sheetData>
  <phoneticPr fontId="4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1CEF-1FF3-6C44-B6A6-34FB0E566380}">
  <dimension ref="A2:G10"/>
  <sheetViews>
    <sheetView workbookViewId="0">
      <selection activeCell="B8" sqref="B8"/>
    </sheetView>
  </sheetViews>
  <sheetFormatPr baseColWidth="10" defaultRowHeight="16" x14ac:dyDescent="0.2"/>
  <sheetData>
    <row r="2" spans="1:7" x14ac:dyDescent="0.2">
      <c r="A2" t="s">
        <v>219</v>
      </c>
      <c r="B2" t="s">
        <v>220</v>
      </c>
    </row>
    <row r="3" spans="1:7" x14ac:dyDescent="0.2">
      <c r="B3" t="s">
        <v>221</v>
      </c>
    </row>
    <row r="4" spans="1:7" x14ac:dyDescent="0.2">
      <c r="B4" t="s">
        <v>222</v>
      </c>
    </row>
    <row r="5" spans="1:7" x14ac:dyDescent="0.2">
      <c r="B5" t="s">
        <v>280</v>
      </c>
    </row>
    <row r="6" spans="1:7" x14ac:dyDescent="0.2">
      <c r="A6" t="s">
        <v>223</v>
      </c>
      <c r="B6" t="s">
        <v>428</v>
      </c>
    </row>
    <row r="8" spans="1:7" x14ac:dyDescent="0.2">
      <c r="B8" t="s">
        <v>409</v>
      </c>
    </row>
    <row r="10" spans="1:7" ht="19" x14ac:dyDescent="0.2">
      <c r="A10" t="s">
        <v>415</v>
      </c>
      <c r="B10" s="56" t="s">
        <v>414</v>
      </c>
      <c r="G1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 demand summary</vt:lpstr>
      <vt:lpstr>Scenarios</vt:lpstr>
      <vt:lpstr>Fuel costs</vt:lpstr>
      <vt:lpstr>Summary</vt:lpstr>
      <vt:lpstr>Generic</vt:lpstr>
      <vt:lpstr>Existing</vt:lpstr>
      <vt:lpstr>New Generic (other)</vt:lpstr>
      <vt:lpstr>Hydro Small New</vt:lpstr>
      <vt:lpstr>Hydro Med New</vt:lpstr>
      <vt:lpstr>Hydro Large New</vt:lpstr>
      <vt:lpstr>Wind New</vt:lpstr>
      <vt:lpstr>Solar New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2021-09-21T22:06:06Z</dcterms:created>
  <dcterms:modified xsi:type="dcterms:W3CDTF">2022-08-02T08:10:40Z</dcterms:modified>
</cp:coreProperties>
</file>