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Objects="none" defaultThemeVersion="124226"/>
  <bookViews>
    <workbookView xWindow="240" yWindow="90" windowWidth="20055" windowHeight="7695" tabRatio="842" activeTab="27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Target" sheetId="34" r:id="rId33"/>
  </sheets>
  <calcPr calcId="144525"/>
</workbook>
</file>

<file path=xl/calcChain.xml><?xml version="1.0" encoding="utf-8"?>
<calcChain xmlns="http://schemas.openxmlformats.org/spreadsheetml/2006/main">
  <c r="U28" i="27" l="1"/>
  <c r="U28" i="26" l="1"/>
  <c r="V8" i="26"/>
  <c r="U28" i="25" l="1"/>
  <c r="R16" i="24" l="1"/>
  <c r="R21" i="23" l="1"/>
  <c r="D28" i="21" l="1"/>
  <c r="D28" i="20" l="1"/>
  <c r="U28" i="20"/>
  <c r="V12" i="20" l="1"/>
  <c r="V21" i="20"/>
  <c r="R14" i="16" l="1"/>
  <c r="H7" i="33" l="1"/>
  <c r="F46" i="34"/>
  <c r="G46" i="34" s="1"/>
  <c r="E46" i="34"/>
  <c r="AA46" i="34" s="1"/>
  <c r="I45" i="34"/>
  <c r="L45" i="34" s="1"/>
  <c r="F45" i="34"/>
  <c r="G45" i="34" s="1"/>
  <c r="E45" i="34"/>
  <c r="AA45" i="34" s="1"/>
  <c r="AA44" i="34"/>
  <c r="AB44" i="34" s="1"/>
  <c r="I44" i="34"/>
  <c r="J44" i="34" s="1"/>
  <c r="G44" i="34"/>
  <c r="F44" i="34"/>
  <c r="E44" i="34"/>
  <c r="I43" i="34"/>
  <c r="L43" i="34" s="1"/>
  <c r="G43" i="34"/>
  <c r="F43" i="34"/>
  <c r="E43" i="34"/>
  <c r="AA43" i="34" s="1"/>
  <c r="AD43" i="34" s="1"/>
  <c r="F42" i="34"/>
  <c r="G42" i="34" s="1"/>
  <c r="E42" i="34"/>
  <c r="AA42" i="34" s="1"/>
  <c r="L41" i="34"/>
  <c r="I41" i="34"/>
  <c r="J41" i="34" s="1"/>
  <c r="F41" i="34"/>
  <c r="G41" i="34" s="1"/>
  <c r="E41" i="34"/>
  <c r="AA41" i="34" s="1"/>
  <c r="AD41" i="34" s="1"/>
  <c r="AE41" i="34" s="1"/>
  <c r="J40" i="34"/>
  <c r="I40" i="34"/>
  <c r="L40" i="34" s="1"/>
  <c r="O40" i="34" s="1"/>
  <c r="R40" i="34" s="1"/>
  <c r="U40" i="34" s="1"/>
  <c r="X40" i="34" s="1"/>
  <c r="Y40" i="34" s="1"/>
  <c r="G40" i="34"/>
  <c r="F40" i="34"/>
  <c r="E40" i="34"/>
  <c r="AA40" i="34" s="1"/>
  <c r="AD40" i="34" s="1"/>
  <c r="AG40" i="34" s="1"/>
  <c r="AJ40" i="34" s="1"/>
  <c r="AM40" i="34" s="1"/>
  <c r="AP40" i="34" s="1"/>
  <c r="AS40" i="34" s="1"/>
  <c r="AV40" i="34" s="1"/>
  <c r="AY40" i="34" s="1"/>
  <c r="BB40" i="34" s="1"/>
  <c r="BE40" i="34" s="1"/>
  <c r="BH40" i="34" s="1"/>
  <c r="BI40" i="34" s="1"/>
  <c r="AA39" i="34"/>
  <c r="AB39" i="34" s="1"/>
  <c r="O39" i="34"/>
  <c r="P39" i="34" s="1"/>
  <c r="L39" i="34"/>
  <c r="M39" i="34" s="1"/>
  <c r="I39" i="34"/>
  <c r="J39" i="34" s="1"/>
  <c r="F39" i="34"/>
  <c r="G39" i="34" s="1"/>
  <c r="E39" i="34"/>
  <c r="AZ38" i="34"/>
  <c r="AN38" i="34"/>
  <c r="AB38" i="34"/>
  <c r="Y38" i="34"/>
  <c r="V38" i="34"/>
  <c r="P38" i="34"/>
  <c r="M38" i="34"/>
  <c r="J38" i="34"/>
  <c r="I38" i="34"/>
  <c r="L38" i="34" s="1"/>
  <c r="O38" i="34" s="1"/>
  <c r="R38" i="34" s="1"/>
  <c r="U38" i="34" s="1"/>
  <c r="X38" i="34" s="1"/>
  <c r="G38" i="34"/>
  <c r="F38" i="34"/>
  <c r="E38" i="34"/>
  <c r="AA38" i="34" s="1"/>
  <c r="AD38" i="34" s="1"/>
  <c r="AG38" i="34" s="1"/>
  <c r="AJ38" i="34" s="1"/>
  <c r="AM38" i="34" s="1"/>
  <c r="AP38" i="34" s="1"/>
  <c r="AS38" i="34" s="1"/>
  <c r="AV38" i="34" s="1"/>
  <c r="AY38" i="34" s="1"/>
  <c r="BB38" i="34" s="1"/>
  <c r="BE38" i="34" s="1"/>
  <c r="BH38" i="34" s="1"/>
  <c r="BK38" i="34" s="1"/>
  <c r="BN38" i="34" s="1"/>
  <c r="BQ38" i="34" s="1"/>
  <c r="BT38" i="34" s="1"/>
  <c r="BW38" i="34" s="1"/>
  <c r="BZ38" i="34" s="1"/>
  <c r="CC38" i="34" s="1"/>
  <c r="CF38" i="34" s="1"/>
  <c r="CG38" i="34" s="1"/>
  <c r="AA37" i="34"/>
  <c r="AB37" i="34" s="1"/>
  <c r="I37" i="34"/>
  <c r="J37" i="34" s="1"/>
  <c r="F37" i="34"/>
  <c r="G37" i="34" s="1"/>
  <c r="E37" i="34"/>
  <c r="V36" i="34"/>
  <c r="P36" i="34"/>
  <c r="J36" i="34"/>
  <c r="I36" i="34"/>
  <c r="L36" i="34" s="1"/>
  <c r="O36" i="34" s="1"/>
  <c r="R36" i="34" s="1"/>
  <c r="U36" i="34" s="1"/>
  <c r="X36" i="34" s="1"/>
  <c r="Y36" i="34" s="1"/>
  <c r="G36" i="34"/>
  <c r="F36" i="34"/>
  <c r="E36" i="34"/>
  <c r="AA36" i="34" s="1"/>
  <c r="AD36" i="34" s="1"/>
  <c r="AG36" i="34" s="1"/>
  <c r="AJ36" i="34" s="1"/>
  <c r="AM36" i="34" s="1"/>
  <c r="AP36" i="34" s="1"/>
  <c r="AS36" i="34" s="1"/>
  <c r="AV36" i="34" s="1"/>
  <c r="AY36" i="34" s="1"/>
  <c r="BB36" i="34" s="1"/>
  <c r="BE36" i="34" s="1"/>
  <c r="BH36" i="34" s="1"/>
  <c r="BK36" i="34" s="1"/>
  <c r="BN36" i="34" s="1"/>
  <c r="BQ36" i="34" s="1"/>
  <c r="BT36" i="34" s="1"/>
  <c r="BW36" i="34" s="1"/>
  <c r="BZ36" i="34" s="1"/>
  <c r="CC36" i="34" s="1"/>
  <c r="CF36" i="34" s="1"/>
  <c r="CG36" i="34" s="1"/>
  <c r="AA35" i="34"/>
  <c r="AB35" i="34" s="1"/>
  <c r="I35" i="34"/>
  <c r="J35" i="34" s="1"/>
  <c r="F35" i="34"/>
  <c r="G35" i="34" s="1"/>
  <c r="E35" i="34"/>
  <c r="AD34" i="34"/>
  <c r="AG34" i="34" s="1"/>
  <c r="AA34" i="34"/>
  <c r="AB34" i="34" s="1"/>
  <c r="F34" i="34"/>
  <c r="E34" i="34"/>
  <c r="J33" i="34"/>
  <c r="I33" i="34"/>
  <c r="L33" i="34" s="1"/>
  <c r="G33" i="34"/>
  <c r="F33" i="34"/>
  <c r="E33" i="34"/>
  <c r="AA33" i="34" s="1"/>
  <c r="AD33" i="34" s="1"/>
  <c r="AA32" i="34"/>
  <c r="I32" i="34"/>
  <c r="F32" i="34"/>
  <c r="G32" i="34" s="1"/>
  <c r="E32" i="34"/>
  <c r="G31" i="34"/>
  <c r="F31" i="34"/>
  <c r="I31" i="34" s="1"/>
  <c r="E31" i="34"/>
  <c r="AA31" i="34" s="1"/>
  <c r="AA30" i="34"/>
  <c r="AB30" i="34" s="1"/>
  <c r="L30" i="34"/>
  <c r="M30" i="34" s="1"/>
  <c r="I30" i="34"/>
  <c r="J30" i="34" s="1"/>
  <c r="F30" i="34"/>
  <c r="G30" i="34" s="1"/>
  <c r="E30" i="34"/>
  <c r="Y29" i="34"/>
  <c r="V29" i="34"/>
  <c r="P29" i="34"/>
  <c r="M29" i="34"/>
  <c r="J29" i="34"/>
  <c r="I29" i="34"/>
  <c r="L29" i="34" s="1"/>
  <c r="O29" i="34" s="1"/>
  <c r="R29" i="34" s="1"/>
  <c r="U29" i="34" s="1"/>
  <c r="X29" i="34" s="1"/>
  <c r="G29" i="34"/>
  <c r="F29" i="34"/>
  <c r="E29" i="34"/>
  <c r="AA29" i="34" s="1"/>
  <c r="AD29" i="34" s="1"/>
  <c r="AG29" i="34" s="1"/>
  <c r="AJ29" i="34" s="1"/>
  <c r="AM29" i="34" s="1"/>
  <c r="AP29" i="34" s="1"/>
  <c r="AS29" i="34" s="1"/>
  <c r="AV29" i="34" s="1"/>
  <c r="AY29" i="34" s="1"/>
  <c r="BB29" i="34" s="1"/>
  <c r="BE29" i="34" s="1"/>
  <c r="BH29" i="34" s="1"/>
  <c r="BK29" i="34" s="1"/>
  <c r="BN29" i="34" s="1"/>
  <c r="BQ29" i="34" s="1"/>
  <c r="BT29" i="34" s="1"/>
  <c r="BW29" i="34" s="1"/>
  <c r="BZ29" i="34" s="1"/>
  <c r="CC29" i="34" s="1"/>
  <c r="CF29" i="34" s="1"/>
  <c r="CG29" i="34" s="1"/>
  <c r="AA28" i="34"/>
  <c r="AB28" i="34" s="1"/>
  <c r="F28" i="34"/>
  <c r="I28" i="34" s="1"/>
  <c r="E28" i="34"/>
  <c r="X27" i="34"/>
  <c r="Y27" i="34" s="1"/>
  <c r="R27" i="34"/>
  <c r="U27" i="34" s="1"/>
  <c r="V27" i="34" s="1"/>
  <c r="P27" i="34"/>
  <c r="L27" i="34"/>
  <c r="O27" i="34" s="1"/>
  <c r="J27" i="34"/>
  <c r="G27" i="34"/>
  <c r="F27" i="34"/>
  <c r="I27" i="34" s="1"/>
  <c r="E27" i="34"/>
  <c r="AA27" i="34" s="1"/>
  <c r="AD27" i="34" s="1"/>
  <c r="J26" i="34"/>
  <c r="I26" i="34"/>
  <c r="L26" i="34" s="1"/>
  <c r="G26" i="34"/>
  <c r="F26" i="34"/>
  <c r="E26" i="34"/>
  <c r="AA26" i="34" s="1"/>
  <c r="AD25" i="34"/>
  <c r="AA25" i="34"/>
  <c r="AB25" i="34" s="1"/>
  <c r="I25" i="34"/>
  <c r="J25" i="34" s="1"/>
  <c r="F25" i="34"/>
  <c r="G25" i="34" s="1"/>
  <c r="E25" i="34"/>
  <c r="V24" i="34"/>
  <c r="M24" i="34"/>
  <c r="J24" i="34"/>
  <c r="G24" i="34"/>
  <c r="F24" i="34"/>
  <c r="I24" i="34" s="1"/>
  <c r="L24" i="34" s="1"/>
  <c r="O24" i="34" s="1"/>
  <c r="R24" i="34" s="1"/>
  <c r="U24" i="34" s="1"/>
  <c r="X24" i="34" s="1"/>
  <c r="Y24" i="34" s="1"/>
  <c r="E24" i="34"/>
  <c r="AA24" i="34" s="1"/>
  <c r="AD24" i="34" s="1"/>
  <c r="AG24" i="34" s="1"/>
  <c r="AJ24" i="34" s="1"/>
  <c r="AM24" i="34" s="1"/>
  <c r="AP24" i="34" s="1"/>
  <c r="AS24" i="34" s="1"/>
  <c r="AV24" i="34" s="1"/>
  <c r="AY24" i="34" s="1"/>
  <c r="BB24" i="34" s="1"/>
  <c r="BE24" i="34" s="1"/>
  <c r="BH24" i="34" s="1"/>
  <c r="BK24" i="34" s="1"/>
  <c r="BN24" i="34" s="1"/>
  <c r="BQ24" i="34" s="1"/>
  <c r="BT24" i="34" s="1"/>
  <c r="BW24" i="34" s="1"/>
  <c r="BZ24" i="34" s="1"/>
  <c r="CC24" i="34" s="1"/>
  <c r="CF24" i="34" s="1"/>
  <c r="CG24" i="34" s="1"/>
  <c r="F23" i="34"/>
  <c r="G23" i="34" s="1"/>
  <c r="E23" i="34"/>
  <c r="AA23" i="34" s="1"/>
  <c r="AA22" i="34"/>
  <c r="AD22" i="34" s="1"/>
  <c r="I22" i="34"/>
  <c r="L22" i="34" s="1"/>
  <c r="G22" i="34"/>
  <c r="F22" i="34"/>
  <c r="E22" i="34"/>
  <c r="AA21" i="34"/>
  <c r="AB21" i="34" s="1"/>
  <c r="I21" i="34"/>
  <c r="J21" i="34" s="1"/>
  <c r="F21" i="34"/>
  <c r="G21" i="34" s="1"/>
  <c r="E21" i="34"/>
  <c r="G20" i="34"/>
  <c r="F20" i="34"/>
  <c r="I20" i="34" s="1"/>
  <c r="E20" i="34"/>
  <c r="AA20" i="34" s="1"/>
  <c r="AD19" i="34"/>
  <c r="AE19" i="34" s="1"/>
  <c r="AA19" i="34"/>
  <c r="AB19" i="34" s="1"/>
  <c r="F19" i="34"/>
  <c r="G19" i="34" s="1"/>
  <c r="E19" i="34"/>
  <c r="J18" i="34"/>
  <c r="I18" i="34"/>
  <c r="L18" i="34" s="1"/>
  <c r="G18" i="34"/>
  <c r="F18" i="34"/>
  <c r="E18" i="34"/>
  <c r="AA18" i="34" s="1"/>
  <c r="AA17" i="34"/>
  <c r="I17" i="34"/>
  <c r="F17" i="34"/>
  <c r="G17" i="34" s="1"/>
  <c r="E17" i="34"/>
  <c r="G16" i="34"/>
  <c r="F16" i="34"/>
  <c r="I16" i="34" s="1"/>
  <c r="E16" i="34"/>
  <c r="AA16" i="34" s="1"/>
  <c r="F15" i="34"/>
  <c r="E15" i="34"/>
  <c r="AA15" i="34" s="1"/>
  <c r="AB15" i="34" s="1"/>
  <c r="O14" i="34"/>
  <c r="R14" i="34" s="1"/>
  <c r="U14" i="34" s="1"/>
  <c r="J14" i="34"/>
  <c r="I14" i="34"/>
  <c r="L14" i="34" s="1"/>
  <c r="M14" i="34" s="1"/>
  <c r="G14" i="34"/>
  <c r="F14" i="34"/>
  <c r="E14" i="34"/>
  <c r="AA14" i="34" s="1"/>
  <c r="AA13" i="34"/>
  <c r="AB13" i="34" s="1"/>
  <c r="G13" i="34"/>
  <c r="F13" i="34"/>
  <c r="I13" i="34" s="1"/>
  <c r="E13" i="34"/>
  <c r="L12" i="34"/>
  <c r="O12" i="34" s="1"/>
  <c r="R12" i="34" s="1"/>
  <c r="J12" i="34"/>
  <c r="G12" i="34"/>
  <c r="F12" i="34"/>
  <c r="I12" i="34" s="1"/>
  <c r="E12" i="34"/>
  <c r="AA12" i="34" s="1"/>
  <c r="AD12" i="34" s="1"/>
  <c r="G11" i="34"/>
  <c r="F11" i="34"/>
  <c r="I11" i="34" s="1"/>
  <c r="E11" i="34"/>
  <c r="AA11" i="34" s="1"/>
  <c r="AD10" i="34"/>
  <c r="AG10" i="34" s="1"/>
  <c r="AA10" i="34"/>
  <c r="AB10" i="34" s="1"/>
  <c r="F10" i="34"/>
  <c r="I10" i="34" s="1"/>
  <c r="E10" i="34"/>
  <c r="J9" i="34"/>
  <c r="I9" i="34"/>
  <c r="L9" i="34" s="1"/>
  <c r="G9" i="34"/>
  <c r="F9" i="34"/>
  <c r="E9" i="34"/>
  <c r="AA9" i="34" s="1"/>
  <c r="AA8" i="34"/>
  <c r="AD8" i="34" s="1"/>
  <c r="I8" i="34"/>
  <c r="L8" i="34" s="1"/>
  <c r="F8" i="34"/>
  <c r="G8" i="34" s="1"/>
  <c r="E8" i="34"/>
  <c r="G7" i="34"/>
  <c r="F7" i="34"/>
  <c r="I7" i="34" s="1"/>
  <c r="E7" i="34"/>
  <c r="AA7" i="34" s="1"/>
  <c r="AA6" i="34"/>
  <c r="AB6" i="34" s="1"/>
  <c r="I6" i="34"/>
  <c r="J6" i="34" s="1"/>
  <c r="F6" i="34"/>
  <c r="G6" i="34" s="1"/>
  <c r="E6" i="34"/>
  <c r="V5" i="34"/>
  <c r="P5" i="34"/>
  <c r="J5" i="34"/>
  <c r="I5" i="34"/>
  <c r="L5" i="34" s="1"/>
  <c r="O5" i="34" s="1"/>
  <c r="R5" i="34" s="1"/>
  <c r="U5" i="34" s="1"/>
  <c r="X5" i="34" s="1"/>
  <c r="Y5" i="34" s="1"/>
  <c r="G5" i="34"/>
  <c r="F5" i="34"/>
  <c r="E5" i="34"/>
  <c r="AA5" i="34" s="1"/>
  <c r="AD5" i="34" s="1"/>
  <c r="AG5" i="34" s="1"/>
  <c r="AJ5" i="34" s="1"/>
  <c r="AM5" i="34" s="1"/>
  <c r="AP5" i="34" s="1"/>
  <c r="AS5" i="34" s="1"/>
  <c r="AV5" i="34" s="1"/>
  <c r="AY5" i="34" s="1"/>
  <c r="BB5" i="34" s="1"/>
  <c r="BE5" i="34" s="1"/>
  <c r="BH5" i="34" s="1"/>
  <c r="BK5" i="34" s="1"/>
  <c r="BN5" i="34" s="1"/>
  <c r="BQ5" i="34" s="1"/>
  <c r="BT5" i="34" s="1"/>
  <c r="BW5" i="34" s="1"/>
  <c r="BZ5" i="34" s="1"/>
  <c r="CC5" i="34" s="1"/>
  <c r="CF5" i="34" s="1"/>
  <c r="CG5" i="34" s="1"/>
  <c r="AB5" i="34" l="1"/>
  <c r="AN5" i="34"/>
  <c r="AZ5" i="34"/>
  <c r="BL5" i="34"/>
  <c r="BX5" i="34"/>
  <c r="O8" i="34"/>
  <c r="M8" i="34"/>
  <c r="L10" i="34"/>
  <c r="J10" i="34"/>
  <c r="J11" i="34"/>
  <c r="L11" i="34"/>
  <c r="J13" i="34"/>
  <c r="L13" i="34"/>
  <c r="X14" i="34"/>
  <c r="Y14" i="34" s="1"/>
  <c r="V14" i="34"/>
  <c r="S5" i="34"/>
  <c r="AE5" i="34"/>
  <c r="AQ5" i="34"/>
  <c r="BC5" i="34"/>
  <c r="BO5" i="34"/>
  <c r="CA5" i="34"/>
  <c r="AD6" i="34"/>
  <c r="AG8" i="34"/>
  <c r="AE8" i="34"/>
  <c r="O9" i="34"/>
  <c r="M9" i="34"/>
  <c r="AH5" i="34"/>
  <c r="AT5" i="34"/>
  <c r="BF5" i="34"/>
  <c r="BR5" i="34"/>
  <c r="CD5" i="34"/>
  <c r="AB7" i="34"/>
  <c r="AD7" i="34"/>
  <c r="AD9" i="34"/>
  <c r="AB9" i="34"/>
  <c r="AJ10" i="34"/>
  <c r="AH10" i="34"/>
  <c r="AG12" i="34"/>
  <c r="AE12" i="34"/>
  <c r="U12" i="34"/>
  <c r="S12" i="34"/>
  <c r="M5" i="34"/>
  <c r="AK5" i="34"/>
  <c r="AW5" i="34"/>
  <c r="BI5" i="34"/>
  <c r="BU5" i="34"/>
  <c r="L6" i="34"/>
  <c r="L7" i="34"/>
  <c r="J7" i="34"/>
  <c r="AD11" i="34"/>
  <c r="AB11" i="34"/>
  <c r="AD14" i="34"/>
  <c r="AB14" i="34"/>
  <c r="P12" i="34"/>
  <c r="L20" i="34"/>
  <c r="J20" i="34"/>
  <c r="AD13" i="34"/>
  <c r="P14" i="34"/>
  <c r="G15" i="34"/>
  <c r="I15" i="34"/>
  <c r="AD15" i="34"/>
  <c r="J17" i="34"/>
  <c r="L17" i="34"/>
  <c r="O18" i="34"/>
  <c r="M18" i="34"/>
  <c r="O22" i="34"/>
  <c r="M22" i="34"/>
  <c r="AB12" i="34"/>
  <c r="AG22" i="34"/>
  <c r="AE22" i="34"/>
  <c r="S14" i="34"/>
  <c r="AD18" i="34"/>
  <c r="AB18" i="34"/>
  <c r="J8" i="34"/>
  <c r="AB8" i="34"/>
  <c r="G10" i="34"/>
  <c r="AE10" i="34"/>
  <c r="M12" i="34"/>
  <c r="AD16" i="34"/>
  <c r="AB16" i="34"/>
  <c r="AD20" i="34"/>
  <c r="AB20" i="34"/>
  <c r="AD23" i="34"/>
  <c r="AB23" i="34"/>
  <c r="L16" i="34"/>
  <c r="J16" i="34"/>
  <c r="AB17" i="34"/>
  <c r="AD17" i="34"/>
  <c r="I19" i="34"/>
  <c r="AG19" i="34"/>
  <c r="L21" i="34"/>
  <c r="AD21" i="34"/>
  <c r="AH24" i="34"/>
  <c r="AT24" i="34"/>
  <c r="BF24" i="34"/>
  <c r="BR24" i="34"/>
  <c r="CD24" i="34"/>
  <c r="AG27" i="34"/>
  <c r="AE27" i="34"/>
  <c r="AK24" i="34"/>
  <c r="AW24" i="34"/>
  <c r="BI24" i="34"/>
  <c r="BU24" i="34"/>
  <c r="L25" i="34"/>
  <c r="AG25" i="34"/>
  <c r="AE25" i="34"/>
  <c r="J28" i="34"/>
  <c r="L28" i="34"/>
  <c r="J22" i="34"/>
  <c r="AB22" i="34"/>
  <c r="P24" i="34"/>
  <c r="AB24" i="34"/>
  <c r="AN24" i="34"/>
  <c r="AZ24" i="34"/>
  <c r="BL24" i="34"/>
  <c r="BX24" i="34"/>
  <c r="O26" i="34"/>
  <c r="M26" i="34"/>
  <c r="I23" i="34"/>
  <c r="S24" i="34"/>
  <c r="AE24" i="34"/>
  <c r="AQ24" i="34"/>
  <c r="BC24" i="34"/>
  <c r="BO24" i="34"/>
  <c r="CA24" i="34"/>
  <c r="AD26" i="34"/>
  <c r="AB26" i="34"/>
  <c r="AH29" i="34"/>
  <c r="AT29" i="34"/>
  <c r="BF29" i="34"/>
  <c r="BR29" i="34"/>
  <c r="CD29" i="34"/>
  <c r="L32" i="34"/>
  <c r="J32" i="34"/>
  <c r="M33" i="34"/>
  <c r="O33" i="34"/>
  <c r="AB33" i="34"/>
  <c r="AJ34" i="34"/>
  <c r="AH34" i="34"/>
  <c r="AD28" i="34"/>
  <c r="AK29" i="34"/>
  <c r="AW29" i="34"/>
  <c r="BI29" i="34"/>
  <c r="BU29" i="34"/>
  <c r="AE33" i="34"/>
  <c r="AG33" i="34"/>
  <c r="S27" i="34"/>
  <c r="AB27" i="34"/>
  <c r="G28" i="34"/>
  <c r="AB29" i="34"/>
  <c r="AN29" i="34"/>
  <c r="AZ29" i="34"/>
  <c r="BL29" i="34"/>
  <c r="BX29" i="34"/>
  <c r="O30" i="34"/>
  <c r="AB31" i="34"/>
  <c r="AD31" i="34"/>
  <c r="M27" i="34"/>
  <c r="S29" i="34"/>
  <c r="AE29" i="34"/>
  <c r="AQ29" i="34"/>
  <c r="BC29" i="34"/>
  <c r="BO29" i="34"/>
  <c r="CA29" i="34"/>
  <c r="AD30" i="34"/>
  <c r="J31" i="34"/>
  <c r="L31" i="34"/>
  <c r="AD32" i="34"/>
  <c r="AB32" i="34"/>
  <c r="I34" i="34"/>
  <c r="G34" i="34"/>
  <c r="L35" i="34"/>
  <c r="S36" i="34"/>
  <c r="AE36" i="34"/>
  <c r="AQ36" i="34"/>
  <c r="BC36" i="34"/>
  <c r="BO36" i="34"/>
  <c r="CA36" i="34"/>
  <c r="AD37" i="34"/>
  <c r="AK38" i="34"/>
  <c r="AW38" i="34"/>
  <c r="BI38" i="34"/>
  <c r="BU38" i="34"/>
  <c r="S40" i="34"/>
  <c r="AE40" i="34"/>
  <c r="AQ40" i="34"/>
  <c r="BC40" i="34"/>
  <c r="AG41" i="34"/>
  <c r="AH36" i="34"/>
  <c r="AT36" i="34"/>
  <c r="BF36" i="34"/>
  <c r="BR36" i="34"/>
  <c r="CD36" i="34"/>
  <c r="BL38" i="34"/>
  <c r="BX38" i="34"/>
  <c r="V40" i="34"/>
  <c r="AH40" i="34"/>
  <c r="AT40" i="34"/>
  <c r="BF40" i="34"/>
  <c r="AG43" i="34"/>
  <c r="AE43" i="34"/>
  <c r="O45" i="34"/>
  <c r="M45" i="34"/>
  <c r="AE34" i="34"/>
  <c r="AD35" i="34"/>
  <c r="M36" i="34"/>
  <c r="AK36" i="34"/>
  <c r="AW36" i="34"/>
  <c r="BI36" i="34"/>
  <c r="BU36" i="34"/>
  <c r="L37" i="34"/>
  <c r="S38" i="34"/>
  <c r="AE38" i="34"/>
  <c r="AQ38" i="34"/>
  <c r="BC38" i="34"/>
  <c r="BO38" i="34"/>
  <c r="CA38" i="34"/>
  <c r="R39" i="34"/>
  <c r="AD39" i="34"/>
  <c r="M40" i="34"/>
  <c r="AK40" i="34"/>
  <c r="AW40" i="34"/>
  <c r="BK40" i="34"/>
  <c r="AB36" i="34"/>
  <c r="AN36" i="34"/>
  <c r="AZ36" i="34"/>
  <c r="BL36" i="34"/>
  <c r="BX36" i="34"/>
  <c r="AH38" i="34"/>
  <c r="AT38" i="34"/>
  <c r="BF38" i="34"/>
  <c r="BR38" i="34"/>
  <c r="CD38" i="34"/>
  <c r="P40" i="34"/>
  <c r="AB40" i="34"/>
  <c r="AN40" i="34"/>
  <c r="AZ40" i="34"/>
  <c r="M41" i="34"/>
  <c r="O41" i="34"/>
  <c r="AB41" i="34"/>
  <c r="AD42" i="34"/>
  <c r="AB42" i="34"/>
  <c r="AD45" i="34"/>
  <c r="AB45" i="34"/>
  <c r="O43" i="34"/>
  <c r="M43" i="34"/>
  <c r="AD46" i="34"/>
  <c r="AB46" i="34"/>
  <c r="I42" i="34"/>
  <c r="J43" i="34"/>
  <c r="AB43" i="34"/>
  <c r="L44" i="34"/>
  <c r="AD44" i="34"/>
  <c r="I46" i="34"/>
  <c r="J45" i="34"/>
  <c r="O44" i="34" l="1"/>
  <c r="M44" i="34"/>
  <c r="AJ43" i="34"/>
  <c r="AH43" i="34"/>
  <c r="AH41" i="34"/>
  <c r="AJ41" i="34"/>
  <c r="M35" i="34"/>
  <c r="O35" i="34"/>
  <c r="AE32" i="34"/>
  <c r="AG32" i="34"/>
  <c r="AE28" i="34"/>
  <c r="AG28" i="34"/>
  <c r="R33" i="34"/>
  <c r="P33" i="34"/>
  <c r="O28" i="34"/>
  <c r="M28" i="34"/>
  <c r="O25" i="34"/>
  <c r="M25" i="34"/>
  <c r="AG21" i="34"/>
  <c r="AE21" i="34"/>
  <c r="AE17" i="34"/>
  <c r="AG17" i="34"/>
  <c r="AG18" i="34"/>
  <c r="AE18" i="34"/>
  <c r="R18" i="34"/>
  <c r="P18" i="34"/>
  <c r="J15" i="34"/>
  <c r="L15" i="34"/>
  <c r="AG14" i="34"/>
  <c r="AE14" i="34"/>
  <c r="O7" i="34"/>
  <c r="M7" i="34"/>
  <c r="X12" i="34"/>
  <c r="Y12" i="34" s="1"/>
  <c r="V12" i="34"/>
  <c r="AM10" i="34"/>
  <c r="AK10" i="34"/>
  <c r="M10" i="34"/>
  <c r="O10" i="34"/>
  <c r="AE46" i="34"/>
  <c r="AG46" i="34"/>
  <c r="AG45" i="34"/>
  <c r="AE45" i="34"/>
  <c r="R41" i="34"/>
  <c r="P41" i="34"/>
  <c r="BN40" i="34"/>
  <c r="BL40" i="34"/>
  <c r="AE39" i="34"/>
  <c r="AG39" i="34"/>
  <c r="M37" i="34"/>
  <c r="O37" i="34"/>
  <c r="AE37" i="34"/>
  <c r="AG37" i="34"/>
  <c r="O31" i="34"/>
  <c r="M31" i="34"/>
  <c r="P30" i="34"/>
  <c r="R30" i="34"/>
  <c r="L23" i="34"/>
  <c r="J23" i="34"/>
  <c r="O21" i="34"/>
  <c r="M21" i="34"/>
  <c r="AE23" i="34"/>
  <c r="AG23" i="34"/>
  <c r="AG16" i="34"/>
  <c r="AE16" i="34"/>
  <c r="M17" i="34"/>
  <c r="O17" i="34"/>
  <c r="O20" i="34"/>
  <c r="M20" i="34"/>
  <c r="M6" i="34"/>
  <c r="O6" i="34"/>
  <c r="AH8" i="34"/>
  <c r="AJ8" i="34"/>
  <c r="O11" i="34"/>
  <c r="M11" i="34"/>
  <c r="L46" i="34"/>
  <c r="J46" i="34"/>
  <c r="S39" i="34"/>
  <c r="U39" i="34"/>
  <c r="R45" i="34"/>
  <c r="P45" i="34"/>
  <c r="J34" i="34"/>
  <c r="L34" i="34"/>
  <c r="AJ33" i="34"/>
  <c r="AH33" i="34"/>
  <c r="AM34" i="34"/>
  <c r="AK34" i="34"/>
  <c r="AG26" i="34"/>
  <c r="AE26" i="34"/>
  <c r="AJ27" i="34"/>
  <c r="AH27" i="34"/>
  <c r="AJ19" i="34"/>
  <c r="AH19" i="34"/>
  <c r="R22" i="34"/>
  <c r="P22" i="34"/>
  <c r="AG11" i="34"/>
  <c r="AE11" i="34"/>
  <c r="AJ12" i="34"/>
  <c r="AH12" i="34"/>
  <c r="AG9" i="34"/>
  <c r="AE9" i="34"/>
  <c r="AE6" i="34"/>
  <c r="AG6" i="34"/>
  <c r="P8" i="34"/>
  <c r="R8" i="34"/>
  <c r="AG44" i="34"/>
  <c r="AE44" i="34"/>
  <c r="L42" i="34"/>
  <c r="J42" i="34"/>
  <c r="R43" i="34"/>
  <c r="P43" i="34"/>
  <c r="AE42" i="34"/>
  <c r="AG42" i="34"/>
  <c r="AE35" i="34"/>
  <c r="AG35" i="34"/>
  <c r="AE30" i="34"/>
  <c r="AG30" i="34"/>
  <c r="AG31" i="34"/>
  <c r="AE31" i="34"/>
  <c r="M32" i="34"/>
  <c r="O32" i="34"/>
  <c r="R26" i="34"/>
  <c r="P26" i="34"/>
  <c r="AH25" i="34"/>
  <c r="AJ25" i="34"/>
  <c r="L19" i="34"/>
  <c r="J19" i="34"/>
  <c r="O16" i="34"/>
  <c r="M16" i="34"/>
  <c r="AG20" i="34"/>
  <c r="AE20" i="34"/>
  <c r="AJ22" i="34"/>
  <c r="AH22" i="34"/>
  <c r="AE15" i="34"/>
  <c r="AG15" i="34"/>
  <c r="AG13" i="34"/>
  <c r="AE13" i="34"/>
  <c r="AG7" i="34"/>
  <c r="AE7" i="34"/>
  <c r="R9" i="34"/>
  <c r="P9" i="34"/>
  <c r="O13" i="34"/>
  <c r="M13" i="34"/>
  <c r="P13" i="34" l="1"/>
  <c r="R13" i="34"/>
  <c r="AJ7" i="34"/>
  <c r="AH7" i="34"/>
  <c r="AJ20" i="34"/>
  <c r="AH20" i="34"/>
  <c r="M19" i="34"/>
  <c r="O19" i="34"/>
  <c r="U26" i="34"/>
  <c r="S26" i="34"/>
  <c r="AH31" i="34"/>
  <c r="AJ31" i="34"/>
  <c r="U43" i="34"/>
  <c r="S43" i="34"/>
  <c r="AH44" i="34"/>
  <c r="AJ44" i="34"/>
  <c r="AM12" i="34"/>
  <c r="AK12" i="34"/>
  <c r="U22" i="34"/>
  <c r="S22" i="34"/>
  <c r="AM27" i="34"/>
  <c r="AK27" i="34"/>
  <c r="AP34" i="34"/>
  <c r="AN34" i="34"/>
  <c r="R11" i="34"/>
  <c r="P11" i="34"/>
  <c r="M23" i="34"/>
  <c r="O23" i="34"/>
  <c r="P31" i="34"/>
  <c r="R31" i="34"/>
  <c r="BQ40" i="34"/>
  <c r="BO40" i="34"/>
  <c r="AJ45" i="34"/>
  <c r="AH45" i="34"/>
  <c r="AJ14" i="34"/>
  <c r="AH14" i="34"/>
  <c r="U18" i="34"/>
  <c r="S18" i="34"/>
  <c r="P25" i="34"/>
  <c r="R25" i="34"/>
  <c r="S33" i="34"/>
  <c r="U33" i="34"/>
  <c r="P44" i="34"/>
  <c r="R44" i="34"/>
  <c r="AM25" i="34"/>
  <c r="AK25" i="34"/>
  <c r="R32" i="34"/>
  <c r="P32" i="34"/>
  <c r="AH30" i="34"/>
  <c r="AJ30" i="34"/>
  <c r="AJ42" i="34"/>
  <c r="AH42" i="34"/>
  <c r="U8" i="34"/>
  <c r="S8" i="34"/>
  <c r="AM8" i="34"/>
  <c r="AK8" i="34"/>
  <c r="S30" i="34"/>
  <c r="U30" i="34"/>
  <c r="AH37" i="34"/>
  <c r="AJ37" i="34"/>
  <c r="AH39" i="34"/>
  <c r="AJ39" i="34"/>
  <c r="AJ46" i="34"/>
  <c r="AH46" i="34"/>
  <c r="M15" i="34"/>
  <c r="O15" i="34"/>
  <c r="AH28" i="34"/>
  <c r="AJ28" i="34"/>
  <c r="P35" i="34"/>
  <c r="R35" i="34"/>
  <c r="S9" i="34"/>
  <c r="U9" i="34"/>
  <c r="AH13" i="34"/>
  <c r="AJ13" i="34"/>
  <c r="AM22" i="34"/>
  <c r="AK22" i="34"/>
  <c r="R16" i="34"/>
  <c r="P16" i="34"/>
  <c r="M42" i="34"/>
  <c r="O42" i="34"/>
  <c r="AJ9" i="34"/>
  <c r="AH9" i="34"/>
  <c r="AJ11" i="34"/>
  <c r="AH11" i="34"/>
  <c r="AK19" i="34"/>
  <c r="AM19" i="34"/>
  <c r="AJ26" i="34"/>
  <c r="AH26" i="34"/>
  <c r="AK33" i="34"/>
  <c r="AM33" i="34"/>
  <c r="U45" i="34"/>
  <c r="S45" i="34"/>
  <c r="M46" i="34"/>
  <c r="O46" i="34"/>
  <c r="R20" i="34"/>
  <c r="P20" i="34"/>
  <c r="AJ16" i="34"/>
  <c r="AH16" i="34"/>
  <c r="P21" i="34"/>
  <c r="R21" i="34"/>
  <c r="S41" i="34"/>
  <c r="U41" i="34"/>
  <c r="AP10" i="34"/>
  <c r="AN10" i="34"/>
  <c r="P7" i="34"/>
  <c r="R7" i="34"/>
  <c r="AJ18" i="34"/>
  <c r="AH18" i="34"/>
  <c r="AH21" i="34"/>
  <c r="AJ21" i="34"/>
  <c r="P28" i="34"/>
  <c r="R28" i="34"/>
  <c r="AM43" i="34"/>
  <c r="AK43" i="34"/>
  <c r="AH15" i="34"/>
  <c r="AJ15" i="34"/>
  <c r="AH35" i="34"/>
  <c r="AJ35" i="34"/>
  <c r="AH6" i="34"/>
  <c r="AJ6" i="34"/>
  <c r="O34" i="34"/>
  <c r="M34" i="34"/>
  <c r="V39" i="34"/>
  <c r="X39" i="34"/>
  <c r="Y39" i="34" s="1"/>
  <c r="P6" i="34"/>
  <c r="R6" i="34"/>
  <c r="P17" i="34"/>
  <c r="R17" i="34"/>
  <c r="AH23" i="34"/>
  <c r="AJ23" i="34"/>
  <c r="P37" i="34"/>
  <c r="R37" i="34"/>
  <c r="R10" i="34"/>
  <c r="P10" i="34"/>
  <c r="AH17" i="34"/>
  <c r="AJ17" i="34"/>
  <c r="AJ32" i="34"/>
  <c r="AH32" i="34"/>
  <c r="AK41" i="34"/>
  <c r="AM41" i="34"/>
  <c r="AK32" i="34" l="1"/>
  <c r="AM32" i="34"/>
  <c r="U10" i="34"/>
  <c r="S10" i="34"/>
  <c r="P34" i="34"/>
  <c r="R34" i="34"/>
  <c r="AP43" i="34"/>
  <c r="AN43" i="34"/>
  <c r="AM16" i="34"/>
  <c r="AK16" i="34"/>
  <c r="AK9" i="34"/>
  <c r="AM9" i="34"/>
  <c r="U16" i="34"/>
  <c r="S16" i="34"/>
  <c r="V8" i="34"/>
  <c r="X8" i="34"/>
  <c r="Y8" i="34" s="1"/>
  <c r="AN25" i="34"/>
  <c r="AP25" i="34"/>
  <c r="X18" i="34"/>
  <c r="Y18" i="34" s="1"/>
  <c r="V18" i="34"/>
  <c r="AM45" i="34"/>
  <c r="AK45" i="34"/>
  <c r="U11" i="34"/>
  <c r="S11" i="34"/>
  <c r="AP27" i="34"/>
  <c r="AN27" i="34"/>
  <c r="AN12" i="34"/>
  <c r="AP12" i="34"/>
  <c r="X43" i="34"/>
  <c r="Y43" i="34" s="1"/>
  <c r="V43" i="34"/>
  <c r="X26" i="34"/>
  <c r="Y26" i="34" s="1"/>
  <c r="V26" i="34"/>
  <c r="AM20" i="34"/>
  <c r="AK20" i="34"/>
  <c r="AP41" i="34"/>
  <c r="AN41" i="34"/>
  <c r="AK17" i="34"/>
  <c r="AM17" i="34"/>
  <c r="S37" i="34"/>
  <c r="U37" i="34"/>
  <c r="S17" i="34"/>
  <c r="U17" i="34"/>
  <c r="AK6" i="34"/>
  <c r="AM6" i="34"/>
  <c r="AK15" i="34"/>
  <c r="AM15" i="34"/>
  <c r="U28" i="34"/>
  <c r="S28" i="34"/>
  <c r="U21" i="34"/>
  <c r="S21" i="34"/>
  <c r="R42" i="34"/>
  <c r="P42" i="34"/>
  <c r="X9" i="34"/>
  <c r="Y9" i="34" s="1"/>
  <c r="V9" i="34"/>
  <c r="AK28" i="34"/>
  <c r="AM28" i="34"/>
  <c r="AK37" i="34"/>
  <c r="AM37" i="34"/>
  <c r="U44" i="34"/>
  <c r="S44" i="34"/>
  <c r="U25" i="34"/>
  <c r="S25" i="34"/>
  <c r="P23" i="34"/>
  <c r="R23" i="34"/>
  <c r="AM44" i="34"/>
  <c r="AK44" i="34"/>
  <c r="AM31" i="34"/>
  <c r="AK31" i="34"/>
  <c r="R19" i="34"/>
  <c r="P19" i="34"/>
  <c r="AM18" i="34"/>
  <c r="AK18" i="34"/>
  <c r="AS10" i="34"/>
  <c r="AQ10" i="34"/>
  <c r="U20" i="34"/>
  <c r="S20" i="34"/>
  <c r="X45" i="34"/>
  <c r="Y45" i="34" s="1"/>
  <c r="V45" i="34"/>
  <c r="AM26" i="34"/>
  <c r="AK26" i="34"/>
  <c r="AK11" i="34"/>
  <c r="AM11" i="34"/>
  <c r="AP22" i="34"/>
  <c r="AN22" i="34"/>
  <c r="AK46" i="34"/>
  <c r="AM46" i="34"/>
  <c r="AP8" i="34"/>
  <c r="AN8" i="34"/>
  <c r="AK42" i="34"/>
  <c r="AM42" i="34"/>
  <c r="S32" i="34"/>
  <c r="U32" i="34"/>
  <c r="AM14" i="34"/>
  <c r="AK14" i="34"/>
  <c r="BT40" i="34"/>
  <c r="BR40" i="34"/>
  <c r="AS34" i="34"/>
  <c r="AQ34" i="34"/>
  <c r="X22" i="34"/>
  <c r="Y22" i="34" s="1"/>
  <c r="V22" i="34"/>
  <c r="AM7" i="34"/>
  <c r="AK7" i="34"/>
  <c r="AK23" i="34"/>
  <c r="AM23" i="34"/>
  <c r="S6" i="34"/>
  <c r="U6" i="34"/>
  <c r="AK35" i="34"/>
  <c r="AM35" i="34"/>
  <c r="AM21" i="34"/>
  <c r="AK21" i="34"/>
  <c r="U7" i="34"/>
  <c r="S7" i="34"/>
  <c r="V41" i="34"/>
  <c r="X41" i="34"/>
  <c r="Y41" i="34" s="1"/>
  <c r="R46" i="34"/>
  <c r="P46" i="34"/>
  <c r="AP33" i="34"/>
  <c r="AN33" i="34"/>
  <c r="AP19" i="34"/>
  <c r="AN19" i="34"/>
  <c r="AM13" i="34"/>
  <c r="AK13" i="34"/>
  <c r="S35" i="34"/>
  <c r="U35" i="34"/>
  <c r="P15" i="34"/>
  <c r="R15" i="34"/>
  <c r="AK39" i="34"/>
  <c r="AM39" i="34"/>
  <c r="V30" i="34"/>
  <c r="X30" i="34"/>
  <c r="Y30" i="34" s="1"/>
  <c r="AK30" i="34"/>
  <c r="AM30" i="34"/>
  <c r="X33" i="34"/>
  <c r="Y33" i="34" s="1"/>
  <c r="V33" i="34"/>
  <c r="U31" i="34"/>
  <c r="S31" i="34"/>
  <c r="S13" i="34"/>
  <c r="U13" i="34"/>
  <c r="AN13" i="34" l="1"/>
  <c r="AP13" i="34"/>
  <c r="AQ33" i="34"/>
  <c r="AS33" i="34"/>
  <c r="AN21" i="34"/>
  <c r="AP21" i="34"/>
  <c r="AN7" i="34"/>
  <c r="AP7" i="34"/>
  <c r="AV34" i="34"/>
  <c r="AT34" i="34"/>
  <c r="AP14" i="34"/>
  <c r="AN14" i="34"/>
  <c r="AV10" i="34"/>
  <c r="AT10" i="34"/>
  <c r="S19" i="34"/>
  <c r="U19" i="34"/>
  <c r="AN44" i="34"/>
  <c r="AP44" i="34"/>
  <c r="V25" i="34"/>
  <c r="X25" i="34"/>
  <c r="Y25" i="34" s="1"/>
  <c r="V21" i="34"/>
  <c r="X21" i="34"/>
  <c r="Y21" i="34" s="1"/>
  <c r="AP20" i="34"/>
  <c r="AN20" i="34"/>
  <c r="AS27" i="34"/>
  <c r="AQ27" i="34"/>
  <c r="AP45" i="34"/>
  <c r="AN45" i="34"/>
  <c r="X16" i="34"/>
  <c r="Y16" i="34" s="1"/>
  <c r="V16" i="34"/>
  <c r="AP16" i="34"/>
  <c r="AN16" i="34"/>
  <c r="AN30" i="34"/>
  <c r="AP30" i="34"/>
  <c r="AN39" i="34"/>
  <c r="AP39" i="34"/>
  <c r="V35" i="34"/>
  <c r="X35" i="34"/>
  <c r="Y35" i="34" s="1"/>
  <c r="AN35" i="34"/>
  <c r="AP35" i="34"/>
  <c r="AN23" i="34"/>
  <c r="AP23" i="34"/>
  <c r="X32" i="34"/>
  <c r="Y32" i="34" s="1"/>
  <c r="V32" i="34"/>
  <c r="S23" i="34"/>
  <c r="U23" i="34"/>
  <c r="AN28" i="34"/>
  <c r="AP28" i="34"/>
  <c r="AN6" i="34"/>
  <c r="AP6" i="34"/>
  <c r="V37" i="34"/>
  <c r="X37" i="34"/>
  <c r="Y37" i="34" s="1"/>
  <c r="AS12" i="34"/>
  <c r="AQ12" i="34"/>
  <c r="AP9" i="34"/>
  <c r="AN9" i="34"/>
  <c r="V31" i="34"/>
  <c r="X31" i="34"/>
  <c r="Y31" i="34" s="1"/>
  <c r="AQ19" i="34"/>
  <c r="AS19" i="34"/>
  <c r="S46" i="34"/>
  <c r="U46" i="34"/>
  <c r="X7" i="34"/>
  <c r="Y7" i="34" s="1"/>
  <c r="V7" i="34"/>
  <c r="BU40" i="34"/>
  <c r="BW40" i="34"/>
  <c r="AS8" i="34"/>
  <c r="AQ8" i="34"/>
  <c r="AS22" i="34"/>
  <c r="AQ22" i="34"/>
  <c r="AP26" i="34"/>
  <c r="AN26" i="34"/>
  <c r="X20" i="34"/>
  <c r="Y20" i="34" s="1"/>
  <c r="V20" i="34"/>
  <c r="AP18" i="34"/>
  <c r="AN18" i="34"/>
  <c r="AN31" i="34"/>
  <c r="AP31" i="34"/>
  <c r="V44" i="34"/>
  <c r="X44" i="34"/>
  <c r="Y44" i="34" s="1"/>
  <c r="S42" i="34"/>
  <c r="U42" i="34"/>
  <c r="V28" i="34"/>
  <c r="X28" i="34"/>
  <c r="Y28" i="34" s="1"/>
  <c r="AQ41" i="34"/>
  <c r="AS41" i="34"/>
  <c r="V11" i="34"/>
  <c r="X11" i="34"/>
  <c r="Y11" i="34" s="1"/>
  <c r="AS43" i="34"/>
  <c r="AQ43" i="34"/>
  <c r="X10" i="34"/>
  <c r="Y10" i="34" s="1"/>
  <c r="V10" i="34"/>
  <c r="V13" i="34"/>
  <c r="X13" i="34"/>
  <c r="Y13" i="34" s="1"/>
  <c r="S15" i="34"/>
  <c r="U15" i="34"/>
  <c r="V6" i="34"/>
  <c r="X6" i="34"/>
  <c r="Y6" i="34" s="1"/>
  <c r="AP42" i="34"/>
  <c r="AN42" i="34"/>
  <c r="AP46" i="34"/>
  <c r="AN46" i="34"/>
  <c r="AP11" i="34"/>
  <c r="AN11" i="34"/>
  <c r="AN37" i="34"/>
  <c r="AP37" i="34"/>
  <c r="AN15" i="34"/>
  <c r="AP15" i="34"/>
  <c r="V17" i="34"/>
  <c r="X17" i="34"/>
  <c r="Y17" i="34" s="1"/>
  <c r="AN17" i="34"/>
  <c r="AP17" i="34"/>
  <c r="AS25" i="34"/>
  <c r="AQ25" i="34"/>
  <c r="U34" i="34"/>
  <c r="S34" i="34"/>
  <c r="AP32" i="34"/>
  <c r="AN32" i="34"/>
  <c r="AQ32" i="34" l="1"/>
  <c r="AS32" i="34"/>
  <c r="AT25" i="34"/>
  <c r="AV25" i="34"/>
  <c r="AQ46" i="34"/>
  <c r="AS46" i="34"/>
  <c r="AV43" i="34"/>
  <c r="AT43" i="34"/>
  <c r="AV22" i="34"/>
  <c r="AT22" i="34"/>
  <c r="AT12" i="34"/>
  <c r="AV12" i="34"/>
  <c r="AT27" i="34"/>
  <c r="AV27" i="34"/>
  <c r="AY10" i="34"/>
  <c r="AW10" i="34"/>
  <c r="AW34" i="34"/>
  <c r="AY34" i="34"/>
  <c r="AQ17" i="34"/>
  <c r="AS17" i="34"/>
  <c r="AQ15" i="34"/>
  <c r="AS15" i="34"/>
  <c r="V15" i="34"/>
  <c r="X15" i="34"/>
  <c r="Y15" i="34" s="1"/>
  <c r="AV19" i="34"/>
  <c r="AT19" i="34"/>
  <c r="AQ28" i="34"/>
  <c r="AS28" i="34"/>
  <c r="AQ35" i="34"/>
  <c r="AS35" i="34"/>
  <c r="AQ39" i="34"/>
  <c r="AS39" i="34"/>
  <c r="X19" i="34"/>
  <c r="Y19" i="34" s="1"/>
  <c r="V19" i="34"/>
  <c r="AS7" i="34"/>
  <c r="AQ7" i="34"/>
  <c r="AV33" i="34"/>
  <c r="AT33" i="34"/>
  <c r="V34" i="34"/>
  <c r="X34" i="34"/>
  <c r="Y34" i="34" s="1"/>
  <c r="AQ11" i="34"/>
  <c r="AS11" i="34"/>
  <c r="AQ42" i="34"/>
  <c r="AS42" i="34"/>
  <c r="AS18" i="34"/>
  <c r="AQ18" i="34"/>
  <c r="AS26" i="34"/>
  <c r="AQ26" i="34"/>
  <c r="AT8" i="34"/>
  <c r="AV8" i="34"/>
  <c r="AS9" i="34"/>
  <c r="AQ9" i="34"/>
  <c r="AS16" i="34"/>
  <c r="AQ16" i="34"/>
  <c r="AS45" i="34"/>
  <c r="AQ45" i="34"/>
  <c r="AS20" i="34"/>
  <c r="AQ20" i="34"/>
  <c r="AS14" i="34"/>
  <c r="AQ14" i="34"/>
  <c r="AQ37" i="34"/>
  <c r="AS37" i="34"/>
  <c r="AT41" i="34"/>
  <c r="AV41" i="34"/>
  <c r="X42" i="34"/>
  <c r="Y42" i="34" s="1"/>
  <c r="V42" i="34"/>
  <c r="AS31" i="34"/>
  <c r="AQ31" i="34"/>
  <c r="BZ40" i="34"/>
  <c r="BX40" i="34"/>
  <c r="X46" i="34"/>
  <c r="Y46" i="34" s="1"/>
  <c r="V46" i="34"/>
  <c r="AQ6" i="34"/>
  <c r="AS6" i="34"/>
  <c r="X23" i="34"/>
  <c r="Y23" i="34" s="1"/>
  <c r="V23" i="34"/>
  <c r="AQ23" i="34"/>
  <c r="AS23" i="34"/>
  <c r="AQ30" i="34"/>
  <c r="AS30" i="34"/>
  <c r="AS44" i="34"/>
  <c r="AQ44" i="34"/>
  <c r="AS21" i="34"/>
  <c r="AQ21" i="34"/>
  <c r="AQ13" i="34"/>
  <c r="AS13" i="34"/>
  <c r="AT44" i="34" l="1"/>
  <c r="AV44" i="34"/>
  <c r="CC40" i="34"/>
  <c r="CA40" i="34"/>
  <c r="AV20" i="34"/>
  <c r="AT20" i="34"/>
  <c r="AV16" i="34"/>
  <c r="AT16" i="34"/>
  <c r="AV18" i="34"/>
  <c r="AT18" i="34"/>
  <c r="AW33" i="34"/>
  <c r="AY33" i="34"/>
  <c r="AW19" i="34"/>
  <c r="AY19" i="34"/>
  <c r="AY22" i="34"/>
  <c r="AW22" i="34"/>
  <c r="AT30" i="34"/>
  <c r="AV30" i="34"/>
  <c r="AY41" i="34"/>
  <c r="AW41" i="34"/>
  <c r="AV42" i="34"/>
  <c r="AT42" i="34"/>
  <c r="AT39" i="34"/>
  <c r="AV39" i="34"/>
  <c r="AT28" i="34"/>
  <c r="AV28" i="34"/>
  <c r="AT17" i="34"/>
  <c r="AV17" i="34"/>
  <c r="AY12" i="34"/>
  <c r="AW12" i="34"/>
  <c r="AY25" i="34"/>
  <c r="AW25" i="34"/>
  <c r="AT21" i="34"/>
  <c r="AV21" i="34"/>
  <c r="AT31" i="34"/>
  <c r="AV31" i="34"/>
  <c r="AV14" i="34"/>
  <c r="AT14" i="34"/>
  <c r="AV45" i="34"/>
  <c r="AT45" i="34"/>
  <c r="AV9" i="34"/>
  <c r="AT9" i="34"/>
  <c r="AV26" i="34"/>
  <c r="AT26" i="34"/>
  <c r="AV7" i="34"/>
  <c r="AT7" i="34"/>
  <c r="BB10" i="34"/>
  <c r="AZ10" i="34"/>
  <c r="AY43" i="34"/>
  <c r="AW43" i="34"/>
  <c r="AT13" i="34"/>
  <c r="AV13" i="34"/>
  <c r="AT23" i="34"/>
  <c r="AV23" i="34"/>
  <c r="AT6" i="34"/>
  <c r="AV6" i="34"/>
  <c r="AT37" i="34"/>
  <c r="AV37" i="34"/>
  <c r="AY8" i="34"/>
  <c r="AW8" i="34"/>
  <c r="AV11" i="34"/>
  <c r="AT11" i="34"/>
  <c r="AT35" i="34"/>
  <c r="AV35" i="34"/>
  <c r="AT15" i="34"/>
  <c r="AV15" i="34"/>
  <c r="BB34" i="34"/>
  <c r="AZ34" i="34"/>
  <c r="AY27" i="34"/>
  <c r="AW27" i="34"/>
  <c r="AV46" i="34"/>
  <c r="AT46" i="34"/>
  <c r="AV32" i="34"/>
  <c r="AT32" i="34"/>
  <c r="AW32" i="34" l="1"/>
  <c r="AY32" i="34"/>
  <c r="BB27" i="34"/>
  <c r="AZ27" i="34"/>
  <c r="AW11" i="34"/>
  <c r="AY11" i="34"/>
  <c r="BB43" i="34"/>
  <c r="AZ43" i="34"/>
  <c r="AY7" i="34"/>
  <c r="AW7" i="34"/>
  <c r="AW9" i="34"/>
  <c r="AY9" i="34"/>
  <c r="AY14" i="34"/>
  <c r="AW14" i="34"/>
  <c r="BB12" i="34"/>
  <c r="AZ12" i="34"/>
  <c r="AW42" i="34"/>
  <c r="AY42" i="34"/>
  <c r="AY18" i="34"/>
  <c r="AW18" i="34"/>
  <c r="AY20" i="34"/>
  <c r="AW20" i="34"/>
  <c r="AW35" i="34"/>
  <c r="AY35" i="34"/>
  <c r="AW6" i="34"/>
  <c r="AY6" i="34"/>
  <c r="AW13" i="34"/>
  <c r="AY13" i="34"/>
  <c r="AY31" i="34"/>
  <c r="AW31" i="34"/>
  <c r="AW17" i="34"/>
  <c r="AY17" i="34"/>
  <c r="AW39" i="34"/>
  <c r="AY39" i="34"/>
  <c r="BB33" i="34"/>
  <c r="AZ33" i="34"/>
  <c r="AW46" i="34"/>
  <c r="AY46" i="34"/>
  <c r="BE34" i="34"/>
  <c r="BC34" i="34"/>
  <c r="BB8" i="34"/>
  <c r="AZ8" i="34"/>
  <c r="BE10" i="34"/>
  <c r="BC10" i="34"/>
  <c r="AY26" i="34"/>
  <c r="AW26" i="34"/>
  <c r="AY45" i="34"/>
  <c r="AW45" i="34"/>
  <c r="AZ25" i="34"/>
  <c r="BB25" i="34"/>
  <c r="BB41" i="34"/>
  <c r="AZ41" i="34"/>
  <c r="BB22" i="34"/>
  <c r="AZ22" i="34"/>
  <c r="AY16" i="34"/>
  <c r="AW16" i="34"/>
  <c r="CF40" i="34"/>
  <c r="CG40" i="34" s="1"/>
  <c r="CD40" i="34"/>
  <c r="AW15" i="34"/>
  <c r="AY15" i="34"/>
  <c r="AW37" i="34"/>
  <c r="AY37" i="34"/>
  <c r="AW23" i="34"/>
  <c r="AY23" i="34"/>
  <c r="AY21" i="34"/>
  <c r="AW21" i="34"/>
  <c r="AW28" i="34"/>
  <c r="AY28" i="34"/>
  <c r="AW30" i="34"/>
  <c r="AY30" i="34"/>
  <c r="BB19" i="34"/>
  <c r="AZ19" i="34"/>
  <c r="AY44" i="34"/>
  <c r="AW44" i="34"/>
  <c r="AZ44" i="34" l="1"/>
  <c r="BB44" i="34"/>
  <c r="AZ21" i="34"/>
  <c r="BB21" i="34"/>
  <c r="AZ28" i="34"/>
  <c r="BB28" i="34"/>
  <c r="AZ23" i="34"/>
  <c r="BB23" i="34"/>
  <c r="AZ15" i="34"/>
  <c r="BB15" i="34"/>
  <c r="AZ17" i="34"/>
  <c r="BB17" i="34"/>
  <c r="AZ13" i="34"/>
  <c r="BB13" i="34"/>
  <c r="AZ35" i="34"/>
  <c r="BB35" i="34"/>
  <c r="BB9" i="34"/>
  <c r="AZ9" i="34"/>
  <c r="BB45" i="34"/>
  <c r="AZ45" i="34"/>
  <c r="BH34" i="34"/>
  <c r="BF34" i="34"/>
  <c r="BC33" i="34"/>
  <c r="BE33" i="34"/>
  <c r="BB18" i="34"/>
  <c r="AZ18" i="34"/>
  <c r="BE12" i="34"/>
  <c r="BC12" i="34"/>
  <c r="BE43" i="34"/>
  <c r="BC43" i="34"/>
  <c r="BE27" i="34"/>
  <c r="BC27" i="34"/>
  <c r="BC19" i="34"/>
  <c r="BE19" i="34"/>
  <c r="BB16" i="34"/>
  <c r="AZ16" i="34"/>
  <c r="BE41" i="34"/>
  <c r="BC41" i="34"/>
  <c r="BH10" i="34"/>
  <c r="BF10" i="34"/>
  <c r="AZ30" i="34"/>
  <c r="BB30" i="34"/>
  <c r="AZ37" i="34"/>
  <c r="BB37" i="34"/>
  <c r="BE25" i="34"/>
  <c r="BC25" i="34"/>
  <c r="BB46" i="34"/>
  <c r="AZ46" i="34"/>
  <c r="AZ39" i="34"/>
  <c r="BB39" i="34"/>
  <c r="AZ6" i="34"/>
  <c r="BB6" i="34"/>
  <c r="BB42" i="34"/>
  <c r="AZ42" i="34"/>
  <c r="BB11" i="34"/>
  <c r="AZ11" i="34"/>
  <c r="BB32" i="34"/>
  <c r="AZ32" i="34"/>
  <c r="BE22" i="34"/>
  <c r="BC22" i="34"/>
  <c r="BB26" i="34"/>
  <c r="AZ26" i="34"/>
  <c r="BE8" i="34"/>
  <c r="BC8" i="34"/>
  <c r="AZ31" i="34"/>
  <c r="BB31" i="34"/>
  <c r="BB20" i="34"/>
  <c r="AZ20" i="34"/>
  <c r="BB14" i="34"/>
  <c r="AZ14" i="34"/>
  <c r="AZ7" i="34"/>
  <c r="BB7" i="34"/>
  <c r="BE14" i="34" l="1"/>
  <c r="BC14" i="34"/>
  <c r="BE26" i="34"/>
  <c r="BC26" i="34"/>
  <c r="BC42" i="34"/>
  <c r="BE42" i="34"/>
  <c r="BE7" i="34"/>
  <c r="BC7" i="34"/>
  <c r="BC6" i="34"/>
  <c r="BE6" i="34"/>
  <c r="BC37" i="34"/>
  <c r="BE37" i="34"/>
  <c r="BH33" i="34"/>
  <c r="BF33" i="34"/>
  <c r="BC35" i="34"/>
  <c r="BE35" i="34"/>
  <c r="BC17" i="34"/>
  <c r="BE17" i="34"/>
  <c r="BC23" i="34"/>
  <c r="BE23" i="34"/>
  <c r="BE21" i="34"/>
  <c r="BC21" i="34"/>
  <c r="BH22" i="34"/>
  <c r="BF22" i="34"/>
  <c r="BC46" i="34"/>
  <c r="BE46" i="34"/>
  <c r="BK10" i="34"/>
  <c r="BI10" i="34"/>
  <c r="BE16" i="34"/>
  <c r="BC16" i="34"/>
  <c r="BH27" i="34"/>
  <c r="BF27" i="34"/>
  <c r="BH12" i="34"/>
  <c r="BF12" i="34"/>
  <c r="BE45" i="34"/>
  <c r="BC45" i="34"/>
  <c r="BE20" i="34"/>
  <c r="BC20" i="34"/>
  <c r="BF8" i="34"/>
  <c r="BH8" i="34"/>
  <c r="BC11" i="34"/>
  <c r="BE11" i="34"/>
  <c r="BE31" i="34"/>
  <c r="BC31" i="34"/>
  <c r="BC39" i="34"/>
  <c r="BE39" i="34"/>
  <c r="BC30" i="34"/>
  <c r="BE30" i="34"/>
  <c r="BH19" i="34"/>
  <c r="BF19" i="34"/>
  <c r="BE13" i="34"/>
  <c r="BC13" i="34"/>
  <c r="BC15" i="34"/>
  <c r="BE15" i="34"/>
  <c r="BC28" i="34"/>
  <c r="BE28" i="34"/>
  <c r="BE44" i="34"/>
  <c r="BC44" i="34"/>
  <c r="BC32" i="34"/>
  <c r="BE32" i="34"/>
  <c r="BF25" i="34"/>
  <c r="BH25" i="34"/>
  <c r="BH41" i="34"/>
  <c r="BF41" i="34"/>
  <c r="BH43" i="34"/>
  <c r="BF43" i="34"/>
  <c r="BE18" i="34"/>
  <c r="BC18" i="34"/>
  <c r="BK34" i="34"/>
  <c r="BI34" i="34"/>
  <c r="BE9" i="34"/>
  <c r="BC9" i="34"/>
  <c r="BK43" i="34" l="1"/>
  <c r="BI43" i="34"/>
  <c r="BF44" i="34"/>
  <c r="BH44" i="34"/>
  <c r="BH32" i="34"/>
  <c r="BF32" i="34"/>
  <c r="BF28" i="34"/>
  <c r="BH28" i="34"/>
  <c r="BF30" i="34"/>
  <c r="BH30" i="34"/>
  <c r="BK8" i="34"/>
  <c r="BI8" i="34"/>
  <c r="BF23" i="34"/>
  <c r="BH23" i="34"/>
  <c r="BF35" i="34"/>
  <c r="BH35" i="34"/>
  <c r="BF37" i="34"/>
  <c r="BH37" i="34"/>
  <c r="BH9" i="34"/>
  <c r="BF9" i="34"/>
  <c r="BF13" i="34"/>
  <c r="BH13" i="34"/>
  <c r="BF31" i="34"/>
  <c r="BH31" i="34"/>
  <c r="BH45" i="34"/>
  <c r="BF45" i="34"/>
  <c r="BK27" i="34"/>
  <c r="BI27" i="34"/>
  <c r="BN10" i="34"/>
  <c r="BL10" i="34"/>
  <c r="BK22" i="34"/>
  <c r="BI22" i="34"/>
  <c r="BH7" i="34"/>
  <c r="BF7" i="34"/>
  <c r="BH26" i="34"/>
  <c r="BF26" i="34"/>
  <c r="BH18" i="34"/>
  <c r="BF18" i="34"/>
  <c r="BK41" i="34"/>
  <c r="BI41" i="34"/>
  <c r="BK25" i="34"/>
  <c r="BI25" i="34"/>
  <c r="BF15" i="34"/>
  <c r="BH15" i="34"/>
  <c r="BF39" i="34"/>
  <c r="BH39" i="34"/>
  <c r="BF11" i="34"/>
  <c r="BH11" i="34"/>
  <c r="BH46" i="34"/>
  <c r="BF46" i="34"/>
  <c r="BF17" i="34"/>
  <c r="BH17" i="34"/>
  <c r="BF6" i="34"/>
  <c r="BH6" i="34"/>
  <c r="BH42" i="34"/>
  <c r="BF42" i="34"/>
  <c r="BN34" i="34"/>
  <c r="BL34" i="34"/>
  <c r="BI19" i="34"/>
  <c r="BK19" i="34"/>
  <c r="BH20" i="34"/>
  <c r="BF20" i="34"/>
  <c r="BK12" i="34"/>
  <c r="BI12" i="34"/>
  <c r="BH16" i="34"/>
  <c r="BF16" i="34"/>
  <c r="BF21" i="34"/>
  <c r="BH21" i="34"/>
  <c r="BI33" i="34"/>
  <c r="BK33" i="34"/>
  <c r="BH14" i="34"/>
  <c r="BF14" i="34"/>
  <c r="BK21" i="34" l="1"/>
  <c r="BI21" i="34"/>
  <c r="BN19" i="34"/>
  <c r="BL19" i="34"/>
  <c r="BI17" i="34"/>
  <c r="BK17" i="34"/>
  <c r="BI11" i="34"/>
  <c r="BK11" i="34"/>
  <c r="BI15" i="34"/>
  <c r="BK15" i="34"/>
  <c r="BK31" i="34"/>
  <c r="BI31" i="34"/>
  <c r="BI35" i="34"/>
  <c r="BK35" i="34"/>
  <c r="BI28" i="34"/>
  <c r="BK28" i="34"/>
  <c r="BK44" i="34"/>
  <c r="BI44" i="34"/>
  <c r="BK14" i="34"/>
  <c r="BI14" i="34"/>
  <c r="BN12" i="34"/>
  <c r="BL12" i="34"/>
  <c r="BI42" i="34"/>
  <c r="BK42" i="34"/>
  <c r="BN41" i="34"/>
  <c r="BL41" i="34"/>
  <c r="BK26" i="34"/>
  <c r="BI26" i="34"/>
  <c r="BN22" i="34"/>
  <c r="BL22" i="34"/>
  <c r="BN27" i="34"/>
  <c r="BL27" i="34"/>
  <c r="BI9" i="34"/>
  <c r="BK9" i="34"/>
  <c r="BN8" i="34"/>
  <c r="BL8" i="34"/>
  <c r="BN33" i="34"/>
  <c r="BL33" i="34"/>
  <c r="BI6" i="34"/>
  <c r="BK6" i="34"/>
  <c r="BI39" i="34"/>
  <c r="BK39" i="34"/>
  <c r="BK13" i="34"/>
  <c r="BI13" i="34"/>
  <c r="BI37" i="34"/>
  <c r="BK37" i="34"/>
  <c r="BI23" i="34"/>
  <c r="BK23" i="34"/>
  <c r="BI30" i="34"/>
  <c r="BK30" i="34"/>
  <c r="BK16" i="34"/>
  <c r="BI16" i="34"/>
  <c r="BK20" i="34"/>
  <c r="BI20" i="34"/>
  <c r="BQ34" i="34"/>
  <c r="BO34" i="34"/>
  <c r="BI46" i="34"/>
  <c r="BK46" i="34"/>
  <c r="BL25" i="34"/>
  <c r="BN25" i="34"/>
  <c r="BK18" i="34"/>
  <c r="BI18" i="34"/>
  <c r="BK7" i="34"/>
  <c r="BI7" i="34"/>
  <c r="BQ10" i="34"/>
  <c r="BO10" i="34"/>
  <c r="BK45" i="34"/>
  <c r="BI45" i="34"/>
  <c r="BI32" i="34"/>
  <c r="BK32" i="34"/>
  <c r="BN43" i="34"/>
  <c r="BL43" i="34"/>
  <c r="BQ25" i="34" l="1"/>
  <c r="BO25" i="34"/>
  <c r="BL23" i="34"/>
  <c r="BN23" i="34"/>
  <c r="BL6" i="34"/>
  <c r="BN6" i="34"/>
  <c r="BN42" i="34"/>
  <c r="BL42" i="34"/>
  <c r="BL28" i="34"/>
  <c r="BN28" i="34"/>
  <c r="BL11" i="34"/>
  <c r="BN11" i="34"/>
  <c r="BN7" i="34"/>
  <c r="BL7" i="34"/>
  <c r="BN16" i="34"/>
  <c r="BL16" i="34"/>
  <c r="BL13" i="34"/>
  <c r="BN13" i="34"/>
  <c r="BQ8" i="34"/>
  <c r="BO8" i="34"/>
  <c r="BQ27" i="34"/>
  <c r="BO27" i="34"/>
  <c r="BN26" i="34"/>
  <c r="BL26" i="34"/>
  <c r="BN14" i="34"/>
  <c r="BL14" i="34"/>
  <c r="BL31" i="34"/>
  <c r="BN31" i="34"/>
  <c r="BO19" i="34"/>
  <c r="BQ19" i="34"/>
  <c r="BN45" i="34"/>
  <c r="BL45" i="34"/>
  <c r="BT34" i="34"/>
  <c r="BR34" i="34"/>
  <c r="BN32" i="34"/>
  <c r="BL32" i="34"/>
  <c r="BN46" i="34"/>
  <c r="BL46" i="34"/>
  <c r="BL30" i="34"/>
  <c r="BN30" i="34"/>
  <c r="BL37" i="34"/>
  <c r="BN37" i="34"/>
  <c r="BL39" i="34"/>
  <c r="BN39" i="34"/>
  <c r="BN9" i="34"/>
  <c r="BL9" i="34"/>
  <c r="BL35" i="34"/>
  <c r="BN35" i="34"/>
  <c r="BL15" i="34"/>
  <c r="BN15" i="34"/>
  <c r="BL17" i="34"/>
  <c r="BN17" i="34"/>
  <c r="BQ43" i="34"/>
  <c r="BO43" i="34"/>
  <c r="BT10" i="34"/>
  <c r="BR10" i="34"/>
  <c r="BN18" i="34"/>
  <c r="BL18" i="34"/>
  <c r="BN20" i="34"/>
  <c r="BL20" i="34"/>
  <c r="BO33" i="34"/>
  <c r="BQ33" i="34"/>
  <c r="BQ22" i="34"/>
  <c r="BO22" i="34"/>
  <c r="BQ41" i="34"/>
  <c r="BO41" i="34"/>
  <c r="BQ12" i="34"/>
  <c r="BO12" i="34"/>
  <c r="BL44" i="34"/>
  <c r="BN44" i="34"/>
  <c r="BL21" i="34"/>
  <c r="BN21" i="34"/>
  <c r="BQ21" i="34" l="1"/>
  <c r="BO21" i="34"/>
  <c r="BO17" i="34"/>
  <c r="BQ17" i="34"/>
  <c r="BO35" i="34"/>
  <c r="BQ35" i="34"/>
  <c r="BO39" i="34"/>
  <c r="BQ39" i="34"/>
  <c r="BO30" i="34"/>
  <c r="BQ30" i="34"/>
  <c r="BQ31" i="34"/>
  <c r="BO31" i="34"/>
  <c r="BO11" i="34"/>
  <c r="BQ11" i="34"/>
  <c r="BO23" i="34"/>
  <c r="BQ23" i="34"/>
  <c r="BT12" i="34"/>
  <c r="BR12" i="34"/>
  <c r="BT22" i="34"/>
  <c r="BR22" i="34"/>
  <c r="BQ20" i="34"/>
  <c r="BO20" i="34"/>
  <c r="BW10" i="34"/>
  <c r="BU10" i="34"/>
  <c r="BO32" i="34"/>
  <c r="BQ32" i="34"/>
  <c r="BQ45" i="34"/>
  <c r="BO45" i="34"/>
  <c r="BQ26" i="34"/>
  <c r="BO26" i="34"/>
  <c r="BR8" i="34"/>
  <c r="BT8" i="34"/>
  <c r="BQ16" i="34"/>
  <c r="BO16" i="34"/>
  <c r="BO42" i="34"/>
  <c r="BQ42" i="34"/>
  <c r="BQ44" i="34"/>
  <c r="BO44" i="34"/>
  <c r="BT33" i="34"/>
  <c r="BR33" i="34"/>
  <c r="BO15" i="34"/>
  <c r="BQ15" i="34"/>
  <c r="BO37" i="34"/>
  <c r="BQ37" i="34"/>
  <c r="BT19" i="34"/>
  <c r="BR19" i="34"/>
  <c r="BO13" i="34"/>
  <c r="BQ13" i="34"/>
  <c r="BO28" i="34"/>
  <c r="BQ28" i="34"/>
  <c r="BO6" i="34"/>
  <c r="BQ6" i="34"/>
  <c r="BT41" i="34"/>
  <c r="BR41" i="34"/>
  <c r="BQ18" i="34"/>
  <c r="BO18" i="34"/>
  <c r="BT43" i="34"/>
  <c r="BR43" i="34"/>
  <c r="BQ9" i="34"/>
  <c r="BO9" i="34"/>
  <c r="BO46" i="34"/>
  <c r="BQ46" i="34"/>
  <c r="BU34" i="34"/>
  <c r="BW34" i="34"/>
  <c r="BQ14" i="34"/>
  <c r="BO14" i="34"/>
  <c r="BR27" i="34"/>
  <c r="BT27" i="34"/>
  <c r="BQ7" i="34"/>
  <c r="BO7" i="34"/>
  <c r="BR25" i="34"/>
  <c r="BT25" i="34"/>
  <c r="BW25" i="34" l="1"/>
  <c r="BU25" i="34"/>
  <c r="BW27" i="34"/>
  <c r="BU27" i="34"/>
  <c r="BZ34" i="34"/>
  <c r="BX34" i="34"/>
  <c r="BR6" i="34"/>
  <c r="BT6" i="34"/>
  <c r="BR13" i="34"/>
  <c r="BT13" i="34"/>
  <c r="BR37" i="34"/>
  <c r="BT37" i="34"/>
  <c r="BT42" i="34"/>
  <c r="BR42" i="34"/>
  <c r="BW8" i="34"/>
  <c r="BU8" i="34"/>
  <c r="BR23" i="34"/>
  <c r="BT23" i="34"/>
  <c r="BR39" i="34"/>
  <c r="BT39" i="34"/>
  <c r="BR17" i="34"/>
  <c r="BT17" i="34"/>
  <c r="BT9" i="34"/>
  <c r="BR9" i="34"/>
  <c r="BT18" i="34"/>
  <c r="BR18" i="34"/>
  <c r="BU33" i="34"/>
  <c r="BW33" i="34"/>
  <c r="BT45" i="34"/>
  <c r="BR45" i="34"/>
  <c r="BZ10" i="34"/>
  <c r="BX10" i="34"/>
  <c r="BW22" i="34"/>
  <c r="BU22" i="34"/>
  <c r="BR31" i="34"/>
  <c r="BT31" i="34"/>
  <c r="BT46" i="34"/>
  <c r="BR46" i="34"/>
  <c r="BR28" i="34"/>
  <c r="BT28" i="34"/>
  <c r="BR15" i="34"/>
  <c r="BT15" i="34"/>
  <c r="BT32" i="34"/>
  <c r="BR32" i="34"/>
  <c r="BT11" i="34"/>
  <c r="BR11" i="34"/>
  <c r="BR30" i="34"/>
  <c r="BT30" i="34"/>
  <c r="BR35" i="34"/>
  <c r="BT35" i="34"/>
  <c r="BR7" i="34"/>
  <c r="BT7" i="34"/>
  <c r="BT14" i="34"/>
  <c r="BR14" i="34"/>
  <c r="BW43" i="34"/>
  <c r="BU43" i="34"/>
  <c r="BW41" i="34"/>
  <c r="BU41" i="34"/>
  <c r="BU19" i="34"/>
  <c r="BW19" i="34"/>
  <c r="BR44" i="34"/>
  <c r="BT44" i="34"/>
  <c r="BT16" i="34"/>
  <c r="BR16" i="34"/>
  <c r="BT26" i="34"/>
  <c r="BR26" i="34"/>
  <c r="BT20" i="34"/>
  <c r="BR20" i="34"/>
  <c r="BW12" i="34"/>
  <c r="BU12" i="34"/>
  <c r="BR21" i="34"/>
  <c r="BT21" i="34"/>
  <c r="BW21" i="34" l="1"/>
  <c r="BU21" i="34"/>
  <c r="BZ19" i="34"/>
  <c r="BX19" i="34"/>
  <c r="BW7" i="34"/>
  <c r="BU7" i="34"/>
  <c r="BU30" i="34"/>
  <c r="BW30" i="34"/>
  <c r="BU28" i="34"/>
  <c r="BW28" i="34"/>
  <c r="BW31" i="34"/>
  <c r="BU31" i="34"/>
  <c r="BZ33" i="34"/>
  <c r="BX33" i="34"/>
  <c r="BU39" i="34"/>
  <c r="BW39" i="34"/>
  <c r="BU37" i="34"/>
  <c r="BW37" i="34"/>
  <c r="BU6" i="34"/>
  <c r="BW6" i="34"/>
  <c r="BW20" i="34"/>
  <c r="BU20" i="34"/>
  <c r="BZ43" i="34"/>
  <c r="BX43" i="34"/>
  <c r="BU32" i="34"/>
  <c r="BW32" i="34"/>
  <c r="CC10" i="34"/>
  <c r="CA10" i="34"/>
  <c r="BU9" i="34"/>
  <c r="BW9" i="34"/>
  <c r="BZ8" i="34"/>
  <c r="BX8" i="34"/>
  <c r="BZ27" i="34"/>
  <c r="BX27" i="34"/>
  <c r="BW16" i="34"/>
  <c r="BU16" i="34"/>
  <c r="BW44" i="34"/>
  <c r="BU44" i="34"/>
  <c r="BU35" i="34"/>
  <c r="BW35" i="34"/>
  <c r="BU15" i="34"/>
  <c r="BW15" i="34"/>
  <c r="BU17" i="34"/>
  <c r="BW17" i="34"/>
  <c r="BU23" i="34"/>
  <c r="BW23" i="34"/>
  <c r="BU13" i="34"/>
  <c r="BW13" i="34"/>
  <c r="BZ12" i="34"/>
  <c r="BX12" i="34"/>
  <c r="BU26" i="34"/>
  <c r="BW26" i="34"/>
  <c r="BZ41" i="34"/>
  <c r="BX41" i="34"/>
  <c r="BW14" i="34"/>
  <c r="BU14" i="34"/>
  <c r="BU11" i="34"/>
  <c r="BW11" i="34"/>
  <c r="BU46" i="34"/>
  <c r="BW46" i="34"/>
  <c r="BZ22" i="34"/>
  <c r="BX22" i="34"/>
  <c r="BW45" i="34"/>
  <c r="BU45" i="34"/>
  <c r="BW18" i="34"/>
  <c r="BU18" i="34"/>
  <c r="BU42" i="34"/>
  <c r="BW42" i="34"/>
  <c r="CC34" i="34"/>
  <c r="CA34" i="34"/>
  <c r="BX25" i="34"/>
  <c r="BZ25" i="34"/>
  <c r="CC25" i="34" l="1"/>
  <c r="CA25" i="34"/>
  <c r="BX13" i="34"/>
  <c r="BZ13" i="34"/>
  <c r="BX35" i="34"/>
  <c r="BZ35" i="34"/>
  <c r="BX6" i="34"/>
  <c r="BZ6" i="34"/>
  <c r="BZ45" i="34"/>
  <c r="BX45" i="34"/>
  <c r="BZ14" i="34"/>
  <c r="BX14" i="34"/>
  <c r="BZ16" i="34"/>
  <c r="BX16" i="34"/>
  <c r="CC8" i="34"/>
  <c r="CA8" i="34"/>
  <c r="CF10" i="34"/>
  <c r="CG10" i="34" s="1"/>
  <c r="CD10" i="34"/>
  <c r="CC43" i="34"/>
  <c r="CA43" i="34"/>
  <c r="BX31" i="34"/>
  <c r="BZ31" i="34"/>
  <c r="CA19" i="34"/>
  <c r="CC19" i="34"/>
  <c r="BZ42" i="34"/>
  <c r="BX42" i="34"/>
  <c r="BZ46" i="34"/>
  <c r="BX46" i="34"/>
  <c r="BZ26" i="34"/>
  <c r="BX26" i="34"/>
  <c r="BX17" i="34"/>
  <c r="BZ17" i="34"/>
  <c r="BX39" i="34"/>
  <c r="BZ39" i="34"/>
  <c r="BX30" i="34"/>
  <c r="BZ30" i="34"/>
  <c r="BZ11" i="34"/>
  <c r="BX11" i="34"/>
  <c r="BX23" i="34"/>
  <c r="BZ23" i="34"/>
  <c r="BX15" i="34"/>
  <c r="BZ15" i="34"/>
  <c r="BZ9" i="34"/>
  <c r="BX9" i="34"/>
  <c r="BZ32" i="34"/>
  <c r="BX32" i="34"/>
  <c r="BX37" i="34"/>
  <c r="BZ37" i="34"/>
  <c r="BX28" i="34"/>
  <c r="BZ28" i="34"/>
  <c r="CF34" i="34"/>
  <c r="CG34" i="34" s="1"/>
  <c r="CD34" i="34"/>
  <c r="BZ18" i="34"/>
  <c r="BX18" i="34"/>
  <c r="CC22" i="34"/>
  <c r="CA22" i="34"/>
  <c r="CC41" i="34"/>
  <c r="CA41" i="34"/>
  <c r="CC12" i="34"/>
  <c r="CA12" i="34"/>
  <c r="BX44" i="34"/>
  <c r="BZ44" i="34"/>
  <c r="CC27" i="34"/>
  <c r="CA27" i="34"/>
  <c r="BZ20" i="34"/>
  <c r="BX20" i="34"/>
  <c r="CA33" i="34"/>
  <c r="CC33" i="34"/>
  <c r="BZ7" i="34"/>
  <c r="BX7" i="34"/>
  <c r="BX21" i="34"/>
  <c r="BZ21" i="34"/>
  <c r="CC21" i="34" l="1"/>
  <c r="CA21" i="34"/>
  <c r="CA30" i="34"/>
  <c r="CC30" i="34"/>
  <c r="CF19" i="34"/>
  <c r="CG19" i="34" s="1"/>
  <c r="CD19" i="34"/>
  <c r="CF27" i="34"/>
  <c r="CG27" i="34" s="1"/>
  <c r="CD27" i="34"/>
  <c r="CF12" i="34"/>
  <c r="CG12" i="34" s="1"/>
  <c r="CD12" i="34"/>
  <c r="CF22" i="34"/>
  <c r="CG22" i="34" s="1"/>
  <c r="CD22" i="34"/>
  <c r="CA9" i="34"/>
  <c r="CC9" i="34"/>
  <c r="CA46" i="34"/>
  <c r="CC46" i="34"/>
  <c r="CF43" i="34"/>
  <c r="CG43" i="34" s="1"/>
  <c r="CD43" i="34"/>
  <c r="CD8" i="34"/>
  <c r="CF8" i="34"/>
  <c r="CG8" i="34" s="1"/>
  <c r="CC14" i="34"/>
  <c r="CA14" i="34"/>
  <c r="CF33" i="34"/>
  <c r="CG33" i="34" s="1"/>
  <c r="CD33" i="34"/>
  <c r="CA37" i="34"/>
  <c r="CC37" i="34"/>
  <c r="CA23" i="34"/>
  <c r="CC23" i="34"/>
  <c r="CA17" i="34"/>
  <c r="CC17" i="34"/>
  <c r="CA6" i="34"/>
  <c r="CC6" i="34"/>
  <c r="CC44" i="34"/>
  <c r="CA44" i="34"/>
  <c r="CA28" i="34"/>
  <c r="CC28" i="34"/>
  <c r="CA15" i="34"/>
  <c r="CC15" i="34"/>
  <c r="CA39" i="34"/>
  <c r="CC39" i="34"/>
  <c r="CC31" i="34"/>
  <c r="CA31" i="34"/>
  <c r="CA35" i="34"/>
  <c r="CC35" i="34"/>
  <c r="CC13" i="34"/>
  <c r="CA13" i="34"/>
  <c r="CC7" i="34"/>
  <c r="CA7" i="34"/>
  <c r="CC20" i="34"/>
  <c r="CA20" i="34"/>
  <c r="CF41" i="34"/>
  <c r="CG41" i="34" s="1"/>
  <c r="CD41" i="34"/>
  <c r="CC18" i="34"/>
  <c r="CA18" i="34"/>
  <c r="CA32" i="34"/>
  <c r="CC32" i="34"/>
  <c r="CA11" i="34"/>
  <c r="CC11" i="34"/>
  <c r="CA26" i="34"/>
  <c r="CC26" i="34"/>
  <c r="CA42" i="34"/>
  <c r="CC42" i="34"/>
  <c r="CC16" i="34"/>
  <c r="CA16" i="34"/>
  <c r="CC45" i="34"/>
  <c r="CA45" i="34"/>
  <c r="CD25" i="34"/>
  <c r="CF25" i="34"/>
  <c r="CG25" i="34" s="1"/>
  <c r="CF32" i="34" l="1"/>
  <c r="CG32" i="34" s="1"/>
  <c r="CD32" i="34"/>
  <c r="CD35" i="34"/>
  <c r="CF35" i="34"/>
  <c r="CG35" i="34" s="1"/>
  <c r="CD28" i="34"/>
  <c r="CF28" i="34"/>
  <c r="CG28" i="34" s="1"/>
  <c r="CD23" i="34"/>
  <c r="CF23" i="34"/>
  <c r="CG23" i="34" s="1"/>
  <c r="CD7" i="34"/>
  <c r="CF7" i="34"/>
  <c r="CG7" i="34" s="1"/>
  <c r="CF42" i="34"/>
  <c r="CG42" i="34" s="1"/>
  <c r="CD42" i="34"/>
  <c r="CF11" i="34"/>
  <c r="CG11" i="34" s="1"/>
  <c r="CD11" i="34"/>
  <c r="CD15" i="34"/>
  <c r="CF15" i="34"/>
  <c r="CG15" i="34" s="1"/>
  <c r="CD17" i="34"/>
  <c r="CF17" i="34"/>
  <c r="CG17" i="34" s="1"/>
  <c r="CD37" i="34"/>
  <c r="CF37" i="34"/>
  <c r="CG37" i="34" s="1"/>
  <c r="CF9" i="34"/>
  <c r="CG9" i="34" s="1"/>
  <c r="CD9" i="34"/>
  <c r="CF26" i="34"/>
  <c r="CG26" i="34" s="1"/>
  <c r="CD26" i="34"/>
  <c r="CD39" i="34"/>
  <c r="CF39" i="34"/>
  <c r="CG39" i="34" s="1"/>
  <c r="CD6" i="34"/>
  <c r="CF6" i="34"/>
  <c r="CG6" i="34" s="1"/>
  <c r="CF46" i="34"/>
  <c r="CG46" i="34" s="1"/>
  <c r="CD46" i="34"/>
  <c r="CD30" i="34"/>
  <c r="CF30" i="34"/>
  <c r="CG30" i="34" s="1"/>
  <c r="CF16" i="34"/>
  <c r="CG16" i="34" s="1"/>
  <c r="CD16" i="34"/>
  <c r="CF45" i="34"/>
  <c r="CG45" i="34" s="1"/>
  <c r="CD45" i="34"/>
  <c r="CF18" i="34"/>
  <c r="CG18" i="34" s="1"/>
  <c r="CD18" i="34"/>
  <c r="CF20" i="34"/>
  <c r="CG20" i="34" s="1"/>
  <c r="CD20" i="34"/>
  <c r="CD13" i="34"/>
  <c r="CF13" i="34"/>
  <c r="CG13" i="34" s="1"/>
  <c r="CD31" i="34"/>
  <c r="CF31" i="34"/>
  <c r="CG31" i="34" s="1"/>
  <c r="CD44" i="34"/>
  <c r="CF44" i="34"/>
  <c r="CG44" i="34" s="1"/>
  <c r="CF14" i="34"/>
  <c r="CG14" i="34" s="1"/>
  <c r="CD14" i="34"/>
  <c r="CD21" i="34"/>
  <c r="CF21" i="34"/>
  <c r="CG21" i="34" s="1"/>
  <c r="S9" i="6" l="1"/>
  <c r="S11" i="6"/>
  <c r="S12" i="6"/>
  <c r="S13" i="6"/>
  <c r="S14" i="6"/>
  <c r="S16" i="6"/>
  <c r="S17" i="6"/>
  <c r="S19" i="6"/>
  <c r="S24" i="6"/>
  <c r="S26" i="6"/>
  <c r="S7" i="6"/>
  <c r="Q28" i="6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I7" i="33"/>
  <c r="J7" i="33"/>
  <c r="K7" i="33"/>
  <c r="L7" i="33"/>
  <c r="L28" i="33" s="1"/>
  <c r="L29" i="33" s="1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O24" i="29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V26" i="27" s="1"/>
  <c r="N25" i="27"/>
  <c r="M25" i="27"/>
  <c r="S25" i="27" s="1"/>
  <c r="T25" i="27" s="1"/>
  <c r="N24" i="27"/>
  <c r="M24" i="27"/>
  <c r="R24" i="27" s="1"/>
  <c r="V24" i="27" s="1"/>
  <c r="N23" i="27"/>
  <c r="M23" i="27"/>
  <c r="S23" i="27" s="1"/>
  <c r="T23" i="27" s="1"/>
  <c r="N22" i="27"/>
  <c r="M22" i="27"/>
  <c r="R22" i="27" s="1"/>
  <c r="V22" i="27" s="1"/>
  <c r="N21" i="27"/>
  <c r="M21" i="27"/>
  <c r="S21" i="27" s="1"/>
  <c r="T21" i="27" s="1"/>
  <c r="N20" i="27"/>
  <c r="M20" i="27"/>
  <c r="R20" i="27" s="1"/>
  <c r="V20" i="27" s="1"/>
  <c r="N19" i="27"/>
  <c r="M19" i="27"/>
  <c r="S19" i="27" s="1"/>
  <c r="T19" i="27" s="1"/>
  <c r="N18" i="27"/>
  <c r="M18" i="27"/>
  <c r="R18" i="27" s="1"/>
  <c r="V18" i="27" s="1"/>
  <c r="V2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V26" i="26" s="1"/>
  <c r="N25" i="26"/>
  <c r="M25" i="26"/>
  <c r="S25" i="26" s="1"/>
  <c r="T25" i="26" s="1"/>
  <c r="N24" i="26"/>
  <c r="M24" i="26"/>
  <c r="R24" i="26" s="1"/>
  <c r="V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O26" i="25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O10" i="25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N16" i="24"/>
  <c r="M16" i="24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O24" i="23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O10" i="22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E29" i="21" s="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N27" i="20"/>
  <c r="M27" i="20"/>
  <c r="S27" i="20" s="1"/>
  <c r="T27" i="20" s="1"/>
  <c r="N26" i="20"/>
  <c r="M26" i="20"/>
  <c r="R26" i="20" s="1"/>
  <c r="V26" i="20" s="1"/>
  <c r="N25" i="20"/>
  <c r="M25" i="20"/>
  <c r="S25" i="20" s="1"/>
  <c r="T25" i="20" s="1"/>
  <c r="N24" i="20"/>
  <c r="M24" i="20"/>
  <c r="R24" i="20" s="1"/>
  <c r="V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O16" i="19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O26" i="18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N28" i="18" s="1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N24" i="15"/>
  <c r="M24" i="15"/>
  <c r="R24" i="15" s="1"/>
  <c r="N23" i="15"/>
  <c r="M23" i="15"/>
  <c r="S23" i="15" s="1"/>
  <c r="T23" i="15" s="1"/>
  <c r="N22" i="15"/>
  <c r="M22" i="15"/>
  <c r="R22" i="15" s="1"/>
  <c r="N21" i="15"/>
  <c r="M21" i="15"/>
  <c r="S21" i="15" s="1"/>
  <c r="T21" i="15" s="1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R14" i="14" s="1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R18" i="12" s="1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S13" i="12" s="1"/>
  <c r="T13" i="12" s="1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R24" i="11" s="1"/>
  <c r="N23" i="11"/>
  <c r="M23" i="11"/>
  <c r="S23" i="11" s="1"/>
  <c r="T23" i="11" s="1"/>
  <c r="N22" i="11"/>
  <c r="M22" i="11"/>
  <c r="R22" i="11" s="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R16" i="11" s="1"/>
  <c r="N15" i="11"/>
  <c r="M15" i="11"/>
  <c r="S15" i="11" s="1"/>
  <c r="T15" i="11" s="1"/>
  <c r="N14" i="11"/>
  <c r="M14" i="11"/>
  <c r="R14" i="11" s="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R8" i="11" s="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R22" i="9" s="1"/>
  <c r="N21" i="9"/>
  <c r="M21" i="9"/>
  <c r="S21" i="9" s="1"/>
  <c r="T21" i="9" s="1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R28" i="6"/>
  <c r="P28" i="6"/>
  <c r="L28" i="6"/>
  <c r="K28" i="6"/>
  <c r="J28" i="6"/>
  <c r="I28" i="6"/>
  <c r="H28" i="6"/>
  <c r="G28" i="6"/>
  <c r="F28" i="6"/>
  <c r="E28" i="6"/>
  <c r="D28" i="6"/>
  <c r="N27" i="6"/>
  <c r="M27" i="6"/>
  <c r="N26" i="6"/>
  <c r="M26" i="6"/>
  <c r="N25" i="6"/>
  <c r="M25" i="6"/>
  <c r="S25" i="6" s="1"/>
  <c r="N24" i="6"/>
  <c r="M24" i="6"/>
  <c r="N23" i="6"/>
  <c r="M23" i="6"/>
  <c r="N22" i="6"/>
  <c r="M22" i="6"/>
  <c r="N21" i="6"/>
  <c r="M21" i="6"/>
  <c r="N20" i="6"/>
  <c r="M20" i="6"/>
  <c r="N19" i="6"/>
  <c r="M19" i="6"/>
  <c r="N18" i="6"/>
  <c r="M18" i="6"/>
  <c r="N17" i="6"/>
  <c r="M17" i="6"/>
  <c r="N16" i="6"/>
  <c r="M16" i="6"/>
  <c r="N15" i="6"/>
  <c r="M15" i="6"/>
  <c r="N14" i="6"/>
  <c r="M14" i="6"/>
  <c r="N13" i="6"/>
  <c r="M13" i="6"/>
  <c r="N12" i="6"/>
  <c r="M12" i="6"/>
  <c r="N11" i="6"/>
  <c r="M11" i="6"/>
  <c r="N10" i="6"/>
  <c r="M10" i="6"/>
  <c r="N9" i="6"/>
  <c r="M9" i="6"/>
  <c r="N8" i="6"/>
  <c r="M8" i="6"/>
  <c r="S8" i="6" s="1"/>
  <c r="N7" i="6"/>
  <c r="M7" i="6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O24" i="4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R20" i="4"/>
  <c r="O20" i="4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R16" i="4"/>
  <c r="O16" i="4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R12" i="4"/>
  <c r="O12" i="4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R8" i="4"/>
  <c r="O8" i="4"/>
  <c r="N8" i="4"/>
  <c r="M8" i="4"/>
  <c r="S8" i="4" s="1"/>
  <c r="T8" i="4" s="1"/>
  <c r="N7" i="4"/>
  <c r="N28" i="4" s="1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30" i="1"/>
  <c r="P30" i="1"/>
  <c r="L30" i="1"/>
  <c r="L31" i="1" s="1"/>
  <c r="L4" i="2" s="1"/>
  <c r="K30" i="1"/>
  <c r="K31" i="1" s="1"/>
  <c r="K4" i="2" s="1"/>
  <c r="K29" i="2" s="1"/>
  <c r="K4" i="3" s="1"/>
  <c r="K29" i="3" s="1"/>
  <c r="K4" i="4" s="1"/>
  <c r="K29" i="4" s="1"/>
  <c r="K4" i="5" s="1"/>
  <c r="K29" i="5" s="1"/>
  <c r="K4" i="6" s="1"/>
  <c r="J30" i="1"/>
  <c r="I30" i="1"/>
  <c r="I31" i="1" s="1"/>
  <c r="I4" i="2" s="1"/>
  <c r="H30" i="1"/>
  <c r="H31" i="1" s="1"/>
  <c r="H4" i="2" s="1"/>
  <c r="G30" i="1"/>
  <c r="G31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F30" i="1"/>
  <c r="F31" i="1" s="1"/>
  <c r="F4" i="2" s="1"/>
  <c r="E30" i="1"/>
  <c r="E31" i="1" s="1"/>
  <c r="E4" i="2" s="1"/>
  <c r="D30" i="1"/>
  <c r="D31" i="1" s="1"/>
  <c r="D4" i="2" s="1"/>
  <c r="N29" i="1"/>
  <c r="M29" i="1"/>
  <c r="S29" i="1" s="1"/>
  <c r="T29" i="1" s="1"/>
  <c r="N28" i="1"/>
  <c r="M28" i="1"/>
  <c r="R28" i="1" s="1"/>
  <c r="N27" i="1"/>
  <c r="M27" i="1"/>
  <c r="O27" i="1" s="1"/>
  <c r="N26" i="1"/>
  <c r="M26" i="1"/>
  <c r="O26" i="1" s="1"/>
  <c r="N25" i="1"/>
  <c r="M25" i="1"/>
  <c r="S25" i="1" s="1"/>
  <c r="T25" i="1" s="1"/>
  <c r="N24" i="1"/>
  <c r="M24" i="1"/>
  <c r="N23" i="1"/>
  <c r="M23" i="1"/>
  <c r="O23" i="1" s="1"/>
  <c r="N22" i="1"/>
  <c r="M22" i="1"/>
  <c r="R22" i="1" s="1"/>
  <c r="N21" i="1"/>
  <c r="M21" i="1"/>
  <c r="O21" i="1" s="1"/>
  <c r="N20" i="1"/>
  <c r="M20" i="1"/>
  <c r="O20" i="1" s="1"/>
  <c r="N19" i="1"/>
  <c r="M19" i="1"/>
  <c r="S19" i="1" s="1"/>
  <c r="T19" i="1" s="1"/>
  <c r="N18" i="1"/>
  <c r="M18" i="1"/>
  <c r="R18" i="1" s="1"/>
  <c r="N17" i="1"/>
  <c r="M17" i="1"/>
  <c r="O17" i="1" s="1"/>
  <c r="N16" i="1"/>
  <c r="M16" i="1"/>
  <c r="O16" i="1" s="1"/>
  <c r="N15" i="1"/>
  <c r="M15" i="1"/>
  <c r="N14" i="1"/>
  <c r="M14" i="1"/>
  <c r="N13" i="1"/>
  <c r="M13" i="1"/>
  <c r="O13" i="1" s="1"/>
  <c r="N12" i="1"/>
  <c r="M12" i="1"/>
  <c r="R12" i="1" s="1"/>
  <c r="N11" i="1"/>
  <c r="M11" i="1"/>
  <c r="O11" i="1" s="1"/>
  <c r="N10" i="1"/>
  <c r="M10" i="1"/>
  <c r="O10" i="1" s="1"/>
  <c r="N9" i="1"/>
  <c r="M9" i="1"/>
  <c r="O9" i="1" s="1"/>
  <c r="J31" i="1"/>
  <c r="J4" i="2" s="1"/>
  <c r="J29" i="2" s="1"/>
  <c r="J4" i="3" s="1"/>
  <c r="O22" i="27" l="1"/>
  <c r="O24" i="27"/>
  <c r="N28" i="27"/>
  <c r="O26" i="24"/>
  <c r="O18" i="25"/>
  <c r="O16" i="25"/>
  <c r="O24" i="26"/>
  <c r="N28" i="26"/>
  <c r="O8" i="25"/>
  <c r="O24" i="25"/>
  <c r="N28" i="25"/>
  <c r="O16" i="24"/>
  <c r="N28" i="24"/>
  <c r="N28" i="23"/>
  <c r="O18" i="22"/>
  <c r="O26" i="22"/>
  <c r="O8" i="22"/>
  <c r="O24" i="22"/>
  <c r="N28" i="22"/>
  <c r="O16" i="22"/>
  <c r="N28" i="21"/>
  <c r="N28" i="20"/>
  <c r="O24" i="19"/>
  <c r="R24" i="19"/>
  <c r="R16" i="19"/>
  <c r="O20" i="19"/>
  <c r="R20" i="19"/>
  <c r="O8" i="19"/>
  <c r="R8" i="19"/>
  <c r="N28" i="19"/>
  <c r="O12" i="19"/>
  <c r="R12" i="19"/>
  <c r="N28" i="17"/>
  <c r="O8" i="17"/>
  <c r="R11" i="16"/>
  <c r="R23" i="16"/>
  <c r="R15" i="16"/>
  <c r="R19" i="16"/>
  <c r="R7" i="16"/>
  <c r="G28" i="33"/>
  <c r="G29" i="33" s="1"/>
  <c r="O24" i="15"/>
  <c r="O22" i="15"/>
  <c r="N25" i="33"/>
  <c r="O20" i="14"/>
  <c r="G29" i="14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O12" i="14"/>
  <c r="N28" i="14"/>
  <c r="N28" i="13"/>
  <c r="O26" i="12"/>
  <c r="N28" i="12"/>
  <c r="N28" i="15"/>
  <c r="O16" i="10"/>
  <c r="N28" i="10"/>
  <c r="O22" i="9"/>
  <c r="O18" i="8"/>
  <c r="N28" i="9"/>
  <c r="O20" i="8"/>
  <c r="N28" i="8"/>
  <c r="E28" i="33"/>
  <c r="E29" i="33" s="1"/>
  <c r="M21" i="33"/>
  <c r="S21" i="33" s="1"/>
  <c r="T21" i="33" s="1"/>
  <c r="N28" i="7"/>
  <c r="O18" i="6"/>
  <c r="S18" i="6"/>
  <c r="O27" i="6"/>
  <c r="S27" i="6"/>
  <c r="O23" i="6"/>
  <c r="S23" i="6"/>
  <c r="O20" i="6"/>
  <c r="S20" i="6"/>
  <c r="T15" i="6"/>
  <c r="U15" i="6" s="1"/>
  <c r="S15" i="6"/>
  <c r="O22" i="6"/>
  <c r="S22" i="6"/>
  <c r="O10" i="6"/>
  <c r="S10" i="6"/>
  <c r="T21" i="6"/>
  <c r="S21" i="6"/>
  <c r="T11" i="6"/>
  <c r="U11" i="6" s="1"/>
  <c r="O14" i="6"/>
  <c r="O8" i="6"/>
  <c r="K29" i="6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T7" i="6"/>
  <c r="O7" i="6"/>
  <c r="T19" i="6"/>
  <c r="U19" i="6" s="1"/>
  <c r="O24" i="6"/>
  <c r="T9" i="6"/>
  <c r="U9" i="6" s="1"/>
  <c r="O16" i="6"/>
  <c r="T17" i="6"/>
  <c r="U17" i="6" s="1"/>
  <c r="T13" i="6"/>
  <c r="U13" i="6" s="1"/>
  <c r="O12" i="6"/>
  <c r="N28" i="6"/>
  <c r="N28" i="5"/>
  <c r="O8" i="3"/>
  <c r="O22" i="3"/>
  <c r="J29" i="3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O16" i="3"/>
  <c r="O24" i="3"/>
  <c r="O14" i="3"/>
  <c r="N28" i="3"/>
  <c r="O26" i="2"/>
  <c r="N11" i="33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J28" i="33"/>
  <c r="J29" i="33" s="1"/>
  <c r="O22" i="2"/>
  <c r="R22" i="2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N9" i="33"/>
  <c r="N28" i="2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I28" i="33"/>
  <c r="I29" i="33" s="1"/>
  <c r="M8" i="33"/>
  <c r="O8" i="33" s="1"/>
  <c r="N27" i="33"/>
  <c r="M26" i="33"/>
  <c r="R26" i="33" s="1"/>
  <c r="N22" i="33"/>
  <c r="M18" i="33"/>
  <c r="R18" i="33" s="1"/>
  <c r="N14" i="33"/>
  <c r="M10" i="33"/>
  <c r="R10" i="33" s="1"/>
  <c r="M9" i="33"/>
  <c r="S9" i="33" s="1"/>
  <c r="T9" i="33" s="1"/>
  <c r="N16" i="33"/>
  <c r="N12" i="33"/>
  <c r="N17" i="33"/>
  <c r="N13" i="33"/>
  <c r="M27" i="33"/>
  <c r="S27" i="33" s="1"/>
  <c r="T27" i="33" s="1"/>
  <c r="M23" i="33"/>
  <c r="S23" i="33" s="1"/>
  <c r="T23" i="33" s="1"/>
  <c r="M19" i="33"/>
  <c r="S19" i="33" s="1"/>
  <c r="T19" i="33" s="1"/>
  <c r="K28" i="33"/>
  <c r="K29" i="33" s="1"/>
  <c r="R14" i="1"/>
  <c r="O14" i="1"/>
  <c r="H28" i="33"/>
  <c r="H29" i="33" s="1"/>
  <c r="S15" i="1"/>
  <c r="T15" i="1" s="1"/>
  <c r="O15" i="1"/>
  <c r="N15" i="33"/>
  <c r="F28" i="33"/>
  <c r="F29" i="33" s="1"/>
  <c r="M24" i="33"/>
  <c r="R24" i="33" s="1"/>
  <c r="O14" i="8"/>
  <c r="O26" i="8"/>
  <c r="O10" i="3"/>
  <c r="O18" i="3"/>
  <c r="O26" i="3"/>
  <c r="O10" i="4"/>
  <c r="O14" i="4"/>
  <c r="O18" i="4"/>
  <c r="O22" i="4"/>
  <c r="O26" i="4"/>
  <c r="S27" i="4"/>
  <c r="T27" i="4" s="1"/>
  <c r="O27" i="5"/>
  <c r="O12" i="3"/>
  <c r="O20" i="3"/>
  <c r="R10" i="4"/>
  <c r="R14" i="4"/>
  <c r="R18" i="4"/>
  <c r="R22" i="4"/>
  <c r="R26" i="4"/>
  <c r="O26" i="5"/>
  <c r="S27" i="5"/>
  <c r="T27" i="5" s="1"/>
  <c r="O9" i="6"/>
  <c r="N30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25" i="6"/>
  <c r="O24" i="8"/>
  <c r="O16" i="9"/>
  <c r="O24" i="9"/>
  <c r="O24" i="13"/>
  <c r="O7" i="16"/>
  <c r="O11" i="16"/>
  <c r="O15" i="16"/>
  <c r="O19" i="16"/>
  <c r="O23" i="16"/>
  <c r="O27" i="16"/>
  <c r="O24" i="18"/>
  <c r="O26" i="21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18" i="9"/>
  <c r="O26" i="9"/>
  <c r="O14" i="12"/>
  <c r="O26" i="13"/>
  <c r="N21" i="33"/>
  <c r="O20" i="9"/>
  <c r="O24" i="10"/>
  <c r="O14" i="11"/>
  <c r="O22" i="11"/>
  <c r="O13" i="12"/>
  <c r="O18" i="12"/>
  <c r="O14" i="14"/>
  <c r="O24" i="14"/>
  <c r="O26" i="15"/>
  <c r="O9" i="16"/>
  <c r="O13" i="16"/>
  <c r="O17" i="16"/>
  <c r="O21" i="16"/>
  <c r="O25" i="16"/>
  <c r="O26" i="17"/>
  <c r="O18" i="18"/>
  <c r="O10" i="19"/>
  <c r="O14" i="19"/>
  <c r="O18" i="19"/>
  <c r="O22" i="19"/>
  <c r="O26" i="19"/>
  <c r="O24" i="20"/>
  <c r="O12" i="22"/>
  <c r="O20" i="22"/>
  <c r="O26" i="23"/>
  <c r="O12" i="24"/>
  <c r="O20" i="24"/>
  <c r="O12" i="25"/>
  <c r="O20" i="25"/>
  <c r="O26" i="26"/>
  <c r="O18" i="27"/>
  <c r="O26" i="27"/>
  <c r="O24" i="28"/>
  <c r="O26" i="29"/>
  <c r="O24" i="31"/>
  <c r="O14" i="32"/>
  <c r="O24" i="32"/>
  <c r="O26" i="10"/>
  <c r="O8" i="11"/>
  <c r="O16" i="11"/>
  <c r="O24" i="11"/>
  <c r="O24" i="12"/>
  <c r="O16" i="14"/>
  <c r="O26" i="14"/>
  <c r="O20" i="15"/>
  <c r="N28" i="16"/>
  <c r="R9" i="16"/>
  <c r="R13" i="16"/>
  <c r="R17" i="16"/>
  <c r="R21" i="16"/>
  <c r="R25" i="16"/>
  <c r="M28" i="16"/>
  <c r="O20" i="18"/>
  <c r="R10" i="19"/>
  <c r="R14" i="19"/>
  <c r="R18" i="19"/>
  <c r="R22" i="19"/>
  <c r="R26" i="19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Q28" i="33"/>
  <c r="N20" i="33"/>
  <c r="D28" i="33"/>
  <c r="D29" i="33" s="1"/>
  <c r="M7" i="33"/>
  <c r="S7" i="33" s="1"/>
  <c r="T7" i="33" s="1"/>
  <c r="N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V7" i="27" s="1"/>
  <c r="R9" i="27"/>
  <c r="V9" i="27" s="1"/>
  <c r="R11" i="27"/>
  <c r="V11" i="27" s="1"/>
  <c r="R13" i="27"/>
  <c r="V13" i="27" s="1"/>
  <c r="R15" i="27"/>
  <c r="V15" i="27" s="1"/>
  <c r="R17" i="27"/>
  <c r="V17" i="27" s="1"/>
  <c r="R19" i="27"/>
  <c r="V19" i="27" s="1"/>
  <c r="R21" i="27"/>
  <c r="V21" i="27" s="1"/>
  <c r="R23" i="27"/>
  <c r="V23" i="27" s="1"/>
  <c r="R25" i="27"/>
  <c r="V25" i="27" s="1"/>
  <c r="R27" i="27"/>
  <c r="V27" i="27" s="1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V8" i="27" s="1"/>
  <c r="R10" i="27"/>
  <c r="V10" i="27" s="1"/>
  <c r="R12" i="27"/>
  <c r="V12" i="27" s="1"/>
  <c r="R14" i="27"/>
  <c r="V14" i="27" s="1"/>
  <c r="R16" i="27"/>
  <c r="V16" i="27" s="1"/>
  <c r="T7" i="26"/>
  <c r="R7" i="26"/>
  <c r="V7" i="26" s="1"/>
  <c r="R9" i="26"/>
  <c r="V9" i="26" s="1"/>
  <c r="R11" i="26"/>
  <c r="V11" i="26" s="1"/>
  <c r="R13" i="26"/>
  <c r="V13" i="26" s="1"/>
  <c r="R15" i="26"/>
  <c r="V15" i="26" s="1"/>
  <c r="R17" i="26"/>
  <c r="V17" i="26" s="1"/>
  <c r="R19" i="26"/>
  <c r="V19" i="26" s="1"/>
  <c r="R21" i="26"/>
  <c r="V21" i="26" s="1"/>
  <c r="R23" i="26"/>
  <c r="V23" i="26" s="1"/>
  <c r="R25" i="26"/>
  <c r="V25" i="26" s="1"/>
  <c r="R27" i="26"/>
  <c r="V27" i="26" s="1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V10" i="26" s="1"/>
  <c r="R12" i="26"/>
  <c r="V12" i="26" s="1"/>
  <c r="R14" i="26"/>
  <c r="V14" i="26" s="1"/>
  <c r="R16" i="26"/>
  <c r="V16" i="26" s="1"/>
  <c r="R18" i="26"/>
  <c r="V18" i="26" s="1"/>
  <c r="R20" i="26"/>
  <c r="V20" i="26" s="1"/>
  <c r="R22" i="26"/>
  <c r="V22" i="26" s="1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V7" i="20" s="1"/>
  <c r="R9" i="20"/>
  <c r="V9" i="20" s="1"/>
  <c r="R11" i="20"/>
  <c r="V11" i="20" s="1"/>
  <c r="R13" i="20"/>
  <c r="V13" i="20" s="1"/>
  <c r="R15" i="20"/>
  <c r="V15" i="20" s="1"/>
  <c r="R17" i="20"/>
  <c r="V17" i="20" s="1"/>
  <c r="R19" i="20"/>
  <c r="V19" i="20" s="1"/>
  <c r="R21" i="20"/>
  <c r="R23" i="20"/>
  <c r="V23" i="20" s="1"/>
  <c r="R25" i="20"/>
  <c r="V25" i="20" s="1"/>
  <c r="R27" i="20"/>
  <c r="V27" i="20" s="1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V8" i="20" s="1"/>
  <c r="R10" i="20"/>
  <c r="V10" i="20" s="1"/>
  <c r="R12" i="20"/>
  <c r="R14" i="20"/>
  <c r="V14" i="20" s="1"/>
  <c r="R16" i="20"/>
  <c r="V16" i="20" s="1"/>
  <c r="R18" i="20"/>
  <c r="V18" i="20" s="1"/>
  <c r="R20" i="20"/>
  <c r="V20" i="20" s="1"/>
  <c r="R22" i="20"/>
  <c r="V22" i="20" s="1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U7" i="6"/>
  <c r="T23" i="6"/>
  <c r="U23" i="6" s="1"/>
  <c r="T25" i="6"/>
  <c r="U25" i="6" s="1"/>
  <c r="O26" i="6"/>
  <c r="T27" i="6"/>
  <c r="U27" i="6" s="1"/>
  <c r="M28" i="6"/>
  <c r="T10" i="6"/>
  <c r="U10" i="6" s="1"/>
  <c r="O11" i="6"/>
  <c r="O15" i="6"/>
  <c r="T16" i="6"/>
  <c r="U16" i="6" s="1"/>
  <c r="O21" i="6"/>
  <c r="T8" i="6"/>
  <c r="U8" i="6" s="1"/>
  <c r="T12" i="6"/>
  <c r="U12" i="6" s="1"/>
  <c r="O13" i="6"/>
  <c r="T14" i="6"/>
  <c r="U14" i="6" s="1"/>
  <c r="O17" i="6"/>
  <c r="T18" i="6"/>
  <c r="U18" i="6" s="1"/>
  <c r="O19" i="6"/>
  <c r="T20" i="6"/>
  <c r="U20" i="6" s="1"/>
  <c r="T22" i="6"/>
  <c r="U22" i="6" s="1"/>
  <c r="T24" i="6"/>
  <c r="U24" i="6" s="1"/>
  <c r="T26" i="6"/>
  <c r="U26" i="6" s="1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S9" i="1"/>
  <c r="S11" i="1"/>
  <c r="T11" i="1" s="1"/>
  <c r="O12" i="1"/>
  <c r="S13" i="1"/>
  <c r="T13" i="1" s="1"/>
  <c r="S17" i="1"/>
  <c r="T17" i="1" s="1"/>
  <c r="O18" i="1"/>
  <c r="S21" i="1"/>
  <c r="T21" i="1" s="1"/>
  <c r="O22" i="1"/>
  <c r="S23" i="1"/>
  <c r="T23" i="1" s="1"/>
  <c r="O24" i="1"/>
  <c r="S27" i="1"/>
  <c r="T27" i="1" s="1"/>
  <c r="O28" i="1"/>
  <c r="R9" i="1"/>
  <c r="R11" i="1"/>
  <c r="R13" i="1"/>
  <c r="R15" i="1"/>
  <c r="R17" i="1"/>
  <c r="R19" i="1"/>
  <c r="R21" i="1"/>
  <c r="R23" i="1"/>
  <c r="R25" i="1"/>
  <c r="R27" i="1"/>
  <c r="R29" i="1"/>
  <c r="M30" i="1"/>
  <c r="S12" i="1"/>
  <c r="T12" i="1" s="1"/>
  <c r="S14" i="1"/>
  <c r="T14" i="1" s="1"/>
  <c r="S20" i="1"/>
  <c r="T20" i="1" s="1"/>
  <c r="S24" i="1"/>
  <c r="T24" i="1" s="1"/>
  <c r="O25" i="1"/>
  <c r="S28" i="1"/>
  <c r="T28" i="1" s="1"/>
  <c r="O29" i="1"/>
  <c r="S10" i="1"/>
  <c r="T10" i="1" s="1"/>
  <c r="S16" i="1"/>
  <c r="T16" i="1" s="1"/>
  <c r="S18" i="1"/>
  <c r="T18" i="1" s="1"/>
  <c r="O19" i="1"/>
  <c r="S22" i="1"/>
  <c r="T22" i="1" s="1"/>
  <c r="S26" i="1"/>
  <c r="T26" i="1" s="1"/>
  <c r="R10" i="1"/>
  <c r="R16" i="1"/>
  <c r="R20" i="1"/>
  <c r="R26" i="1"/>
  <c r="V28" i="26" l="1"/>
  <c r="V28" i="25"/>
  <c r="O28" i="16"/>
  <c r="S8" i="33"/>
  <c r="T8" i="33" s="1"/>
  <c r="O21" i="33"/>
  <c r="R21" i="33"/>
  <c r="R23" i="33"/>
  <c r="O23" i="33"/>
  <c r="S28" i="6"/>
  <c r="U21" i="6"/>
  <c r="U28" i="6" s="1"/>
  <c r="T28" i="6"/>
  <c r="O14" i="33"/>
  <c r="O25" i="33"/>
  <c r="R25" i="33"/>
  <c r="O28" i="3"/>
  <c r="R19" i="33"/>
  <c r="O10" i="33"/>
  <c r="O17" i="33"/>
  <c r="S26" i="33"/>
  <c r="T26" i="33" s="1"/>
  <c r="O26" i="33"/>
  <c r="S18" i="33"/>
  <c r="T18" i="33" s="1"/>
  <c r="S10" i="33"/>
  <c r="T10" i="33" s="1"/>
  <c r="R22" i="33"/>
  <c r="S22" i="33"/>
  <c r="T22" i="33" s="1"/>
  <c r="S20" i="33"/>
  <c r="T20" i="33" s="1"/>
  <c r="O24" i="33"/>
  <c r="O9" i="33"/>
  <c r="O18" i="33"/>
  <c r="R8" i="33"/>
  <c r="R9" i="33"/>
  <c r="O19" i="33"/>
  <c r="R20" i="33"/>
  <c r="R11" i="33"/>
  <c r="O27" i="33"/>
  <c r="S14" i="33"/>
  <c r="T14" i="33" s="1"/>
  <c r="R27" i="33"/>
  <c r="R17" i="33"/>
  <c r="R13" i="33"/>
  <c r="O13" i="33"/>
  <c r="O11" i="33"/>
  <c r="S24" i="33"/>
  <c r="T24" i="33" s="1"/>
  <c r="O15" i="33"/>
  <c r="R15" i="33"/>
  <c r="S16" i="33"/>
  <c r="T16" i="33" s="1"/>
  <c r="N28" i="33"/>
  <c r="O16" i="33"/>
  <c r="S12" i="33"/>
  <c r="T12" i="33" s="1"/>
  <c r="O12" i="33"/>
  <c r="O30" i="1"/>
  <c r="O28" i="6"/>
  <c r="O28" i="5"/>
  <c r="R28" i="16"/>
  <c r="O28" i="19"/>
  <c r="R28" i="19"/>
  <c r="O28" i="4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V28" i="20" s="1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30" i="1"/>
  <c r="T9" i="1"/>
  <c r="T30" i="1" s="1"/>
  <c r="R30" i="1"/>
  <c r="R28" i="33" l="1"/>
  <c r="T28" i="33"/>
  <c r="O28" i="33"/>
  <c r="S28" i="33"/>
</calcChain>
</file>

<file path=xl/comments1.xml><?xml version="1.0" encoding="utf-8"?>
<comments xmlns="http://schemas.openxmlformats.org/spreadsheetml/2006/main">
  <authors>
    <author>Windows User</author>
  </authors>
  <commentList>
    <comment ref="D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goto kaler 514 tk add kore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D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vul babod 1004 add kore</t>
        </r>
      </text>
    </comment>
  </commentList>
</comments>
</file>

<file path=xl/sharedStrings.xml><?xml version="1.0" encoding="utf-8"?>
<sst xmlns="http://schemas.openxmlformats.org/spreadsheetml/2006/main" count="1667" uniqueCount="131">
  <si>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</si>
  <si>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</si>
  <si>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</si>
  <si>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</si>
  <si>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</si>
  <si>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</si>
  <si>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</si>
  <si>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</si>
  <si>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</si>
  <si>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</si>
  <si>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</si>
  <si>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</si>
  <si>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</si>
  <si>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</si>
  <si>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</si>
  <si>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</si>
  <si>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</si>
  <si>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</si>
  <si>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</si>
  <si>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</si>
  <si>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</si>
  <si>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</si>
  <si>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</si>
  <si>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</si>
  <si>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</si>
  <si>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</si>
  <si>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</si>
  <si>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</si>
  <si>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</si>
  <si>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</si>
  <si>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</si>
  <si>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</si>
  <si>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</si>
  <si>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</si>
  <si>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</si>
  <si>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</si>
  <si>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</si>
  <si>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</si>
  <si>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</si>
  <si>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</si>
  <si>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</si>
  <si>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</si>
  <si>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</si>
  <si>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</si>
  <si>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</si>
  <si>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</si>
  <si>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</si>
  <si>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</si>
  <si>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 01.06.2021</t>
  </si>
  <si>
    <t>Hafijul</t>
  </si>
  <si>
    <t>Nayem(2)</t>
  </si>
  <si>
    <t>Rocky</t>
  </si>
  <si>
    <t>Rokib</t>
  </si>
  <si>
    <t xml:space="preserve"> </t>
  </si>
  <si>
    <t>550,Alaipur,Natore.</t>
  </si>
  <si>
    <t>Date:02/06/2021</t>
  </si>
  <si>
    <t>rocky</t>
  </si>
  <si>
    <t>Date:03.06.2021</t>
  </si>
  <si>
    <t>Date:05/06/2021</t>
  </si>
  <si>
    <t>Date:06.06.2021</t>
  </si>
  <si>
    <t>Mayem(2)</t>
  </si>
  <si>
    <t>Date:07.06.2021</t>
  </si>
  <si>
    <t>Date:08.06.2021</t>
  </si>
  <si>
    <t>Month:June</t>
  </si>
  <si>
    <t>Saon -16070</t>
  </si>
  <si>
    <t>Target V/S Achievement</t>
  </si>
  <si>
    <t>Channel Name</t>
  </si>
  <si>
    <t>Target Type</t>
  </si>
  <si>
    <t>Total Target</t>
  </si>
  <si>
    <t>Total Achivement</t>
  </si>
  <si>
    <t>Working Day=27</t>
  </si>
  <si>
    <t>Working Day=26</t>
  </si>
  <si>
    <t>Working Day=25</t>
  </si>
  <si>
    <t>Working Day=24</t>
  </si>
  <si>
    <t>Working Day=23</t>
  </si>
  <si>
    <t>Working Day=22</t>
  </si>
  <si>
    <t>Working Day=21</t>
  </si>
  <si>
    <t>Working Day=20</t>
  </si>
  <si>
    <t>Working Day=19</t>
  </si>
  <si>
    <t>Working Day=18</t>
  </si>
  <si>
    <t>Working Day=17</t>
  </si>
  <si>
    <t>Working Day=16</t>
  </si>
  <si>
    <t>Working Day=15</t>
  </si>
  <si>
    <t>Working Day=14</t>
  </si>
  <si>
    <t>Working Day=13</t>
  </si>
  <si>
    <t>Working Day=12</t>
  </si>
  <si>
    <t>Working Day=11</t>
  </si>
  <si>
    <t>Working Day=10</t>
  </si>
  <si>
    <t>Working Day=9</t>
  </si>
  <si>
    <t>Need=8 Working Day</t>
  </si>
  <si>
    <t>Need=7 Working Day</t>
  </si>
  <si>
    <t>Need=6 Working Day</t>
  </si>
  <si>
    <t>Need=5  Working Day</t>
  </si>
  <si>
    <t>Need=4  Working Day</t>
  </si>
  <si>
    <t>Working Day=3</t>
  </si>
  <si>
    <t>Working Day=2</t>
  </si>
  <si>
    <t>Working Day=1</t>
  </si>
  <si>
    <t>Target</t>
  </si>
  <si>
    <t>Achive</t>
  </si>
  <si>
    <t>iTopUp</t>
  </si>
  <si>
    <t>GA</t>
  </si>
  <si>
    <t>Sojib</t>
  </si>
  <si>
    <t>Romjan</t>
  </si>
  <si>
    <t>Nayem</t>
  </si>
  <si>
    <t>Date:09.06.2021</t>
  </si>
  <si>
    <t>Date:10.06.2021</t>
  </si>
  <si>
    <t>Date:12.06.2021</t>
  </si>
  <si>
    <t>Date:13/06/2021</t>
  </si>
  <si>
    <t>Date:14.06.2021</t>
  </si>
  <si>
    <t>Date:15.06.2021</t>
  </si>
  <si>
    <t>Date:16.06.2021</t>
  </si>
  <si>
    <t xml:space="preserve">Date:17.06.2021 </t>
  </si>
  <si>
    <t>Date:19.06.2021</t>
  </si>
  <si>
    <t>Total</t>
  </si>
  <si>
    <t>Date:20.06.2021</t>
  </si>
  <si>
    <t>1% Less</t>
  </si>
  <si>
    <t>Date:21.06.2021</t>
  </si>
  <si>
    <t xml:space="preserve">  </t>
  </si>
  <si>
    <t>Date:22.06.2021</t>
  </si>
  <si>
    <t>Date:23.06.2021</t>
  </si>
  <si>
    <t>Date:25.06.2021</t>
  </si>
  <si>
    <t>.8%Less</t>
  </si>
  <si>
    <t>ACT VALUE</t>
  </si>
  <si>
    <t>Date:26.06.2021</t>
  </si>
  <si>
    <t>.08%Less</t>
  </si>
  <si>
    <t>ACT Value</t>
  </si>
  <si>
    <t>Sojol</t>
  </si>
  <si>
    <t>nayem(2)</t>
  </si>
  <si>
    <t>Date: 27/06/2021</t>
  </si>
  <si>
    <t>.08% Less</t>
  </si>
  <si>
    <t>Date:28.06.2021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</si>
</sst>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8" tint="0.79998168889431442"/>
      <name val="Arial"/>
      <family val="2"/>
    </font>
    <font>
      <b/>
      <sz val="10"/>
      <color theme="8" tint="0.79998168889431442"/>
      <name val="Arial"/>
      <family val="2"/>
    </font>
    <font>
      <b/>
      <sz val="12"/>
      <color theme="8" tint="0.79998168889431442"/>
      <name val="Arial"/>
      <family val="2"/>
    </font>
    <font>
      <sz val="12"/>
      <color theme="2"/>
      <name val="Arial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sz val="11"/>
      <color theme="0"/>
      <name val="Arial"/>
      <family val="2"/>
    </font>
    <font>
      <b/>
      <sz val="11"/>
      <color theme="9" tint="0.59999389629810485"/>
      <name val="Arial"/>
      <family val="2"/>
    </font>
    <font>
      <b/>
      <sz val="12"/>
      <color theme="9" tint="0.59999389629810485"/>
      <name val="Arial"/>
      <family val="2"/>
    </font>
    <font>
      <b/>
      <sz val="14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3"/>
      <name val="Calibri"/>
      <family val="2"/>
      <scheme val="minor"/>
    </font>
    <font>
      <b/>
      <sz val="15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7"/>
      <name val="Calibri"/>
      <family val="2"/>
    </font>
    <font>
      <b/>
      <sz val="15"/>
      <color theme="2"/>
      <name val="Calibri"/>
      <family val="2"/>
    </font>
    <font>
      <b/>
      <sz val="12"/>
      <name val="Calibri"/>
      <family val="2"/>
    </font>
    <font>
      <sz val="48"/>
      <color theme="2"/>
      <name val="Calibri"/>
      <family val="2"/>
      <scheme val="minor"/>
    </font>
    <font>
      <b/>
      <sz val="20"/>
      <color theme="0"/>
      <name val="Calibri"/>
      <family val="2"/>
    </font>
    <font>
      <b/>
      <sz val="12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name val="Calibri"/>
      <family val="2"/>
      <scheme val="minor"/>
    </font>
    <font>
      <b/>
      <sz val="15"/>
      <name val="Arial"/>
      <family val="2"/>
    </font>
    <font>
      <b/>
      <sz val="11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gradientFill degree="90">
        <stop position="0">
          <color rgb="FF0070C0"/>
        </stop>
        <stop position="1">
          <color theme="1"/>
        </stop>
      </gradientFill>
    </fill>
    <fill>
      <gradientFill degree="90">
        <stop position="0">
          <color rgb="FF00B050"/>
        </stop>
        <stop position="1">
          <color theme="1"/>
        </stop>
      </gradientFill>
    </fill>
    <fill>
      <gradientFill degree="90">
        <stop position="0">
          <color theme="9" tint="-0.25098422193060094"/>
        </stop>
        <stop position="1">
          <color theme="1"/>
        </stop>
      </gradientFill>
    </fill>
    <fill>
      <gradientFill degree="90">
        <stop position="0">
          <color theme="0"/>
        </stop>
        <stop position="1">
          <color theme="4"/>
        </stop>
      </gradientFill>
    </fill>
    <fill>
      <gradientFill degree="90">
        <stop position="0">
          <color theme="0"/>
        </stop>
        <stop position="1">
          <color theme="4" tint="0.59999389629810485"/>
        </stop>
      </gradientFill>
    </fill>
    <fill>
      <patternFill patternType="solid">
        <fgColor rgb="FFFF0000"/>
        <bgColor indexed="64"/>
      </patternFill>
    </fill>
    <fill>
      <gradientFill degree="90">
        <stop position="0">
          <color rgb="FF00B0F0"/>
        </stop>
        <stop position="1">
          <color theme="1"/>
        </stop>
      </gradientFill>
    </fill>
    <fill>
      <gradientFill degree="90">
        <stop position="0">
          <color rgb="FF92D050"/>
        </stop>
        <stop position="1">
          <color theme="1"/>
        </stop>
      </gradientFill>
    </fill>
    <fill>
      <gradientFill degree="90">
        <stop position="0">
          <color rgb="FFFF0000"/>
        </stop>
        <stop position="1">
          <color theme="1"/>
        </stop>
      </gradientFill>
    </fill>
    <fill>
      <gradientFill degree="90">
        <stop position="0">
          <color rgb="FF00B0F0"/>
        </stop>
        <stop position="1">
          <color rgb="FF92D050"/>
        </stop>
      </gradientFill>
    </fill>
    <fill>
      <patternFill patternType="solid">
        <fgColor theme="8" tint="0.59999389629810485"/>
        <bgColor indexed="64"/>
      </patternFill>
    </fill>
    <fill>
      <gradientFill degree="45">
        <stop position="0">
          <color rgb="FFFFFF00"/>
        </stop>
        <stop position="1">
          <color theme="5" tint="-0.25098422193060094"/>
        </stop>
      </gradient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gradientFill degree="90">
        <stop position="0">
          <color theme="5" tint="-0.25098422193060094"/>
        </stop>
        <stop position="1">
          <color theme="1"/>
        </stop>
      </gradientFill>
    </fill>
    <fill>
      <gradientFill>
        <stop position="0">
          <color rgb="FF002060"/>
        </stop>
        <stop position="1">
          <color theme="4"/>
        </stop>
      </gradientFill>
    </fill>
    <fill>
      <patternFill patternType="solid">
        <fgColor rgb="FFFFC000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14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0" borderId="0" xfId="0" applyBorder="1"/>
    <xf numFmtId="49" fontId="7" fillId="0" borderId="5" xfId="0" applyNumberFormat="1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1" fontId="6" fillId="0" borderId="27" xfId="0" applyNumberFormat="1" applyFont="1" applyFill="1" applyBorder="1" applyAlignment="1">
      <alignment horizontal="center" vertical="center"/>
    </xf>
    <xf numFmtId="1" fontId="6" fillId="0" borderId="28" xfId="0" applyNumberFormat="1" applyFont="1" applyFill="1" applyBorder="1" applyAlignment="1">
      <alignment horizontal="center" vertical="center"/>
    </xf>
    <xf numFmtId="0" fontId="7" fillId="0" borderId="29" xfId="0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31" xfId="0" applyFont="1" applyFill="1" applyBorder="1" applyAlignment="1">
      <alignment horizontal="center" vertical="center"/>
    </xf>
    <xf numFmtId="1" fontId="7" fillId="0" borderId="31" xfId="0" applyNumberFormat="1" applyFont="1" applyFill="1" applyBorder="1" applyAlignment="1">
      <alignment horizontal="center" vertical="center"/>
    </xf>
    <xf numFmtId="0" fontId="9" fillId="0" borderId="31" xfId="0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center" vertical="center"/>
    </xf>
    <xf numFmtId="0" fontId="7" fillId="0" borderId="3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5" fillId="10" borderId="8" xfId="0" applyFont="1" applyFill="1" applyBorder="1" applyAlignment="1">
      <alignment horizontal="center" vertical="center"/>
    </xf>
    <xf numFmtId="0" fontId="15" fillId="10" borderId="9" xfId="0" applyFont="1" applyFill="1" applyBorder="1" applyAlignment="1">
      <alignment horizontal="center" vertical="center"/>
    </xf>
    <xf numFmtId="0" fontId="15" fillId="10" borderId="6" xfId="0" applyFont="1" applyFill="1" applyBorder="1" applyAlignment="1">
      <alignment horizontal="center" vertical="center" wrapText="1"/>
    </xf>
    <xf numFmtId="0" fontId="15" fillId="10" borderId="9" xfId="0" applyFont="1" applyFill="1" applyBorder="1" applyAlignment="1">
      <alignment horizontal="center" vertical="center" wrapText="1"/>
    </xf>
    <xf numFmtId="0" fontId="15" fillId="10" borderId="7" xfId="0" applyFont="1" applyFill="1" applyBorder="1" applyAlignment="1">
      <alignment horizontal="center" vertical="center" wrapText="1"/>
    </xf>
    <xf numFmtId="0" fontId="16" fillId="10" borderId="9" xfId="0" applyFont="1" applyFill="1" applyBorder="1" applyAlignment="1">
      <alignment horizontal="center" vertical="center" wrapText="1"/>
    </xf>
    <xf numFmtId="0" fontId="16" fillId="10" borderId="10" xfId="0" applyFont="1" applyFill="1" applyBorder="1" applyAlignment="1">
      <alignment horizontal="center" vertical="center" wrapText="1"/>
    </xf>
    <xf numFmtId="0" fontId="15" fillId="10" borderId="5" xfId="0" applyFont="1" applyFill="1" applyBorder="1" applyAlignment="1">
      <alignment horizontal="center" vertical="center"/>
    </xf>
    <xf numFmtId="0" fontId="15" fillId="10" borderId="5" xfId="0" applyFont="1" applyFill="1" applyBorder="1" applyAlignment="1">
      <alignment horizontal="center" vertical="center" wrapText="1"/>
    </xf>
    <xf numFmtId="0" fontId="7" fillId="0" borderId="28" xfId="0" applyFont="1" applyFill="1" applyBorder="1" applyAlignment="1">
      <alignment horizontal="center" vertical="center"/>
    </xf>
    <xf numFmtId="0" fontId="7" fillId="0" borderId="27" xfId="0" applyFont="1" applyFill="1" applyBorder="1" applyAlignment="1">
      <alignment horizontal="center" vertical="center"/>
    </xf>
    <xf numFmtId="0" fontId="7" fillId="0" borderId="34" xfId="0" applyFont="1" applyFill="1" applyBorder="1" applyAlignment="1">
      <alignment horizontal="center" vertical="center"/>
    </xf>
    <xf numFmtId="1" fontId="7" fillId="0" borderId="28" xfId="0" applyNumberFormat="1" applyFont="1" applyFill="1" applyBorder="1" applyAlignment="1">
      <alignment horizontal="center" vertical="center"/>
    </xf>
    <xf numFmtId="0" fontId="9" fillId="0" borderId="28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15" fillId="10" borderId="35" xfId="0" applyFont="1" applyFill="1" applyBorder="1" applyAlignment="1">
      <alignment horizontal="center" vertical="center"/>
    </xf>
    <xf numFmtId="0" fontId="15" fillId="10" borderId="23" xfId="0" applyFont="1" applyFill="1" applyBorder="1" applyAlignment="1">
      <alignment horizontal="center" vertical="center"/>
    </xf>
    <xf numFmtId="0" fontId="18" fillId="11" borderId="0" xfId="0" applyFont="1" applyFill="1" applyBorder="1" applyAlignment="1">
      <alignment horizontal="center" vertical="center"/>
    </xf>
    <xf numFmtId="0" fontId="17" fillId="12" borderId="0" xfId="0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/>
    </xf>
    <xf numFmtId="0" fontId="0" fillId="2" borderId="0" xfId="0" applyFill="1"/>
    <xf numFmtId="0" fontId="19" fillId="12" borderId="0" xfId="0" applyFont="1" applyFill="1" applyBorder="1" applyAlignment="1">
      <alignment horizontal="center" vertical="center"/>
    </xf>
    <xf numFmtId="0" fontId="22" fillId="16" borderId="5" xfId="0" applyFont="1" applyFill="1" applyBorder="1" applyAlignment="1">
      <alignment horizontal="center" vertical="center"/>
    </xf>
    <xf numFmtId="0" fontId="23" fillId="16" borderId="5" xfId="0" applyFont="1" applyFill="1" applyBorder="1" applyAlignment="1">
      <alignment horizontal="center" vertical="center"/>
    </xf>
    <xf numFmtId="1" fontId="23" fillId="16" borderId="5" xfId="0" applyNumberFormat="1" applyFont="1" applyFill="1" applyBorder="1" applyAlignment="1">
      <alignment horizontal="center" vertical="center"/>
    </xf>
    <xf numFmtId="1" fontId="24" fillId="17" borderId="15" xfId="0" applyNumberFormat="1" applyFont="1" applyFill="1" applyBorder="1" applyAlignment="1">
      <alignment horizontal="center" vertical="center" wrapText="1"/>
    </xf>
    <xf numFmtId="1" fontId="24" fillId="17" borderId="16" xfId="0" applyNumberFormat="1" applyFont="1" applyFill="1" applyBorder="1" applyAlignment="1">
      <alignment horizontal="center" vertical="center" wrapText="1"/>
    </xf>
    <xf numFmtId="2" fontId="24" fillId="17" borderId="16" xfId="0" applyNumberFormat="1" applyFont="1" applyFill="1" applyBorder="1" applyAlignment="1">
      <alignment horizontal="center" vertical="center" wrapText="1"/>
    </xf>
    <xf numFmtId="1" fontId="24" fillId="17" borderId="18" xfId="0" applyNumberFormat="1" applyFont="1" applyFill="1" applyBorder="1" applyAlignment="1">
      <alignment horizontal="center" vertical="center" wrapText="1"/>
    </xf>
    <xf numFmtId="1" fontId="23" fillId="17" borderId="16" xfId="0" applyNumberFormat="1" applyFont="1" applyFill="1" applyBorder="1" applyAlignment="1">
      <alignment horizontal="center" vertical="center"/>
    </xf>
    <xf numFmtId="0" fontId="19" fillId="18" borderId="35" xfId="0" applyFont="1" applyFill="1" applyBorder="1" applyAlignment="1">
      <alignment horizontal="center" vertical="center"/>
    </xf>
    <xf numFmtId="0" fontId="19" fillId="18" borderId="23" xfId="0" applyFont="1" applyFill="1" applyBorder="1" applyAlignment="1">
      <alignment horizontal="center" vertical="center"/>
    </xf>
    <xf numFmtId="0" fontId="19" fillId="18" borderId="8" xfId="0" applyFont="1" applyFill="1" applyBorder="1" applyAlignment="1">
      <alignment horizontal="center" vertical="center"/>
    </xf>
    <xf numFmtId="0" fontId="19" fillId="18" borderId="9" xfId="0" applyFont="1" applyFill="1" applyBorder="1" applyAlignment="1">
      <alignment horizontal="center" vertical="center"/>
    </xf>
    <xf numFmtId="0" fontId="19" fillId="18" borderId="6" xfId="0" applyFont="1" applyFill="1" applyBorder="1" applyAlignment="1">
      <alignment horizontal="center" vertical="center" wrapText="1"/>
    </xf>
    <xf numFmtId="0" fontId="19" fillId="18" borderId="9" xfId="0" applyFont="1" applyFill="1" applyBorder="1" applyAlignment="1">
      <alignment horizontal="center" vertical="center" wrapText="1"/>
    </xf>
    <xf numFmtId="0" fontId="19" fillId="18" borderId="7" xfId="0" applyFont="1" applyFill="1" applyBorder="1" applyAlignment="1">
      <alignment horizontal="center" vertical="center" wrapText="1"/>
    </xf>
    <xf numFmtId="0" fontId="20" fillId="18" borderId="9" xfId="0" applyFont="1" applyFill="1" applyBorder="1" applyAlignment="1">
      <alignment horizontal="center" vertical="center" wrapText="1"/>
    </xf>
    <xf numFmtId="0" fontId="20" fillId="18" borderId="10" xfId="0" applyFont="1" applyFill="1" applyBorder="1" applyAlignment="1">
      <alignment horizontal="center" vertical="center" wrapText="1"/>
    </xf>
    <xf numFmtId="0" fontId="19" fillId="18" borderId="5" xfId="0" applyFont="1" applyFill="1" applyBorder="1" applyAlignment="1">
      <alignment horizontal="center" vertical="center"/>
    </xf>
    <xf numFmtId="0" fontId="19" fillId="18" borderId="5" xfId="0" applyFont="1" applyFill="1" applyBorder="1" applyAlignment="1">
      <alignment horizontal="center" vertical="center" wrapText="1"/>
    </xf>
    <xf numFmtId="0" fontId="19" fillId="18" borderId="31" xfId="0" applyFont="1" applyFill="1" applyBorder="1" applyAlignment="1">
      <alignment horizontal="center" vertical="center" wrapText="1"/>
    </xf>
    <xf numFmtId="0" fontId="21" fillId="11" borderId="39" xfId="0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2" fontId="5" fillId="0" borderId="42" xfId="0" applyNumberFormat="1" applyFont="1" applyFill="1" applyBorder="1" applyAlignment="1">
      <alignment horizontal="center" vertical="center"/>
    </xf>
    <xf numFmtId="0" fontId="0" fillId="6" borderId="0" xfId="0" applyFill="1" applyAlignment="1">
      <alignment wrapText="1"/>
    </xf>
    <xf numFmtId="0" fontId="0" fillId="0" borderId="43" xfId="0" applyBorder="1"/>
    <xf numFmtId="0" fontId="0" fillId="0" borderId="0" xfId="0" applyAlignment="1">
      <alignment vertical="center"/>
    </xf>
    <xf numFmtId="0" fontId="26" fillId="16" borderId="20" xfId="0" applyFont="1" applyFill="1" applyBorder="1" applyAlignment="1">
      <alignment vertical="center"/>
    </xf>
    <xf numFmtId="0" fontId="26" fillId="16" borderId="22" xfId="0" applyFont="1" applyFill="1" applyBorder="1" applyAlignment="1">
      <alignment vertical="center"/>
    </xf>
    <xf numFmtId="0" fontId="27" fillId="16" borderId="20" xfId="0" applyFont="1" applyFill="1" applyBorder="1" applyAlignment="1"/>
    <xf numFmtId="0" fontId="0" fillId="20" borderId="20" xfId="0" applyFill="1" applyBorder="1"/>
    <xf numFmtId="3" fontId="35" fillId="15" borderId="14" xfId="0" applyNumberFormat="1" applyFont="1" applyFill="1" applyBorder="1" applyAlignment="1">
      <alignment horizontal="center" vertical="center"/>
    </xf>
    <xf numFmtId="0" fontId="35" fillId="2" borderId="14" xfId="0" applyFont="1" applyFill="1" applyBorder="1" applyAlignment="1">
      <alignment horizontal="center" vertical="center"/>
    </xf>
    <xf numFmtId="3" fontId="35" fillId="15" borderId="13" xfId="0" applyNumberFormat="1" applyFont="1" applyFill="1" applyBorder="1" applyAlignment="1">
      <alignment horizontal="center" vertical="center"/>
    </xf>
    <xf numFmtId="0" fontId="35" fillId="2" borderId="31" xfId="0" applyFont="1" applyFill="1" applyBorder="1" applyAlignment="1">
      <alignment horizontal="center" vertical="center"/>
    </xf>
    <xf numFmtId="3" fontId="35" fillId="15" borderId="46" xfId="0" applyNumberFormat="1" applyFont="1" applyFill="1" applyBorder="1" applyAlignment="1">
      <alignment horizontal="center" vertical="center"/>
    </xf>
    <xf numFmtId="0" fontId="35" fillId="2" borderId="42" xfId="0" applyFont="1" applyFill="1" applyBorder="1" applyAlignment="1">
      <alignment horizontal="center" vertical="center"/>
    </xf>
    <xf numFmtId="3" fontId="35" fillId="2" borderId="14" xfId="0" applyNumberFormat="1" applyFont="1" applyFill="1" applyBorder="1" applyAlignment="1">
      <alignment horizontal="center" vertical="center"/>
    </xf>
    <xf numFmtId="0" fontId="35" fillId="15" borderId="14" xfId="0" applyFont="1" applyFill="1" applyBorder="1" applyAlignment="1">
      <alignment horizontal="center" vertical="center"/>
    </xf>
    <xf numFmtId="3" fontId="35" fillId="25" borderId="14" xfId="0" applyNumberFormat="1" applyFont="1" applyFill="1" applyBorder="1" applyAlignment="1">
      <alignment horizontal="center" vertical="center"/>
    </xf>
    <xf numFmtId="0" fontId="35" fillId="25" borderId="14" xfId="0" applyFont="1" applyFill="1" applyBorder="1" applyAlignment="1">
      <alignment horizontal="center" vertical="center"/>
    </xf>
    <xf numFmtId="0" fontId="30" fillId="0" borderId="48" xfId="0" applyFont="1" applyFill="1" applyBorder="1" applyAlignment="1">
      <alignment horizontal="center" vertical="center"/>
    </xf>
    <xf numFmtId="1" fontId="30" fillId="0" borderId="48" xfId="0" applyNumberFormat="1" applyFont="1" applyFill="1" applyBorder="1" applyAlignment="1">
      <alignment horizontal="center" vertical="center"/>
    </xf>
    <xf numFmtId="3" fontId="30" fillId="0" borderId="48" xfId="0" applyNumberFormat="1" applyFont="1" applyFill="1" applyBorder="1" applyAlignment="1">
      <alignment horizontal="center" vertical="center"/>
    </xf>
    <xf numFmtId="1" fontId="38" fillId="0" borderId="48" xfId="0" applyNumberFormat="1" applyFont="1" applyFill="1" applyBorder="1" applyAlignment="1">
      <alignment horizontal="center" vertical="center"/>
    </xf>
    <xf numFmtId="3" fontId="7" fillId="0" borderId="48" xfId="0" applyNumberFormat="1" applyFont="1" applyFill="1" applyBorder="1" applyAlignment="1">
      <alignment horizontal="center" vertical="center"/>
    </xf>
    <xf numFmtId="0" fontId="38" fillId="0" borderId="48" xfId="0" applyFont="1" applyFill="1" applyBorder="1" applyAlignment="1">
      <alignment horizontal="center" vertical="center"/>
    </xf>
    <xf numFmtId="1" fontId="38" fillId="0" borderId="49" xfId="0" applyNumberFormat="1" applyFont="1" applyFill="1" applyBorder="1" applyAlignment="1">
      <alignment horizontal="center" vertical="center"/>
    </xf>
    <xf numFmtId="3" fontId="7" fillId="0" borderId="1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center" vertical="center"/>
    </xf>
    <xf numFmtId="1" fontId="38" fillId="0" borderId="50" xfId="0" applyNumberFormat="1" applyFont="1" applyFill="1" applyBorder="1" applyAlignment="1">
      <alignment horizontal="center" vertical="center"/>
    </xf>
    <xf numFmtId="3" fontId="7" fillId="0" borderId="29" xfId="0" applyNumberFormat="1" applyFont="1" applyFill="1" applyBorder="1" applyAlignment="1">
      <alignment horizontal="center" vertical="center"/>
    </xf>
    <xf numFmtId="0" fontId="38" fillId="0" borderId="30" xfId="0" applyFont="1" applyFill="1" applyBorder="1" applyAlignment="1">
      <alignment horizontal="center" vertical="center"/>
    </xf>
    <xf numFmtId="1" fontId="38" fillId="0" borderId="51" xfId="0" applyNumberFormat="1" applyFont="1" applyFill="1" applyBorder="1" applyAlignment="1">
      <alignment horizontal="center" vertical="center"/>
    </xf>
    <xf numFmtId="1" fontId="35" fillId="0" borderId="48" xfId="0" applyNumberFormat="1" applyFont="1" applyFill="1" applyBorder="1" applyAlignment="1">
      <alignment horizontal="center" vertical="center"/>
    </xf>
    <xf numFmtId="3" fontId="35" fillId="0" borderId="48" xfId="0" applyNumberFormat="1" applyFont="1" applyFill="1" applyBorder="1" applyAlignment="1">
      <alignment horizontal="center" vertical="center"/>
    </xf>
    <xf numFmtId="1" fontId="7" fillId="0" borderId="48" xfId="0" applyNumberFormat="1" applyFont="1" applyFill="1" applyBorder="1" applyAlignment="1">
      <alignment horizontal="center" vertical="center"/>
    </xf>
    <xf numFmtId="0" fontId="35" fillId="0" borderId="48" xfId="0" applyFont="1" applyFill="1" applyBorder="1" applyAlignment="1">
      <alignment horizontal="center" vertical="center"/>
    </xf>
    <xf numFmtId="0" fontId="0" fillId="0" borderId="48" xfId="0" applyFill="1" applyBorder="1"/>
    <xf numFmtId="0" fontId="0" fillId="6" borderId="37" xfId="0" applyFill="1" applyBorder="1"/>
    <xf numFmtId="0" fontId="30" fillId="0" borderId="53" xfId="0" applyFont="1" applyFill="1" applyBorder="1" applyAlignment="1">
      <alignment horizontal="center" vertical="center"/>
    </xf>
    <xf numFmtId="1" fontId="30" fillId="0" borderId="53" xfId="0" applyNumberFormat="1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3" fontId="35" fillId="0" borderId="53" xfId="0" applyNumberFormat="1" applyFont="1" applyFill="1" applyBorder="1" applyAlignment="1">
      <alignment horizontal="center" vertical="center"/>
    </xf>
    <xf numFmtId="0" fontId="35" fillId="0" borderId="53" xfId="0" applyFont="1" applyFill="1" applyBorder="1" applyAlignment="1">
      <alignment horizontal="center" vertical="center"/>
    </xf>
    <xf numFmtId="0" fontId="0" fillId="0" borderId="53" xfId="0" applyFill="1" applyBorder="1"/>
    <xf numFmtId="0" fontId="0" fillId="2" borderId="54" xfId="0" applyFill="1" applyBorder="1"/>
    <xf numFmtId="0" fontId="39" fillId="0" borderId="48" xfId="0" applyFont="1" applyFill="1" applyBorder="1" applyAlignment="1">
      <alignment horizontal="center"/>
    </xf>
    <xf numFmtId="0" fontId="40" fillId="0" borderId="48" xfId="0" applyFont="1" applyFill="1" applyBorder="1" applyAlignment="1">
      <alignment horizontal="center" vertical="center"/>
    </xf>
    <xf numFmtId="1" fontId="9" fillId="0" borderId="48" xfId="0" applyNumberFormat="1" applyFont="1" applyFill="1" applyBorder="1" applyAlignment="1">
      <alignment horizontal="center" vertical="center"/>
    </xf>
    <xf numFmtId="0" fontId="9" fillId="0" borderId="48" xfId="0" applyFont="1" applyFill="1" applyBorder="1" applyAlignment="1">
      <alignment horizontal="center" vertical="center"/>
    </xf>
    <xf numFmtId="1" fontId="9" fillId="0" borderId="49" xfId="0" applyNumberFormat="1" applyFont="1" applyFill="1" applyBorder="1" applyAlignment="1">
      <alignment horizontal="center" vertical="center"/>
    </xf>
    <xf numFmtId="1" fontId="9" fillId="0" borderId="50" xfId="0" applyNumberFormat="1" applyFont="1" applyFill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1" fontId="9" fillId="0" borderId="51" xfId="0" applyNumberFormat="1" applyFont="1" applyFill="1" applyBorder="1" applyAlignment="1">
      <alignment horizontal="center" vertical="center"/>
    </xf>
    <xf numFmtId="0" fontId="0" fillId="0" borderId="48" xfId="0" applyFill="1" applyBorder="1" applyAlignment="1"/>
    <xf numFmtId="0" fontId="0" fillId="0" borderId="37" xfId="0" applyFill="1" applyBorder="1" applyAlignment="1"/>
    <xf numFmtId="0" fontId="9" fillId="0" borderId="53" xfId="0" applyFont="1" applyFill="1" applyBorder="1" applyAlignment="1">
      <alignment horizontal="center" vertical="center"/>
    </xf>
    <xf numFmtId="0" fontId="9" fillId="0" borderId="33" xfId="0" applyFont="1" applyFill="1" applyBorder="1" applyAlignment="1">
      <alignment horizontal="center" vertical="center"/>
    </xf>
    <xf numFmtId="0" fontId="0" fillId="27" borderId="37" xfId="0" applyFill="1" applyBorder="1"/>
    <xf numFmtId="0" fontId="39" fillId="0" borderId="53" xfId="0" applyFont="1" applyFill="1" applyBorder="1" applyAlignment="1">
      <alignment horizontal="center" vertical="center"/>
    </xf>
    <xf numFmtId="0" fontId="40" fillId="0" borderId="53" xfId="0" applyFont="1" applyFill="1" applyBorder="1" applyAlignment="1">
      <alignment horizontal="center" vertical="center"/>
    </xf>
    <xf numFmtId="0" fontId="0" fillId="0" borderId="37" xfId="0" applyFill="1" applyBorder="1"/>
    <xf numFmtId="0" fontId="0" fillId="27" borderId="37" xfId="0" applyFill="1" applyBorder="1" applyAlignment="1"/>
    <xf numFmtId="0" fontId="39" fillId="0" borderId="48" xfId="0" applyFont="1" applyFill="1" applyBorder="1" applyAlignment="1">
      <alignment horizontal="center" vertical="center"/>
    </xf>
    <xf numFmtId="0" fontId="41" fillId="0" borderId="48" xfId="0" applyFont="1" applyFill="1" applyBorder="1" applyAlignment="1">
      <alignment horizontal="center" vertical="center"/>
    </xf>
    <xf numFmtId="0" fontId="39" fillId="0" borderId="12" xfId="0" applyFont="1" applyFill="1" applyBorder="1" applyAlignment="1">
      <alignment horizontal="center" vertical="center"/>
    </xf>
    <xf numFmtId="0" fontId="40" fillId="0" borderId="12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0" fillId="0" borderId="12" xfId="0" applyFill="1" applyBorder="1"/>
    <xf numFmtId="0" fontId="0" fillId="27" borderId="0" xfId="0" applyFill="1"/>
    <xf numFmtId="0" fontId="39" fillId="0" borderId="14" xfId="0" applyFont="1" applyFill="1" applyBorder="1" applyAlignment="1">
      <alignment horizontal="center" vertical="center"/>
    </xf>
    <xf numFmtId="0" fontId="40" fillId="0" borderId="14" xfId="0" applyFont="1" applyFill="1" applyBorder="1" applyAlignment="1">
      <alignment horizontal="center" vertical="center"/>
    </xf>
    <xf numFmtId="0" fontId="38" fillId="0" borderId="14" xfId="0" applyFont="1" applyFill="1" applyBorder="1" applyAlignment="1">
      <alignment horizontal="center" vertical="center"/>
    </xf>
    <xf numFmtId="0" fontId="38" fillId="0" borderId="42" xfId="0" applyFont="1" applyFill="1" applyBorder="1" applyAlignment="1">
      <alignment horizontal="center" vertical="center"/>
    </xf>
    <xf numFmtId="0" fontId="0" fillId="0" borderId="14" xfId="0" applyFill="1" applyBorder="1"/>
    <xf numFmtId="3" fontId="30" fillId="0" borderId="56" xfId="0" applyNumberFormat="1" applyFont="1" applyFill="1" applyBorder="1" applyAlignment="1">
      <alignment horizontal="center" vertical="center"/>
    </xf>
    <xf numFmtId="1" fontId="38" fillId="0" borderId="56" xfId="0" applyNumberFormat="1" applyFont="1" applyFill="1" applyBorder="1" applyAlignment="1">
      <alignment horizontal="center" vertical="center"/>
    </xf>
    <xf numFmtId="3" fontId="7" fillId="0" borderId="56" xfId="0" applyNumberFormat="1" applyFont="1" applyFill="1" applyBorder="1" applyAlignment="1">
      <alignment horizontal="center" vertical="center"/>
    </xf>
    <xf numFmtId="1" fontId="38" fillId="0" borderId="57" xfId="0" applyNumberFormat="1" applyFont="1" applyFill="1" applyBorder="1" applyAlignment="1">
      <alignment horizontal="center" vertical="center"/>
    </xf>
    <xf numFmtId="1" fontId="38" fillId="0" borderId="37" xfId="0" applyNumberFormat="1" applyFont="1" applyFill="1" applyBorder="1" applyAlignment="1">
      <alignment horizontal="center" vertical="center"/>
    </xf>
    <xf numFmtId="3" fontId="7" fillId="0" borderId="1" xfId="0" applyNumberFormat="1" applyFont="1" applyFill="1" applyBorder="1" applyAlignment="1">
      <alignment horizontal="center" vertical="center"/>
    </xf>
    <xf numFmtId="1" fontId="38" fillId="0" borderId="58" xfId="0" applyNumberFormat="1" applyFont="1" applyFill="1" applyBorder="1" applyAlignment="1">
      <alignment horizontal="center" vertical="center"/>
    </xf>
    <xf numFmtId="0" fontId="0" fillId="2" borderId="0" xfId="0" applyFill="1" applyBorder="1"/>
    <xf numFmtId="0" fontId="0" fillId="27" borderId="48" xfId="0" applyFill="1" applyBorder="1"/>
    <xf numFmtId="3" fontId="30" fillId="0" borderId="53" xfId="0" applyNumberFormat="1" applyFont="1" applyFill="1" applyBorder="1" applyAlignment="1">
      <alignment horizontal="center" vertical="center"/>
    </xf>
    <xf numFmtId="1" fontId="38" fillId="0" borderId="53" xfId="0" applyNumberFormat="1" applyFont="1" applyFill="1" applyBorder="1" applyAlignment="1">
      <alignment horizontal="center" vertical="center"/>
    </xf>
    <xf numFmtId="3" fontId="7" fillId="0" borderId="53" xfId="0" applyNumberFormat="1" applyFont="1" applyFill="1" applyBorder="1" applyAlignment="1">
      <alignment horizontal="center" vertical="center"/>
    </xf>
    <xf numFmtId="1" fontId="38" fillId="0" borderId="60" xfId="0" applyNumberFormat="1" applyFont="1" applyFill="1" applyBorder="1" applyAlignment="1">
      <alignment horizontal="center" vertical="center"/>
    </xf>
    <xf numFmtId="3" fontId="7" fillId="0" borderId="32" xfId="0" applyNumberFormat="1" applyFont="1" applyFill="1" applyBorder="1" applyAlignment="1">
      <alignment horizontal="center" vertical="center"/>
    </xf>
    <xf numFmtId="1" fontId="38" fillId="0" borderId="61" xfId="0" applyNumberFormat="1" applyFont="1" applyFill="1" applyBorder="1" applyAlignment="1">
      <alignment horizontal="center" vertical="center"/>
    </xf>
    <xf numFmtId="1" fontId="38" fillId="0" borderId="52" xfId="0" applyNumberFormat="1" applyFont="1" applyFill="1" applyBorder="1" applyAlignment="1">
      <alignment horizontal="center" vertical="center"/>
    </xf>
    <xf numFmtId="0" fontId="0" fillId="2" borderId="53" xfId="0" applyFill="1" applyBorder="1"/>
    <xf numFmtId="0" fontId="0" fillId="0" borderId="0" xfId="0" applyBorder="1" applyAlignment="1">
      <alignment vertical="center"/>
    </xf>
    <xf numFmtId="3" fontId="42" fillId="0" borderId="0" xfId="0" applyNumberFormat="1" applyFont="1" applyFill="1" applyBorder="1"/>
    <xf numFmtId="0" fontId="6" fillId="6" borderId="13" xfId="0" applyFont="1" applyFill="1" applyBorder="1" applyAlignment="1">
      <alignment horizontal="center" vertical="center"/>
    </xf>
    <xf numFmtId="1" fontId="6" fillId="6" borderId="5" xfId="0" applyNumberFormat="1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2" fontId="6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ill="1" applyBorder="1" applyAlignment="1">
      <alignment horizontal="center" vertical="center"/>
    </xf>
    <xf numFmtId="1" fontId="5" fillId="6" borderId="5" xfId="0" applyNumberFormat="1" applyFont="1" applyFill="1" applyBorder="1" applyAlignment="1">
      <alignment horizontal="center" vertical="center"/>
    </xf>
    <xf numFmtId="2" fontId="5" fillId="6" borderId="5" xfId="0" applyNumberFormat="1" applyFont="1" applyFill="1" applyBorder="1" applyAlignment="1">
      <alignment horizontal="center" vertical="center"/>
    </xf>
    <xf numFmtId="0" fontId="0" fillId="6" borderId="0" xfId="0" applyFill="1"/>
    <xf numFmtId="0" fontId="9" fillId="6" borderId="5" xfId="0" applyFont="1" applyFill="1" applyBorder="1" applyAlignment="1">
      <alignment horizontal="center" vertical="center"/>
    </xf>
    <xf numFmtId="0" fontId="3" fillId="7" borderId="44" xfId="0" applyFont="1" applyFill="1" applyBorder="1" applyAlignment="1">
      <alignment horizontal="center" vertical="center" wrapText="1"/>
    </xf>
    <xf numFmtId="2" fontId="5" fillId="0" borderId="44" xfId="0" applyNumberFormat="1" applyFont="1" applyFill="1" applyBorder="1" applyAlignment="1">
      <alignment horizontal="center" vertical="center"/>
    </xf>
    <xf numFmtId="2" fontId="5" fillId="0" borderId="62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7" fillId="9" borderId="56" xfId="0" applyNumberFormat="1" applyFont="1" applyFill="1" applyBorder="1" applyAlignment="1">
      <alignment horizontal="center" vertical="center" wrapText="1"/>
    </xf>
    <xf numFmtId="2" fontId="7" fillId="9" borderId="56" xfId="0" applyNumberFormat="1" applyFont="1" applyFill="1" applyBorder="1" applyAlignment="1">
      <alignment horizontal="center" vertical="center" wrapText="1"/>
    </xf>
    <xf numFmtId="1" fontId="7" fillId="9" borderId="57" xfId="0" applyNumberFormat="1" applyFont="1" applyFill="1" applyBorder="1" applyAlignment="1">
      <alignment horizontal="center" vertical="center" wrapText="1"/>
    </xf>
    <xf numFmtId="1" fontId="7" fillId="9" borderId="14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2" fontId="0" fillId="0" borderId="5" xfId="0" applyNumberFormat="1" applyBorder="1" applyAlignment="1">
      <alignment horizontal="center" vertical="center"/>
    </xf>
    <xf numFmtId="0" fontId="43" fillId="0" borderId="5" xfId="0" applyFont="1" applyBorder="1" applyAlignment="1">
      <alignment horizontal="center" vertical="center"/>
    </xf>
    <xf numFmtId="2" fontId="43" fillId="0" borderId="5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11" fillId="0" borderId="5" xfId="0" applyNumberFormat="1" applyFont="1" applyBorder="1" applyAlignment="1">
      <alignment horizontal="center" vertical="center"/>
    </xf>
    <xf numFmtId="2" fontId="11" fillId="0" borderId="14" xfId="0" applyNumberFormat="1" applyFont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 wrapText="1"/>
    </xf>
    <xf numFmtId="0" fontId="7" fillId="8" borderId="2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1" fillId="13" borderId="0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4" borderId="45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" fontId="3" fillId="4" borderId="44" xfId="0" applyNumberFormat="1" applyFont="1" applyFill="1" applyBorder="1" applyAlignment="1">
      <alignment horizontal="center" vertical="center"/>
    </xf>
    <xf numFmtId="1" fontId="3" fillId="4" borderId="45" xfId="0" applyNumberFormat="1" applyFont="1" applyFill="1" applyBorder="1" applyAlignment="1">
      <alignment horizontal="center" vertical="center"/>
    </xf>
    <xf numFmtId="1" fontId="3" fillId="4" borderId="28" xfId="0" applyNumberFormat="1" applyFont="1" applyFill="1" applyBorder="1" applyAlignment="1">
      <alignment horizontal="center" vertical="center"/>
    </xf>
    <xf numFmtId="0" fontId="24" fillId="17" borderId="6" xfId="0" applyFont="1" applyFill="1" applyBorder="1" applyAlignment="1">
      <alignment horizontal="center" vertical="center" wrapText="1"/>
    </xf>
    <xf numFmtId="0" fontId="24" fillId="17" borderId="9" xfId="0" applyFont="1" applyFill="1" applyBorder="1" applyAlignment="1">
      <alignment horizontal="center" vertical="center" wrapText="1"/>
    </xf>
    <xf numFmtId="0" fontId="24" fillId="17" borderId="17" xfId="0" applyFont="1" applyFill="1" applyBorder="1" applyAlignment="1">
      <alignment horizontal="center" vertical="center" wrapText="1"/>
    </xf>
    <xf numFmtId="0" fontId="23" fillId="17" borderId="19" xfId="0" applyFont="1" applyFill="1" applyBorder="1" applyAlignment="1">
      <alignment horizontal="center" vertical="center"/>
    </xf>
    <xf numFmtId="0" fontId="23" fillId="17" borderId="20" xfId="0" applyFont="1" applyFill="1" applyBorder="1" applyAlignment="1">
      <alignment horizontal="center" vertical="center"/>
    </xf>
    <xf numFmtId="0" fontId="23" fillId="17" borderId="21" xfId="0" applyFont="1" applyFill="1" applyBorder="1" applyAlignment="1">
      <alignment horizontal="center" vertical="center"/>
    </xf>
    <xf numFmtId="1" fontId="23" fillId="17" borderId="17" xfId="0" applyNumberFormat="1" applyFont="1" applyFill="1" applyBorder="1" applyAlignment="1">
      <alignment horizontal="center" vertical="center"/>
    </xf>
    <xf numFmtId="1" fontId="23" fillId="17" borderId="20" xfId="0" applyNumberFormat="1" applyFont="1" applyFill="1" applyBorder="1" applyAlignment="1">
      <alignment horizontal="center" vertical="center"/>
    </xf>
    <xf numFmtId="1" fontId="23" fillId="17" borderId="22" xfId="0" applyNumberFormat="1" applyFont="1" applyFill="1" applyBorder="1" applyAlignment="1">
      <alignment horizontal="center" vertical="center"/>
    </xf>
    <xf numFmtId="0" fontId="1" fillId="13" borderId="36" xfId="0" applyFont="1" applyFill="1" applyBorder="1" applyAlignment="1">
      <alignment horizontal="center" vertical="center"/>
    </xf>
    <xf numFmtId="0" fontId="1" fillId="13" borderId="37" xfId="0" applyFont="1" applyFill="1" applyBorder="1" applyAlignment="1">
      <alignment horizontal="center" vertical="center"/>
    </xf>
    <xf numFmtId="0" fontId="1" fillId="13" borderId="38" xfId="0" applyFont="1" applyFill="1" applyBorder="1" applyAlignment="1">
      <alignment horizontal="center" vertical="center"/>
    </xf>
    <xf numFmtId="0" fontId="1" fillId="13" borderId="39" xfId="0" applyFont="1" applyFill="1" applyBorder="1" applyAlignment="1">
      <alignment horizontal="center" vertical="center"/>
    </xf>
    <xf numFmtId="0" fontId="1" fillId="13" borderId="40" xfId="0" applyFont="1" applyFill="1" applyBorder="1" applyAlignment="1">
      <alignment horizontal="center" vertical="center"/>
    </xf>
    <xf numFmtId="0" fontId="2" fillId="0" borderId="41" xfId="0" applyFont="1" applyFill="1" applyBorder="1" applyAlignment="1">
      <alignment horizontal="center" vertical="center"/>
    </xf>
    <xf numFmtId="0" fontId="23" fillId="16" borderId="13" xfId="0" applyFont="1" applyFill="1" applyBorder="1" applyAlignment="1">
      <alignment horizontal="center" vertical="center"/>
    </xf>
    <xf numFmtId="0" fontId="23" fillId="16" borderId="5" xfId="0" applyFont="1" applyFill="1" applyBorder="1" applyAlignment="1">
      <alignment horizontal="center" vertical="center"/>
    </xf>
    <xf numFmtId="0" fontId="22" fillId="16" borderId="5" xfId="0" applyFont="1" applyFill="1" applyBorder="1" applyAlignment="1">
      <alignment horizontal="center" vertical="center"/>
    </xf>
    <xf numFmtId="0" fontId="22" fillId="16" borderId="31" xfId="0" applyFont="1" applyFill="1" applyBorder="1" applyAlignment="1">
      <alignment horizontal="center" vertical="center"/>
    </xf>
    <xf numFmtId="0" fontId="26" fillId="11" borderId="51" xfId="0" applyFont="1" applyFill="1" applyBorder="1" applyAlignment="1">
      <alignment horizontal="center" vertical="center"/>
    </xf>
    <xf numFmtId="0" fontId="26" fillId="11" borderId="52" xfId="0" applyFont="1" applyFill="1" applyBorder="1" applyAlignment="1">
      <alignment horizontal="center" vertical="center"/>
    </xf>
    <xf numFmtId="0" fontId="26" fillId="11" borderId="28" xfId="0" applyFont="1" applyFill="1" applyBorder="1" applyAlignment="1">
      <alignment horizontal="center" vertical="center"/>
    </xf>
    <xf numFmtId="0" fontId="36" fillId="26" borderId="47" xfId="0" applyFont="1" applyFill="1" applyBorder="1" applyAlignment="1">
      <alignment horizontal="center" vertical="center" textRotation="90"/>
    </xf>
    <xf numFmtId="0" fontId="36" fillId="26" borderId="59" xfId="0" applyFont="1" applyFill="1" applyBorder="1" applyAlignment="1">
      <alignment horizontal="center" vertical="center" textRotation="90"/>
    </xf>
    <xf numFmtId="0" fontId="37" fillId="11" borderId="27" xfId="0" applyFont="1" applyFill="1" applyBorder="1" applyAlignment="1">
      <alignment horizontal="center" vertical="center"/>
    </xf>
    <xf numFmtId="0" fontId="37" fillId="11" borderId="52" xfId="0" applyFont="1" applyFill="1" applyBorder="1" applyAlignment="1">
      <alignment horizontal="center" vertical="center"/>
    </xf>
    <xf numFmtId="0" fontId="37" fillId="11" borderId="51" xfId="0" applyFont="1" applyFill="1" applyBorder="1" applyAlignment="1">
      <alignment horizontal="center" vertical="center"/>
    </xf>
    <xf numFmtId="16" fontId="30" fillId="6" borderId="12" xfId="0" applyNumberFormat="1" applyFont="1" applyFill="1" applyBorder="1" applyAlignment="1">
      <alignment horizontal="center" vertical="center"/>
    </xf>
    <xf numFmtId="0" fontId="32" fillId="24" borderId="5" xfId="0" applyFont="1" applyFill="1" applyBorder="1" applyAlignment="1">
      <alignment horizontal="center" vertical="center" wrapText="1"/>
    </xf>
    <xf numFmtId="16" fontId="33" fillId="6" borderId="12" xfId="0" applyNumberFormat="1" applyFont="1" applyFill="1" applyBorder="1" applyAlignment="1">
      <alignment horizontal="center" vertical="center"/>
    </xf>
    <xf numFmtId="16" fontId="34" fillId="25" borderId="12" xfId="0" applyNumberFormat="1" applyFont="1" applyFill="1" applyBorder="1" applyAlignment="1">
      <alignment horizontal="center" vertical="center"/>
    </xf>
    <xf numFmtId="0" fontId="31" fillId="24" borderId="5" xfId="0" applyFont="1" applyFill="1" applyBorder="1" applyAlignment="1">
      <alignment horizontal="center" vertical="center" wrapText="1"/>
    </xf>
    <xf numFmtId="0" fontId="30" fillId="6" borderId="12" xfId="0" applyFont="1" applyFill="1" applyBorder="1" applyAlignment="1">
      <alignment horizontal="center" vertical="center"/>
    </xf>
    <xf numFmtId="0" fontId="31" fillId="24" borderId="45" xfId="0" applyFont="1" applyFill="1" applyBorder="1" applyAlignment="1">
      <alignment horizontal="center" vertical="center" wrapText="1"/>
    </xf>
    <xf numFmtId="16" fontId="30" fillId="6" borderId="29" xfId="0" applyNumberFormat="1" applyFont="1" applyFill="1" applyBorder="1" applyAlignment="1">
      <alignment horizontal="center" vertical="center"/>
    </xf>
    <xf numFmtId="16" fontId="30" fillId="6" borderId="30" xfId="0" applyNumberFormat="1" applyFont="1" applyFill="1" applyBorder="1" applyAlignment="1">
      <alignment horizontal="center" vertical="center"/>
    </xf>
    <xf numFmtId="0" fontId="31" fillId="24" borderId="28" xfId="0" applyFont="1" applyFill="1" applyBorder="1" applyAlignment="1">
      <alignment horizontal="center" vertical="center" wrapText="1"/>
    </xf>
    <xf numFmtId="0" fontId="25" fillId="19" borderId="5" xfId="0" applyFont="1" applyFill="1" applyBorder="1" applyAlignment="1">
      <alignment horizontal="center" vertical="center" readingOrder="1"/>
    </xf>
    <xf numFmtId="0" fontId="26" fillId="16" borderId="20" xfId="0" applyFont="1" applyFill="1" applyBorder="1" applyAlignment="1">
      <alignment horizontal="center" vertical="center"/>
    </xf>
    <xf numFmtId="0" fontId="28" fillId="21" borderId="5" xfId="0" applyFont="1" applyFill="1" applyBorder="1" applyAlignment="1">
      <alignment horizontal="center" vertical="center" wrapText="1" readingOrder="1"/>
    </xf>
    <xf numFmtId="0" fontId="29" fillId="22" borderId="5" xfId="0" applyFont="1" applyFill="1" applyBorder="1" applyAlignment="1">
      <alignment horizontal="center" vertical="center"/>
    </xf>
    <xf numFmtId="0" fontId="29" fillId="23" borderId="28" xfId="0" applyFont="1" applyFill="1" applyBorder="1" applyAlignment="1">
      <alignment horizontal="center" vertical="center"/>
    </xf>
    <xf numFmtId="0" fontId="30" fillId="3" borderId="5" xfId="0" applyFont="1" applyFill="1" applyBorder="1" applyAlignment="1">
      <alignment horizontal="center" vertical="center" wrapText="1"/>
    </xf>
    <xf numFmtId="0" fontId="30" fillId="2" borderId="5" xfId="0" applyFont="1" applyFill="1" applyBorder="1" applyAlignment="1">
      <alignment horizontal="center" vertical="center" wrapText="1"/>
    </xf>
    <xf numFmtId="0" fontId="31" fillId="24" borderId="44" xfId="0" applyFont="1" applyFill="1" applyBorder="1" applyAlignment="1">
      <alignment horizontal="center" vertical="center" wrapText="1"/>
    </xf>
  </cellXfs>
  <cellStyles count="1">
    <cellStyle name="Normal" xfId="0" builtinId="0"/>
  </cellStyles>
  <dxfs count="1426"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2"/>
  <sheetViews>
    <sheetView zoomScaleNormal="100" workbookViewId="0">
      <pane ySplit="8" topLeftCell="A12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2" spans="1:21" ht="15" customHeight="1" x14ac:dyDescent="0.25">
      <c r="A2" s="249" t="s">
        <v>0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</row>
    <row r="3" spans="1:21" ht="15.75" customHeight="1" x14ac:dyDescent="0.25">
      <c r="A3" s="249"/>
      <c r="B3" s="249"/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49"/>
      <c r="T3" s="249"/>
    </row>
    <row r="4" spans="1:21" ht="18.75" thickBot="1" x14ac:dyDescent="0.3">
      <c r="A4" s="256" t="s">
        <v>54</v>
      </c>
      <c r="B4" s="256"/>
      <c r="C4" s="256"/>
      <c r="D4" s="256"/>
      <c r="E4" s="256"/>
      <c r="F4" s="256"/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6"/>
      <c r="R4" s="256"/>
      <c r="S4" s="256"/>
      <c r="T4" s="256"/>
    </row>
    <row r="5" spans="1:21" ht="18.75" x14ac:dyDescent="0.25">
      <c r="A5" s="250" t="s">
        <v>48</v>
      </c>
      <c r="B5" s="251"/>
      <c r="C5" s="252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</row>
    <row r="6" spans="1:21" x14ac:dyDescent="0.25">
      <c r="A6" s="254" t="s">
        <v>1</v>
      </c>
      <c r="B6" s="254"/>
      <c r="C6" s="1"/>
      <c r="D6" s="2">
        <v>476404</v>
      </c>
      <c r="E6" s="2">
        <v>2770</v>
      </c>
      <c r="F6" s="2">
        <v>5610</v>
      </c>
      <c r="G6" s="2">
        <v>40</v>
      </c>
      <c r="H6" s="2">
        <v>28360</v>
      </c>
      <c r="I6" s="2">
        <v>799</v>
      </c>
      <c r="J6" s="2">
        <v>503</v>
      </c>
      <c r="K6" s="2">
        <v>516</v>
      </c>
      <c r="L6" s="3">
        <v>0</v>
      </c>
      <c r="M6" s="3"/>
      <c r="N6" s="255"/>
      <c r="O6" s="255"/>
      <c r="P6" s="255"/>
      <c r="Q6" s="255"/>
      <c r="R6" s="255"/>
      <c r="S6" s="255"/>
      <c r="T6" s="255"/>
    </row>
    <row r="7" spans="1:21" x14ac:dyDescent="0.25">
      <c r="A7" s="254" t="s">
        <v>2</v>
      </c>
      <c r="B7" s="254"/>
      <c r="C7" s="1"/>
      <c r="D7" s="1">
        <v>311688</v>
      </c>
      <c r="E7" s="4"/>
      <c r="F7" s="4"/>
      <c r="G7" s="4"/>
      <c r="H7" s="4"/>
      <c r="I7" s="1"/>
      <c r="J7" s="1"/>
      <c r="K7" s="1"/>
      <c r="L7" s="1"/>
      <c r="M7" s="5"/>
      <c r="N7" s="255"/>
      <c r="O7" s="255"/>
      <c r="P7" s="255"/>
      <c r="Q7" s="255"/>
      <c r="R7" s="255"/>
      <c r="S7" s="255"/>
      <c r="T7" s="255"/>
    </row>
    <row r="8" spans="1:21" ht="39" thickBot="1" x14ac:dyDescent="0.3">
      <c r="A8" s="6" t="s">
        <v>3</v>
      </c>
      <c r="B8" s="7" t="s">
        <v>4</v>
      </c>
      <c r="C8" s="8" t="s">
        <v>5</v>
      </c>
      <c r="D8" s="9" t="s">
        <v>6</v>
      </c>
      <c r="E8" s="10" t="s">
        <v>7</v>
      </c>
      <c r="F8" s="11" t="s">
        <v>8</v>
      </c>
      <c r="G8" s="9" t="s">
        <v>9</v>
      </c>
      <c r="H8" s="12" t="s">
        <v>10</v>
      </c>
      <c r="I8" s="13" t="s">
        <v>11</v>
      </c>
      <c r="J8" s="14" t="s">
        <v>12</v>
      </c>
      <c r="K8" s="14" t="s">
        <v>13</v>
      </c>
      <c r="L8" s="14" t="s">
        <v>14</v>
      </c>
      <c r="M8" s="15" t="s">
        <v>15</v>
      </c>
      <c r="N8" s="16" t="s">
        <v>16</v>
      </c>
      <c r="O8" s="17" t="s">
        <v>17</v>
      </c>
      <c r="P8" s="16" t="s">
        <v>18</v>
      </c>
      <c r="Q8" s="16" t="s">
        <v>19</v>
      </c>
      <c r="R8" s="16" t="s">
        <v>20</v>
      </c>
      <c r="S8" s="17" t="s">
        <v>21</v>
      </c>
      <c r="T8" s="18" t="s">
        <v>22</v>
      </c>
    </row>
    <row r="9" spans="1:21" ht="15.75" x14ac:dyDescent="0.25">
      <c r="A9" s="19">
        <v>1</v>
      </c>
      <c r="B9" s="20">
        <v>1908446134</v>
      </c>
      <c r="C9" s="20" t="s">
        <v>23</v>
      </c>
      <c r="D9" s="21">
        <v>5193</v>
      </c>
      <c r="E9" s="22"/>
      <c r="F9" s="22"/>
      <c r="G9" s="22"/>
      <c r="H9" s="22"/>
      <c r="I9" s="23"/>
      <c r="J9" s="23"/>
      <c r="K9" s="23"/>
      <c r="L9" s="23"/>
      <c r="M9" s="20">
        <f>D9+E9*20+F9*10+G9*9+H9*9</f>
        <v>5193</v>
      </c>
      <c r="N9" s="24">
        <f>D9+E9*20+F9*10+G9*9+H9*9+I9*191+J9*191+K9*182+L9*100</f>
        <v>5193</v>
      </c>
      <c r="O9" s="25">
        <f>M9*2.75%</f>
        <v>142.8075</v>
      </c>
      <c r="P9" s="26">
        <v>4700</v>
      </c>
      <c r="Q9" s="26">
        <v>81</v>
      </c>
      <c r="R9" s="24">
        <f>M9-(M9*2.75%)+I9*191+J9*191+K9*182+L9*100-Q9</f>
        <v>4969.1925000000001</v>
      </c>
      <c r="S9" s="25">
        <f>M9*0.95%</f>
        <v>49.333500000000001</v>
      </c>
      <c r="T9" s="27">
        <f>S9-Q9</f>
        <v>-31.666499999999999</v>
      </c>
    </row>
    <row r="10" spans="1:21" ht="15.75" x14ac:dyDescent="0.25">
      <c r="A10" s="28">
        <v>2</v>
      </c>
      <c r="B10" s="20">
        <v>1908446135</v>
      </c>
      <c r="C10" s="23" t="s">
        <v>24</v>
      </c>
      <c r="D10" s="29">
        <v>2076</v>
      </c>
      <c r="E10" s="30"/>
      <c r="F10" s="30"/>
      <c r="G10" s="30"/>
      <c r="H10" s="30"/>
      <c r="I10" s="20"/>
      <c r="J10" s="20"/>
      <c r="K10" s="20"/>
      <c r="L10" s="20"/>
      <c r="M10" s="20">
        <f t="shared" ref="M10:M29" si="0">D10+E10*20+F10*10+G10*9+H10*9</f>
        <v>2076</v>
      </c>
      <c r="N10" s="24">
        <f t="shared" ref="N10:N29" si="1">D10+E10*20+F10*10+G10*9+H10*9+I10*191+J10*191+K10*182+L10*100</f>
        <v>2076</v>
      </c>
      <c r="O10" s="25">
        <f t="shared" ref="O10:O29" si="2">M10*2.75%</f>
        <v>57.09</v>
      </c>
      <c r="P10" s="26"/>
      <c r="Q10" s="26"/>
      <c r="R10" s="24">
        <f t="shared" ref="R10:R29" si="3">M10-(M10*2.75%)+I10*191+J10*191+K10*182+L10*100-Q10</f>
        <v>2018.91</v>
      </c>
      <c r="S10" s="25">
        <f t="shared" ref="S10:S29" si="4">M10*0.95%</f>
        <v>19.721999999999998</v>
      </c>
      <c r="T10" s="27">
        <f t="shared" ref="T10:T29" si="5">S10-Q10</f>
        <v>19.721999999999998</v>
      </c>
    </row>
    <row r="11" spans="1:21" ht="15.75" x14ac:dyDescent="0.25">
      <c r="A11" s="28">
        <v>3</v>
      </c>
      <c r="B11" s="20">
        <v>1908446136</v>
      </c>
      <c r="C11" s="20" t="s">
        <v>25</v>
      </c>
      <c r="D11" s="29">
        <v>5341</v>
      </c>
      <c r="E11" s="30"/>
      <c r="F11" s="30"/>
      <c r="G11" s="30"/>
      <c r="H11" s="30"/>
      <c r="I11" s="20"/>
      <c r="J11" s="20"/>
      <c r="K11" s="20"/>
      <c r="L11" s="20"/>
      <c r="M11" s="20">
        <f t="shared" si="0"/>
        <v>5341</v>
      </c>
      <c r="N11" s="24">
        <f t="shared" si="1"/>
        <v>5341</v>
      </c>
      <c r="O11" s="25">
        <f t="shared" si="2"/>
        <v>146.8775</v>
      </c>
      <c r="P11" s="26"/>
      <c r="Q11" s="26">
        <v>54</v>
      </c>
      <c r="R11" s="24">
        <f t="shared" si="3"/>
        <v>5140.1225000000004</v>
      </c>
      <c r="S11" s="25">
        <f t="shared" si="4"/>
        <v>50.7395</v>
      </c>
      <c r="T11" s="27">
        <f t="shared" si="5"/>
        <v>-3.2605000000000004</v>
      </c>
    </row>
    <row r="12" spans="1:21" ht="15.75" x14ac:dyDescent="0.25">
      <c r="A12" s="28">
        <v>4</v>
      </c>
      <c r="B12" s="20">
        <v>1908446137</v>
      </c>
      <c r="C12" s="20" t="s">
        <v>26</v>
      </c>
      <c r="D12" s="29">
        <v>2779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2779</v>
      </c>
      <c r="N12" s="24">
        <f t="shared" si="1"/>
        <v>2779</v>
      </c>
      <c r="O12" s="25">
        <f t="shared" si="2"/>
        <v>76.422499999999999</v>
      </c>
      <c r="P12" s="26">
        <v>3820</v>
      </c>
      <c r="Q12" s="26">
        <v>27</v>
      </c>
      <c r="R12" s="24">
        <f t="shared" si="3"/>
        <v>2675.5774999999999</v>
      </c>
      <c r="S12" s="25">
        <f t="shared" si="4"/>
        <v>26.400500000000001</v>
      </c>
      <c r="T12" s="27">
        <f t="shared" si="5"/>
        <v>-0.59949999999999903</v>
      </c>
    </row>
    <row r="13" spans="1:21" ht="15.75" x14ac:dyDescent="0.25">
      <c r="A13" s="28">
        <v>5</v>
      </c>
      <c r="B13" s="20">
        <v>1908446138</v>
      </c>
      <c r="C13" s="31" t="s">
        <v>27</v>
      </c>
      <c r="D13" s="29">
        <v>5770</v>
      </c>
      <c r="E13" s="30"/>
      <c r="F13" s="30"/>
      <c r="G13" s="32"/>
      <c r="H13" s="30"/>
      <c r="I13" s="20"/>
      <c r="J13" s="20"/>
      <c r="K13" s="20"/>
      <c r="L13" s="20"/>
      <c r="M13" s="20">
        <f t="shared" si="0"/>
        <v>5770</v>
      </c>
      <c r="N13" s="24">
        <f t="shared" si="1"/>
        <v>5770</v>
      </c>
      <c r="O13" s="25">
        <f t="shared" si="2"/>
        <v>158.67500000000001</v>
      </c>
      <c r="P13" s="26">
        <v>-1000</v>
      </c>
      <c r="Q13" s="26">
        <v>36</v>
      </c>
      <c r="R13" s="24">
        <f t="shared" si="3"/>
        <v>5575.3249999999998</v>
      </c>
      <c r="S13" s="25">
        <f t="shared" si="4"/>
        <v>54.814999999999998</v>
      </c>
      <c r="T13" s="27">
        <f t="shared" si="5"/>
        <v>18.814999999999998</v>
      </c>
    </row>
    <row r="14" spans="1:21" ht="15.75" x14ac:dyDescent="0.25">
      <c r="A14" s="28">
        <v>6</v>
      </c>
      <c r="B14" s="20">
        <v>1908446139</v>
      </c>
      <c r="C14" s="20" t="s">
        <v>28</v>
      </c>
      <c r="D14" s="29">
        <v>5571</v>
      </c>
      <c r="E14" s="30"/>
      <c r="F14" s="30"/>
      <c r="G14" s="30"/>
      <c r="H14" s="30"/>
      <c r="I14" s="20"/>
      <c r="J14" s="20">
        <v>331</v>
      </c>
      <c r="K14" s="20"/>
      <c r="L14" s="20"/>
      <c r="M14" s="20">
        <f t="shared" si="0"/>
        <v>5571</v>
      </c>
      <c r="N14" s="24">
        <f t="shared" si="1"/>
        <v>68792</v>
      </c>
      <c r="O14" s="25">
        <f t="shared" si="2"/>
        <v>153.20250000000001</v>
      </c>
      <c r="P14" s="26"/>
      <c r="Q14" s="26">
        <v>30</v>
      </c>
      <c r="R14" s="24">
        <f t="shared" si="3"/>
        <v>68608.797500000001</v>
      </c>
      <c r="S14" s="25">
        <f t="shared" si="4"/>
        <v>52.924500000000002</v>
      </c>
      <c r="T14" s="27">
        <f t="shared" si="5"/>
        <v>22.924500000000002</v>
      </c>
      <c r="U14">
        <v>18</v>
      </c>
    </row>
    <row r="15" spans="1:21" ht="15.75" x14ac:dyDescent="0.25">
      <c r="A15" s="28">
        <v>7</v>
      </c>
      <c r="B15" s="20">
        <v>1908446140</v>
      </c>
      <c r="C15" s="20" t="s">
        <v>29</v>
      </c>
      <c r="D15" s="29">
        <v>2684</v>
      </c>
      <c r="E15" s="30"/>
      <c r="F15" s="30"/>
      <c r="G15" s="30"/>
      <c r="H15" s="30"/>
      <c r="I15" s="20">
        <v>166</v>
      </c>
      <c r="J15" s="20"/>
      <c r="K15" s="20"/>
      <c r="L15" s="20"/>
      <c r="M15" s="20">
        <f t="shared" si="0"/>
        <v>2684</v>
      </c>
      <c r="N15" s="24">
        <f t="shared" si="1"/>
        <v>34390</v>
      </c>
      <c r="O15" s="25">
        <f t="shared" si="2"/>
        <v>73.81</v>
      </c>
      <c r="P15" s="26"/>
      <c r="Q15" s="26">
        <v>45</v>
      </c>
      <c r="R15" s="24">
        <f t="shared" si="3"/>
        <v>34271.19</v>
      </c>
      <c r="S15" s="25">
        <f t="shared" si="4"/>
        <v>25.498000000000001</v>
      </c>
      <c r="T15" s="27">
        <f t="shared" si="5"/>
        <v>-19.501999999999999</v>
      </c>
    </row>
    <row r="16" spans="1:21" ht="15.75" x14ac:dyDescent="0.25">
      <c r="A16" s="28">
        <v>8</v>
      </c>
      <c r="B16" s="20">
        <v>1908446141</v>
      </c>
      <c r="C16" s="20" t="s">
        <v>30</v>
      </c>
      <c r="D16" s="29">
        <v>6378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6378</v>
      </c>
      <c r="N16" s="24">
        <f t="shared" si="1"/>
        <v>6378</v>
      </c>
      <c r="O16" s="25">
        <f t="shared" si="2"/>
        <v>175.39500000000001</v>
      </c>
      <c r="P16" s="26">
        <v>2000</v>
      </c>
      <c r="Q16" s="26">
        <v>143</v>
      </c>
      <c r="R16" s="24">
        <f t="shared" si="3"/>
        <v>6059.6049999999996</v>
      </c>
      <c r="S16" s="25">
        <f t="shared" si="4"/>
        <v>60.591000000000001</v>
      </c>
      <c r="T16" s="27">
        <f t="shared" si="5"/>
        <v>-82.408999999999992</v>
      </c>
    </row>
    <row r="17" spans="1:21" ht="15.75" x14ac:dyDescent="0.25">
      <c r="A17" s="28">
        <v>9</v>
      </c>
      <c r="B17" s="20">
        <v>1908446142</v>
      </c>
      <c r="C17" s="33" t="s">
        <v>31</v>
      </c>
      <c r="D17" s="29">
        <v>5360</v>
      </c>
      <c r="E17" s="30"/>
      <c r="F17" s="30">
        <v>40</v>
      </c>
      <c r="G17" s="30"/>
      <c r="H17" s="30"/>
      <c r="I17" s="20"/>
      <c r="J17" s="20"/>
      <c r="K17" s="20"/>
      <c r="L17" s="20"/>
      <c r="M17" s="20">
        <f t="shared" si="0"/>
        <v>5760</v>
      </c>
      <c r="N17" s="24">
        <f t="shared" si="1"/>
        <v>5760</v>
      </c>
      <c r="O17" s="25">
        <f t="shared" si="2"/>
        <v>158.4</v>
      </c>
      <c r="P17" s="26">
        <v>32000</v>
      </c>
      <c r="Q17" s="26">
        <v>61</v>
      </c>
      <c r="R17" s="24">
        <f t="shared" si="3"/>
        <v>5540.6</v>
      </c>
      <c r="S17" s="25">
        <f t="shared" si="4"/>
        <v>54.72</v>
      </c>
      <c r="T17" s="27">
        <f t="shared" si="5"/>
        <v>-6.2800000000000011</v>
      </c>
    </row>
    <row r="18" spans="1:21" ht="15.75" x14ac:dyDescent="0.25">
      <c r="A18" s="28">
        <v>10</v>
      </c>
      <c r="B18" s="20">
        <v>1908446143</v>
      </c>
      <c r="C18" s="20" t="s">
        <v>32</v>
      </c>
      <c r="D18" s="29">
        <v>33596</v>
      </c>
      <c r="E18" s="30"/>
      <c r="F18" s="30"/>
      <c r="G18" s="30"/>
      <c r="H18" s="30"/>
      <c r="I18" s="20">
        <v>16</v>
      </c>
      <c r="J18" s="20"/>
      <c r="K18" s="20"/>
      <c r="L18" s="20"/>
      <c r="M18" s="20">
        <f t="shared" si="0"/>
        <v>33596</v>
      </c>
      <c r="N18" s="24">
        <f t="shared" si="1"/>
        <v>36652</v>
      </c>
      <c r="O18" s="25">
        <f t="shared" si="2"/>
        <v>923.89</v>
      </c>
      <c r="P18" s="26">
        <v>1000</v>
      </c>
      <c r="Q18" s="26">
        <v>92</v>
      </c>
      <c r="R18" s="24">
        <f t="shared" si="3"/>
        <v>35636.11</v>
      </c>
      <c r="S18" s="25">
        <f t="shared" si="4"/>
        <v>319.16199999999998</v>
      </c>
      <c r="T18" s="27">
        <f t="shared" si="5"/>
        <v>227.16199999999998</v>
      </c>
      <c r="U18">
        <v>216</v>
      </c>
    </row>
    <row r="19" spans="1:21" ht="15.75" x14ac:dyDescent="0.25">
      <c r="A19" s="28">
        <v>11</v>
      </c>
      <c r="B19" s="20">
        <v>1908446144</v>
      </c>
      <c r="C19" s="33" t="s">
        <v>33</v>
      </c>
      <c r="D19" s="29">
        <v>6945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6945</v>
      </c>
      <c r="N19" s="24">
        <f t="shared" si="1"/>
        <v>6945</v>
      </c>
      <c r="O19" s="25">
        <f t="shared" si="2"/>
        <v>190.98750000000001</v>
      </c>
      <c r="P19" s="26">
        <v>3980</v>
      </c>
      <c r="Q19" s="26">
        <v>50</v>
      </c>
      <c r="R19" s="24">
        <f t="shared" si="3"/>
        <v>6704.0124999999998</v>
      </c>
      <c r="S19" s="25">
        <f t="shared" si="4"/>
        <v>65.977499999999992</v>
      </c>
      <c r="T19" s="27">
        <f t="shared" si="5"/>
        <v>15.977499999999992</v>
      </c>
    </row>
    <row r="20" spans="1:21" ht="15.75" x14ac:dyDescent="0.25">
      <c r="A20" s="28">
        <v>12</v>
      </c>
      <c r="B20" s="20">
        <v>1908446145</v>
      </c>
      <c r="C20" s="31" t="s">
        <v>52</v>
      </c>
      <c r="D20" s="29">
        <v>1234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1234</v>
      </c>
      <c r="N20" s="24">
        <f t="shared" si="1"/>
        <v>1234</v>
      </c>
      <c r="O20" s="25">
        <f t="shared" si="2"/>
        <v>33.935000000000002</v>
      </c>
      <c r="P20" s="26"/>
      <c r="Q20" s="26"/>
      <c r="R20" s="24">
        <f t="shared" si="3"/>
        <v>1200.0650000000001</v>
      </c>
      <c r="S20" s="25">
        <f t="shared" si="4"/>
        <v>11.722999999999999</v>
      </c>
      <c r="T20" s="27">
        <f t="shared" si="5"/>
        <v>11.722999999999999</v>
      </c>
    </row>
    <row r="21" spans="1:21" ht="15.75" x14ac:dyDescent="0.25">
      <c r="A21" s="28">
        <v>13</v>
      </c>
      <c r="B21" s="20">
        <v>1908446146</v>
      </c>
      <c r="C21" s="20" t="s">
        <v>35</v>
      </c>
      <c r="D21" s="29">
        <v>10435</v>
      </c>
      <c r="E21" s="30">
        <v>20</v>
      </c>
      <c r="F21" s="30">
        <v>70</v>
      </c>
      <c r="G21" s="30"/>
      <c r="H21" s="30">
        <v>80</v>
      </c>
      <c r="I21" s="20"/>
      <c r="J21" s="20"/>
      <c r="K21" s="20"/>
      <c r="L21" s="20"/>
      <c r="M21" s="20">
        <f t="shared" si="0"/>
        <v>12255</v>
      </c>
      <c r="N21" s="24">
        <f t="shared" si="1"/>
        <v>12255</v>
      </c>
      <c r="O21" s="25">
        <f t="shared" si="2"/>
        <v>337.01249999999999</v>
      </c>
      <c r="P21" s="26">
        <v>4000</v>
      </c>
      <c r="Q21" s="26">
        <v>170</v>
      </c>
      <c r="R21" s="24">
        <f t="shared" si="3"/>
        <v>11747.987499999999</v>
      </c>
      <c r="S21" s="25">
        <f t="shared" si="4"/>
        <v>116.4225</v>
      </c>
      <c r="T21" s="27">
        <f t="shared" si="5"/>
        <v>-53.577500000000001</v>
      </c>
    </row>
    <row r="22" spans="1:21" ht="15.75" x14ac:dyDescent="0.25">
      <c r="A22" s="28">
        <v>14</v>
      </c>
      <c r="B22" s="20">
        <v>1908446147</v>
      </c>
      <c r="C22" s="20" t="s">
        <v>51</v>
      </c>
      <c r="D22" s="29">
        <v>2275</v>
      </c>
      <c r="E22" s="30"/>
      <c r="F22" s="30"/>
      <c r="G22" s="30"/>
      <c r="H22" s="30"/>
      <c r="I22" s="20"/>
      <c r="J22" s="20"/>
      <c r="K22" s="20">
        <v>1</v>
      </c>
      <c r="L22" s="20"/>
      <c r="M22" s="20">
        <f t="shared" si="0"/>
        <v>2275</v>
      </c>
      <c r="N22" s="24">
        <f t="shared" si="1"/>
        <v>2457</v>
      </c>
      <c r="O22" s="25">
        <f t="shared" si="2"/>
        <v>62.5625</v>
      </c>
      <c r="P22" s="26">
        <v>4000</v>
      </c>
      <c r="Q22" s="26">
        <v>120</v>
      </c>
      <c r="R22" s="24">
        <f t="shared" si="3"/>
        <v>2274.4375</v>
      </c>
      <c r="S22" s="25">
        <f t="shared" si="4"/>
        <v>21.612500000000001</v>
      </c>
      <c r="T22" s="27">
        <f t="shared" si="5"/>
        <v>-98.387500000000003</v>
      </c>
    </row>
    <row r="23" spans="1:21" ht="15.75" x14ac:dyDescent="0.25">
      <c r="A23" s="28">
        <v>15</v>
      </c>
      <c r="B23" s="20">
        <v>1908446148</v>
      </c>
      <c r="C23" s="20" t="s">
        <v>50</v>
      </c>
      <c r="D23" s="29">
        <v>2687</v>
      </c>
      <c r="E23" s="30"/>
      <c r="F23" s="30"/>
      <c r="G23" s="30"/>
      <c r="H23" s="30">
        <v>10</v>
      </c>
      <c r="I23" s="20">
        <v>6</v>
      </c>
      <c r="J23" s="20"/>
      <c r="K23" s="20">
        <v>1</v>
      </c>
      <c r="L23" s="20"/>
      <c r="M23" s="20">
        <f t="shared" si="0"/>
        <v>2777</v>
      </c>
      <c r="N23" s="24">
        <f t="shared" si="1"/>
        <v>4105</v>
      </c>
      <c r="O23" s="25">
        <f t="shared" si="2"/>
        <v>76.367500000000007</v>
      </c>
      <c r="P23" s="26">
        <v>250</v>
      </c>
      <c r="Q23" s="26">
        <v>20</v>
      </c>
      <c r="R23" s="24">
        <f t="shared" si="3"/>
        <v>4008.6325000000002</v>
      </c>
      <c r="S23" s="25">
        <f t="shared" si="4"/>
        <v>26.381499999999999</v>
      </c>
      <c r="T23" s="27">
        <f t="shared" si="5"/>
        <v>6.3814999999999991</v>
      </c>
    </row>
    <row r="24" spans="1:21" ht="15.75" x14ac:dyDescent="0.25">
      <c r="A24" s="28">
        <v>16</v>
      </c>
      <c r="B24" s="20">
        <v>1908446149</v>
      </c>
      <c r="C24" s="34" t="s">
        <v>38</v>
      </c>
      <c r="D24" s="29">
        <v>16081</v>
      </c>
      <c r="E24" s="30"/>
      <c r="F24" s="30"/>
      <c r="G24" s="20"/>
      <c r="H24" s="30"/>
      <c r="I24" s="20"/>
      <c r="J24" s="20"/>
      <c r="K24" s="20"/>
      <c r="L24" s="20"/>
      <c r="M24" s="20">
        <f t="shared" si="0"/>
        <v>16081</v>
      </c>
      <c r="N24" s="24">
        <f t="shared" si="1"/>
        <v>16081</v>
      </c>
      <c r="O24" s="25">
        <f t="shared" si="2"/>
        <v>442.22750000000002</v>
      </c>
      <c r="P24" s="26"/>
      <c r="Q24" s="26">
        <v>150</v>
      </c>
      <c r="R24" s="24" t="s">
        <v>53</v>
      </c>
      <c r="S24" s="25">
        <f t="shared" si="4"/>
        <v>152.76949999999999</v>
      </c>
      <c r="T24" s="27">
        <f t="shared" si="5"/>
        <v>2.7694999999999936</v>
      </c>
    </row>
    <row r="25" spans="1:21" ht="15.75" x14ac:dyDescent="0.25">
      <c r="A25" s="28">
        <v>17</v>
      </c>
      <c r="B25" s="20">
        <v>1908446150</v>
      </c>
      <c r="C25" s="20" t="s">
        <v>39</v>
      </c>
      <c r="D25" s="35">
        <v>5292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5292</v>
      </c>
      <c r="N25" s="24">
        <f t="shared" si="1"/>
        <v>5292</v>
      </c>
      <c r="O25" s="25">
        <f t="shared" si="2"/>
        <v>145.53</v>
      </c>
      <c r="P25" s="26"/>
      <c r="Q25" s="26">
        <v>50</v>
      </c>
      <c r="R25" s="24">
        <f t="shared" si="3"/>
        <v>5096.47</v>
      </c>
      <c r="S25" s="25">
        <f t="shared" si="4"/>
        <v>50.274000000000001</v>
      </c>
      <c r="T25" s="27">
        <f t="shared" si="5"/>
        <v>0.27400000000000091</v>
      </c>
    </row>
    <row r="26" spans="1:21" ht="15.75" x14ac:dyDescent="0.25">
      <c r="A26" s="28">
        <v>18</v>
      </c>
      <c r="B26" s="20">
        <v>1908446151</v>
      </c>
      <c r="C26" s="20" t="s">
        <v>40</v>
      </c>
      <c r="D26" s="29">
        <v>23739</v>
      </c>
      <c r="E26" s="30"/>
      <c r="F26" s="30"/>
      <c r="G26" s="30">
        <v>40</v>
      </c>
      <c r="H26" s="30">
        <v>100</v>
      </c>
      <c r="I26" s="20"/>
      <c r="J26" s="20"/>
      <c r="K26" s="20"/>
      <c r="L26" s="20"/>
      <c r="M26" s="20">
        <f t="shared" si="0"/>
        <v>24999</v>
      </c>
      <c r="N26" s="24">
        <f t="shared" si="1"/>
        <v>24999</v>
      </c>
      <c r="O26" s="25">
        <f t="shared" si="2"/>
        <v>687.47249999999997</v>
      </c>
      <c r="P26" s="26">
        <v>-5000</v>
      </c>
      <c r="Q26" s="26">
        <v>119</v>
      </c>
      <c r="R26" s="24">
        <f t="shared" si="3"/>
        <v>24192.5275</v>
      </c>
      <c r="S26" s="25">
        <f t="shared" si="4"/>
        <v>237.4905</v>
      </c>
      <c r="T26" s="27">
        <f t="shared" si="5"/>
        <v>118.4905</v>
      </c>
      <c r="U26">
        <v>45</v>
      </c>
    </row>
    <row r="27" spans="1:21" ht="15.75" x14ac:dyDescent="0.25">
      <c r="A27" s="28">
        <v>19</v>
      </c>
      <c r="B27" s="20">
        <v>1908446152</v>
      </c>
      <c r="C27" s="20" t="s">
        <v>41</v>
      </c>
      <c r="D27" s="29">
        <v>5759</v>
      </c>
      <c r="E27" s="30"/>
      <c r="F27" s="30"/>
      <c r="G27" s="30"/>
      <c r="H27" s="30"/>
      <c r="I27" s="20"/>
      <c r="J27" s="20"/>
      <c r="K27" s="20"/>
      <c r="L27" s="20"/>
      <c r="M27" s="20">
        <f t="shared" si="0"/>
        <v>5759</v>
      </c>
      <c r="N27" s="24">
        <f t="shared" si="1"/>
        <v>5759</v>
      </c>
      <c r="O27" s="25">
        <f t="shared" si="2"/>
        <v>158.3725</v>
      </c>
      <c r="P27" s="26">
        <v>6000</v>
      </c>
      <c r="Q27" s="26">
        <v>52</v>
      </c>
      <c r="R27" s="24">
        <f t="shared" si="3"/>
        <v>5548.6274999999996</v>
      </c>
      <c r="S27" s="25">
        <f t="shared" si="4"/>
        <v>54.710499999999996</v>
      </c>
      <c r="T27" s="27">
        <f t="shared" si="5"/>
        <v>2.7104999999999961</v>
      </c>
    </row>
    <row r="28" spans="1:21" ht="15.75" x14ac:dyDescent="0.25">
      <c r="A28" s="28">
        <v>70</v>
      </c>
      <c r="B28" s="20">
        <v>1908446153</v>
      </c>
      <c r="C28" s="36" t="s">
        <v>49</v>
      </c>
      <c r="D28" s="29">
        <v>514</v>
      </c>
      <c r="E28" s="29"/>
      <c r="F28" s="30"/>
      <c r="G28" s="30"/>
      <c r="H28" s="30"/>
      <c r="I28" s="20"/>
      <c r="J28" s="20"/>
      <c r="K28" s="20"/>
      <c r="L28" s="20"/>
      <c r="M28" s="20">
        <f t="shared" si="0"/>
        <v>514</v>
      </c>
      <c r="N28" s="24">
        <f t="shared" si="1"/>
        <v>514</v>
      </c>
      <c r="O28" s="25">
        <f t="shared" si="2"/>
        <v>14.135</v>
      </c>
      <c r="P28" s="26"/>
      <c r="Q28" s="26"/>
      <c r="R28" s="24">
        <f t="shared" si="3"/>
        <v>499.86500000000001</v>
      </c>
      <c r="S28" s="25">
        <f t="shared" si="4"/>
        <v>4.883</v>
      </c>
      <c r="T28" s="27">
        <f t="shared" si="5"/>
        <v>4.883</v>
      </c>
    </row>
    <row r="29" spans="1:21" ht="15.75" customHeight="1" thickBot="1" x14ac:dyDescent="0.35">
      <c r="A29" s="28">
        <v>21</v>
      </c>
      <c r="B29" s="20">
        <v>1908446154</v>
      </c>
      <c r="C29" s="20" t="s">
        <v>43</v>
      </c>
      <c r="D29" s="37">
        <v>3438</v>
      </c>
      <c r="E29" s="38"/>
      <c r="F29" s="39"/>
      <c r="G29" s="39"/>
      <c r="H29" s="39"/>
      <c r="I29" s="31"/>
      <c r="J29" s="31"/>
      <c r="K29" s="31"/>
      <c r="L29" s="31"/>
      <c r="M29" s="31">
        <f t="shared" si="0"/>
        <v>3438</v>
      </c>
      <c r="N29" s="40">
        <f t="shared" si="1"/>
        <v>3438</v>
      </c>
      <c r="O29" s="25">
        <f t="shared" si="2"/>
        <v>94.545000000000002</v>
      </c>
      <c r="P29" s="41">
        <v>12000</v>
      </c>
      <c r="Q29" s="41">
        <v>100</v>
      </c>
      <c r="R29" s="24">
        <f t="shared" si="3"/>
        <v>3243.4549999999999</v>
      </c>
      <c r="S29" s="42">
        <f t="shared" si="4"/>
        <v>32.661000000000001</v>
      </c>
      <c r="T29" s="43">
        <f t="shared" si="5"/>
        <v>-67.338999999999999</v>
      </c>
    </row>
    <row r="30" spans="1:21" ht="16.5" thickBot="1" x14ac:dyDescent="0.3">
      <c r="A30" s="240" t="s">
        <v>44</v>
      </c>
      <c r="B30" s="241"/>
      <c r="C30" s="242"/>
      <c r="D30" s="44">
        <f t="shared" ref="D30:E30" si="6">SUM(D9:D29)</f>
        <v>153147</v>
      </c>
      <c r="E30" s="45">
        <f t="shared" si="6"/>
        <v>20</v>
      </c>
      <c r="F30" s="45">
        <f t="shared" ref="F30:T30" si="7">SUM(F9:F29)</f>
        <v>110</v>
      </c>
      <c r="G30" s="45">
        <f t="shared" si="7"/>
        <v>40</v>
      </c>
      <c r="H30" s="45">
        <f t="shared" si="7"/>
        <v>190</v>
      </c>
      <c r="I30" s="45">
        <f t="shared" si="7"/>
        <v>188</v>
      </c>
      <c r="J30" s="45">
        <f t="shared" si="7"/>
        <v>331</v>
      </c>
      <c r="K30" s="45">
        <f t="shared" si="7"/>
        <v>2</v>
      </c>
      <c r="L30" s="45">
        <f t="shared" si="7"/>
        <v>0</v>
      </c>
      <c r="M30" s="45">
        <f t="shared" si="7"/>
        <v>156717</v>
      </c>
      <c r="N30" s="45">
        <f t="shared" si="7"/>
        <v>256210</v>
      </c>
      <c r="O30" s="46">
        <f t="shared" si="7"/>
        <v>4309.7175000000007</v>
      </c>
      <c r="P30" s="45">
        <f t="shared" si="7"/>
        <v>67750</v>
      </c>
      <c r="Q30" s="45">
        <f t="shared" si="7"/>
        <v>1400</v>
      </c>
      <c r="R30" s="45">
        <f t="shared" si="7"/>
        <v>235011.50999999998</v>
      </c>
      <c r="S30" s="45">
        <f t="shared" si="7"/>
        <v>1488.8114999999998</v>
      </c>
      <c r="T30" s="47">
        <f t="shared" si="7"/>
        <v>88.811499999999967</v>
      </c>
    </row>
    <row r="31" spans="1:21" ht="15.75" thickBot="1" x14ac:dyDescent="0.3">
      <c r="A31" s="243" t="s">
        <v>45</v>
      </c>
      <c r="B31" s="244"/>
      <c r="C31" s="245"/>
      <c r="D31" s="48">
        <f>D6+D7-D30</f>
        <v>634945</v>
      </c>
      <c r="E31" s="48">
        <f t="shared" ref="E31:L31" si="8">E6+E7-E30</f>
        <v>2750</v>
      </c>
      <c r="F31" s="48">
        <f t="shared" si="8"/>
        <v>5500</v>
      </c>
      <c r="G31" s="48">
        <f t="shared" si="8"/>
        <v>0</v>
      </c>
      <c r="H31" s="48">
        <f t="shared" si="8"/>
        <v>28170</v>
      </c>
      <c r="I31" s="48">
        <f t="shared" si="8"/>
        <v>611</v>
      </c>
      <c r="J31" s="48">
        <f t="shared" si="8"/>
        <v>172</v>
      </c>
      <c r="K31" s="48">
        <f t="shared" si="8"/>
        <v>514</v>
      </c>
      <c r="L31" s="48">
        <f t="shared" si="8"/>
        <v>0</v>
      </c>
      <c r="M31" s="246"/>
      <c r="N31" s="247"/>
      <c r="O31" s="247"/>
      <c r="P31" s="247"/>
      <c r="Q31" s="247"/>
      <c r="R31" s="247"/>
      <c r="S31" s="247"/>
      <c r="T31" s="248"/>
    </row>
    <row r="32" spans="1:21" x14ac:dyDescent="0.25">
      <c r="A32" s="49"/>
      <c r="B32" s="49"/>
      <c r="C32" s="50"/>
      <c r="D32" s="49"/>
      <c r="E32" s="51"/>
      <c r="F32" s="51"/>
      <c r="G32" s="51"/>
      <c r="H32" s="51"/>
      <c r="I32" s="50"/>
      <c r="J32" s="50"/>
      <c r="K32" s="50"/>
      <c r="L32" s="50"/>
      <c r="M32" s="50"/>
      <c r="N32" s="50"/>
      <c r="O32" s="52"/>
      <c r="P32" s="50"/>
      <c r="Q32" s="50"/>
      <c r="R32" s="50"/>
      <c r="S32" s="50"/>
      <c r="T32" s="50"/>
    </row>
  </sheetData>
  <mergeCells count="11">
    <mergeCell ref="A30:C30"/>
    <mergeCell ref="A31:C31"/>
    <mergeCell ref="M31:T31"/>
    <mergeCell ref="A2:T3"/>
    <mergeCell ref="A5:B5"/>
    <mergeCell ref="C5:T5"/>
    <mergeCell ref="A6:B6"/>
    <mergeCell ref="N6:T6"/>
    <mergeCell ref="A7:B7"/>
    <mergeCell ref="N7:T7"/>
    <mergeCell ref="A4:T4"/>
  </mergeCells>
  <conditionalFormatting sqref="D31 E30:K31 E6:H6 E8:H8">
    <cfRule type="cellIs" dxfId="1425" priority="44" operator="equal">
      <formula>212030016606640</formula>
    </cfRule>
  </conditionalFormatting>
  <conditionalFormatting sqref="D31 E30:K31 E6 E8">
    <cfRule type="cellIs" dxfId="1424" priority="42" operator="equal">
      <formula>$E$6</formula>
    </cfRule>
    <cfRule type="cellIs" dxfId="1423" priority="43" operator="equal">
      <formula>2120</formula>
    </cfRule>
  </conditionalFormatting>
  <conditionalFormatting sqref="D31:E31 F30:F31 F6 F8">
    <cfRule type="cellIs" dxfId="1422" priority="40" operator="equal">
      <formula>$F$6</formula>
    </cfRule>
    <cfRule type="cellIs" dxfId="1421" priority="41" operator="equal">
      <formula>300</formula>
    </cfRule>
  </conditionalFormatting>
  <conditionalFormatting sqref="G30:G31 G6 G8">
    <cfRule type="cellIs" dxfId="1420" priority="38" operator="equal">
      <formula>$G$6</formula>
    </cfRule>
    <cfRule type="cellIs" dxfId="1419" priority="39" operator="equal">
      <formula>1660</formula>
    </cfRule>
  </conditionalFormatting>
  <conditionalFormatting sqref="H30:H31 H6 H8">
    <cfRule type="cellIs" dxfId="1418" priority="36" operator="equal">
      <formula>$H$6</formula>
    </cfRule>
    <cfRule type="cellIs" dxfId="1417" priority="37" operator="equal">
      <formula>6640</formula>
    </cfRule>
  </conditionalFormatting>
  <conditionalFormatting sqref="T8:T30">
    <cfRule type="cellIs" dxfId="1416" priority="35" operator="lessThan">
      <formula>0</formula>
    </cfRule>
  </conditionalFormatting>
  <conditionalFormatting sqref="T9:T29">
    <cfRule type="cellIs" dxfId="1415" priority="32" operator="lessThan">
      <formula>0</formula>
    </cfRule>
    <cfRule type="cellIs" dxfId="1414" priority="33" operator="lessThan">
      <formula>0</formula>
    </cfRule>
    <cfRule type="cellIs" dxfId="1413" priority="34" operator="lessThan">
      <formula>0</formula>
    </cfRule>
  </conditionalFormatting>
  <conditionalFormatting sqref="E30:K30 E6 E8">
    <cfRule type="cellIs" dxfId="1412" priority="31" operator="equal">
      <formula>$E$6</formula>
    </cfRule>
  </conditionalFormatting>
  <conditionalFormatting sqref="D30:D31 D6:K6 M6 D8">
    <cfRule type="cellIs" dxfId="1411" priority="30" operator="equal">
      <formula>$D$6</formula>
    </cfRule>
  </conditionalFormatting>
  <conditionalFormatting sqref="I30:I31 I6 I8">
    <cfRule type="cellIs" dxfId="1410" priority="29" operator="equal">
      <formula>$I$6</formula>
    </cfRule>
  </conditionalFormatting>
  <conditionalFormatting sqref="J30:J31 J6 J8">
    <cfRule type="cellIs" dxfId="1409" priority="28" operator="equal">
      <formula>$J$6</formula>
    </cfRule>
  </conditionalFormatting>
  <conditionalFormatting sqref="K30:K31 K6 K8">
    <cfRule type="cellIs" dxfId="1408" priority="27" operator="equal">
      <formula>$K$6</formula>
    </cfRule>
  </conditionalFormatting>
  <conditionalFormatting sqref="M6:M8 L8 L30:L31">
    <cfRule type="cellIs" dxfId="1407" priority="26" operator="equal">
      <formula>$L$6</formula>
    </cfRule>
  </conditionalFormatting>
  <conditionalFormatting sqref="T9:T30">
    <cfRule type="cellIs" dxfId="1406" priority="23" operator="lessThan">
      <formula>0</formula>
    </cfRule>
    <cfRule type="cellIs" dxfId="1405" priority="24" operator="lessThan">
      <formula>0</formula>
    </cfRule>
    <cfRule type="cellIs" dxfId="1404" priority="25" operator="lessThan">
      <formula>0</formula>
    </cfRule>
  </conditionalFormatting>
  <conditionalFormatting sqref="T8:T30">
    <cfRule type="cellIs" dxfId="1403" priority="21" operator="lessThan">
      <formula>0</formula>
    </cfRule>
  </conditionalFormatting>
  <conditionalFormatting sqref="T9:T29">
    <cfRule type="cellIs" dxfId="1402" priority="18" operator="lessThan">
      <formula>0</formula>
    </cfRule>
    <cfRule type="cellIs" dxfId="1401" priority="19" operator="lessThan">
      <formula>0</formula>
    </cfRule>
    <cfRule type="cellIs" dxfId="1400" priority="20" operator="lessThan">
      <formula>0</formula>
    </cfRule>
  </conditionalFormatting>
  <conditionalFormatting sqref="T9:T30">
    <cfRule type="cellIs" dxfId="1399" priority="15" operator="lessThan">
      <formula>0</formula>
    </cfRule>
    <cfRule type="cellIs" dxfId="1398" priority="16" operator="lessThan">
      <formula>0</formula>
    </cfRule>
    <cfRule type="cellIs" dxfId="1397" priority="17" operator="lessThan">
      <formula>0</formula>
    </cfRule>
  </conditionalFormatting>
  <conditionalFormatting sqref="L6">
    <cfRule type="cellIs" dxfId="1396" priority="13" operator="equal">
      <formula>$L$6</formula>
    </cfRule>
  </conditionalFormatting>
  <conditionalFormatting sqref="D9:S9">
    <cfRule type="cellIs" dxfId="1395" priority="12" operator="greaterThan">
      <formula>0</formula>
    </cfRule>
  </conditionalFormatting>
  <conditionalFormatting sqref="D11:S11">
    <cfRule type="cellIs" dxfId="1394" priority="11" operator="greaterThan">
      <formula>0</formula>
    </cfRule>
  </conditionalFormatting>
  <conditionalFormatting sqref="D13:S13 O14:O15">
    <cfRule type="cellIs" dxfId="1393" priority="10" operator="greaterThan">
      <formula>0</formula>
    </cfRule>
  </conditionalFormatting>
  <conditionalFormatting sqref="D15:N15 P15:S15">
    <cfRule type="cellIs" dxfId="1392" priority="9" operator="greaterThan">
      <formula>0</formula>
    </cfRule>
  </conditionalFormatting>
  <conditionalFormatting sqref="D17:S17">
    <cfRule type="cellIs" dxfId="1391" priority="8" operator="greaterThan">
      <formula>0</formula>
    </cfRule>
  </conditionalFormatting>
  <conditionalFormatting sqref="D19:S19">
    <cfRule type="cellIs" dxfId="1390" priority="7" operator="greaterThan">
      <formula>0</formula>
    </cfRule>
  </conditionalFormatting>
  <conditionalFormatting sqref="D21:S21">
    <cfRule type="cellIs" dxfId="1389" priority="6" operator="greaterThan">
      <formula>0</formula>
    </cfRule>
  </conditionalFormatting>
  <conditionalFormatting sqref="D23:S23">
    <cfRule type="cellIs" dxfId="1388" priority="5" operator="greaterThan">
      <formula>0</formula>
    </cfRule>
  </conditionalFormatting>
  <conditionalFormatting sqref="D25:S25">
    <cfRule type="cellIs" dxfId="1387" priority="4" operator="greaterThan">
      <formula>0</formula>
    </cfRule>
  </conditionalFormatting>
  <conditionalFormatting sqref="D27:S27">
    <cfRule type="cellIs" dxfId="1386" priority="3" operator="greaterThan">
      <formula>0</formula>
    </cfRule>
  </conditionalFormatting>
  <conditionalFormatting sqref="D29:S29">
    <cfRule type="cellIs" dxfId="1385" priority="2" operator="greaterThan">
      <formula>0</formula>
    </cfRule>
  </conditionalFormatting>
  <conditionalFormatting sqref="D7:L7">
    <cfRule type="cellIs" dxfId="1384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7" activePane="bottomLeft" state="frozen"/>
      <selection pane="bottomLeft" activeCell="L9" sqref="A9:L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249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</row>
    <row r="2" spans="1:21" ht="15.75" thickBot="1" x14ac:dyDescent="0.3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</row>
    <row r="3" spans="1:21" ht="18.75" x14ac:dyDescent="0.25">
      <c r="A3" s="250" t="s">
        <v>105</v>
      </c>
      <c r="B3" s="251"/>
      <c r="C3" s="252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</row>
    <row r="4" spans="1:21" x14ac:dyDescent="0.25">
      <c r="A4" s="254" t="s">
        <v>1</v>
      </c>
      <c r="B4" s="254"/>
      <c r="C4" s="1"/>
      <c r="D4" s="2">
        <f>'9'!D29</f>
        <v>477846</v>
      </c>
      <c r="E4" s="2">
        <f>'9'!E29</f>
        <v>2320</v>
      </c>
      <c r="F4" s="2">
        <f>'9'!F29</f>
        <v>6780</v>
      </c>
      <c r="G4" s="2">
        <f>'9'!G29</f>
        <v>1000</v>
      </c>
      <c r="H4" s="2">
        <f>'9'!H29</f>
        <v>27020</v>
      </c>
      <c r="I4" s="2">
        <f>'9'!I29</f>
        <v>1614</v>
      </c>
      <c r="J4" s="2">
        <f>'9'!J29</f>
        <v>645</v>
      </c>
      <c r="K4" s="2">
        <f>'9'!K29</f>
        <v>287</v>
      </c>
      <c r="L4" s="2">
        <f>'9'!L29</f>
        <v>0</v>
      </c>
      <c r="M4" s="3"/>
      <c r="N4" s="255"/>
      <c r="O4" s="255"/>
      <c r="P4" s="255"/>
      <c r="Q4" s="255"/>
      <c r="R4" s="255"/>
      <c r="S4" s="255"/>
      <c r="T4" s="255"/>
    </row>
    <row r="5" spans="1:21" x14ac:dyDescent="0.25">
      <c r="A5" s="254" t="s">
        <v>2</v>
      </c>
      <c r="B5" s="254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255"/>
      <c r="O5" s="255"/>
      <c r="P5" s="255"/>
      <c r="Q5" s="255"/>
      <c r="R5" s="255"/>
      <c r="S5" s="255"/>
      <c r="T5" s="255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10120</v>
      </c>
      <c r="E7" s="22"/>
      <c r="F7" s="22">
        <v>20</v>
      </c>
      <c r="G7" s="22"/>
      <c r="H7" s="22">
        <v>150</v>
      </c>
      <c r="I7" s="23"/>
      <c r="J7" s="23"/>
      <c r="K7" s="23"/>
      <c r="L7" s="23"/>
      <c r="M7" s="20">
        <f>D7+E7*20+F7*10+G7*9+H7*9</f>
        <v>11670</v>
      </c>
      <c r="N7" s="24">
        <f>D7+E7*20+F7*10+G7*9+H7*9+I7*191+J7*191+K7*182+L7*100</f>
        <v>11670</v>
      </c>
      <c r="O7" s="25">
        <f>M7*2.75%</f>
        <v>320.92500000000001</v>
      </c>
      <c r="P7" s="26"/>
      <c r="Q7" s="26">
        <v>100</v>
      </c>
      <c r="R7" s="24">
        <f>M7-(M7*2.75%)+I7*191+J7*191+K7*182+L7*100-Q7</f>
        <v>11249.075000000001</v>
      </c>
      <c r="S7" s="25">
        <f>M7*0.95%</f>
        <v>110.86499999999999</v>
      </c>
      <c r="T7" s="27">
        <f>S7-Q7</f>
        <v>10.864999999999995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4794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4794</v>
      </c>
      <c r="N8" s="24">
        <f t="shared" ref="N8:N27" si="1">D8+E8*20+F8*10+G8*9+H8*9+I8*191+J8*191+K8*182+L8*100</f>
        <v>4794</v>
      </c>
      <c r="O8" s="25">
        <f t="shared" ref="O8:O27" si="2">M8*2.75%</f>
        <v>131.83500000000001</v>
      </c>
      <c r="P8" s="26">
        <v>4065</v>
      </c>
      <c r="Q8" s="26">
        <v>62</v>
      </c>
      <c r="R8" s="24">
        <f t="shared" ref="R8:R27" si="3">M8-(M8*2.75%)+I8*191+J8*191+K8*182+L8*100-Q8</f>
        <v>4600.165</v>
      </c>
      <c r="S8" s="25">
        <f t="shared" ref="S8:S27" si="4">M8*0.95%</f>
        <v>45.542999999999999</v>
      </c>
      <c r="T8" s="27">
        <f t="shared" ref="T8:T27" si="5">S8-Q8</f>
        <v>-16.457000000000001</v>
      </c>
    </row>
    <row r="9" spans="1:21" ht="15.75" x14ac:dyDescent="0.25">
      <c r="A9" s="211">
        <v>3</v>
      </c>
      <c r="B9" s="53">
        <v>1908446136</v>
      </c>
      <c r="C9" s="53" t="s">
        <v>25</v>
      </c>
      <c r="D9" s="212">
        <v>25415</v>
      </c>
      <c r="E9" s="213">
        <v>100</v>
      </c>
      <c r="F9" s="213">
        <v>200</v>
      </c>
      <c r="G9" s="213"/>
      <c r="H9" s="213">
        <v>1000</v>
      </c>
      <c r="I9" s="53"/>
      <c r="J9" s="53"/>
      <c r="K9" s="53">
        <v>1</v>
      </c>
      <c r="L9" s="53"/>
      <c r="M9" s="20">
        <f t="shared" si="0"/>
        <v>38415</v>
      </c>
      <c r="N9" s="24">
        <f t="shared" si="1"/>
        <v>38597</v>
      </c>
      <c r="O9" s="25">
        <f t="shared" si="2"/>
        <v>1056.4124999999999</v>
      </c>
      <c r="P9" s="26">
        <v>-12500</v>
      </c>
      <c r="Q9" s="26">
        <v>180</v>
      </c>
      <c r="R9" s="24">
        <f t="shared" si="3"/>
        <v>37360.587500000001</v>
      </c>
      <c r="S9" s="25">
        <f t="shared" si="4"/>
        <v>364.9425</v>
      </c>
      <c r="T9" s="27">
        <f t="shared" si="5"/>
        <v>184.9425</v>
      </c>
      <c r="U9">
        <v>120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3086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3086</v>
      </c>
      <c r="N10" s="24">
        <f t="shared" si="1"/>
        <v>3086</v>
      </c>
      <c r="O10" s="25">
        <f t="shared" si="2"/>
        <v>84.864999999999995</v>
      </c>
      <c r="P10" s="26"/>
      <c r="Q10" s="26">
        <v>21</v>
      </c>
      <c r="R10" s="24">
        <f t="shared" si="3"/>
        <v>2980.1350000000002</v>
      </c>
      <c r="S10" s="25">
        <f t="shared" si="4"/>
        <v>29.317</v>
      </c>
      <c r="T10" s="27">
        <f t="shared" si="5"/>
        <v>8.3170000000000002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5654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5654</v>
      </c>
      <c r="N11" s="24">
        <f t="shared" si="1"/>
        <v>5654</v>
      </c>
      <c r="O11" s="25">
        <f t="shared" si="2"/>
        <v>155.48500000000001</v>
      </c>
      <c r="P11" s="26"/>
      <c r="Q11" s="26">
        <v>8</v>
      </c>
      <c r="R11" s="24">
        <f t="shared" si="3"/>
        <v>5490.5150000000003</v>
      </c>
      <c r="S11" s="25">
        <f t="shared" si="4"/>
        <v>53.713000000000001</v>
      </c>
      <c r="T11" s="27">
        <f t="shared" si="5"/>
        <v>45.713000000000001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3618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3618</v>
      </c>
      <c r="N12" s="24">
        <f t="shared" si="1"/>
        <v>3618</v>
      </c>
      <c r="O12" s="25">
        <f t="shared" si="2"/>
        <v>99.495000000000005</v>
      </c>
      <c r="P12" s="26"/>
      <c r="Q12" s="26">
        <v>18</v>
      </c>
      <c r="R12" s="24">
        <f t="shared" si="3"/>
        <v>3500.5050000000001</v>
      </c>
      <c r="S12" s="25">
        <f t="shared" si="4"/>
        <v>34.371000000000002</v>
      </c>
      <c r="T12" s="27">
        <f t="shared" si="5"/>
        <v>16.371000000000002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2056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2056</v>
      </c>
      <c r="N13" s="24">
        <f t="shared" si="1"/>
        <v>2056</v>
      </c>
      <c r="O13" s="25">
        <f t="shared" si="2"/>
        <v>56.54</v>
      </c>
      <c r="P13" s="26"/>
      <c r="Q13" s="26"/>
      <c r="R13" s="24">
        <f t="shared" si="3"/>
        <v>1999.46</v>
      </c>
      <c r="S13" s="25">
        <f t="shared" si="4"/>
        <v>19.532</v>
      </c>
      <c r="T13" s="27">
        <f t="shared" si="5"/>
        <v>19.532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17665</v>
      </c>
      <c r="E14" s="30"/>
      <c r="F14" s="30"/>
      <c r="G14" s="30"/>
      <c r="H14" s="30"/>
      <c r="I14" s="20">
        <v>5</v>
      </c>
      <c r="J14" s="20">
        <v>5</v>
      </c>
      <c r="K14" s="20">
        <v>5</v>
      </c>
      <c r="L14" s="20"/>
      <c r="M14" s="20">
        <f t="shared" si="0"/>
        <v>17665</v>
      </c>
      <c r="N14" s="24">
        <f t="shared" si="1"/>
        <v>20485</v>
      </c>
      <c r="O14" s="25">
        <f t="shared" si="2"/>
        <v>485.78750000000002</v>
      </c>
      <c r="P14" s="26"/>
      <c r="Q14" s="26">
        <v>159</v>
      </c>
      <c r="R14" s="24">
        <f t="shared" si="3"/>
        <v>19840.212500000001</v>
      </c>
      <c r="S14" s="25">
        <f t="shared" si="4"/>
        <v>167.8175</v>
      </c>
      <c r="T14" s="27">
        <f t="shared" si="5"/>
        <v>8.8174999999999955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17533</v>
      </c>
      <c r="E15" s="30">
        <v>30</v>
      </c>
      <c r="F15" s="30">
        <v>40</v>
      </c>
      <c r="G15" s="30"/>
      <c r="H15" s="30"/>
      <c r="I15" s="20">
        <v>5</v>
      </c>
      <c r="J15" s="20"/>
      <c r="K15" s="20">
        <v>3</v>
      </c>
      <c r="L15" s="20"/>
      <c r="M15" s="20">
        <f t="shared" si="0"/>
        <v>18533</v>
      </c>
      <c r="N15" s="24">
        <f t="shared" si="1"/>
        <v>20034</v>
      </c>
      <c r="O15" s="25">
        <f t="shared" si="2"/>
        <v>509.65750000000003</v>
      </c>
      <c r="P15" s="26">
        <v>38470</v>
      </c>
      <c r="Q15" s="26">
        <v>160</v>
      </c>
      <c r="R15" s="24">
        <f t="shared" si="3"/>
        <v>19364.342499999999</v>
      </c>
      <c r="S15" s="25">
        <f t="shared" si="4"/>
        <v>176.0635</v>
      </c>
      <c r="T15" s="27">
        <f t="shared" si="5"/>
        <v>16.063500000000005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14541</v>
      </c>
      <c r="E16" s="30"/>
      <c r="F16" s="30"/>
      <c r="G16" s="30"/>
      <c r="H16" s="30">
        <v>320</v>
      </c>
      <c r="I16" s="20"/>
      <c r="J16" s="20"/>
      <c r="K16" s="20"/>
      <c r="L16" s="20"/>
      <c r="M16" s="20">
        <f t="shared" si="0"/>
        <v>17421</v>
      </c>
      <c r="N16" s="24">
        <f t="shared" si="1"/>
        <v>17421</v>
      </c>
      <c r="O16" s="25">
        <f t="shared" si="2"/>
        <v>479.07749999999999</v>
      </c>
      <c r="P16" s="26">
        <v>1500</v>
      </c>
      <c r="Q16" s="26">
        <v>92</v>
      </c>
      <c r="R16" s="24">
        <f t="shared" si="3"/>
        <v>16849.922500000001</v>
      </c>
      <c r="S16" s="25">
        <f t="shared" si="4"/>
        <v>165.49949999999998</v>
      </c>
      <c r="T16" s="27">
        <f t="shared" si="5"/>
        <v>73.499499999999983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5625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5625</v>
      </c>
      <c r="N17" s="24">
        <f t="shared" si="1"/>
        <v>5625</v>
      </c>
      <c r="O17" s="25">
        <f t="shared" si="2"/>
        <v>154.6875</v>
      </c>
      <c r="P17" s="26">
        <v>4498</v>
      </c>
      <c r="Q17" s="26">
        <v>69</v>
      </c>
      <c r="R17" s="24">
        <f t="shared" si="3"/>
        <v>5401.3125</v>
      </c>
      <c r="S17" s="25">
        <f t="shared" si="4"/>
        <v>53.4375</v>
      </c>
      <c r="T17" s="27">
        <f t="shared" si="5"/>
        <v>-15.5625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13788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13788</v>
      </c>
      <c r="N18" s="24">
        <f t="shared" si="1"/>
        <v>13788</v>
      </c>
      <c r="O18" s="25">
        <f t="shared" si="2"/>
        <v>379.17</v>
      </c>
      <c r="P18" s="26"/>
      <c r="Q18" s="26">
        <v>180</v>
      </c>
      <c r="R18" s="24">
        <f t="shared" si="3"/>
        <v>13228.83</v>
      </c>
      <c r="S18" s="25">
        <f t="shared" si="4"/>
        <v>130.98599999999999</v>
      </c>
      <c r="T18" s="27">
        <f t="shared" si="5"/>
        <v>-49.01400000000001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17682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17682</v>
      </c>
      <c r="N19" s="24">
        <f t="shared" si="1"/>
        <v>17682</v>
      </c>
      <c r="O19" s="25">
        <f t="shared" si="2"/>
        <v>486.255</v>
      </c>
      <c r="P19" s="26"/>
      <c r="Q19" s="26">
        <v>164</v>
      </c>
      <c r="R19" s="24">
        <f t="shared" si="3"/>
        <v>17031.744999999999</v>
      </c>
      <c r="S19" s="25">
        <f t="shared" si="4"/>
        <v>167.97899999999998</v>
      </c>
      <c r="T19" s="27">
        <f t="shared" si="5"/>
        <v>3.978999999999985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4112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4112</v>
      </c>
      <c r="N20" s="24">
        <f t="shared" si="1"/>
        <v>4112</v>
      </c>
      <c r="O20" s="25">
        <f t="shared" si="2"/>
        <v>113.08</v>
      </c>
      <c r="P20" s="26">
        <v>4800</v>
      </c>
      <c r="Q20" s="26">
        <v>70</v>
      </c>
      <c r="R20" s="24">
        <f t="shared" si="3"/>
        <v>3928.92</v>
      </c>
      <c r="S20" s="25">
        <f t="shared" si="4"/>
        <v>39.064</v>
      </c>
      <c r="T20" s="27">
        <f t="shared" si="5"/>
        <v>-30.936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514</v>
      </c>
      <c r="N21" s="24">
        <f t="shared" si="1"/>
        <v>514</v>
      </c>
      <c r="O21" s="25">
        <f t="shared" si="2"/>
        <v>14.135</v>
      </c>
      <c r="P21" s="26"/>
      <c r="Q21" s="26"/>
      <c r="R21" s="24">
        <f t="shared" si="3"/>
        <v>499.86500000000001</v>
      </c>
      <c r="S21" s="25">
        <f t="shared" si="4"/>
        <v>4.883</v>
      </c>
      <c r="T21" s="27">
        <f t="shared" si="5"/>
        <v>4.883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21805</v>
      </c>
      <c r="E22" s="30"/>
      <c r="F22" s="30"/>
      <c r="G22" s="20"/>
      <c r="H22" s="30"/>
      <c r="I22" s="20">
        <v>20</v>
      </c>
      <c r="J22" s="20"/>
      <c r="K22" s="20">
        <v>10</v>
      </c>
      <c r="L22" s="20"/>
      <c r="M22" s="20">
        <f t="shared" si="0"/>
        <v>21805</v>
      </c>
      <c r="N22" s="24">
        <f t="shared" si="1"/>
        <v>27445</v>
      </c>
      <c r="O22" s="25">
        <f t="shared" si="2"/>
        <v>599.63750000000005</v>
      </c>
      <c r="P22" s="26"/>
      <c r="Q22" s="26">
        <v>150</v>
      </c>
      <c r="R22" s="24">
        <f t="shared" si="3"/>
        <v>26695.362499999999</v>
      </c>
      <c r="S22" s="25">
        <f t="shared" si="4"/>
        <v>207.14750000000001</v>
      </c>
      <c r="T22" s="27">
        <f t="shared" si="5"/>
        <v>57.147500000000008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7005</v>
      </c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7005</v>
      </c>
      <c r="N23" s="24">
        <f t="shared" si="1"/>
        <v>8825</v>
      </c>
      <c r="O23" s="25">
        <f t="shared" si="2"/>
        <v>192.63749999999999</v>
      </c>
      <c r="P23" s="26"/>
      <c r="Q23" s="26">
        <v>70</v>
      </c>
      <c r="R23" s="24">
        <f t="shared" si="3"/>
        <v>8562.3624999999993</v>
      </c>
      <c r="S23" s="25">
        <f t="shared" si="4"/>
        <v>66.547499999999999</v>
      </c>
      <c r="T23" s="27">
        <f t="shared" si="5"/>
        <v>-3.4525000000000006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25000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25000</v>
      </c>
      <c r="N24" s="24">
        <f t="shared" si="1"/>
        <v>25000</v>
      </c>
      <c r="O24" s="25">
        <f t="shared" si="2"/>
        <v>687.5</v>
      </c>
      <c r="P24" s="26">
        <v>10497</v>
      </c>
      <c r="Q24" s="26">
        <v>230</v>
      </c>
      <c r="R24" s="24">
        <f t="shared" si="3"/>
        <v>24082.5</v>
      </c>
      <c r="S24" s="25">
        <f t="shared" si="4"/>
        <v>237.5</v>
      </c>
      <c r="T24" s="27">
        <f t="shared" si="5"/>
        <v>7.5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9768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9768</v>
      </c>
      <c r="N25" s="24">
        <f t="shared" si="1"/>
        <v>9768</v>
      </c>
      <c r="O25" s="25">
        <f t="shared" si="2"/>
        <v>268.62</v>
      </c>
      <c r="P25" s="26">
        <v>12600</v>
      </c>
      <c r="Q25" s="26">
        <v>99</v>
      </c>
      <c r="R25" s="24">
        <f t="shared" si="3"/>
        <v>9400.3799999999992</v>
      </c>
      <c r="S25" s="25">
        <f t="shared" si="4"/>
        <v>92.795999999999992</v>
      </c>
      <c r="T25" s="27">
        <f t="shared" si="5"/>
        <v>-6.2040000000000077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4112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4112</v>
      </c>
      <c r="N26" s="24">
        <f t="shared" si="1"/>
        <v>4112</v>
      </c>
      <c r="O26" s="25">
        <f t="shared" si="2"/>
        <v>113.08</v>
      </c>
      <c r="P26" s="26"/>
      <c r="Q26" s="26"/>
      <c r="R26" s="24">
        <f t="shared" si="3"/>
        <v>3998.92</v>
      </c>
      <c r="S26" s="25">
        <f t="shared" si="4"/>
        <v>39.064</v>
      </c>
      <c r="T26" s="27">
        <f t="shared" si="5"/>
        <v>39.064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12394</v>
      </c>
      <c r="E27" s="38"/>
      <c r="F27" s="39"/>
      <c r="G27" s="39"/>
      <c r="H27" s="39">
        <v>50</v>
      </c>
      <c r="I27" s="31">
        <v>10</v>
      </c>
      <c r="J27" s="31"/>
      <c r="K27" s="31"/>
      <c r="L27" s="31"/>
      <c r="M27" s="31">
        <f t="shared" si="0"/>
        <v>12844</v>
      </c>
      <c r="N27" s="40">
        <f t="shared" si="1"/>
        <v>14754</v>
      </c>
      <c r="O27" s="25">
        <f t="shared" si="2"/>
        <v>353.21</v>
      </c>
      <c r="P27" s="41"/>
      <c r="Q27" s="41">
        <v>100</v>
      </c>
      <c r="R27" s="24">
        <f t="shared" si="3"/>
        <v>14300.79</v>
      </c>
      <c r="S27" s="42">
        <f t="shared" si="4"/>
        <v>122.018</v>
      </c>
      <c r="T27" s="43">
        <f t="shared" si="5"/>
        <v>22.018000000000001</v>
      </c>
    </row>
    <row r="28" spans="1:20" ht="16.5" thickBot="1" x14ac:dyDescent="0.3">
      <c r="A28" s="240" t="s">
        <v>44</v>
      </c>
      <c r="B28" s="241"/>
      <c r="C28" s="242"/>
      <c r="D28" s="44">
        <f t="shared" ref="D28:E28" si="6">SUM(D7:D27)</f>
        <v>226287</v>
      </c>
      <c r="E28" s="45">
        <f t="shared" si="6"/>
        <v>130</v>
      </c>
      <c r="F28" s="45">
        <f t="shared" ref="F28:T28" si="7">SUM(F7:F27)</f>
        <v>260</v>
      </c>
      <c r="G28" s="45">
        <f t="shared" si="7"/>
        <v>0</v>
      </c>
      <c r="H28" s="45">
        <f t="shared" si="7"/>
        <v>1520</v>
      </c>
      <c r="I28" s="45">
        <f t="shared" si="7"/>
        <v>40</v>
      </c>
      <c r="J28" s="45">
        <f t="shared" si="7"/>
        <v>5</v>
      </c>
      <c r="K28" s="45">
        <f t="shared" si="7"/>
        <v>29</v>
      </c>
      <c r="L28" s="45">
        <f t="shared" si="7"/>
        <v>0</v>
      </c>
      <c r="M28" s="45">
        <f t="shared" si="7"/>
        <v>245167</v>
      </c>
      <c r="N28" s="45">
        <f t="shared" si="7"/>
        <v>259040</v>
      </c>
      <c r="O28" s="46">
        <f t="shared" si="7"/>
        <v>6742.0924999999988</v>
      </c>
      <c r="P28" s="45">
        <f t="shared" si="7"/>
        <v>63930</v>
      </c>
      <c r="Q28" s="45">
        <f t="shared" si="7"/>
        <v>1932</v>
      </c>
      <c r="R28" s="45">
        <f t="shared" si="7"/>
        <v>250365.9075</v>
      </c>
      <c r="S28" s="45">
        <f t="shared" si="7"/>
        <v>2329.0864999999999</v>
      </c>
      <c r="T28" s="47">
        <f t="shared" si="7"/>
        <v>397.0865</v>
      </c>
    </row>
    <row r="29" spans="1:20" ht="15.75" thickBot="1" x14ac:dyDescent="0.3">
      <c r="A29" s="243" t="s">
        <v>45</v>
      </c>
      <c r="B29" s="244"/>
      <c r="C29" s="245"/>
      <c r="D29" s="48">
        <f>D4+D5-D28</f>
        <v>563247</v>
      </c>
      <c r="E29" s="48">
        <f t="shared" ref="E29:L29" si="8">E4+E5-E28</f>
        <v>2190</v>
      </c>
      <c r="F29" s="48">
        <f t="shared" si="8"/>
        <v>6520</v>
      </c>
      <c r="G29" s="48">
        <f t="shared" si="8"/>
        <v>1000</v>
      </c>
      <c r="H29" s="48">
        <f t="shared" si="8"/>
        <v>25500</v>
      </c>
      <c r="I29" s="48">
        <f t="shared" si="8"/>
        <v>1574</v>
      </c>
      <c r="J29" s="48">
        <f t="shared" si="8"/>
        <v>640</v>
      </c>
      <c r="K29" s="48">
        <f t="shared" si="8"/>
        <v>258</v>
      </c>
      <c r="L29" s="48">
        <f t="shared" si="8"/>
        <v>0</v>
      </c>
      <c r="M29" s="246"/>
      <c r="N29" s="247"/>
      <c r="O29" s="247"/>
      <c r="P29" s="247"/>
      <c r="Q29" s="247"/>
      <c r="R29" s="247"/>
      <c r="S29" s="247"/>
      <c r="T29" s="24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49" priority="43" operator="equal">
      <formula>212030016606640</formula>
    </cfRule>
  </conditionalFormatting>
  <conditionalFormatting sqref="D29 E4:E6 E28:K29">
    <cfRule type="cellIs" dxfId="1048" priority="41" operator="equal">
      <formula>$E$4</formula>
    </cfRule>
    <cfRule type="cellIs" dxfId="1047" priority="42" operator="equal">
      <formula>2120</formula>
    </cfRule>
  </conditionalFormatting>
  <conditionalFormatting sqref="D29:E29 F4:F6 F28:F29">
    <cfRule type="cellIs" dxfId="1046" priority="39" operator="equal">
      <formula>$F$4</formula>
    </cfRule>
    <cfRule type="cellIs" dxfId="1045" priority="40" operator="equal">
      <formula>300</formula>
    </cfRule>
  </conditionalFormatting>
  <conditionalFormatting sqref="G4:G6 G28:G29">
    <cfRule type="cellIs" dxfId="1044" priority="37" operator="equal">
      <formula>$G$4</formula>
    </cfRule>
    <cfRule type="cellIs" dxfId="1043" priority="38" operator="equal">
      <formula>1660</formula>
    </cfRule>
  </conditionalFormatting>
  <conditionalFormatting sqref="H4:H6 H28:H29">
    <cfRule type="cellIs" dxfId="1042" priority="35" operator="equal">
      <formula>$H$4</formula>
    </cfRule>
    <cfRule type="cellIs" dxfId="1041" priority="36" operator="equal">
      <formula>6640</formula>
    </cfRule>
  </conditionalFormatting>
  <conditionalFormatting sqref="T6:T28">
    <cfRule type="cellIs" dxfId="1040" priority="34" operator="lessThan">
      <formula>0</formula>
    </cfRule>
  </conditionalFormatting>
  <conditionalFormatting sqref="T7:T27">
    <cfRule type="cellIs" dxfId="1039" priority="31" operator="lessThan">
      <formula>0</formula>
    </cfRule>
    <cfRule type="cellIs" dxfId="1038" priority="32" operator="lessThan">
      <formula>0</formula>
    </cfRule>
    <cfRule type="cellIs" dxfId="1037" priority="33" operator="lessThan">
      <formula>0</formula>
    </cfRule>
  </conditionalFormatting>
  <conditionalFormatting sqref="E4:E6 E28:K28">
    <cfRule type="cellIs" dxfId="1036" priority="30" operator="equal">
      <formula>$E$4</formula>
    </cfRule>
  </conditionalFormatting>
  <conditionalFormatting sqref="D28:D29 D6 D4:M4">
    <cfRule type="cellIs" dxfId="1035" priority="29" operator="equal">
      <formula>$D$4</formula>
    </cfRule>
  </conditionalFormatting>
  <conditionalFormatting sqref="I4:I6 I28:I29">
    <cfRule type="cellIs" dxfId="1034" priority="28" operator="equal">
      <formula>$I$4</formula>
    </cfRule>
  </conditionalFormatting>
  <conditionalFormatting sqref="J4:J6 J28:J29">
    <cfRule type="cellIs" dxfId="1033" priority="27" operator="equal">
      <formula>$J$4</formula>
    </cfRule>
  </conditionalFormatting>
  <conditionalFormatting sqref="K4:K6 K28:K29">
    <cfRule type="cellIs" dxfId="1032" priority="26" operator="equal">
      <formula>$K$4</formula>
    </cfRule>
  </conditionalFormatting>
  <conditionalFormatting sqref="M4:M6">
    <cfRule type="cellIs" dxfId="1031" priority="25" operator="equal">
      <formula>$L$4</formula>
    </cfRule>
  </conditionalFormatting>
  <conditionalFormatting sqref="T7:T28">
    <cfRule type="cellIs" dxfId="1030" priority="22" operator="lessThan">
      <formula>0</formula>
    </cfRule>
    <cfRule type="cellIs" dxfId="1029" priority="23" operator="lessThan">
      <formula>0</formula>
    </cfRule>
    <cfRule type="cellIs" dxfId="1028" priority="24" operator="lessThan">
      <formula>0</formula>
    </cfRule>
  </conditionalFormatting>
  <conditionalFormatting sqref="D5:K5">
    <cfRule type="cellIs" dxfId="1027" priority="21" operator="greaterThan">
      <formula>0</formula>
    </cfRule>
  </conditionalFormatting>
  <conditionalFormatting sqref="T6:T28">
    <cfRule type="cellIs" dxfId="1026" priority="20" operator="lessThan">
      <formula>0</formula>
    </cfRule>
  </conditionalFormatting>
  <conditionalFormatting sqref="T7:T27">
    <cfRule type="cellIs" dxfId="1025" priority="17" operator="lessThan">
      <formula>0</formula>
    </cfRule>
    <cfRule type="cellIs" dxfId="1024" priority="18" operator="lessThan">
      <formula>0</formula>
    </cfRule>
    <cfRule type="cellIs" dxfId="1023" priority="19" operator="lessThan">
      <formula>0</formula>
    </cfRule>
  </conditionalFormatting>
  <conditionalFormatting sqref="T7:T28">
    <cfRule type="cellIs" dxfId="1022" priority="14" operator="lessThan">
      <formula>0</formula>
    </cfRule>
    <cfRule type="cellIs" dxfId="1021" priority="15" operator="lessThan">
      <formula>0</formula>
    </cfRule>
    <cfRule type="cellIs" dxfId="1020" priority="16" operator="lessThan">
      <formula>0</formula>
    </cfRule>
  </conditionalFormatting>
  <conditionalFormatting sqref="D5:K5">
    <cfRule type="cellIs" dxfId="1019" priority="13" operator="greaterThan">
      <formula>0</formula>
    </cfRule>
  </conditionalFormatting>
  <conditionalFormatting sqref="L4 L6 L28:L29">
    <cfRule type="cellIs" dxfId="1018" priority="12" operator="equal">
      <formula>$L$4</formula>
    </cfRule>
  </conditionalFormatting>
  <conditionalFormatting sqref="D7:S7">
    <cfRule type="cellIs" dxfId="1017" priority="11" operator="greaterThan">
      <formula>0</formula>
    </cfRule>
  </conditionalFormatting>
  <conditionalFormatting sqref="D9:S9">
    <cfRule type="cellIs" dxfId="1016" priority="10" operator="greaterThan">
      <formula>0</formula>
    </cfRule>
  </conditionalFormatting>
  <conditionalFormatting sqref="D11:S11">
    <cfRule type="cellIs" dxfId="1015" priority="9" operator="greaterThan">
      <formula>0</formula>
    </cfRule>
  </conditionalFormatting>
  <conditionalFormatting sqref="D13:S13">
    <cfRule type="cellIs" dxfId="1014" priority="8" operator="greaterThan">
      <formula>0</formula>
    </cfRule>
  </conditionalFormatting>
  <conditionalFormatting sqref="D15:S15">
    <cfRule type="cellIs" dxfId="1013" priority="7" operator="greaterThan">
      <formula>0</formula>
    </cfRule>
  </conditionalFormatting>
  <conditionalFormatting sqref="D17:S17">
    <cfRule type="cellIs" dxfId="1012" priority="6" operator="greaterThan">
      <formula>0</formula>
    </cfRule>
  </conditionalFormatting>
  <conditionalFormatting sqref="D19:S19">
    <cfRule type="cellIs" dxfId="1011" priority="5" operator="greaterThan">
      <formula>0</formula>
    </cfRule>
  </conditionalFormatting>
  <conditionalFormatting sqref="D21:S21">
    <cfRule type="cellIs" dxfId="1010" priority="4" operator="greaterThan">
      <formula>0</formula>
    </cfRule>
  </conditionalFormatting>
  <conditionalFormatting sqref="D23:S23">
    <cfRule type="cellIs" dxfId="1009" priority="3" operator="greaterThan">
      <formula>0</formula>
    </cfRule>
  </conditionalFormatting>
  <conditionalFormatting sqref="D25:S25">
    <cfRule type="cellIs" dxfId="1008" priority="2" operator="greaterThan">
      <formula>0</formula>
    </cfRule>
  </conditionalFormatting>
  <conditionalFormatting sqref="D27:S27">
    <cfRule type="cellIs" dxfId="1007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49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</row>
    <row r="2" spans="1:20" ht="15.75" thickBot="1" x14ac:dyDescent="0.3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</row>
    <row r="3" spans="1:20" ht="18.75" x14ac:dyDescent="0.25">
      <c r="A3" s="250" t="s">
        <v>46</v>
      </c>
      <c r="B3" s="251"/>
      <c r="C3" s="252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</row>
    <row r="4" spans="1:20" x14ac:dyDescent="0.25">
      <c r="A4" s="254" t="s">
        <v>1</v>
      </c>
      <c r="B4" s="254"/>
      <c r="C4" s="1"/>
      <c r="D4" s="2">
        <f>'10'!D29</f>
        <v>563247</v>
      </c>
      <c r="E4" s="2">
        <f>'10'!E29</f>
        <v>2190</v>
      </c>
      <c r="F4" s="2">
        <f>'10'!F29</f>
        <v>6520</v>
      </c>
      <c r="G4" s="2">
        <f>'10'!G29</f>
        <v>1000</v>
      </c>
      <c r="H4" s="2">
        <f>'10'!H29</f>
        <v>25500</v>
      </c>
      <c r="I4" s="2">
        <f>'10'!I29</f>
        <v>1574</v>
      </c>
      <c r="J4" s="2">
        <f>'10'!J29</f>
        <v>640</v>
      </c>
      <c r="K4" s="2">
        <f>'10'!K29</f>
        <v>258</v>
      </c>
      <c r="L4" s="2">
        <f>'10'!L29</f>
        <v>0</v>
      </c>
      <c r="M4" s="3"/>
      <c r="N4" s="255"/>
      <c r="O4" s="255"/>
      <c r="P4" s="255"/>
      <c r="Q4" s="255"/>
      <c r="R4" s="255"/>
      <c r="S4" s="255"/>
      <c r="T4" s="255"/>
    </row>
    <row r="5" spans="1:20" x14ac:dyDescent="0.25">
      <c r="A5" s="254" t="s">
        <v>2</v>
      </c>
      <c r="B5" s="25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5"/>
      <c r="O5" s="255"/>
      <c r="P5" s="255"/>
      <c r="Q5" s="255"/>
      <c r="R5" s="255"/>
      <c r="S5" s="255"/>
      <c r="T5" s="25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40" t="s">
        <v>44</v>
      </c>
      <c r="B28" s="241"/>
      <c r="C28" s="24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43" t="s">
        <v>45</v>
      </c>
      <c r="B29" s="244"/>
      <c r="C29" s="245"/>
      <c r="D29" s="48">
        <f>D4+D5-D28</f>
        <v>563247</v>
      </c>
      <c r="E29" s="48">
        <f t="shared" ref="E29:L29" si="8">E4+E5-E28</f>
        <v>2190</v>
      </c>
      <c r="F29" s="48">
        <f t="shared" si="8"/>
        <v>6520</v>
      </c>
      <c r="G29" s="48">
        <f t="shared" si="8"/>
        <v>1000</v>
      </c>
      <c r="H29" s="48">
        <f t="shared" si="8"/>
        <v>25500</v>
      </c>
      <c r="I29" s="48">
        <f t="shared" si="8"/>
        <v>1574</v>
      </c>
      <c r="J29" s="48">
        <f t="shared" si="8"/>
        <v>640</v>
      </c>
      <c r="K29" s="48">
        <f t="shared" si="8"/>
        <v>258</v>
      </c>
      <c r="L29" s="48">
        <f t="shared" si="8"/>
        <v>0</v>
      </c>
      <c r="M29" s="246"/>
      <c r="N29" s="247"/>
      <c r="O29" s="247"/>
      <c r="P29" s="247"/>
      <c r="Q29" s="247"/>
      <c r="R29" s="247"/>
      <c r="S29" s="247"/>
      <c r="T29" s="24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06" priority="43" operator="equal">
      <formula>212030016606640</formula>
    </cfRule>
  </conditionalFormatting>
  <conditionalFormatting sqref="D29 E4:E6 E28:K29">
    <cfRule type="cellIs" dxfId="1005" priority="41" operator="equal">
      <formula>$E$4</formula>
    </cfRule>
    <cfRule type="cellIs" dxfId="1004" priority="42" operator="equal">
      <formula>2120</formula>
    </cfRule>
  </conditionalFormatting>
  <conditionalFormatting sqref="D29:E29 F4:F6 F28:F29">
    <cfRule type="cellIs" dxfId="1003" priority="39" operator="equal">
      <formula>$F$4</formula>
    </cfRule>
    <cfRule type="cellIs" dxfId="1002" priority="40" operator="equal">
      <formula>300</formula>
    </cfRule>
  </conditionalFormatting>
  <conditionalFormatting sqref="G4:G6 G28:G29">
    <cfRule type="cellIs" dxfId="1001" priority="37" operator="equal">
      <formula>$G$4</formula>
    </cfRule>
    <cfRule type="cellIs" dxfId="1000" priority="38" operator="equal">
      <formula>1660</formula>
    </cfRule>
  </conditionalFormatting>
  <conditionalFormatting sqref="H4:H6 H28:H29">
    <cfRule type="cellIs" dxfId="999" priority="35" operator="equal">
      <formula>$H$4</formula>
    </cfRule>
    <cfRule type="cellIs" dxfId="998" priority="36" operator="equal">
      <formula>6640</formula>
    </cfRule>
  </conditionalFormatting>
  <conditionalFormatting sqref="T6:T28">
    <cfRule type="cellIs" dxfId="997" priority="34" operator="lessThan">
      <formula>0</formula>
    </cfRule>
  </conditionalFormatting>
  <conditionalFormatting sqref="T7:T27">
    <cfRule type="cellIs" dxfId="996" priority="31" operator="lessThan">
      <formula>0</formula>
    </cfRule>
    <cfRule type="cellIs" dxfId="995" priority="32" operator="lessThan">
      <formula>0</formula>
    </cfRule>
    <cfRule type="cellIs" dxfId="994" priority="33" operator="lessThan">
      <formula>0</formula>
    </cfRule>
  </conditionalFormatting>
  <conditionalFormatting sqref="E4:E6 E28:K28">
    <cfRule type="cellIs" dxfId="993" priority="30" operator="equal">
      <formula>$E$4</formula>
    </cfRule>
  </conditionalFormatting>
  <conditionalFormatting sqref="D28:D29 D6 D4:M4">
    <cfRule type="cellIs" dxfId="992" priority="29" operator="equal">
      <formula>$D$4</formula>
    </cfRule>
  </conditionalFormatting>
  <conditionalFormatting sqref="I4:I6 I28:I29">
    <cfRule type="cellIs" dxfId="991" priority="28" operator="equal">
      <formula>$I$4</formula>
    </cfRule>
  </conditionalFormatting>
  <conditionalFormatting sqref="J4:J6 J28:J29">
    <cfRule type="cellIs" dxfId="990" priority="27" operator="equal">
      <formula>$J$4</formula>
    </cfRule>
  </conditionalFormatting>
  <conditionalFormatting sqref="K4:K6 K28:K29">
    <cfRule type="cellIs" dxfId="989" priority="26" operator="equal">
      <formula>$K$4</formula>
    </cfRule>
  </conditionalFormatting>
  <conditionalFormatting sqref="M4:M6">
    <cfRule type="cellIs" dxfId="988" priority="25" operator="equal">
      <formula>$L$4</formula>
    </cfRule>
  </conditionalFormatting>
  <conditionalFormatting sqref="T7:T28">
    <cfRule type="cellIs" dxfId="987" priority="22" operator="lessThan">
      <formula>0</formula>
    </cfRule>
    <cfRule type="cellIs" dxfId="986" priority="23" operator="lessThan">
      <formula>0</formula>
    </cfRule>
    <cfRule type="cellIs" dxfId="985" priority="24" operator="lessThan">
      <formula>0</formula>
    </cfRule>
  </conditionalFormatting>
  <conditionalFormatting sqref="D5:K5">
    <cfRule type="cellIs" dxfId="984" priority="21" operator="greaterThan">
      <formula>0</formula>
    </cfRule>
  </conditionalFormatting>
  <conditionalFormatting sqref="T6:T28">
    <cfRule type="cellIs" dxfId="983" priority="20" operator="lessThan">
      <formula>0</formula>
    </cfRule>
  </conditionalFormatting>
  <conditionalFormatting sqref="T7:T27">
    <cfRule type="cellIs" dxfId="982" priority="17" operator="lessThan">
      <formula>0</formula>
    </cfRule>
    <cfRule type="cellIs" dxfId="981" priority="18" operator="lessThan">
      <formula>0</formula>
    </cfRule>
    <cfRule type="cellIs" dxfId="980" priority="19" operator="lessThan">
      <formula>0</formula>
    </cfRule>
  </conditionalFormatting>
  <conditionalFormatting sqref="T7:T28">
    <cfRule type="cellIs" dxfId="979" priority="14" operator="lessThan">
      <formula>0</formula>
    </cfRule>
    <cfRule type="cellIs" dxfId="978" priority="15" operator="lessThan">
      <formula>0</formula>
    </cfRule>
    <cfRule type="cellIs" dxfId="977" priority="16" operator="lessThan">
      <formula>0</formula>
    </cfRule>
  </conditionalFormatting>
  <conditionalFormatting sqref="D5:K5">
    <cfRule type="cellIs" dxfId="976" priority="13" operator="greaterThan">
      <formula>0</formula>
    </cfRule>
  </conditionalFormatting>
  <conditionalFormatting sqref="L4 L6 L28:L29">
    <cfRule type="cellIs" dxfId="975" priority="12" operator="equal">
      <formula>$L$4</formula>
    </cfRule>
  </conditionalFormatting>
  <conditionalFormatting sqref="D7:S7">
    <cfRule type="cellIs" dxfId="974" priority="11" operator="greaterThan">
      <formula>0</formula>
    </cfRule>
  </conditionalFormatting>
  <conditionalFormatting sqref="D9:S9">
    <cfRule type="cellIs" dxfId="973" priority="10" operator="greaterThan">
      <formula>0</formula>
    </cfRule>
  </conditionalFormatting>
  <conditionalFormatting sqref="D11:S11">
    <cfRule type="cellIs" dxfId="972" priority="9" operator="greaterThan">
      <formula>0</formula>
    </cfRule>
  </conditionalFormatting>
  <conditionalFormatting sqref="D13:S13">
    <cfRule type="cellIs" dxfId="971" priority="8" operator="greaterThan">
      <formula>0</formula>
    </cfRule>
  </conditionalFormatting>
  <conditionalFormatting sqref="D15:S15">
    <cfRule type="cellIs" dxfId="970" priority="7" operator="greaterThan">
      <formula>0</formula>
    </cfRule>
  </conditionalFormatting>
  <conditionalFormatting sqref="D17:S17">
    <cfRule type="cellIs" dxfId="969" priority="6" operator="greaterThan">
      <formula>0</formula>
    </cfRule>
  </conditionalFormatting>
  <conditionalFormatting sqref="D19:S19">
    <cfRule type="cellIs" dxfId="968" priority="5" operator="greaterThan">
      <formula>0</formula>
    </cfRule>
  </conditionalFormatting>
  <conditionalFormatting sqref="D21:S21">
    <cfRule type="cellIs" dxfId="967" priority="4" operator="greaterThan">
      <formula>0</formula>
    </cfRule>
  </conditionalFormatting>
  <conditionalFormatting sqref="D23:S23">
    <cfRule type="cellIs" dxfId="966" priority="3" operator="greaterThan">
      <formula>0</formula>
    </cfRule>
  </conditionalFormatting>
  <conditionalFormatting sqref="D25:S25">
    <cfRule type="cellIs" dxfId="965" priority="2" operator="greaterThan">
      <formula>0</formula>
    </cfRule>
  </conditionalFormatting>
  <conditionalFormatting sqref="D27:S27">
    <cfRule type="cellIs" dxfId="964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opLeftCell="C1"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249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</row>
    <row r="2" spans="1:21" ht="15.75" thickBot="1" x14ac:dyDescent="0.3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</row>
    <row r="3" spans="1:21" ht="18.75" x14ac:dyDescent="0.25">
      <c r="A3" s="250" t="s">
        <v>106</v>
      </c>
      <c r="B3" s="251"/>
      <c r="C3" s="252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</row>
    <row r="4" spans="1:21" x14ac:dyDescent="0.25">
      <c r="A4" s="254" t="s">
        <v>1</v>
      </c>
      <c r="B4" s="254"/>
      <c r="C4" s="1"/>
      <c r="D4" s="2">
        <f>'11'!D29</f>
        <v>563247</v>
      </c>
      <c r="E4" s="2">
        <f>'11'!E29</f>
        <v>2190</v>
      </c>
      <c r="F4" s="2">
        <f>'11'!F29</f>
        <v>6520</v>
      </c>
      <c r="G4" s="2">
        <f>'11'!G29</f>
        <v>1000</v>
      </c>
      <c r="H4" s="2">
        <f>'11'!H29</f>
        <v>25500</v>
      </c>
      <c r="I4" s="2">
        <f>'11'!I29</f>
        <v>1574</v>
      </c>
      <c r="J4" s="2">
        <f>'11'!J29</f>
        <v>640</v>
      </c>
      <c r="K4" s="2">
        <f>'11'!K29</f>
        <v>258</v>
      </c>
      <c r="L4" s="2">
        <f>'11'!L29</f>
        <v>0</v>
      </c>
      <c r="M4" s="3"/>
      <c r="N4" s="255"/>
      <c r="O4" s="255"/>
      <c r="P4" s="255"/>
      <c r="Q4" s="255"/>
      <c r="R4" s="255"/>
      <c r="S4" s="255"/>
      <c r="T4" s="255"/>
    </row>
    <row r="5" spans="1:21" x14ac:dyDescent="0.25">
      <c r="A5" s="254" t="s">
        <v>2</v>
      </c>
      <c r="B5" s="25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5"/>
      <c r="O5" s="255"/>
      <c r="P5" s="255"/>
      <c r="Q5" s="255"/>
      <c r="R5" s="255"/>
      <c r="S5" s="255"/>
      <c r="T5" s="255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15424</v>
      </c>
      <c r="E7" s="22">
        <v>825</v>
      </c>
      <c r="F7" s="22">
        <v>1520</v>
      </c>
      <c r="G7" s="22"/>
      <c r="H7" s="22">
        <v>90</v>
      </c>
      <c r="I7" s="23"/>
      <c r="J7" s="23"/>
      <c r="K7" s="23"/>
      <c r="L7" s="23"/>
      <c r="M7" s="20">
        <f>D7+E7*20+F7*10+G7*9+H7*9</f>
        <v>47934</v>
      </c>
      <c r="N7" s="24">
        <f>D7+E7*20+F7*10+G7*9+H7*9+I7*191+J7*191+K7*182+L7*100</f>
        <v>47934</v>
      </c>
      <c r="O7" s="25">
        <f>M7*2.75%</f>
        <v>1318.1849999999999</v>
      </c>
      <c r="P7" s="26"/>
      <c r="Q7" s="26">
        <v>133</v>
      </c>
      <c r="R7" s="24">
        <f>M7-(M7*2.75%)+I7*191+J7*191+K7*182+L7*100-Q7</f>
        <v>46482.815000000002</v>
      </c>
      <c r="S7" s="25">
        <f>M7*0.95%</f>
        <v>455.37299999999999</v>
      </c>
      <c r="T7" s="27">
        <f>S7-Q7</f>
        <v>322.37299999999999</v>
      </c>
      <c r="U7">
        <v>382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7224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7224</v>
      </c>
      <c r="N8" s="24">
        <f t="shared" ref="N8:N27" si="1">D8+E8*20+F8*10+G8*9+H8*9+I8*191+J8*191+K8*182+L8*100</f>
        <v>7224</v>
      </c>
      <c r="O8" s="25">
        <f t="shared" ref="O8:O27" si="2">M8*2.75%</f>
        <v>198.66</v>
      </c>
      <c r="P8" s="26">
        <v>-2000</v>
      </c>
      <c r="Q8" s="26">
        <v>60</v>
      </c>
      <c r="R8" s="24">
        <f t="shared" ref="R8:R27" si="3">M8-(M8*2.75%)+I8*191+J8*191+K8*182+L8*100-Q8</f>
        <v>6965.34</v>
      </c>
      <c r="S8" s="25">
        <f t="shared" ref="S8:S27" si="4">M8*0.95%</f>
        <v>68.628</v>
      </c>
      <c r="T8" s="27">
        <f t="shared" ref="T8:T27" si="5">S8-Q8</f>
        <v>8.6280000000000001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20730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20730</v>
      </c>
      <c r="N9" s="24">
        <f t="shared" si="1"/>
        <v>20730</v>
      </c>
      <c r="O9" s="25">
        <f t="shared" si="2"/>
        <v>570.07500000000005</v>
      </c>
      <c r="P9" s="26">
        <v>12500</v>
      </c>
      <c r="Q9" s="26">
        <v>190</v>
      </c>
      <c r="R9" s="24">
        <f t="shared" si="3"/>
        <v>19969.924999999999</v>
      </c>
      <c r="S9" s="25">
        <f t="shared" si="4"/>
        <v>196.935</v>
      </c>
      <c r="T9" s="27">
        <f t="shared" si="5"/>
        <v>6.9350000000000023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4308</v>
      </c>
      <c r="E10" s="30"/>
      <c r="F10" s="30"/>
      <c r="G10" s="30"/>
      <c r="H10" s="30">
        <v>70</v>
      </c>
      <c r="I10" s="20">
        <v>6</v>
      </c>
      <c r="J10" s="20"/>
      <c r="K10" s="20"/>
      <c r="L10" s="20"/>
      <c r="M10" s="20">
        <f t="shared" si="0"/>
        <v>4938</v>
      </c>
      <c r="N10" s="24">
        <f t="shared" si="1"/>
        <v>6084</v>
      </c>
      <c r="O10" s="25">
        <f t="shared" si="2"/>
        <v>135.79499999999999</v>
      </c>
      <c r="P10" s="26"/>
      <c r="Q10" s="26">
        <v>28</v>
      </c>
      <c r="R10" s="24">
        <f t="shared" si="3"/>
        <v>5920.2049999999999</v>
      </c>
      <c r="S10" s="25">
        <f t="shared" si="4"/>
        <v>46.911000000000001</v>
      </c>
      <c r="T10" s="27">
        <f t="shared" si="5"/>
        <v>18.911000000000001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5614</v>
      </c>
      <c r="E11" s="30"/>
      <c r="F11" s="30">
        <v>100</v>
      </c>
      <c r="G11" s="32"/>
      <c r="H11" s="30">
        <v>250</v>
      </c>
      <c r="I11" s="20"/>
      <c r="J11" s="20"/>
      <c r="K11" s="20"/>
      <c r="L11" s="20"/>
      <c r="M11" s="20">
        <f t="shared" si="0"/>
        <v>8864</v>
      </c>
      <c r="N11" s="24">
        <f t="shared" si="1"/>
        <v>8864</v>
      </c>
      <c r="O11" s="25">
        <f t="shared" si="2"/>
        <v>243.76</v>
      </c>
      <c r="P11" s="26"/>
      <c r="Q11" s="26">
        <v>20</v>
      </c>
      <c r="R11" s="24">
        <f t="shared" si="3"/>
        <v>8600.24</v>
      </c>
      <c r="S11" s="25">
        <f t="shared" si="4"/>
        <v>84.207999999999998</v>
      </c>
      <c r="T11" s="27">
        <f t="shared" si="5"/>
        <v>64.207999999999998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926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926</v>
      </c>
      <c r="N12" s="24">
        <f t="shared" si="1"/>
        <v>926</v>
      </c>
      <c r="O12" s="25">
        <f t="shared" si="2"/>
        <v>25.465</v>
      </c>
      <c r="P12" s="26"/>
      <c r="Q12" s="26"/>
      <c r="R12" s="24">
        <f t="shared" si="3"/>
        <v>900.53499999999997</v>
      </c>
      <c r="S12" s="25">
        <f t="shared" si="4"/>
        <v>8.7970000000000006</v>
      </c>
      <c r="T12" s="27">
        <f t="shared" si="5"/>
        <v>8.7970000000000006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1542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1542</v>
      </c>
      <c r="N13" s="24">
        <f t="shared" si="1"/>
        <v>1542</v>
      </c>
      <c r="O13" s="25">
        <f t="shared" si="2"/>
        <v>42.405000000000001</v>
      </c>
      <c r="P13" s="26"/>
      <c r="Q13" s="26">
        <v>15</v>
      </c>
      <c r="R13" s="24">
        <f t="shared" si="3"/>
        <v>1484.595</v>
      </c>
      <c r="S13" s="25">
        <f t="shared" si="4"/>
        <v>14.648999999999999</v>
      </c>
      <c r="T13" s="27">
        <f t="shared" si="5"/>
        <v>-0.35100000000000087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20881</v>
      </c>
      <c r="E14" s="30"/>
      <c r="F14" s="30"/>
      <c r="G14" s="30"/>
      <c r="H14" s="30"/>
      <c r="I14" s="20">
        <v>6</v>
      </c>
      <c r="J14" s="20"/>
      <c r="K14" s="20"/>
      <c r="L14" s="20"/>
      <c r="M14" s="20">
        <f t="shared" si="0"/>
        <v>20881</v>
      </c>
      <c r="N14" s="24">
        <f t="shared" si="1"/>
        <v>22027</v>
      </c>
      <c r="O14" s="25">
        <f t="shared" si="2"/>
        <v>574.22749999999996</v>
      </c>
      <c r="P14" s="26"/>
      <c r="Q14" s="26">
        <v>153</v>
      </c>
      <c r="R14" s="24">
        <f t="shared" si="3"/>
        <v>21299.772499999999</v>
      </c>
      <c r="S14" s="25">
        <f t="shared" si="4"/>
        <v>198.36949999999999</v>
      </c>
      <c r="T14" s="27">
        <f t="shared" si="5"/>
        <v>45.369499999999988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20861</v>
      </c>
      <c r="E15" s="30">
        <v>20</v>
      </c>
      <c r="F15" s="30"/>
      <c r="G15" s="30"/>
      <c r="H15" s="30">
        <v>70</v>
      </c>
      <c r="I15" s="20">
        <v>3</v>
      </c>
      <c r="J15" s="20"/>
      <c r="K15" s="20"/>
      <c r="L15" s="20"/>
      <c r="M15" s="20">
        <f t="shared" si="0"/>
        <v>21891</v>
      </c>
      <c r="N15" s="24">
        <f t="shared" si="1"/>
        <v>22464</v>
      </c>
      <c r="O15" s="25">
        <f t="shared" si="2"/>
        <v>602.00250000000005</v>
      </c>
      <c r="P15" s="26"/>
      <c r="Q15" s="26">
        <v>160</v>
      </c>
      <c r="R15" s="24">
        <f t="shared" si="3"/>
        <v>21701.997500000001</v>
      </c>
      <c r="S15" s="25">
        <f t="shared" si="4"/>
        <v>207.96449999999999</v>
      </c>
      <c r="T15" s="27">
        <f t="shared" si="5"/>
        <v>47.964499999999987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10071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10071</v>
      </c>
      <c r="N16" s="24">
        <f t="shared" si="1"/>
        <v>10071</v>
      </c>
      <c r="O16" s="25">
        <f t="shared" si="2"/>
        <v>276.95249999999999</v>
      </c>
      <c r="P16" s="26">
        <v>-2000</v>
      </c>
      <c r="Q16" s="26">
        <v>84</v>
      </c>
      <c r="R16" s="24">
        <f t="shared" si="3"/>
        <v>9710.0475000000006</v>
      </c>
      <c r="S16" s="25">
        <f t="shared" si="4"/>
        <v>95.674499999999995</v>
      </c>
      <c r="T16" s="27">
        <f t="shared" si="5"/>
        <v>11.674499999999995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12867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12867</v>
      </c>
      <c r="N17" s="24">
        <f t="shared" si="1"/>
        <v>12867</v>
      </c>
      <c r="O17" s="25">
        <f t="shared" si="2"/>
        <v>353.84250000000003</v>
      </c>
      <c r="P17" s="26"/>
      <c r="Q17" s="26">
        <v>98</v>
      </c>
      <c r="R17" s="24">
        <f t="shared" si="3"/>
        <v>12415.157499999999</v>
      </c>
      <c r="S17" s="25">
        <f t="shared" si="4"/>
        <v>122.23649999999999</v>
      </c>
      <c r="T17" s="27">
        <f t="shared" si="5"/>
        <v>24.236499999999992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9487</v>
      </c>
      <c r="E18" s="30">
        <v>30</v>
      </c>
      <c r="F18" s="30">
        <v>40</v>
      </c>
      <c r="G18" s="30"/>
      <c r="H18" s="30"/>
      <c r="I18" s="20"/>
      <c r="J18" s="20"/>
      <c r="K18" s="20"/>
      <c r="L18" s="20"/>
      <c r="M18" s="20">
        <f t="shared" si="0"/>
        <v>10487</v>
      </c>
      <c r="N18" s="24">
        <f t="shared" si="1"/>
        <v>10487</v>
      </c>
      <c r="O18" s="25">
        <f t="shared" si="2"/>
        <v>288.39249999999998</v>
      </c>
      <c r="P18" s="26"/>
      <c r="Q18" s="26">
        <v>100</v>
      </c>
      <c r="R18" s="24">
        <f t="shared" si="3"/>
        <v>10098.6075</v>
      </c>
      <c r="S18" s="25">
        <f t="shared" si="4"/>
        <v>99.626499999999993</v>
      </c>
      <c r="T18" s="27">
        <f t="shared" si="5"/>
        <v>-0.37350000000000705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17166</v>
      </c>
      <c r="E19" s="30"/>
      <c r="F19" s="30"/>
      <c r="G19" s="30"/>
      <c r="H19" s="30">
        <v>40</v>
      </c>
      <c r="I19" s="20">
        <v>10</v>
      </c>
      <c r="J19" s="20"/>
      <c r="K19" s="20"/>
      <c r="L19" s="20"/>
      <c r="M19" s="20">
        <f t="shared" si="0"/>
        <v>17526</v>
      </c>
      <c r="N19" s="24">
        <f t="shared" si="1"/>
        <v>19436</v>
      </c>
      <c r="O19" s="25">
        <f t="shared" si="2"/>
        <v>481.96499999999997</v>
      </c>
      <c r="P19" s="26">
        <v>-2000</v>
      </c>
      <c r="Q19" s="26">
        <v>170</v>
      </c>
      <c r="R19" s="24">
        <f t="shared" si="3"/>
        <v>18784.035</v>
      </c>
      <c r="S19" s="25">
        <f t="shared" si="4"/>
        <v>166.49699999999999</v>
      </c>
      <c r="T19" s="27">
        <f t="shared" si="5"/>
        <v>-3.5030000000000143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7402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7402</v>
      </c>
      <c r="N20" s="24">
        <f t="shared" si="1"/>
        <v>7402</v>
      </c>
      <c r="O20" s="25">
        <f t="shared" si="2"/>
        <v>203.55500000000001</v>
      </c>
      <c r="P20" s="26">
        <v>-1000</v>
      </c>
      <c r="Q20" s="26">
        <v>120</v>
      </c>
      <c r="R20" s="24">
        <f t="shared" si="3"/>
        <v>7078.4449999999997</v>
      </c>
      <c r="S20" s="25">
        <f t="shared" si="4"/>
        <v>70.319000000000003</v>
      </c>
      <c r="T20" s="27">
        <f t="shared" si="5"/>
        <v>-49.680999999999997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8432</v>
      </c>
      <c r="E21" s="30"/>
      <c r="F21" s="30">
        <v>20</v>
      </c>
      <c r="G21" s="30"/>
      <c r="H21" s="30">
        <v>30</v>
      </c>
      <c r="I21" s="20">
        <v>7</v>
      </c>
      <c r="J21" s="20"/>
      <c r="K21" s="20"/>
      <c r="L21" s="20"/>
      <c r="M21" s="20">
        <f t="shared" si="0"/>
        <v>8902</v>
      </c>
      <c r="N21" s="24">
        <f t="shared" si="1"/>
        <v>10239</v>
      </c>
      <c r="O21" s="25">
        <f t="shared" si="2"/>
        <v>244.80500000000001</v>
      </c>
      <c r="P21" s="26"/>
      <c r="Q21" s="26">
        <v>20</v>
      </c>
      <c r="R21" s="24">
        <f t="shared" si="3"/>
        <v>9974.1949999999997</v>
      </c>
      <c r="S21" s="25">
        <f t="shared" si="4"/>
        <v>84.569000000000003</v>
      </c>
      <c r="T21" s="27">
        <f t="shared" si="5"/>
        <v>64.569000000000003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12152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12152</v>
      </c>
      <c r="N22" s="24">
        <f t="shared" si="1"/>
        <v>12152</v>
      </c>
      <c r="O22" s="25">
        <f t="shared" si="2"/>
        <v>334.18</v>
      </c>
      <c r="P22" s="26"/>
      <c r="Q22" s="26">
        <v>98</v>
      </c>
      <c r="R22" s="24">
        <f t="shared" si="3"/>
        <v>11719.82</v>
      </c>
      <c r="S22" s="25">
        <f t="shared" si="4"/>
        <v>115.444</v>
      </c>
      <c r="T22" s="27">
        <f t="shared" si="5"/>
        <v>17.444000000000003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7097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7097</v>
      </c>
      <c r="N23" s="24">
        <f t="shared" si="1"/>
        <v>7097</v>
      </c>
      <c r="O23" s="25">
        <f t="shared" si="2"/>
        <v>195.16749999999999</v>
      </c>
      <c r="P23" s="26"/>
      <c r="Q23" s="26">
        <v>70</v>
      </c>
      <c r="R23" s="24">
        <f t="shared" si="3"/>
        <v>6831.8325000000004</v>
      </c>
      <c r="S23" s="25">
        <f t="shared" si="4"/>
        <v>67.421499999999995</v>
      </c>
      <c r="T23" s="27">
        <f t="shared" si="5"/>
        <v>-2.5785000000000053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9766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9766</v>
      </c>
      <c r="N24" s="24">
        <f t="shared" si="1"/>
        <v>9766</v>
      </c>
      <c r="O24" s="25">
        <f t="shared" si="2"/>
        <v>268.565</v>
      </c>
      <c r="P24" s="26"/>
      <c r="Q24" s="26">
        <v>92</v>
      </c>
      <c r="R24" s="24">
        <f t="shared" si="3"/>
        <v>9405.4349999999995</v>
      </c>
      <c r="S24" s="25">
        <f t="shared" si="4"/>
        <v>92.777000000000001</v>
      </c>
      <c r="T24" s="27">
        <f t="shared" si="5"/>
        <v>0.77700000000000102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11320</v>
      </c>
      <c r="E25" s="30"/>
      <c r="F25" s="30"/>
      <c r="G25" s="30"/>
      <c r="H25" s="30"/>
      <c r="I25" s="20">
        <v>1</v>
      </c>
      <c r="J25" s="20"/>
      <c r="K25" s="20"/>
      <c r="L25" s="20"/>
      <c r="M25" s="20">
        <f t="shared" si="0"/>
        <v>11320</v>
      </c>
      <c r="N25" s="24">
        <f t="shared" si="1"/>
        <v>11511</v>
      </c>
      <c r="O25" s="25">
        <f t="shared" si="2"/>
        <v>311.3</v>
      </c>
      <c r="P25" s="26"/>
      <c r="Q25" s="26">
        <v>99</v>
      </c>
      <c r="R25" s="24">
        <f t="shared" si="3"/>
        <v>11100.7</v>
      </c>
      <c r="S25" s="25">
        <f t="shared" si="4"/>
        <v>107.53999999999999</v>
      </c>
      <c r="T25" s="27">
        <f t="shared" si="5"/>
        <v>8.539999999999992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8378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8378</v>
      </c>
      <c r="N26" s="24">
        <f t="shared" si="1"/>
        <v>8378</v>
      </c>
      <c r="O26" s="25">
        <f t="shared" si="2"/>
        <v>230.39500000000001</v>
      </c>
      <c r="P26" s="26"/>
      <c r="Q26" s="26">
        <v>82</v>
      </c>
      <c r="R26" s="24">
        <f t="shared" si="3"/>
        <v>8065.6049999999996</v>
      </c>
      <c r="S26" s="25">
        <f t="shared" si="4"/>
        <v>79.590999999999994</v>
      </c>
      <c r="T26" s="27">
        <f t="shared" si="5"/>
        <v>-2.409000000000006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6798</v>
      </c>
      <c r="E27" s="38"/>
      <c r="F27" s="39"/>
      <c r="G27" s="39"/>
      <c r="H27" s="39">
        <v>50</v>
      </c>
      <c r="I27" s="31">
        <v>10</v>
      </c>
      <c r="J27" s="31"/>
      <c r="K27" s="31"/>
      <c r="L27" s="31"/>
      <c r="M27" s="31">
        <f t="shared" si="0"/>
        <v>7248</v>
      </c>
      <c r="N27" s="40">
        <f t="shared" si="1"/>
        <v>9158</v>
      </c>
      <c r="O27" s="25">
        <f t="shared" si="2"/>
        <v>199.32</v>
      </c>
      <c r="P27" s="41"/>
      <c r="Q27" s="41">
        <v>100</v>
      </c>
      <c r="R27" s="24">
        <f t="shared" si="3"/>
        <v>8858.68</v>
      </c>
      <c r="S27" s="42">
        <f t="shared" si="4"/>
        <v>68.855999999999995</v>
      </c>
      <c r="T27" s="43">
        <f t="shared" si="5"/>
        <v>-31.144000000000005</v>
      </c>
    </row>
    <row r="28" spans="1:20" ht="16.5" thickBot="1" x14ac:dyDescent="0.3">
      <c r="A28" s="240" t="s">
        <v>44</v>
      </c>
      <c r="B28" s="241"/>
      <c r="C28" s="242"/>
      <c r="D28" s="44">
        <f t="shared" ref="D28:E28" si="6">SUM(D7:D27)</f>
        <v>218446</v>
      </c>
      <c r="E28" s="45">
        <f t="shared" si="6"/>
        <v>875</v>
      </c>
      <c r="F28" s="45">
        <f t="shared" ref="F28:T28" si="7">SUM(F7:F27)</f>
        <v>1680</v>
      </c>
      <c r="G28" s="45">
        <f t="shared" si="7"/>
        <v>0</v>
      </c>
      <c r="H28" s="45">
        <f t="shared" si="7"/>
        <v>600</v>
      </c>
      <c r="I28" s="45">
        <f t="shared" si="7"/>
        <v>43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258146</v>
      </c>
      <c r="N28" s="45">
        <f t="shared" si="7"/>
        <v>266359</v>
      </c>
      <c r="O28" s="46">
        <f t="shared" si="7"/>
        <v>7099.0150000000012</v>
      </c>
      <c r="P28" s="45">
        <f t="shared" si="7"/>
        <v>5500</v>
      </c>
      <c r="Q28" s="45">
        <f t="shared" si="7"/>
        <v>1892</v>
      </c>
      <c r="R28" s="45">
        <f t="shared" si="7"/>
        <v>257367.98500000007</v>
      </c>
      <c r="S28" s="45">
        <f t="shared" si="7"/>
        <v>2452.3869999999997</v>
      </c>
      <c r="T28" s="47">
        <f t="shared" si="7"/>
        <v>560.38699999999994</v>
      </c>
    </row>
    <row r="29" spans="1:20" ht="15.75" thickBot="1" x14ac:dyDescent="0.3">
      <c r="A29" s="243" t="s">
        <v>45</v>
      </c>
      <c r="B29" s="244"/>
      <c r="C29" s="245"/>
      <c r="D29" s="48">
        <f>D4+D5-D28</f>
        <v>344801</v>
      </c>
      <c r="E29" s="48">
        <f t="shared" ref="E29:L29" si="8">E4+E5-E28</f>
        <v>1315</v>
      </c>
      <c r="F29" s="48">
        <f t="shared" si="8"/>
        <v>4840</v>
      </c>
      <c r="G29" s="48">
        <f t="shared" si="8"/>
        <v>1000</v>
      </c>
      <c r="H29" s="48">
        <f t="shared" si="8"/>
        <v>24900</v>
      </c>
      <c r="I29" s="48">
        <f t="shared" si="8"/>
        <v>1531</v>
      </c>
      <c r="J29" s="48">
        <f t="shared" si="8"/>
        <v>640</v>
      </c>
      <c r="K29" s="48">
        <f t="shared" si="8"/>
        <v>258</v>
      </c>
      <c r="L29" s="48">
        <f t="shared" si="8"/>
        <v>0</v>
      </c>
      <c r="M29" s="246"/>
      <c r="N29" s="247"/>
      <c r="O29" s="247"/>
      <c r="P29" s="247"/>
      <c r="Q29" s="247"/>
      <c r="R29" s="247"/>
      <c r="S29" s="247"/>
      <c r="T29" s="24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63" priority="43" operator="equal">
      <formula>212030016606640</formula>
    </cfRule>
  </conditionalFormatting>
  <conditionalFormatting sqref="D29 E4:E6 E28:K29">
    <cfRule type="cellIs" dxfId="962" priority="41" operator="equal">
      <formula>$E$4</formula>
    </cfRule>
    <cfRule type="cellIs" dxfId="961" priority="42" operator="equal">
      <formula>2120</formula>
    </cfRule>
  </conditionalFormatting>
  <conditionalFormatting sqref="D29:E29 F4:F6 F28:F29">
    <cfRule type="cellIs" dxfId="960" priority="39" operator="equal">
      <formula>$F$4</formula>
    </cfRule>
    <cfRule type="cellIs" dxfId="959" priority="40" operator="equal">
      <formula>300</formula>
    </cfRule>
  </conditionalFormatting>
  <conditionalFormatting sqref="G4:G6 G28:G29">
    <cfRule type="cellIs" dxfId="958" priority="37" operator="equal">
      <formula>$G$4</formula>
    </cfRule>
    <cfRule type="cellIs" dxfId="957" priority="38" operator="equal">
      <formula>1660</formula>
    </cfRule>
  </conditionalFormatting>
  <conditionalFormatting sqref="H4:H6 H28:H29">
    <cfRule type="cellIs" dxfId="956" priority="35" operator="equal">
      <formula>$H$4</formula>
    </cfRule>
    <cfRule type="cellIs" dxfId="955" priority="36" operator="equal">
      <formula>6640</formula>
    </cfRule>
  </conditionalFormatting>
  <conditionalFormatting sqref="T6:T28">
    <cfRule type="cellIs" dxfId="954" priority="34" operator="lessThan">
      <formula>0</formula>
    </cfRule>
  </conditionalFormatting>
  <conditionalFormatting sqref="T7:T27">
    <cfRule type="cellIs" dxfId="953" priority="31" operator="lessThan">
      <formula>0</formula>
    </cfRule>
    <cfRule type="cellIs" dxfId="952" priority="32" operator="lessThan">
      <formula>0</formula>
    </cfRule>
    <cfRule type="cellIs" dxfId="951" priority="33" operator="lessThan">
      <formula>0</formula>
    </cfRule>
  </conditionalFormatting>
  <conditionalFormatting sqref="E4:E6 E28:K28">
    <cfRule type="cellIs" dxfId="950" priority="30" operator="equal">
      <formula>$E$4</formula>
    </cfRule>
  </conditionalFormatting>
  <conditionalFormatting sqref="D28:D29 D6 D4:M4">
    <cfRule type="cellIs" dxfId="949" priority="29" operator="equal">
      <formula>$D$4</formula>
    </cfRule>
  </conditionalFormatting>
  <conditionalFormatting sqref="I4:I6 I28:I29">
    <cfRule type="cellIs" dxfId="948" priority="28" operator="equal">
      <formula>$I$4</formula>
    </cfRule>
  </conditionalFormatting>
  <conditionalFormatting sqref="J4:J6 J28:J29">
    <cfRule type="cellIs" dxfId="947" priority="27" operator="equal">
      <formula>$J$4</formula>
    </cfRule>
  </conditionalFormatting>
  <conditionalFormatting sqref="K4:K6 K28:K29">
    <cfRule type="cellIs" dxfId="946" priority="26" operator="equal">
      <formula>$K$4</formula>
    </cfRule>
  </conditionalFormatting>
  <conditionalFormatting sqref="M4:M6">
    <cfRule type="cellIs" dxfId="945" priority="25" operator="equal">
      <formula>$L$4</formula>
    </cfRule>
  </conditionalFormatting>
  <conditionalFormatting sqref="T7:T28">
    <cfRule type="cellIs" dxfId="944" priority="22" operator="lessThan">
      <formula>0</formula>
    </cfRule>
    <cfRule type="cellIs" dxfId="943" priority="23" operator="lessThan">
      <formula>0</formula>
    </cfRule>
    <cfRule type="cellIs" dxfId="942" priority="24" operator="lessThan">
      <formula>0</formula>
    </cfRule>
  </conditionalFormatting>
  <conditionalFormatting sqref="D5:K5">
    <cfRule type="cellIs" dxfId="941" priority="21" operator="greaterThan">
      <formula>0</formula>
    </cfRule>
  </conditionalFormatting>
  <conditionalFormatting sqref="T6:T28">
    <cfRule type="cellIs" dxfId="940" priority="20" operator="lessThan">
      <formula>0</formula>
    </cfRule>
  </conditionalFormatting>
  <conditionalFormatting sqref="T7:T27">
    <cfRule type="cellIs" dxfId="939" priority="17" operator="lessThan">
      <formula>0</formula>
    </cfRule>
    <cfRule type="cellIs" dxfId="938" priority="18" operator="lessThan">
      <formula>0</formula>
    </cfRule>
    <cfRule type="cellIs" dxfId="937" priority="19" operator="lessThan">
      <formula>0</formula>
    </cfRule>
  </conditionalFormatting>
  <conditionalFormatting sqref="T7:T28">
    <cfRule type="cellIs" dxfId="936" priority="14" operator="lessThan">
      <formula>0</formula>
    </cfRule>
    <cfRule type="cellIs" dxfId="935" priority="15" operator="lessThan">
      <formula>0</formula>
    </cfRule>
    <cfRule type="cellIs" dxfId="934" priority="16" operator="lessThan">
      <formula>0</formula>
    </cfRule>
  </conditionalFormatting>
  <conditionalFormatting sqref="D5:K5">
    <cfRule type="cellIs" dxfId="933" priority="13" operator="greaterThan">
      <formula>0</formula>
    </cfRule>
  </conditionalFormatting>
  <conditionalFormatting sqref="L4 L6 L28:L29">
    <cfRule type="cellIs" dxfId="932" priority="12" operator="equal">
      <formula>$L$4</formula>
    </cfRule>
  </conditionalFormatting>
  <conditionalFormatting sqref="D7:S7">
    <cfRule type="cellIs" dxfId="931" priority="11" operator="greaterThan">
      <formula>0</formula>
    </cfRule>
  </conditionalFormatting>
  <conditionalFormatting sqref="D9:S9">
    <cfRule type="cellIs" dxfId="930" priority="10" operator="greaterThan">
      <formula>0</formula>
    </cfRule>
  </conditionalFormatting>
  <conditionalFormatting sqref="D11:S11">
    <cfRule type="cellIs" dxfId="929" priority="9" operator="greaterThan">
      <formula>0</formula>
    </cfRule>
  </conditionalFormatting>
  <conditionalFormatting sqref="D13:S13">
    <cfRule type="cellIs" dxfId="928" priority="8" operator="greaterThan">
      <formula>0</formula>
    </cfRule>
  </conditionalFormatting>
  <conditionalFormatting sqref="D15:S15">
    <cfRule type="cellIs" dxfId="927" priority="7" operator="greaterThan">
      <formula>0</formula>
    </cfRule>
  </conditionalFormatting>
  <conditionalFormatting sqref="D17:S17">
    <cfRule type="cellIs" dxfId="926" priority="6" operator="greaterThan">
      <formula>0</formula>
    </cfRule>
  </conditionalFormatting>
  <conditionalFormatting sqref="D19:S19">
    <cfRule type="cellIs" dxfId="925" priority="5" operator="greaterThan">
      <formula>0</formula>
    </cfRule>
  </conditionalFormatting>
  <conditionalFormatting sqref="D21:S21">
    <cfRule type="cellIs" dxfId="924" priority="4" operator="greaterThan">
      <formula>0</formula>
    </cfRule>
  </conditionalFormatting>
  <conditionalFormatting sqref="D23:S23">
    <cfRule type="cellIs" dxfId="923" priority="3" operator="greaterThan">
      <formula>0</formula>
    </cfRule>
  </conditionalFormatting>
  <conditionalFormatting sqref="D25:S25">
    <cfRule type="cellIs" dxfId="922" priority="2" operator="greaterThan">
      <formula>0</formula>
    </cfRule>
  </conditionalFormatting>
  <conditionalFormatting sqref="D27:S27">
    <cfRule type="cellIs" dxfId="921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I22" sqref="I2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49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</row>
    <row r="2" spans="1:20" ht="15.75" thickBot="1" x14ac:dyDescent="0.3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</row>
    <row r="3" spans="1:20" ht="18.75" x14ac:dyDescent="0.25">
      <c r="A3" s="250" t="s">
        <v>107</v>
      </c>
      <c r="B3" s="251"/>
      <c r="C3" s="252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</row>
    <row r="4" spans="1:20" x14ac:dyDescent="0.25">
      <c r="A4" s="254" t="s">
        <v>1</v>
      </c>
      <c r="B4" s="254"/>
      <c r="C4" s="1"/>
      <c r="D4" s="2">
        <f>'12'!D29</f>
        <v>344801</v>
      </c>
      <c r="E4" s="2">
        <f>'12'!E29</f>
        <v>1315</v>
      </c>
      <c r="F4" s="2">
        <f>'12'!F29</f>
        <v>4840</v>
      </c>
      <c r="G4" s="2">
        <f>'12'!G29</f>
        <v>1000</v>
      </c>
      <c r="H4" s="2">
        <f>'12'!H29</f>
        <v>24900</v>
      </c>
      <c r="I4" s="2">
        <f>'12'!I29</f>
        <v>1531</v>
      </c>
      <c r="J4" s="2">
        <f>'12'!J29</f>
        <v>640</v>
      </c>
      <c r="K4" s="2">
        <f>'12'!K29</f>
        <v>258</v>
      </c>
      <c r="L4" s="2">
        <f>'12'!L29</f>
        <v>0</v>
      </c>
      <c r="M4" s="3"/>
      <c r="N4" s="255"/>
      <c r="O4" s="255"/>
      <c r="P4" s="255"/>
      <c r="Q4" s="255"/>
      <c r="R4" s="255"/>
      <c r="S4" s="255"/>
      <c r="T4" s="255"/>
    </row>
    <row r="5" spans="1:20" x14ac:dyDescent="0.25">
      <c r="A5" s="254" t="s">
        <v>2</v>
      </c>
      <c r="B5" s="254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255"/>
      <c r="O5" s="255"/>
      <c r="P5" s="255"/>
      <c r="Q5" s="255"/>
      <c r="R5" s="255"/>
      <c r="S5" s="255"/>
      <c r="T5" s="25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8122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8122</v>
      </c>
      <c r="N7" s="24">
        <f>D7+E7*20+F7*10+G7*9+H7*9+I7*191+J7*191+K7*182+L7*100</f>
        <v>8122</v>
      </c>
      <c r="O7" s="25">
        <f>M7*2.75%</f>
        <v>223.35499999999999</v>
      </c>
      <c r="P7" s="26"/>
      <c r="Q7" s="26">
        <v>99</v>
      </c>
      <c r="R7" s="24">
        <f>M7-(M7*2.75%)+I7*191+J7*191+K7*182+L7*100-Q7</f>
        <v>7799.6450000000004</v>
      </c>
      <c r="S7" s="25">
        <f>M7*0.95%</f>
        <v>77.158999999999992</v>
      </c>
      <c r="T7" s="27">
        <f>S7-Q7</f>
        <v>-21.841000000000008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6687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6687</v>
      </c>
      <c r="N8" s="24">
        <f t="shared" ref="N8:N27" si="1">D8+E8*20+F8*10+G8*9+H8*9+I8*191+J8*191+K8*182+L8*100</f>
        <v>6687</v>
      </c>
      <c r="O8" s="25">
        <f t="shared" ref="O8:O27" si="2">M8*2.75%</f>
        <v>183.89250000000001</v>
      </c>
      <c r="P8" s="26">
        <v>1000</v>
      </c>
      <c r="Q8" s="26">
        <v>70</v>
      </c>
      <c r="R8" s="24">
        <f t="shared" ref="R8:R27" si="3">M8-(M8*2.75%)+I8*191+J8*191+K8*182+L8*100-Q8</f>
        <v>6433.1075000000001</v>
      </c>
      <c r="S8" s="25">
        <f t="shared" ref="S8:S27" si="4">M8*0.95%</f>
        <v>63.526499999999999</v>
      </c>
      <c r="T8" s="27">
        <f t="shared" ref="T8:T27" si="5">S8-Q8</f>
        <v>-6.4735000000000014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25302</v>
      </c>
      <c r="E9" s="30"/>
      <c r="F9" s="30"/>
      <c r="G9" s="30"/>
      <c r="H9" s="30"/>
      <c r="I9" s="20">
        <v>4</v>
      </c>
      <c r="J9" s="20"/>
      <c r="K9" s="20">
        <v>7</v>
      </c>
      <c r="L9" s="20"/>
      <c r="M9" s="20">
        <f t="shared" si="0"/>
        <v>25302</v>
      </c>
      <c r="N9" s="24">
        <f t="shared" si="1"/>
        <v>27340</v>
      </c>
      <c r="O9" s="25">
        <f t="shared" si="2"/>
        <v>695.80499999999995</v>
      </c>
      <c r="P9" s="26">
        <v>-5000</v>
      </c>
      <c r="Q9" s="26">
        <v>194</v>
      </c>
      <c r="R9" s="24">
        <f t="shared" si="3"/>
        <v>26450.195</v>
      </c>
      <c r="S9" s="25">
        <f t="shared" si="4"/>
        <v>240.369</v>
      </c>
      <c r="T9" s="27">
        <f t="shared" si="5"/>
        <v>46.369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3599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3599</v>
      </c>
      <c r="N10" s="24">
        <f t="shared" si="1"/>
        <v>3599</v>
      </c>
      <c r="O10" s="25">
        <f t="shared" si="2"/>
        <v>98.972499999999997</v>
      </c>
      <c r="P10" s="26"/>
      <c r="Q10" s="26">
        <v>30</v>
      </c>
      <c r="R10" s="24">
        <f t="shared" si="3"/>
        <v>3470.0275000000001</v>
      </c>
      <c r="S10" s="25">
        <f t="shared" si="4"/>
        <v>34.1905</v>
      </c>
      <c r="T10" s="27">
        <f t="shared" si="5"/>
        <v>4.1905000000000001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4112</v>
      </c>
      <c r="E11" s="30"/>
      <c r="F11" s="30"/>
      <c r="G11" s="32"/>
      <c r="H11" s="30"/>
      <c r="I11" s="20">
        <v>8</v>
      </c>
      <c r="J11" s="20"/>
      <c r="K11" s="20">
        <v>3</v>
      </c>
      <c r="L11" s="20"/>
      <c r="M11" s="20">
        <f t="shared" si="0"/>
        <v>4112</v>
      </c>
      <c r="N11" s="24">
        <f t="shared" si="1"/>
        <v>6186</v>
      </c>
      <c r="O11" s="25">
        <f t="shared" si="2"/>
        <v>113.08</v>
      </c>
      <c r="P11" s="26"/>
      <c r="Q11" s="26">
        <v>28</v>
      </c>
      <c r="R11" s="24">
        <f t="shared" si="3"/>
        <v>6044.92</v>
      </c>
      <c r="S11" s="25">
        <f t="shared" si="4"/>
        <v>39.064</v>
      </c>
      <c r="T11" s="27">
        <f t="shared" si="5"/>
        <v>11.064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1542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1542</v>
      </c>
      <c r="N12" s="24">
        <f t="shared" si="1"/>
        <v>1542</v>
      </c>
      <c r="O12" s="25">
        <f t="shared" si="2"/>
        <v>42.405000000000001</v>
      </c>
      <c r="P12" s="26"/>
      <c r="Q12" s="26">
        <v>9</v>
      </c>
      <c r="R12" s="24">
        <f t="shared" si="3"/>
        <v>1490.595</v>
      </c>
      <c r="S12" s="25">
        <f t="shared" si="4"/>
        <v>14.648999999999999</v>
      </c>
      <c r="T12" s="27">
        <f t="shared" si="5"/>
        <v>5.6489999999999991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1542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1542</v>
      </c>
      <c r="N13" s="24">
        <f t="shared" si="1"/>
        <v>1542</v>
      </c>
      <c r="O13" s="25">
        <f t="shared" si="2"/>
        <v>42.405000000000001</v>
      </c>
      <c r="P13" s="26"/>
      <c r="Q13" s="26">
        <v>9</v>
      </c>
      <c r="R13" s="24">
        <f t="shared" si="3"/>
        <v>1490.595</v>
      </c>
      <c r="S13" s="25">
        <f t="shared" si="4"/>
        <v>14.648999999999999</v>
      </c>
      <c r="T13" s="27">
        <f t="shared" si="5"/>
        <v>5.6489999999999991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13783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13783</v>
      </c>
      <c r="N14" s="24">
        <f t="shared" si="1"/>
        <v>13783</v>
      </c>
      <c r="O14" s="25">
        <f t="shared" si="2"/>
        <v>379.03250000000003</v>
      </c>
      <c r="P14" s="26"/>
      <c r="Q14" s="26">
        <v>164</v>
      </c>
      <c r="R14" s="24">
        <f t="shared" si="3"/>
        <v>13239.967500000001</v>
      </c>
      <c r="S14" s="25">
        <f t="shared" si="4"/>
        <v>130.9385</v>
      </c>
      <c r="T14" s="27">
        <f t="shared" si="5"/>
        <v>-33.061499999999995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19657</v>
      </c>
      <c r="E15" s="30"/>
      <c r="F15" s="30"/>
      <c r="G15" s="30"/>
      <c r="H15" s="30">
        <v>20</v>
      </c>
      <c r="I15" s="20">
        <v>3</v>
      </c>
      <c r="J15" s="20"/>
      <c r="K15" s="20"/>
      <c r="L15" s="20"/>
      <c r="M15" s="20">
        <f t="shared" si="0"/>
        <v>19837</v>
      </c>
      <c r="N15" s="24">
        <f t="shared" si="1"/>
        <v>20410</v>
      </c>
      <c r="O15" s="25">
        <f t="shared" si="2"/>
        <v>545.51750000000004</v>
      </c>
      <c r="P15" s="26"/>
      <c r="Q15" s="26">
        <v>160</v>
      </c>
      <c r="R15" s="24">
        <f t="shared" si="3"/>
        <v>19704.482499999998</v>
      </c>
      <c r="S15" s="25">
        <f t="shared" si="4"/>
        <v>188.45149999999998</v>
      </c>
      <c r="T15" s="27">
        <f t="shared" si="5"/>
        <v>28.451499999999982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16800</v>
      </c>
      <c r="E16" s="30"/>
      <c r="F16" s="30"/>
      <c r="G16" s="30"/>
      <c r="H16" s="30">
        <v>40</v>
      </c>
      <c r="I16" s="20"/>
      <c r="J16" s="20"/>
      <c r="K16" s="20"/>
      <c r="L16" s="20"/>
      <c r="M16" s="20">
        <f t="shared" si="0"/>
        <v>17160</v>
      </c>
      <c r="N16" s="24">
        <f t="shared" si="1"/>
        <v>17160</v>
      </c>
      <c r="O16" s="25">
        <f t="shared" si="2"/>
        <v>471.9</v>
      </c>
      <c r="P16" s="26">
        <v>1000</v>
      </c>
      <c r="Q16" s="26">
        <v>118</v>
      </c>
      <c r="R16" s="24">
        <f t="shared" si="3"/>
        <v>16570.099999999999</v>
      </c>
      <c r="S16" s="25">
        <f t="shared" si="4"/>
        <v>163.01999999999998</v>
      </c>
      <c r="T16" s="27">
        <f t="shared" si="5"/>
        <v>45.019999999999982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5549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5549</v>
      </c>
      <c r="N17" s="24">
        <f t="shared" si="1"/>
        <v>5549</v>
      </c>
      <c r="O17" s="25">
        <f t="shared" si="2"/>
        <v>152.5975</v>
      </c>
      <c r="P17" s="26"/>
      <c r="Q17" s="26">
        <v>50</v>
      </c>
      <c r="R17" s="24">
        <f t="shared" si="3"/>
        <v>5346.4025000000001</v>
      </c>
      <c r="S17" s="25">
        <f t="shared" si="4"/>
        <v>52.715499999999999</v>
      </c>
      <c r="T17" s="27">
        <f t="shared" si="5"/>
        <v>2.7154999999999987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12251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12251</v>
      </c>
      <c r="N18" s="24">
        <f t="shared" si="1"/>
        <v>12251</v>
      </c>
      <c r="O18" s="25">
        <f t="shared" si="2"/>
        <v>336.90249999999997</v>
      </c>
      <c r="P18" s="26"/>
      <c r="Q18" s="26">
        <v>180</v>
      </c>
      <c r="R18" s="24">
        <f t="shared" si="3"/>
        <v>11734.0975</v>
      </c>
      <c r="S18" s="25">
        <f t="shared" si="4"/>
        <v>116.3845</v>
      </c>
      <c r="T18" s="27">
        <f t="shared" si="5"/>
        <v>-63.615499999999997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11415</v>
      </c>
      <c r="E19" s="30">
        <v>10</v>
      </c>
      <c r="F19" s="30">
        <v>50</v>
      </c>
      <c r="G19" s="30"/>
      <c r="H19" s="30">
        <v>20</v>
      </c>
      <c r="I19" s="20">
        <v>15</v>
      </c>
      <c r="J19" s="20"/>
      <c r="K19" s="20"/>
      <c r="L19" s="20"/>
      <c r="M19" s="20">
        <f t="shared" si="0"/>
        <v>12295</v>
      </c>
      <c r="N19" s="24">
        <f t="shared" si="1"/>
        <v>15160</v>
      </c>
      <c r="O19" s="25">
        <f t="shared" si="2"/>
        <v>338.11250000000001</v>
      </c>
      <c r="P19" s="26"/>
      <c r="Q19" s="26">
        <v>170</v>
      </c>
      <c r="R19" s="24">
        <f t="shared" si="3"/>
        <v>14651.887500000001</v>
      </c>
      <c r="S19" s="25">
        <f t="shared" si="4"/>
        <v>116.80249999999999</v>
      </c>
      <c r="T19" s="27">
        <f t="shared" si="5"/>
        <v>-53.197500000000005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3290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3290</v>
      </c>
      <c r="N20" s="24">
        <f t="shared" si="1"/>
        <v>3290</v>
      </c>
      <c r="O20" s="25">
        <f t="shared" si="2"/>
        <v>90.474999999999994</v>
      </c>
      <c r="P20" s="26">
        <v>720</v>
      </c>
      <c r="Q20" s="26">
        <v>520</v>
      </c>
      <c r="R20" s="24">
        <f t="shared" si="3"/>
        <v>2679.5250000000001</v>
      </c>
      <c r="S20" s="25">
        <f t="shared" si="4"/>
        <v>31.254999999999999</v>
      </c>
      <c r="T20" s="27">
        <f t="shared" si="5"/>
        <v>-488.745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1337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1337</v>
      </c>
      <c r="N21" s="24">
        <f t="shared" si="1"/>
        <v>1337</v>
      </c>
      <c r="O21" s="25">
        <f t="shared" si="2"/>
        <v>36.767499999999998</v>
      </c>
      <c r="P21" s="26"/>
      <c r="Q21" s="26"/>
      <c r="R21" s="24">
        <f t="shared" si="3"/>
        <v>1300.2325000000001</v>
      </c>
      <c r="S21" s="25">
        <f t="shared" si="4"/>
        <v>12.701499999999999</v>
      </c>
      <c r="T21" s="27">
        <f t="shared" si="5"/>
        <v>12.701499999999999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22058</v>
      </c>
      <c r="E22" s="30">
        <v>50</v>
      </c>
      <c r="F22" s="30"/>
      <c r="G22" s="20"/>
      <c r="H22" s="30"/>
      <c r="I22" s="20">
        <v>10</v>
      </c>
      <c r="J22" s="20"/>
      <c r="K22" s="20">
        <v>5</v>
      </c>
      <c r="L22" s="20"/>
      <c r="M22" s="20">
        <f t="shared" si="0"/>
        <v>23058</v>
      </c>
      <c r="N22" s="24">
        <f t="shared" si="1"/>
        <v>25878</v>
      </c>
      <c r="O22" s="25">
        <f t="shared" si="2"/>
        <v>634.09500000000003</v>
      </c>
      <c r="P22" s="26"/>
      <c r="Q22" s="26">
        <v>150</v>
      </c>
      <c r="R22" s="24">
        <f t="shared" si="3"/>
        <v>25093.904999999999</v>
      </c>
      <c r="S22" s="25">
        <f t="shared" si="4"/>
        <v>219.05099999999999</v>
      </c>
      <c r="T22" s="27">
        <f t="shared" si="5"/>
        <v>69.050999999999988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7671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7671</v>
      </c>
      <c r="N23" s="24">
        <f t="shared" si="1"/>
        <v>7671</v>
      </c>
      <c r="O23" s="25">
        <f t="shared" si="2"/>
        <v>210.95250000000001</v>
      </c>
      <c r="P23" s="26"/>
      <c r="Q23" s="26">
        <v>70</v>
      </c>
      <c r="R23" s="24">
        <f t="shared" si="3"/>
        <v>7390.0474999999997</v>
      </c>
      <c r="S23" s="25">
        <f t="shared" si="4"/>
        <v>72.874499999999998</v>
      </c>
      <c r="T23" s="27">
        <f t="shared" si="5"/>
        <v>2.8744999999999976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10280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10280</v>
      </c>
      <c r="N24" s="24">
        <f t="shared" si="1"/>
        <v>10280</v>
      </c>
      <c r="O24" s="25">
        <f t="shared" si="2"/>
        <v>282.7</v>
      </c>
      <c r="P24" s="26"/>
      <c r="Q24" s="26"/>
      <c r="R24" s="24">
        <f t="shared" si="3"/>
        <v>9997.2999999999993</v>
      </c>
      <c r="S24" s="25">
        <f t="shared" si="4"/>
        <v>97.66</v>
      </c>
      <c r="T24" s="27">
        <f t="shared" si="5"/>
        <v>97.66</v>
      </c>
    </row>
    <row r="25" spans="1:20" ht="15.75" x14ac:dyDescent="0.25">
      <c r="A25" s="28">
        <v>19</v>
      </c>
      <c r="B25" s="20">
        <v>1908446152</v>
      </c>
      <c r="C25" s="53" t="s">
        <v>41</v>
      </c>
      <c r="D25" s="29">
        <v>8381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8381</v>
      </c>
      <c r="N25" s="24">
        <f t="shared" si="1"/>
        <v>8381</v>
      </c>
      <c r="O25" s="25">
        <f t="shared" si="2"/>
        <v>230.47749999999999</v>
      </c>
      <c r="P25" s="26">
        <v>22000</v>
      </c>
      <c r="Q25" s="26">
        <v>80</v>
      </c>
      <c r="R25" s="24">
        <f t="shared" si="3"/>
        <v>8070.5225</v>
      </c>
      <c r="S25" s="25">
        <f t="shared" si="4"/>
        <v>79.619500000000002</v>
      </c>
      <c r="T25" s="27">
        <f t="shared" si="5"/>
        <v>-0.38049999999999784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6477</v>
      </c>
      <c r="E26" s="29">
        <v>30</v>
      </c>
      <c r="F26" s="30">
        <v>40</v>
      </c>
      <c r="G26" s="30"/>
      <c r="H26" s="30"/>
      <c r="I26" s="20">
        <v>5</v>
      </c>
      <c r="J26" s="20"/>
      <c r="K26" s="20">
        <v>5</v>
      </c>
      <c r="L26" s="20"/>
      <c r="M26" s="20">
        <f t="shared" si="0"/>
        <v>7477</v>
      </c>
      <c r="N26" s="24">
        <f t="shared" si="1"/>
        <v>9342</v>
      </c>
      <c r="O26" s="25">
        <f t="shared" si="2"/>
        <v>205.61750000000001</v>
      </c>
      <c r="P26" s="26"/>
      <c r="Q26" s="26">
        <v>90</v>
      </c>
      <c r="R26" s="24">
        <f t="shared" si="3"/>
        <v>9046.3824999999997</v>
      </c>
      <c r="S26" s="25">
        <f t="shared" si="4"/>
        <v>71.031499999999994</v>
      </c>
      <c r="T26" s="27">
        <f t="shared" si="5"/>
        <v>-18.968500000000006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6887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6887</v>
      </c>
      <c r="N27" s="40">
        <f t="shared" si="1"/>
        <v>6887</v>
      </c>
      <c r="O27" s="25">
        <f t="shared" si="2"/>
        <v>189.39250000000001</v>
      </c>
      <c r="P27" s="41"/>
      <c r="Q27" s="41">
        <v>100</v>
      </c>
      <c r="R27" s="24">
        <f t="shared" si="3"/>
        <v>6597.6075000000001</v>
      </c>
      <c r="S27" s="42">
        <f t="shared" si="4"/>
        <v>65.426500000000004</v>
      </c>
      <c r="T27" s="43">
        <f t="shared" si="5"/>
        <v>-34.573499999999996</v>
      </c>
    </row>
    <row r="28" spans="1:20" ht="16.5" thickBot="1" x14ac:dyDescent="0.3">
      <c r="A28" s="240" t="s">
        <v>44</v>
      </c>
      <c r="B28" s="241"/>
      <c r="C28" s="242"/>
      <c r="D28" s="44">
        <f t="shared" ref="D28:E28" si="6">SUM(D7:D27)</f>
        <v>196742</v>
      </c>
      <c r="E28" s="45">
        <f t="shared" si="6"/>
        <v>90</v>
      </c>
      <c r="F28" s="45">
        <f t="shared" ref="F28:T28" si="7">SUM(F7:F27)</f>
        <v>90</v>
      </c>
      <c r="G28" s="45">
        <f t="shared" si="7"/>
        <v>0</v>
      </c>
      <c r="H28" s="45">
        <f t="shared" si="7"/>
        <v>80</v>
      </c>
      <c r="I28" s="45">
        <f t="shared" si="7"/>
        <v>45</v>
      </c>
      <c r="J28" s="45">
        <f t="shared" si="7"/>
        <v>0</v>
      </c>
      <c r="K28" s="45">
        <f t="shared" si="7"/>
        <v>20</v>
      </c>
      <c r="L28" s="45">
        <f t="shared" si="7"/>
        <v>0</v>
      </c>
      <c r="M28" s="45">
        <f t="shared" si="7"/>
        <v>200162</v>
      </c>
      <c r="N28" s="45">
        <f t="shared" si="7"/>
        <v>212397</v>
      </c>
      <c r="O28" s="46">
        <f t="shared" si="7"/>
        <v>5504.4550000000008</v>
      </c>
      <c r="P28" s="45">
        <f t="shared" si="7"/>
        <v>19720</v>
      </c>
      <c r="Q28" s="45">
        <f t="shared" si="7"/>
        <v>2291</v>
      </c>
      <c r="R28" s="45">
        <f t="shared" si="7"/>
        <v>204601.54500000001</v>
      </c>
      <c r="S28" s="45">
        <f t="shared" si="7"/>
        <v>1901.539</v>
      </c>
      <c r="T28" s="47">
        <f t="shared" si="7"/>
        <v>-389.46100000000001</v>
      </c>
    </row>
    <row r="29" spans="1:20" ht="15.75" thickBot="1" x14ac:dyDescent="0.3">
      <c r="A29" s="243" t="s">
        <v>45</v>
      </c>
      <c r="B29" s="244"/>
      <c r="C29" s="245"/>
      <c r="D29" s="48">
        <f>D4+D5-D28</f>
        <v>667539</v>
      </c>
      <c r="E29" s="48">
        <f t="shared" ref="E29:L29" si="8">E4+E5-E28</f>
        <v>1225</v>
      </c>
      <c r="F29" s="48">
        <f t="shared" si="8"/>
        <v>4750</v>
      </c>
      <c r="G29" s="48">
        <f t="shared" si="8"/>
        <v>1000</v>
      </c>
      <c r="H29" s="48">
        <f t="shared" si="8"/>
        <v>24820</v>
      </c>
      <c r="I29" s="48">
        <f t="shared" si="8"/>
        <v>1486</v>
      </c>
      <c r="J29" s="48">
        <f t="shared" si="8"/>
        <v>640</v>
      </c>
      <c r="K29" s="48">
        <f t="shared" si="8"/>
        <v>238</v>
      </c>
      <c r="L29" s="48">
        <f t="shared" si="8"/>
        <v>0</v>
      </c>
      <c r="M29" s="246"/>
      <c r="N29" s="247"/>
      <c r="O29" s="247"/>
      <c r="P29" s="247"/>
      <c r="Q29" s="247"/>
      <c r="R29" s="247"/>
      <c r="S29" s="247"/>
      <c r="T29" s="24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20" priority="43" operator="equal">
      <formula>212030016606640</formula>
    </cfRule>
  </conditionalFormatting>
  <conditionalFormatting sqref="D29 E4:E6 E28:K29">
    <cfRule type="cellIs" dxfId="919" priority="41" operator="equal">
      <formula>$E$4</formula>
    </cfRule>
    <cfRule type="cellIs" dxfId="918" priority="42" operator="equal">
      <formula>2120</formula>
    </cfRule>
  </conditionalFormatting>
  <conditionalFormatting sqref="D29:E29 F4:F6 F28:F29">
    <cfRule type="cellIs" dxfId="917" priority="39" operator="equal">
      <formula>$F$4</formula>
    </cfRule>
    <cfRule type="cellIs" dxfId="916" priority="40" operator="equal">
      <formula>300</formula>
    </cfRule>
  </conditionalFormatting>
  <conditionalFormatting sqref="G4:G6 G28:G29">
    <cfRule type="cellIs" dxfId="915" priority="37" operator="equal">
      <formula>$G$4</formula>
    </cfRule>
    <cfRule type="cellIs" dxfId="914" priority="38" operator="equal">
      <formula>1660</formula>
    </cfRule>
  </conditionalFormatting>
  <conditionalFormatting sqref="H4:H6 H28:H29">
    <cfRule type="cellIs" dxfId="913" priority="35" operator="equal">
      <formula>$H$4</formula>
    </cfRule>
    <cfRule type="cellIs" dxfId="912" priority="36" operator="equal">
      <formula>6640</formula>
    </cfRule>
  </conditionalFormatting>
  <conditionalFormatting sqref="T6:T28">
    <cfRule type="cellIs" dxfId="911" priority="34" operator="lessThan">
      <formula>0</formula>
    </cfRule>
  </conditionalFormatting>
  <conditionalFormatting sqref="T7:T27">
    <cfRule type="cellIs" dxfId="910" priority="31" operator="lessThan">
      <formula>0</formula>
    </cfRule>
    <cfRule type="cellIs" dxfId="909" priority="32" operator="lessThan">
      <formula>0</formula>
    </cfRule>
    <cfRule type="cellIs" dxfId="908" priority="33" operator="lessThan">
      <formula>0</formula>
    </cfRule>
  </conditionalFormatting>
  <conditionalFormatting sqref="E4:E6 E28:K28">
    <cfRule type="cellIs" dxfId="907" priority="30" operator="equal">
      <formula>$E$4</formula>
    </cfRule>
  </conditionalFormatting>
  <conditionalFormatting sqref="D28:D29 D6 D4:M4">
    <cfRule type="cellIs" dxfId="906" priority="29" operator="equal">
      <formula>$D$4</formula>
    </cfRule>
  </conditionalFormatting>
  <conditionalFormatting sqref="I4:I6 I28:I29">
    <cfRule type="cellIs" dxfId="905" priority="28" operator="equal">
      <formula>$I$4</formula>
    </cfRule>
  </conditionalFormatting>
  <conditionalFormatting sqref="J4:J6 J28:J29">
    <cfRule type="cellIs" dxfId="904" priority="27" operator="equal">
      <formula>$J$4</formula>
    </cfRule>
  </conditionalFormatting>
  <conditionalFormatting sqref="K4:K6 K28:K29">
    <cfRule type="cellIs" dxfId="903" priority="26" operator="equal">
      <formula>$K$4</formula>
    </cfRule>
  </conditionalFormatting>
  <conditionalFormatting sqref="M4:M6">
    <cfRule type="cellIs" dxfId="902" priority="25" operator="equal">
      <formula>$L$4</formula>
    </cfRule>
  </conditionalFormatting>
  <conditionalFormatting sqref="T7:T28">
    <cfRule type="cellIs" dxfId="901" priority="22" operator="lessThan">
      <formula>0</formula>
    </cfRule>
    <cfRule type="cellIs" dxfId="900" priority="23" operator="lessThan">
      <formula>0</formula>
    </cfRule>
    <cfRule type="cellIs" dxfId="899" priority="24" operator="lessThan">
      <formula>0</formula>
    </cfRule>
  </conditionalFormatting>
  <conditionalFormatting sqref="D5:K5">
    <cfRule type="cellIs" dxfId="898" priority="21" operator="greaterThan">
      <formula>0</formula>
    </cfRule>
  </conditionalFormatting>
  <conditionalFormatting sqref="T6:T28">
    <cfRule type="cellIs" dxfId="897" priority="20" operator="lessThan">
      <formula>0</formula>
    </cfRule>
  </conditionalFormatting>
  <conditionalFormatting sqref="T7:T27">
    <cfRule type="cellIs" dxfId="896" priority="17" operator="lessThan">
      <formula>0</formula>
    </cfRule>
    <cfRule type="cellIs" dxfId="895" priority="18" operator="lessThan">
      <formula>0</formula>
    </cfRule>
    <cfRule type="cellIs" dxfId="894" priority="19" operator="lessThan">
      <formula>0</formula>
    </cfRule>
  </conditionalFormatting>
  <conditionalFormatting sqref="T7:T28">
    <cfRule type="cellIs" dxfId="893" priority="14" operator="lessThan">
      <formula>0</formula>
    </cfRule>
    <cfRule type="cellIs" dxfId="892" priority="15" operator="lessThan">
      <formula>0</formula>
    </cfRule>
    <cfRule type="cellIs" dxfId="891" priority="16" operator="lessThan">
      <formula>0</formula>
    </cfRule>
  </conditionalFormatting>
  <conditionalFormatting sqref="D5:K5">
    <cfRule type="cellIs" dxfId="890" priority="13" operator="greaterThan">
      <formula>0</formula>
    </cfRule>
  </conditionalFormatting>
  <conditionalFormatting sqref="L4 L6 L28:L29">
    <cfRule type="cellIs" dxfId="889" priority="12" operator="equal">
      <formula>$L$4</formula>
    </cfRule>
  </conditionalFormatting>
  <conditionalFormatting sqref="D7:S7">
    <cfRule type="cellIs" dxfId="888" priority="11" operator="greaterThan">
      <formula>0</formula>
    </cfRule>
  </conditionalFormatting>
  <conditionalFormatting sqref="D9:S9">
    <cfRule type="cellIs" dxfId="887" priority="10" operator="greaterThan">
      <formula>0</formula>
    </cfRule>
  </conditionalFormatting>
  <conditionalFormatting sqref="D11:S11">
    <cfRule type="cellIs" dxfId="886" priority="9" operator="greaterThan">
      <formula>0</formula>
    </cfRule>
  </conditionalFormatting>
  <conditionalFormatting sqref="D13:S13">
    <cfRule type="cellIs" dxfId="885" priority="8" operator="greaterThan">
      <formula>0</formula>
    </cfRule>
  </conditionalFormatting>
  <conditionalFormatting sqref="D15:S15">
    <cfRule type="cellIs" dxfId="884" priority="7" operator="greaterThan">
      <formula>0</formula>
    </cfRule>
  </conditionalFormatting>
  <conditionalFormatting sqref="D17:S17">
    <cfRule type="cellIs" dxfId="883" priority="6" operator="greaterThan">
      <formula>0</formula>
    </cfRule>
  </conditionalFormatting>
  <conditionalFormatting sqref="D19:S19">
    <cfRule type="cellIs" dxfId="882" priority="5" operator="greaterThan">
      <formula>0</formula>
    </cfRule>
  </conditionalFormatting>
  <conditionalFormatting sqref="D21:S21">
    <cfRule type="cellIs" dxfId="881" priority="4" operator="greaterThan">
      <formula>0</formula>
    </cfRule>
  </conditionalFormatting>
  <conditionalFormatting sqref="D23:S23">
    <cfRule type="cellIs" dxfId="880" priority="3" operator="greaterThan">
      <formula>0</formula>
    </cfRule>
  </conditionalFormatting>
  <conditionalFormatting sqref="D25:S25">
    <cfRule type="cellIs" dxfId="879" priority="2" operator="greaterThan">
      <formula>0</formula>
    </cfRule>
  </conditionalFormatting>
  <conditionalFormatting sqref="D27:S27">
    <cfRule type="cellIs" dxfId="878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R31" sqref="R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4257812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49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</row>
    <row r="2" spans="1:20" ht="15.75" thickBot="1" x14ac:dyDescent="0.3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</row>
    <row r="3" spans="1:20" ht="18.75" x14ac:dyDescent="0.25">
      <c r="A3" s="250" t="s">
        <v>108</v>
      </c>
      <c r="B3" s="251"/>
      <c r="C3" s="252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</row>
    <row r="4" spans="1:20" x14ac:dyDescent="0.25">
      <c r="A4" s="254" t="s">
        <v>1</v>
      </c>
      <c r="B4" s="254"/>
      <c r="C4" s="1"/>
      <c r="D4" s="2">
        <f>'13'!D29</f>
        <v>667539</v>
      </c>
      <c r="E4" s="2">
        <f>'13'!E29</f>
        <v>1225</v>
      </c>
      <c r="F4" s="2">
        <f>'13'!F29</f>
        <v>4750</v>
      </c>
      <c r="G4" s="2">
        <f>'13'!G29</f>
        <v>1000</v>
      </c>
      <c r="H4" s="2">
        <f>'13'!H29</f>
        <v>24820</v>
      </c>
      <c r="I4" s="2">
        <f>'13'!I29</f>
        <v>1486</v>
      </c>
      <c r="J4" s="2">
        <f>'13'!J29</f>
        <v>640</v>
      </c>
      <c r="K4" s="2">
        <f>'13'!K29</f>
        <v>238</v>
      </c>
      <c r="L4" s="2">
        <f>'13'!L29</f>
        <v>0</v>
      </c>
      <c r="M4" s="3"/>
      <c r="N4" s="255"/>
      <c r="O4" s="255"/>
      <c r="P4" s="255"/>
      <c r="Q4" s="255"/>
      <c r="R4" s="255"/>
      <c r="S4" s="255"/>
      <c r="T4" s="255"/>
    </row>
    <row r="5" spans="1:20" x14ac:dyDescent="0.25">
      <c r="A5" s="254" t="s">
        <v>2</v>
      </c>
      <c r="B5" s="25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5"/>
      <c r="O5" s="255"/>
      <c r="P5" s="255"/>
      <c r="Q5" s="255"/>
      <c r="R5" s="255"/>
      <c r="S5" s="255"/>
      <c r="T5" s="25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10487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10487</v>
      </c>
      <c r="N7" s="24">
        <f>D7+E7*20+F7*10+G7*9+H7*9+I7*191+J7*191+K7*182+L7*100</f>
        <v>10487</v>
      </c>
      <c r="O7" s="25">
        <f>M7*2.75%</f>
        <v>288.39249999999998</v>
      </c>
      <c r="P7" s="26"/>
      <c r="Q7" s="26">
        <v>99</v>
      </c>
      <c r="R7" s="24">
        <f>M7-(M7*2.75%)+I7*191+J7*191+K7*182+L7*100-Q7</f>
        <v>10099.6075</v>
      </c>
      <c r="S7" s="25">
        <f>M7*0.95%</f>
        <v>99.626499999999993</v>
      </c>
      <c r="T7" s="27">
        <f>S7-Q7</f>
        <v>0.62649999999999295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6089</v>
      </c>
      <c r="E8" s="30"/>
      <c r="F8" s="30"/>
      <c r="G8" s="30"/>
      <c r="H8" s="30">
        <v>100</v>
      </c>
      <c r="I8" s="20">
        <v>5</v>
      </c>
      <c r="J8" s="20"/>
      <c r="K8" s="20">
        <v>5</v>
      </c>
      <c r="L8" s="20"/>
      <c r="M8" s="20">
        <f t="shared" ref="M8:M27" si="0">D8+E8*20+F8*10+G8*9+H8*9</f>
        <v>6989</v>
      </c>
      <c r="N8" s="24">
        <f t="shared" ref="N8:N27" si="1">D8+E8*20+F8*10+G8*9+H8*9+I8*191+J8*191+K8*182+L8*100</f>
        <v>8854</v>
      </c>
      <c r="O8" s="25">
        <f t="shared" ref="O8:O27" si="2">M8*2.75%</f>
        <v>192.19749999999999</v>
      </c>
      <c r="P8" s="26">
        <v>-1000</v>
      </c>
      <c r="Q8" s="26">
        <v>21</v>
      </c>
      <c r="R8" s="24">
        <f t="shared" ref="R8:R27" si="3">M8-(M8*2.75%)+I8*191+J8*191+K8*182+L8*100-Q8</f>
        <v>8640.8024999999998</v>
      </c>
      <c r="S8" s="25">
        <f t="shared" ref="S8:S27" si="4">M8*0.95%</f>
        <v>66.395499999999998</v>
      </c>
      <c r="T8" s="27">
        <f t="shared" ref="T8:T27" si="5">S8-Q8</f>
        <v>45.395499999999998</v>
      </c>
    </row>
    <row r="9" spans="1:20" ht="15.75" x14ac:dyDescent="0.25">
      <c r="A9" s="211">
        <v>-3000</v>
      </c>
      <c r="B9" s="20">
        <v>1908446136</v>
      </c>
      <c r="C9" s="20" t="s">
        <v>25</v>
      </c>
      <c r="D9" s="29">
        <v>25362</v>
      </c>
      <c r="E9" s="30"/>
      <c r="F9" s="30">
        <v>50</v>
      </c>
      <c r="G9" s="30"/>
      <c r="H9" s="30">
        <v>250</v>
      </c>
      <c r="I9" s="20">
        <v>5</v>
      </c>
      <c r="J9" s="20"/>
      <c r="K9" s="20"/>
      <c r="L9" s="20"/>
      <c r="M9" s="20">
        <f t="shared" si="0"/>
        <v>28112</v>
      </c>
      <c r="N9" s="24">
        <f t="shared" si="1"/>
        <v>29067</v>
      </c>
      <c r="O9" s="25">
        <f t="shared" si="2"/>
        <v>773.08</v>
      </c>
      <c r="P9" s="26">
        <v>5000</v>
      </c>
      <c r="Q9" s="26">
        <v>274</v>
      </c>
      <c r="R9" s="24">
        <f t="shared" si="3"/>
        <v>28019.919999999998</v>
      </c>
      <c r="S9" s="25">
        <f t="shared" si="4"/>
        <v>267.06400000000002</v>
      </c>
      <c r="T9" s="27">
        <f t="shared" si="5"/>
        <v>-6.9359999999999786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3924</v>
      </c>
      <c r="E10" s="30"/>
      <c r="F10" s="30"/>
      <c r="G10" s="30"/>
      <c r="H10" s="30"/>
      <c r="I10" s="20">
        <v>4</v>
      </c>
      <c r="J10" s="20">
        <v>0</v>
      </c>
      <c r="K10" s="20">
        <v>5</v>
      </c>
      <c r="L10" s="20"/>
      <c r="M10" s="20">
        <f t="shared" si="0"/>
        <v>3924</v>
      </c>
      <c r="N10" s="24">
        <f t="shared" si="1"/>
        <v>5598</v>
      </c>
      <c r="O10" s="25">
        <f t="shared" si="2"/>
        <v>107.91</v>
      </c>
      <c r="P10" s="26">
        <v>-500</v>
      </c>
      <c r="Q10" s="26">
        <v>30</v>
      </c>
      <c r="R10" s="24">
        <f t="shared" si="3"/>
        <v>5460.09</v>
      </c>
      <c r="S10" s="25">
        <f t="shared" si="4"/>
        <v>37.277999999999999</v>
      </c>
      <c r="T10" s="27">
        <f t="shared" si="5"/>
        <v>7.2779999999999987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4626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4626</v>
      </c>
      <c r="N11" s="24">
        <f t="shared" si="1"/>
        <v>4626</v>
      </c>
      <c r="O11" s="25">
        <f t="shared" si="2"/>
        <v>127.215</v>
      </c>
      <c r="P11" s="26"/>
      <c r="Q11" s="26">
        <v>28</v>
      </c>
      <c r="R11" s="24">
        <f t="shared" si="3"/>
        <v>4470.7849999999999</v>
      </c>
      <c r="S11" s="25">
        <f t="shared" si="4"/>
        <v>43.946999999999996</v>
      </c>
      <c r="T11" s="27">
        <f t="shared" si="5"/>
        <v>15.946999999999996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5178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5178</v>
      </c>
      <c r="N12" s="24">
        <f t="shared" si="1"/>
        <v>5178</v>
      </c>
      <c r="O12" s="25">
        <f t="shared" si="2"/>
        <v>142.39500000000001</v>
      </c>
      <c r="P12" s="26"/>
      <c r="Q12" s="26">
        <v>35</v>
      </c>
      <c r="R12" s="24">
        <f t="shared" si="3"/>
        <v>5000.6049999999996</v>
      </c>
      <c r="S12" s="25">
        <f t="shared" si="4"/>
        <v>49.190999999999995</v>
      </c>
      <c r="T12" s="27">
        <f t="shared" si="5"/>
        <v>14.190999999999995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1608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1608</v>
      </c>
      <c r="N13" s="24">
        <f t="shared" si="1"/>
        <v>1608</v>
      </c>
      <c r="O13" s="25">
        <f t="shared" si="2"/>
        <v>44.22</v>
      </c>
      <c r="P13" s="26"/>
      <c r="Q13" s="26">
        <v>15</v>
      </c>
      <c r="R13" s="24">
        <f t="shared" si="3"/>
        <v>1548.78</v>
      </c>
      <c r="S13" s="25">
        <f t="shared" si="4"/>
        <v>15.276</v>
      </c>
      <c r="T13" s="27">
        <f t="shared" si="5"/>
        <v>0.2759999999999998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13960</v>
      </c>
      <c r="E14" s="30">
        <v>30</v>
      </c>
      <c r="F14" s="30"/>
      <c r="G14" s="30">
        <v>60</v>
      </c>
      <c r="H14" s="30">
        <v>60</v>
      </c>
      <c r="I14" s="20">
        <v>6</v>
      </c>
      <c r="J14" s="20"/>
      <c r="K14" s="20">
        <v>1</v>
      </c>
      <c r="L14" s="20"/>
      <c r="M14" s="20">
        <f t="shared" si="0"/>
        <v>15640</v>
      </c>
      <c r="N14" s="24">
        <f t="shared" si="1"/>
        <v>16968</v>
      </c>
      <c r="O14" s="25">
        <f t="shared" si="2"/>
        <v>430.1</v>
      </c>
      <c r="P14" s="26"/>
      <c r="Q14" s="26">
        <v>156</v>
      </c>
      <c r="R14" s="24">
        <f t="shared" si="3"/>
        <v>16381.900000000001</v>
      </c>
      <c r="S14" s="25">
        <f t="shared" si="4"/>
        <v>148.57999999999998</v>
      </c>
      <c r="T14" s="27">
        <f t="shared" si="5"/>
        <v>-7.4200000000000159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19753</v>
      </c>
      <c r="E15" s="30"/>
      <c r="F15" s="30"/>
      <c r="G15" s="30"/>
      <c r="H15" s="30"/>
      <c r="I15" s="20">
        <v>12</v>
      </c>
      <c r="J15" s="20"/>
      <c r="K15" s="20"/>
      <c r="L15" s="20"/>
      <c r="M15" s="20">
        <f t="shared" si="0"/>
        <v>19753</v>
      </c>
      <c r="N15" s="24">
        <f t="shared" si="1"/>
        <v>22045</v>
      </c>
      <c r="O15" s="25">
        <f t="shared" si="2"/>
        <v>543.20749999999998</v>
      </c>
      <c r="P15" s="26"/>
      <c r="Q15" s="26">
        <v>160</v>
      </c>
      <c r="R15" s="24">
        <f t="shared" si="3"/>
        <v>21341.7925</v>
      </c>
      <c r="S15" s="25">
        <f t="shared" si="4"/>
        <v>187.65350000000001</v>
      </c>
      <c r="T15" s="27">
        <f t="shared" si="5"/>
        <v>27.653500000000008</v>
      </c>
    </row>
    <row r="16" spans="1:20" ht="15.75" x14ac:dyDescent="0.25">
      <c r="A16" s="211">
        <v>-625</v>
      </c>
      <c r="B16" s="20">
        <v>1908446143</v>
      </c>
      <c r="C16" s="20" t="s">
        <v>32</v>
      </c>
      <c r="D16" s="29">
        <v>7452</v>
      </c>
      <c r="E16" s="30"/>
      <c r="F16" s="30"/>
      <c r="G16" s="30"/>
      <c r="H16" s="30">
        <v>160</v>
      </c>
      <c r="I16" s="20">
        <v>5</v>
      </c>
      <c r="J16" s="20"/>
      <c r="K16" s="20"/>
      <c r="L16" s="20"/>
      <c r="M16" s="20">
        <f t="shared" si="0"/>
        <v>8892</v>
      </c>
      <c r="N16" s="24">
        <f t="shared" si="1"/>
        <v>9847</v>
      </c>
      <c r="O16" s="25">
        <f t="shared" si="2"/>
        <v>244.53</v>
      </c>
      <c r="P16" s="26">
        <v>3000</v>
      </c>
      <c r="Q16" s="26">
        <v>100</v>
      </c>
      <c r="R16" s="24">
        <f t="shared" si="3"/>
        <v>9502.4699999999993</v>
      </c>
      <c r="S16" s="25">
        <f t="shared" si="4"/>
        <v>84.474000000000004</v>
      </c>
      <c r="T16" s="27">
        <f t="shared" si="5"/>
        <v>-15.525999999999996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11713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11713</v>
      </c>
      <c r="N17" s="24">
        <f t="shared" si="1"/>
        <v>11713</v>
      </c>
      <c r="O17" s="25">
        <f t="shared" si="2"/>
        <v>322.10750000000002</v>
      </c>
      <c r="P17" s="26"/>
      <c r="Q17" s="26">
        <v>50</v>
      </c>
      <c r="R17" s="24">
        <f t="shared" si="3"/>
        <v>11340.8925</v>
      </c>
      <c r="S17" s="25">
        <f t="shared" si="4"/>
        <v>111.2735</v>
      </c>
      <c r="T17" s="27">
        <f t="shared" si="5"/>
        <v>61.273499999999999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6684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6684</v>
      </c>
      <c r="N18" s="24">
        <f t="shared" si="1"/>
        <v>6684</v>
      </c>
      <c r="O18" s="25">
        <f t="shared" si="2"/>
        <v>183.81</v>
      </c>
      <c r="P18" s="26">
        <v>-500</v>
      </c>
      <c r="Q18" s="26">
        <v>100</v>
      </c>
      <c r="R18" s="24">
        <f t="shared" si="3"/>
        <v>6400.19</v>
      </c>
      <c r="S18" s="25">
        <f t="shared" si="4"/>
        <v>63.497999999999998</v>
      </c>
      <c r="T18" s="27">
        <f t="shared" si="5"/>
        <v>-36.502000000000002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12211</v>
      </c>
      <c r="E19" s="30"/>
      <c r="F19" s="30"/>
      <c r="G19" s="30"/>
      <c r="H19" s="30">
        <v>250</v>
      </c>
      <c r="I19" s="20">
        <v>5</v>
      </c>
      <c r="J19" s="20"/>
      <c r="K19" s="20"/>
      <c r="L19" s="20"/>
      <c r="M19" s="20">
        <f t="shared" si="0"/>
        <v>14461</v>
      </c>
      <c r="N19" s="24">
        <f t="shared" si="1"/>
        <v>15416</v>
      </c>
      <c r="O19" s="25">
        <f t="shared" si="2"/>
        <v>397.67750000000001</v>
      </c>
      <c r="P19" s="26"/>
      <c r="Q19" s="26">
        <v>170</v>
      </c>
      <c r="R19" s="24">
        <f t="shared" si="3"/>
        <v>14848.3225</v>
      </c>
      <c r="S19" s="25">
        <f t="shared" si="4"/>
        <v>137.37950000000001</v>
      </c>
      <c r="T19" s="27">
        <f t="shared" si="5"/>
        <v>-32.620499999999993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6068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6068</v>
      </c>
      <c r="N20" s="24">
        <f t="shared" si="1"/>
        <v>6068</v>
      </c>
      <c r="O20" s="25">
        <f t="shared" si="2"/>
        <v>166.87</v>
      </c>
      <c r="P20" s="26">
        <v>280</v>
      </c>
      <c r="Q20" s="26">
        <v>170</v>
      </c>
      <c r="R20" s="24">
        <f t="shared" si="3"/>
        <v>5731.13</v>
      </c>
      <c r="S20" s="25">
        <f t="shared" si="4"/>
        <v>57.646000000000001</v>
      </c>
      <c r="T20" s="27">
        <f t="shared" si="5"/>
        <v>-112.354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2262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2262</v>
      </c>
      <c r="N21" s="24">
        <f t="shared" si="1"/>
        <v>2262</v>
      </c>
      <c r="O21" s="25">
        <f t="shared" si="2"/>
        <v>62.204999999999998</v>
      </c>
      <c r="P21" s="26"/>
      <c r="Q21" s="26"/>
      <c r="R21" s="24">
        <f t="shared" si="3"/>
        <v>2199.7950000000001</v>
      </c>
      <c r="S21" s="25">
        <f t="shared" si="4"/>
        <v>21.489000000000001</v>
      </c>
      <c r="T21" s="27">
        <f t="shared" si="5"/>
        <v>21.489000000000001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16997</v>
      </c>
      <c r="E22" s="30"/>
      <c r="F22" s="30"/>
      <c r="G22" s="20"/>
      <c r="H22" s="30">
        <v>250</v>
      </c>
      <c r="I22" s="20">
        <v>10</v>
      </c>
      <c r="J22" s="20"/>
      <c r="K22" s="20">
        <v>5</v>
      </c>
      <c r="L22" s="20"/>
      <c r="M22" s="20">
        <f t="shared" si="0"/>
        <v>19247</v>
      </c>
      <c r="N22" s="24">
        <f t="shared" si="1"/>
        <v>22067</v>
      </c>
      <c r="O22" s="25">
        <f t="shared" si="2"/>
        <v>529.29250000000002</v>
      </c>
      <c r="P22" s="26">
        <v>-2000</v>
      </c>
      <c r="Q22" s="26">
        <v>100</v>
      </c>
      <c r="R22" s="24">
        <f t="shared" si="3"/>
        <v>21437.7075</v>
      </c>
      <c r="S22" s="25">
        <f t="shared" si="4"/>
        <v>182.84649999999999</v>
      </c>
      <c r="T22" s="27">
        <f t="shared" si="5"/>
        <v>82.846499999999992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7663</v>
      </c>
      <c r="E23" s="30"/>
      <c r="F23" s="30"/>
      <c r="G23" s="30"/>
      <c r="H23" s="30">
        <v>500</v>
      </c>
      <c r="I23" s="20"/>
      <c r="J23" s="20"/>
      <c r="K23" s="20"/>
      <c r="L23" s="20"/>
      <c r="M23" s="20">
        <f t="shared" si="0"/>
        <v>12163</v>
      </c>
      <c r="N23" s="24">
        <f t="shared" si="1"/>
        <v>12163</v>
      </c>
      <c r="O23" s="25">
        <f t="shared" si="2"/>
        <v>334.48250000000002</v>
      </c>
      <c r="P23" s="26"/>
      <c r="Q23" s="26">
        <v>70</v>
      </c>
      <c r="R23" s="24">
        <f t="shared" si="3"/>
        <v>11758.5175</v>
      </c>
      <c r="S23" s="25">
        <f t="shared" si="4"/>
        <v>115.5485</v>
      </c>
      <c r="T23" s="27">
        <f t="shared" si="5"/>
        <v>45.548500000000004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20767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20767</v>
      </c>
      <c r="N24" s="24">
        <f t="shared" si="1"/>
        <v>20767</v>
      </c>
      <c r="O24" s="25">
        <f t="shared" si="2"/>
        <v>571.09249999999997</v>
      </c>
      <c r="P24" s="26">
        <v>18000</v>
      </c>
      <c r="Q24" s="26">
        <v>100</v>
      </c>
      <c r="R24" s="24">
        <f t="shared" si="3"/>
        <v>20095.907500000001</v>
      </c>
      <c r="S24" s="25">
        <f t="shared" si="4"/>
        <v>197.28649999999999</v>
      </c>
      <c r="T24" s="27">
        <f t="shared" si="5"/>
        <v>97.28649999999999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10996</v>
      </c>
      <c r="E25" s="30"/>
      <c r="F25" s="30"/>
      <c r="G25" s="30"/>
      <c r="H25" s="30">
        <v>190</v>
      </c>
      <c r="I25" s="20">
        <v>11</v>
      </c>
      <c r="J25" s="20"/>
      <c r="K25" s="20">
        <v>2</v>
      </c>
      <c r="L25" s="20"/>
      <c r="M25" s="20">
        <f t="shared" si="0"/>
        <v>12706</v>
      </c>
      <c r="N25" s="24">
        <f t="shared" si="1"/>
        <v>15171</v>
      </c>
      <c r="O25" s="25">
        <f t="shared" si="2"/>
        <v>349.41500000000002</v>
      </c>
      <c r="P25" s="26"/>
      <c r="Q25" s="26">
        <v>100</v>
      </c>
      <c r="R25" s="24">
        <f t="shared" si="3"/>
        <v>14721.584999999999</v>
      </c>
      <c r="S25" s="25">
        <f t="shared" si="4"/>
        <v>120.70699999999999</v>
      </c>
      <c r="T25" s="27">
        <f t="shared" si="5"/>
        <v>20.706999999999994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8112</v>
      </c>
      <c r="E26" s="29"/>
      <c r="F26" s="30"/>
      <c r="G26" s="30"/>
      <c r="H26" s="30"/>
      <c r="I26" s="20">
        <v>10</v>
      </c>
      <c r="J26" s="20">
        <v>5</v>
      </c>
      <c r="K26" s="20"/>
      <c r="L26" s="20"/>
      <c r="M26" s="20">
        <f t="shared" si="0"/>
        <v>8112</v>
      </c>
      <c r="N26" s="24">
        <f t="shared" si="1"/>
        <v>10977</v>
      </c>
      <c r="O26" s="25">
        <f t="shared" si="2"/>
        <v>223.08</v>
      </c>
      <c r="P26" s="26"/>
      <c r="Q26" s="26">
        <v>83</v>
      </c>
      <c r="R26" s="24">
        <f t="shared" si="3"/>
        <v>10670.92</v>
      </c>
      <c r="S26" s="25">
        <f t="shared" si="4"/>
        <v>77.063999999999993</v>
      </c>
      <c r="T26" s="27">
        <f t="shared" si="5"/>
        <v>-5.936000000000007</v>
      </c>
    </row>
    <row r="27" spans="1:20" ht="18" customHeight="1" thickBot="1" x14ac:dyDescent="0.35">
      <c r="A27" s="28">
        <v>21</v>
      </c>
      <c r="B27" s="20">
        <v>1908446154</v>
      </c>
      <c r="C27" s="20" t="s">
        <v>43</v>
      </c>
      <c r="D27" s="37">
        <v>14908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14908</v>
      </c>
      <c r="N27" s="40">
        <f t="shared" si="1"/>
        <v>14908</v>
      </c>
      <c r="O27" s="25">
        <f t="shared" si="2"/>
        <v>409.97</v>
      </c>
      <c r="P27" s="41">
        <v>28000</v>
      </c>
      <c r="Q27" s="41">
        <v>100</v>
      </c>
      <c r="R27" s="24">
        <f t="shared" si="3"/>
        <v>14398.03</v>
      </c>
      <c r="S27" s="42">
        <f t="shared" si="4"/>
        <v>141.626</v>
      </c>
      <c r="T27" s="43">
        <f t="shared" si="5"/>
        <v>41.626000000000005</v>
      </c>
    </row>
    <row r="28" spans="1:20" ht="16.5" thickBot="1" x14ac:dyDescent="0.3">
      <c r="A28" s="240" t="s">
        <v>44</v>
      </c>
      <c r="B28" s="241"/>
      <c r="C28" s="242"/>
      <c r="D28" s="44">
        <f t="shared" ref="D28:E28" si="6">SUM(D7:D27)</f>
        <v>216820</v>
      </c>
      <c r="E28" s="45">
        <f t="shared" si="6"/>
        <v>30</v>
      </c>
      <c r="F28" s="45">
        <f t="shared" ref="F28:T28" si="7">SUM(F7:F27)</f>
        <v>50</v>
      </c>
      <c r="G28" s="45">
        <f t="shared" si="7"/>
        <v>60</v>
      </c>
      <c r="H28" s="45">
        <f t="shared" si="7"/>
        <v>1760</v>
      </c>
      <c r="I28" s="45">
        <f t="shared" si="7"/>
        <v>73</v>
      </c>
      <c r="J28" s="45">
        <f t="shared" si="7"/>
        <v>5</v>
      </c>
      <c r="K28" s="45">
        <f t="shared" si="7"/>
        <v>18</v>
      </c>
      <c r="L28" s="45">
        <f t="shared" si="7"/>
        <v>0</v>
      </c>
      <c r="M28" s="45">
        <f t="shared" si="7"/>
        <v>234300</v>
      </c>
      <c r="N28" s="45">
        <f t="shared" si="7"/>
        <v>252474</v>
      </c>
      <c r="O28" s="46">
        <f t="shared" si="7"/>
        <v>6443.2500000000009</v>
      </c>
      <c r="P28" s="45">
        <f t="shared" si="7"/>
        <v>50280</v>
      </c>
      <c r="Q28" s="45">
        <f t="shared" si="7"/>
        <v>1961</v>
      </c>
      <c r="R28" s="45">
        <f t="shared" si="7"/>
        <v>244069.75</v>
      </c>
      <c r="S28" s="45">
        <f t="shared" si="7"/>
        <v>2225.85</v>
      </c>
      <c r="T28" s="47">
        <f t="shared" si="7"/>
        <v>264.85000000000002</v>
      </c>
    </row>
    <row r="29" spans="1:20" ht="15.75" thickBot="1" x14ac:dyDescent="0.3">
      <c r="A29" s="243" t="s">
        <v>45</v>
      </c>
      <c r="B29" s="244"/>
      <c r="C29" s="245"/>
      <c r="D29" s="48">
        <f>D4+D5-D28</f>
        <v>450719</v>
      </c>
      <c r="E29" s="48">
        <f t="shared" ref="E29:L29" si="8">E4+E5-E28</f>
        <v>1195</v>
      </c>
      <c r="F29" s="48">
        <f t="shared" si="8"/>
        <v>4700</v>
      </c>
      <c r="G29" s="48">
        <f t="shared" si="8"/>
        <v>940</v>
      </c>
      <c r="H29" s="48">
        <f t="shared" si="8"/>
        <v>23060</v>
      </c>
      <c r="I29" s="48">
        <f t="shared" si="8"/>
        <v>1413</v>
      </c>
      <c r="J29" s="48">
        <f t="shared" si="8"/>
        <v>635</v>
      </c>
      <c r="K29" s="48">
        <f t="shared" si="8"/>
        <v>220</v>
      </c>
      <c r="L29" s="48">
        <f t="shared" si="8"/>
        <v>0</v>
      </c>
      <c r="M29" s="246"/>
      <c r="N29" s="247"/>
      <c r="O29" s="247"/>
      <c r="P29" s="247"/>
      <c r="Q29" s="247"/>
      <c r="R29" s="247"/>
      <c r="S29" s="247"/>
      <c r="T29" s="24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77" priority="43" operator="equal">
      <formula>212030016606640</formula>
    </cfRule>
  </conditionalFormatting>
  <conditionalFormatting sqref="D29 E4:E6 E28:K29">
    <cfRule type="cellIs" dxfId="876" priority="41" operator="equal">
      <formula>$E$4</formula>
    </cfRule>
    <cfRule type="cellIs" dxfId="875" priority="42" operator="equal">
      <formula>2120</formula>
    </cfRule>
  </conditionalFormatting>
  <conditionalFormatting sqref="D29:E29 F4:F6 F28:F29">
    <cfRule type="cellIs" dxfId="874" priority="39" operator="equal">
      <formula>$F$4</formula>
    </cfRule>
    <cfRule type="cellIs" dxfId="873" priority="40" operator="equal">
      <formula>300</formula>
    </cfRule>
  </conditionalFormatting>
  <conditionalFormatting sqref="G4:G6 G28:G29">
    <cfRule type="cellIs" dxfId="872" priority="37" operator="equal">
      <formula>$G$4</formula>
    </cfRule>
    <cfRule type="cellIs" dxfId="871" priority="38" operator="equal">
      <formula>1660</formula>
    </cfRule>
  </conditionalFormatting>
  <conditionalFormatting sqref="H4:H6 H28:H29">
    <cfRule type="cellIs" dxfId="870" priority="35" operator="equal">
      <formula>$H$4</formula>
    </cfRule>
    <cfRule type="cellIs" dxfId="869" priority="36" operator="equal">
      <formula>6640</formula>
    </cfRule>
  </conditionalFormatting>
  <conditionalFormatting sqref="T6:T28">
    <cfRule type="cellIs" dxfId="868" priority="34" operator="lessThan">
      <formula>0</formula>
    </cfRule>
  </conditionalFormatting>
  <conditionalFormatting sqref="T7:T27">
    <cfRule type="cellIs" dxfId="867" priority="31" operator="lessThan">
      <formula>0</formula>
    </cfRule>
    <cfRule type="cellIs" dxfId="866" priority="32" operator="lessThan">
      <formula>0</formula>
    </cfRule>
    <cfRule type="cellIs" dxfId="865" priority="33" operator="lessThan">
      <formula>0</formula>
    </cfRule>
  </conditionalFormatting>
  <conditionalFormatting sqref="E4:E6 E28:K28">
    <cfRule type="cellIs" dxfId="864" priority="30" operator="equal">
      <formula>$E$4</formula>
    </cfRule>
  </conditionalFormatting>
  <conditionalFormatting sqref="D28:D29 D6 D4:M4">
    <cfRule type="cellIs" dxfId="863" priority="29" operator="equal">
      <formula>$D$4</formula>
    </cfRule>
  </conditionalFormatting>
  <conditionalFormatting sqref="I4:I6 I28:I29">
    <cfRule type="cellIs" dxfId="862" priority="28" operator="equal">
      <formula>$I$4</formula>
    </cfRule>
  </conditionalFormatting>
  <conditionalFormatting sqref="J4:J6 J28:J29">
    <cfRule type="cellIs" dxfId="861" priority="27" operator="equal">
      <formula>$J$4</formula>
    </cfRule>
  </conditionalFormatting>
  <conditionalFormatting sqref="K4:K6 K28:K29">
    <cfRule type="cellIs" dxfId="860" priority="26" operator="equal">
      <formula>$K$4</formula>
    </cfRule>
  </conditionalFormatting>
  <conditionalFormatting sqref="M4:M6">
    <cfRule type="cellIs" dxfId="859" priority="25" operator="equal">
      <formula>$L$4</formula>
    </cfRule>
  </conditionalFormatting>
  <conditionalFormatting sqref="T7:T28">
    <cfRule type="cellIs" dxfId="858" priority="22" operator="lessThan">
      <formula>0</formula>
    </cfRule>
    <cfRule type="cellIs" dxfId="857" priority="23" operator="lessThan">
      <formula>0</formula>
    </cfRule>
    <cfRule type="cellIs" dxfId="856" priority="24" operator="lessThan">
      <formula>0</formula>
    </cfRule>
  </conditionalFormatting>
  <conditionalFormatting sqref="D5:K5">
    <cfRule type="cellIs" dxfId="855" priority="21" operator="greaterThan">
      <formula>0</formula>
    </cfRule>
  </conditionalFormatting>
  <conditionalFormatting sqref="T6:T28">
    <cfRule type="cellIs" dxfId="854" priority="20" operator="lessThan">
      <formula>0</formula>
    </cfRule>
  </conditionalFormatting>
  <conditionalFormatting sqref="T7:T27">
    <cfRule type="cellIs" dxfId="853" priority="17" operator="lessThan">
      <formula>0</formula>
    </cfRule>
    <cfRule type="cellIs" dxfId="852" priority="18" operator="lessThan">
      <formula>0</formula>
    </cfRule>
    <cfRule type="cellIs" dxfId="851" priority="19" operator="lessThan">
      <formula>0</formula>
    </cfRule>
  </conditionalFormatting>
  <conditionalFormatting sqref="T7:T28">
    <cfRule type="cellIs" dxfId="850" priority="14" operator="lessThan">
      <formula>0</formula>
    </cfRule>
    <cfRule type="cellIs" dxfId="849" priority="15" operator="lessThan">
      <formula>0</formula>
    </cfRule>
    <cfRule type="cellIs" dxfId="848" priority="16" operator="lessThan">
      <formula>0</formula>
    </cfRule>
  </conditionalFormatting>
  <conditionalFormatting sqref="D5:K5">
    <cfRule type="cellIs" dxfId="847" priority="13" operator="greaterThan">
      <formula>0</formula>
    </cfRule>
  </conditionalFormatting>
  <conditionalFormatting sqref="L4 L6 L28:L29">
    <cfRule type="cellIs" dxfId="846" priority="12" operator="equal">
      <formula>$L$4</formula>
    </cfRule>
  </conditionalFormatting>
  <conditionalFormatting sqref="D7:S7">
    <cfRule type="cellIs" dxfId="845" priority="11" operator="greaterThan">
      <formula>0</formula>
    </cfRule>
  </conditionalFormatting>
  <conditionalFormatting sqref="D9:S9">
    <cfRule type="cellIs" dxfId="844" priority="10" operator="greaterThan">
      <formula>0</formula>
    </cfRule>
  </conditionalFormatting>
  <conditionalFormatting sqref="D11:S11">
    <cfRule type="cellIs" dxfId="843" priority="9" operator="greaterThan">
      <formula>0</formula>
    </cfRule>
  </conditionalFormatting>
  <conditionalFormatting sqref="D13:S13">
    <cfRule type="cellIs" dxfId="842" priority="8" operator="greaterThan">
      <formula>0</formula>
    </cfRule>
  </conditionalFormatting>
  <conditionalFormatting sqref="D15:S15">
    <cfRule type="cellIs" dxfId="841" priority="7" operator="greaterThan">
      <formula>0</formula>
    </cfRule>
  </conditionalFormatting>
  <conditionalFormatting sqref="D17:S17">
    <cfRule type="cellIs" dxfId="840" priority="6" operator="greaterThan">
      <formula>0</formula>
    </cfRule>
  </conditionalFormatting>
  <conditionalFormatting sqref="D19:S19">
    <cfRule type="cellIs" dxfId="839" priority="5" operator="greaterThan">
      <formula>0</formula>
    </cfRule>
  </conditionalFormatting>
  <conditionalFormatting sqref="D21:S21">
    <cfRule type="cellIs" dxfId="838" priority="4" operator="greaterThan">
      <formula>0</formula>
    </cfRule>
  </conditionalFormatting>
  <conditionalFormatting sqref="D23:S23">
    <cfRule type="cellIs" dxfId="837" priority="3" operator="greaterThan">
      <formula>0</formula>
    </cfRule>
  </conditionalFormatting>
  <conditionalFormatting sqref="D25:S25">
    <cfRule type="cellIs" dxfId="836" priority="2" operator="greaterThan">
      <formula>0</formula>
    </cfRule>
  </conditionalFormatting>
  <conditionalFormatting sqref="D27:S27">
    <cfRule type="cellIs" dxfId="835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1" customWidth="1"/>
    <col min="9" max="9" width="10.5703125" customWidth="1"/>
    <col min="11" max="11" width="7.8554687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8.140625" customWidth="1"/>
    <col min="18" max="18" width="10.85546875" bestFit="1" customWidth="1"/>
  </cols>
  <sheetData>
    <row r="1" spans="1:20" x14ac:dyDescent="0.25">
      <c r="A1" s="249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</row>
    <row r="2" spans="1:20" ht="15.75" thickBot="1" x14ac:dyDescent="0.3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</row>
    <row r="3" spans="1:20" ht="18.75" x14ac:dyDescent="0.25">
      <c r="A3" s="250" t="s">
        <v>109</v>
      </c>
      <c r="B3" s="251"/>
      <c r="C3" s="252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</row>
    <row r="4" spans="1:20" x14ac:dyDescent="0.25">
      <c r="A4" s="254" t="s">
        <v>1</v>
      </c>
      <c r="B4" s="254"/>
      <c r="C4" s="1"/>
      <c r="D4" s="2">
        <f>'14'!D29</f>
        <v>450719</v>
      </c>
      <c r="E4" s="2">
        <f>'14'!E29</f>
        <v>1195</v>
      </c>
      <c r="F4" s="2">
        <f>'14'!F29</f>
        <v>4700</v>
      </c>
      <c r="G4" s="2">
        <f>'14'!G29</f>
        <v>940</v>
      </c>
      <c r="H4" s="2">
        <f>'14'!H29</f>
        <v>23060</v>
      </c>
      <c r="I4" s="2">
        <f>'14'!I29</f>
        <v>1413</v>
      </c>
      <c r="J4" s="2">
        <f>'14'!J29</f>
        <v>635</v>
      </c>
      <c r="K4" s="2">
        <f>'14'!K29</f>
        <v>220</v>
      </c>
      <c r="L4" s="2">
        <f>'14'!L29</f>
        <v>0</v>
      </c>
      <c r="M4" s="3"/>
      <c r="N4" s="255"/>
      <c r="O4" s="255"/>
      <c r="P4" s="255"/>
      <c r="Q4" s="255"/>
      <c r="R4" s="255"/>
      <c r="S4" s="255"/>
      <c r="T4" s="255"/>
    </row>
    <row r="5" spans="1:20" x14ac:dyDescent="0.25">
      <c r="A5" s="254" t="s">
        <v>2</v>
      </c>
      <c r="B5" s="254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255"/>
      <c r="O5" s="255"/>
      <c r="P5" s="255"/>
      <c r="Q5" s="255"/>
      <c r="R5" s="255"/>
      <c r="S5" s="255"/>
      <c r="T5" s="25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12073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12073</v>
      </c>
      <c r="N7" s="24">
        <f>D7+E7*20+F7*10+G7*9+H7*9+I7*191+J7*191+K7*182+L7*100</f>
        <v>12073</v>
      </c>
      <c r="O7" s="25">
        <f>M7*2.75%</f>
        <v>332.00749999999999</v>
      </c>
      <c r="P7" s="26">
        <v>-2000</v>
      </c>
      <c r="Q7" s="26">
        <v>121</v>
      </c>
      <c r="R7" s="24">
        <f>M7-(M7*2.75%)+I7*191+J7*191+K7*182+L7*100-Q7</f>
        <v>11619.9925</v>
      </c>
      <c r="S7" s="25">
        <f>M7*0.95%</f>
        <v>114.6935</v>
      </c>
      <c r="T7" s="27">
        <f>S7-Q7</f>
        <v>-6.3064999999999998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6714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6714</v>
      </c>
      <c r="N8" s="24">
        <f t="shared" ref="N8:N27" si="1">D8+E8*20+F8*10+G8*9+H8*9+I8*191+J8*191+K8*182+L8*100</f>
        <v>6714</v>
      </c>
      <c r="O8" s="25">
        <f t="shared" ref="O8:O27" si="2">M8*2.75%</f>
        <v>184.63499999999999</v>
      </c>
      <c r="P8" s="26">
        <v>500</v>
      </c>
      <c r="Q8" s="26">
        <v>79</v>
      </c>
      <c r="R8" s="24">
        <f t="shared" ref="R8:R27" si="3">M8-(M8*2.75%)+I8*191+J8*191+K8*182+L8*100-Q8</f>
        <v>6450.3649999999998</v>
      </c>
      <c r="S8" s="25">
        <f t="shared" ref="S8:S27" si="4">M8*0.95%</f>
        <v>63.783000000000001</v>
      </c>
      <c r="T8" s="27">
        <f t="shared" ref="T8:T27" si="5">S8-Q8</f>
        <v>-15.216999999999999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19425</v>
      </c>
      <c r="E9" s="30"/>
      <c r="F9" s="30">
        <v>100</v>
      </c>
      <c r="G9" s="30"/>
      <c r="H9" s="30">
        <v>250</v>
      </c>
      <c r="I9" s="20">
        <v>2</v>
      </c>
      <c r="J9" s="20"/>
      <c r="K9" s="20"/>
      <c r="L9" s="20"/>
      <c r="M9" s="20">
        <f t="shared" si="0"/>
        <v>22675</v>
      </c>
      <c r="N9" s="24">
        <f t="shared" si="1"/>
        <v>23057</v>
      </c>
      <c r="O9" s="25">
        <f t="shared" si="2"/>
        <v>623.5625</v>
      </c>
      <c r="P9" s="26">
        <v>-1000</v>
      </c>
      <c r="Q9" s="26">
        <v>153</v>
      </c>
      <c r="R9" s="24">
        <f t="shared" si="3"/>
        <v>22280.4375</v>
      </c>
      <c r="S9" s="25">
        <f t="shared" si="4"/>
        <v>215.41249999999999</v>
      </c>
      <c r="T9" s="27">
        <f>S9-Q9</f>
        <v>62.412499999999994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4670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4670</v>
      </c>
      <c r="N10" s="24">
        <f t="shared" si="1"/>
        <v>4670</v>
      </c>
      <c r="O10" s="25">
        <f t="shared" si="2"/>
        <v>128.42500000000001</v>
      </c>
      <c r="P10" s="26">
        <v>500</v>
      </c>
      <c r="Q10" s="26">
        <v>31</v>
      </c>
      <c r="R10" s="24">
        <f t="shared" si="3"/>
        <v>4510.5749999999998</v>
      </c>
      <c r="S10" s="25">
        <f t="shared" si="4"/>
        <v>44.365000000000002</v>
      </c>
      <c r="T10" s="27">
        <f t="shared" si="5"/>
        <v>13.365000000000002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4836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4836</v>
      </c>
      <c r="N11" s="24">
        <f t="shared" si="1"/>
        <v>4836</v>
      </c>
      <c r="O11" s="25">
        <f t="shared" si="2"/>
        <v>132.99</v>
      </c>
      <c r="P11" s="26"/>
      <c r="Q11" s="26"/>
      <c r="R11" s="24">
        <f t="shared" si="3"/>
        <v>4703.01</v>
      </c>
      <c r="S11" s="25">
        <f t="shared" si="4"/>
        <v>45.942</v>
      </c>
      <c r="T11" s="27">
        <f t="shared" si="5"/>
        <v>45.942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2590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2590</v>
      </c>
      <c r="N12" s="24">
        <f t="shared" si="1"/>
        <v>2590</v>
      </c>
      <c r="O12" s="25">
        <f t="shared" si="2"/>
        <v>71.224999999999994</v>
      </c>
      <c r="P12" s="26"/>
      <c r="Q12" s="26">
        <v>18</v>
      </c>
      <c r="R12" s="24">
        <f t="shared" si="3"/>
        <v>2500.7750000000001</v>
      </c>
      <c r="S12" s="25">
        <f t="shared" si="4"/>
        <v>24.605</v>
      </c>
      <c r="T12" s="27">
        <f t="shared" si="5"/>
        <v>6.6050000000000004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3294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3294</v>
      </c>
      <c r="N13" s="24">
        <f t="shared" si="1"/>
        <v>3294</v>
      </c>
      <c r="O13" s="25">
        <f t="shared" si="2"/>
        <v>90.584999999999994</v>
      </c>
      <c r="P13" s="26"/>
      <c r="Q13" s="26">
        <v>31</v>
      </c>
      <c r="R13" s="24">
        <f t="shared" si="3"/>
        <v>3172.415</v>
      </c>
      <c r="S13" s="25">
        <f t="shared" si="4"/>
        <v>31.292999999999999</v>
      </c>
      <c r="T13" s="27">
        <f t="shared" si="5"/>
        <v>0.29299999999999926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15449</v>
      </c>
      <c r="E14" s="30"/>
      <c r="F14" s="30"/>
      <c r="G14" s="30">
        <v>250</v>
      </c>
      <c r="H14" s="30">
        <v>250</v>
      </c>
      <c r="I14" s="20"/>
      <c r="J14" s="20"/>
      <c r="K14" s="20">
        <v>5</v>
      </c>
      <c r="L14" s="20"/>
      <c r="M14" s="20">
        <f t="shared" si="0"/>
        <v>19949</v>
      </c>
      <c r="N14" s="24">
        <f t="shared" si="1"/>
        <v>20859</v>
      </c>
      <c r="O14" s="25">
        <f t="shared" si="2"/>
        <v>548.59749999999997</v>
      </c>
      <c r="P14" s="26"/>
      <c r="Q14" s="26">
        <v>161</v>
      </c>
      <c r="R14" s="24">
        <f t="shared" si="3"/>
        <v>20149.4025</v>
      </c>
      <c r="S14" s="25">
        <f t="shared" si="4"/>
        <v>189.5155</v>
      </c>
      <c r="T14" s="27">
        <f t="shared" si="5"/>
        <v>28.515500000000003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15063</v>
      </c>
      <c r="E15" s="30"/>
      <c r="F15" s="30">
        <v>60</v>
      </c>
      <c r="G15" s="30"/>
      <c r="H15" s="30">
        <v>30</v>
      </c>
      <c r="I15" s="20">
        <v>5</v>
      </c>
      <c r="J15" s="20"/>
      <c r="K15" s="20">
        <v>5</v>
      </c>
      <c r="L15" s="20"/>
      <c r="M15" s="20">
        <f t="shared" si="0"/>
        <v>15933</v>
      </c>
      <c r="N15" s="24">
        <f t="shared" si="1"/>
        <v>17798</v>
      </c>
      <c r="O15" s="25">
        <f t="shared" si="2"/>
        <v>438.15750000000003</v>
      </c>
      <c r="P15" s="26">
        <v>41050</v>
      </c>
      <c r="Q15" s="26">
        <v>160</v>
      </c>
      <c r="R15" s="24">
        <f t="shared" si="3"/>
        <v>17199.842499999999</v>
      </c>
      <c r="S15" s="25">
        <f t="shared" si="4"/>
        <v>151.36349999999999</v>
      </c>
      <c r="T15" s="27">
        <f t="shared" si="5"/>
        <v>-8.6365000000000123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15420</v>
      </c>
      <c r="E16" s="30"/>
      <c r="F16" s="30"/>
      <c r="G16" s="30">
        <v>50</v>
      </c>
      <c r="H16" s="30">
        <v>250</v>
      </c>
      <c r="I16" s="20">
        <v>5</v>
      </c>
      <c r="J16" s="20"/>
      <c r="K16" s="20"/>
      <c r="L16" s="20"/>
      <c r="M16" s="20">
        <f t="shared" si="0"/>
        <v>18120</v>
      </c>
      <c r="N16" s="24">
        <f t="shared" si="1"/>
        <v>19075</v>
      </c>
      <c r="O16" s="25">
        <f t="shared" si="2"/>
        <v>498.3</v>
      </c>
      <c r="P16" s="26"/>
      <c r="Q16" s="26">
        <v>126</v>
      </c>
      <c r="R16" s="24">
        <f t="shared" si="3"/>
        <v>18450.7</v>
      </c>
      <c r="S16" s="25">
        <f t="shared" si="4"/>
        <v>172.14</v>
      </c>
      <c r="T16" s="27">
        <f t="shared" si="5"/>
        <v>46.139999999999986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8935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8935</v>
      </c>
      <c r="N17" s="24">
        <f t="shared" si="1"/>
        <v>8935</v>
      </c>
      <c r="O17" s="25">
        <f t="shared" si="2"/>
        <v>245.71250000000001</v>
      </c>
      <c r="P17" s="26">
        <v>11340</v>
      </c>
      <c r="Q17" s="26">
        <v>100</v>
      </c>
      <c r="R17" s="24">
        <f t="shared" si="3"/>
        <v>8589.2875000000004</v>
      </c>
      <c r="S17" s="25">
        <f t="shared" si="4"/>
        <v>84.882499999999993</v>
      </c>
      <c r="T17" s="27">
        <f t="shared" si="5"/>
        <v>-15.117500000000007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8327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8327</v>
      </c>
      <c r="N18" s="24">
        <f t="shared" si="1"/>
        <v>8327</v>
      </c>
      <c r="O18" s="25">
        <f t="shared" si="2"/>
        <v>228.99250000000001</v>
      </c>
      <c r="P18" s="26"/>
      <c r="Q18" s="26">
        <v>180</v>
      </c>
      <c r="R18" s="24">
        <f t="shared" si="3"/>
        <v>7918.0074999999997</v>
      </c>
      <c r="S18" s="25">
        <f t="shared" si="4"/>
        <v>79.106499999999997</v>
      </c>
      <c r="T18" s="27">
        <f t="shared" si="5"/>
        <v>-100.8935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11276</v>
      </c>
      <c r="E19" s="30">
        <v>10</v>
      </c>
      <c r="F19" s="30">
        <v>50</v>
      </c>
      <c r="G19" s="30"/>
      <c r="H19" s="30">
        <v>200</v>
      </c>
      <c r="I19" s="20">
        <v>5</v>
      </c>
      <c r="J19" s="20"/>
      <c r="K19" s="20"/>
      <c r="L19" s="20"/>
      <c r="M19" s="20">
        <f t="shared" si="0"/>
        <v>13776</v>
      </c>
      <c r="N19" s="24">
        <f t="shared" si="1"/>
        <v>14731</v>
      </c>
      <c r="O19" s="25">
        <f t="shared" si="2"/>
        <v>378.84</v>
      </c>
      <c r="P19" s="26"/>
      <c r="Q19" s="26">
        <v>170</v>
      </c>
      <c r="R19" s="24">
        <f t="shared" si="3"/>
        <v>14182.16</v>
      </c>
      <c r="S19" s="25">
        <f t="shared" si="4"/>
        <v>130.87199999999999</v>
      </c>
      <c r="T19" s="27">
        <f t="shared" si="5"/>
        <v>-39.128000000000014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1542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1542</v>
      </c>
      <c r="N20" s="24">
        <f t="shared" si="1"/>
        <v>1542</v>
      </c>
      <c r="O20" s="25">
        <f t="shared" si="2"/>
        <v>42.405000000000001</v>
      </c>
      <c r="P20" s="26"/>
      <c r="Q20" s="26"/>
      <c r="R20" s="24">
        <f t="shared" si="3"/>
        <v>1499.595</v>
      </c>
      <c r="S20" s="25">
        <f t="shared" si="4"/>
        <v>14.648999999999999</v>
      </c>
      <c r="T20" s="27">
        <f t="shared" si="5"/>
        <v>14.648999999999999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6081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6081</v>
      </c>
      <c r="N21" s="24">
        <f t="shared" si="1"/>
        <v>6081</v>
      </c>
      <c r="O21" s="25">
        <f t="shared" si="2"/>
        <v>167.22749999999999</v>
      </c>
      <c r="P21" s="26"/>
      <c r="Q21" s="26">
        <v>20</v>
      </c>
      <c r="R21" s="24">
        <f t="shared" si="3"/>
        <v>5893.7725</v>
      </c>
      <c r="S21" s="25">
        <f t="shared" si="4"/>
        <v>57.769500000000001</v>
      </c>
      <c r="T21" s="27">
        <f t="shared" si="5"/>
        <v>37.769500000000001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25000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25000</v>
      </c>
      <c r="N22" s="24">
        <f t="shared" si="1"/>
        <v>25000</v>
      </c>
      <c r="O22" s="25">
        <f t="shared" si="2"/>
        <v>687.5</v>
      </c>
      <c r="P22" s="26">
        <v>2000</v>
      </c>
      <c r="Q22" s="26">
        <v>150</v>
      </c>
      <c r="R22" s="24">
        <f t="shared" si="3"/>
        <v>24162.5</v>
      </c>
      <c r="S22" s="25">
        <f t="shared" si="4"/>
        <v>237.5</v>
      </c>
      <c r="T22" s="27">
        <f t="shared" si="5"/>
        <v>87.5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8107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8107</v>
      </c>
      <c r="N23" s="24">
        <f t="shared" si="1"/>
        <v>8107</v>
      </c>
      <c r="O23" s="25">
        <f t="shared" si="2"/>
        <v>222.9425</v>
      </c>
      <c r="P23" s="26"/>
      <c r="Q23" s="26">
        <v>70</v>
      </c>
      <c r="R23" s="24">
        <f t="shared" si="3"/>
        <v>7814.0574999999999</v>
      </c>
      <c r="S23" s="25">
        <f t="shared" si="4"/>
        <v>77.016499999999994</v>
      </c>
      <c r="T23" s="27">
        <f t="shared" si="5"/>
        <v>7.0164999999999935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28484</v>
      </c>
      <c r="E24" s="30">
        <v>200</v>
      </c>
      <c r="F24" s="30">
        <v>100</v>
      </c>
      <c r="G24" s="30">
        <v>250</v>
      </c>
      <c r="H24" s="30">
        <v>250</v>
      </c>
      <c r="I24" s="20">
        <v>17</v>
      </c>
      <c r="J24" s="20"/>
      <c r="K24" s="20">
        <v>8</v>
      </c>
      <c r="L24" s="20"/>
      <c r="M24" s="20">
        <f t="shared" si="0"/>
        <v>37984</v>
      </c>
      <c r="N24" s="24">
        <f t="shared" si="1"/>
        <v>42687</v>
      </c>
      <c r="O24" s="25">
        <f t="shared" si="2"/>
        <v>1044.56</v>
      </c>
      <c r="P24" s="26">
        <v>12500</v>
      </c>
      <c r="Q24" s="26">
        <v>145</v>
      </c>
      <c r="R24" s="24">
        <f t="shared" si="3"/>
        <v>41497.440000000002</v>
      </c>
      <c r="S24" s="25">
        <f t="shared" si="4"/>
        <v>360.84800000000001</v>
      </c>
      <c r="T24" s="27">
        <f t="shared" si="5"/>
        <v>215.84800000000001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8526</v>
      </c>
      <c r="E25" s="30"/>
      <c r="F25" s="30"/>
      <c r="G25" s="30"/>
      <c r="H25" s="30">
        <v>40</v>
      </c>
      <c r="I25" s="20">
        <v>2</v>
      </c>
      <c r="J25" s="20"/>
      <c r="K25" s="20"/>
      <c r="L25" s="20"/>
      <c r="M25" s="20">
        <f t="shared" si="0"/>
        <v>8886</v>
      </c>
      <c r="N25" s="24">
        <f t="shared" si="1"/>
        <v>9268</v>
      </c>
      <c r="O25" s="25">
        <f t="shared" si="2"/>
        <v>244.36500000000001</v>
      </c>
      <c r="P25" s="26">
        <v>22265</v>
      </c>
      <c r="Q25" s="26">
        <v>84</v>
      </c>
      <c r="R25" s="24">
        <f t="shared" si="3"/>
        <v>8939.6350000000002</v>
      </c>
      <c r="S25" s="25">
        <f t="shared" si="4"/>
        <v>84.417000000000002</v>
      </c>
      <c r="T25" s="27">
        <f t="shared" si="5"/>
        <v>0.41700000000000159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8479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8479</v>
      </c>
      <c r="N26" s="24">
        <f t="shared" si="1"/>
        <v>8479</v>
      </c>
      <c r="O26" s="25">
        <f t="shared" si="2"/>
        <v>233.17250000000001</v>
      </c>
      <c r="P26" s="26">
        <v>-2245</v>
      </c>
      <c r="Q26" s="26">
        <v>80</v>
      </c>
      <c r="R26" s="24">
        <f t="shared" si="3"/>
        <v>8165.8274999999994</v>
      </c>
      <c r="S26" s="25">
        <f t="shared" si="4"/>
        <v>80.5505</v>
      </c>
      <c r="T26" s="27">
        <f t="shared" si="5"/>
        <v>0.55049999999999955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6190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6190</v>
      </c>
      <c r="N27" s="40">
        <f t="shared" si="1"/>
        <v>6190</v>
      </c>
      <c r="O27" s="25">
        <f t="shared" si="2"/>
        <v>170.22499999999999</v>
      </c>
      <c r="P27" s="41">
        <v>5000</v>
      </c>
      <c r="Q27" s="41">
        <v>100</v>
      </c>
      <c r="R27" s="24">
        <f t="shared" si="3"/>
        <v>5919.7749999999996</v>
      </c>
      <c r="S27" s="42">
        <f t="shared" si="4"/>
        <v>58.805</v>
      </c>
      <c r="T27" s="43">
        <f t="shared" si="5"/>
        <v>-41.195</v>
      </c>
    </row>
    <row r="28" spans="1:20" ht="16.5" thickBot="1" x14ac:dyDescent="0.3">
      <c r="A28" s="240" t="s">
        <v>44</v>
      </c>
      <c r="B28" s="241"/>
      <c r="C28" s="242"/>
      <c r="D28" s="44">
        <f t="shared" ref="D28:E28" si="6">SUM(D7:D27)</f>
        <v>220481</v>
      </c>
      <c r="E28" s="45">
        <f t="shared" si="6"/>
        <v>210</v>
      </c>
      <c r="F28" s="45">
        <f t="shared" ref="F28:T28" si="7">SUM(F7:F27)</f>
        <v>310</v>
      </c>
      <c r="G28" s="45">
        <f t="shared" si="7"/>
        <v>550</v>
      </c>
      <c r="H28" s="45">
        <f t="shared" si="7"/>
        <v>1270</v>
      </c>
      <c r="I28" s="45">
        <f t="shared" si="7"/>
        <v>36</v>
      </c>
      <c r="J28" s="45">
        <f t="shared" si="7"/>
        <v>0</v>
      </c>
      <c r="K28" s="45">
        <f t="shared" si="7"/>
        <v>18</v>
      </c>
      <c r="L28" s="45">
        <f t="shared" si="7"/>
        <v>0</v>
      </c>
      <c r="M28" s="45">
        <f t="shared" si="7"/>
        <v>244161</v>
      </c>
      <c r="N28" s="45">
        <f t="shared" si="7"/>
        <v>254313</v>
      </c>
      <c r="O28" s="46">
        <f t="shared" si="7"/>
        <v>6714.4275000000007</v>
      </c>
      <c r="P28" s="45">
        <f t="shared" si="7"/>
        <v>89910</v>
      </c>
      <c r="Q28" s="45">
        <f t="shared" si="7"/>
        <v>1979</v>
      </c>
      <c r="R28" s="45">
        <f t="shared" si="7"/>
        <v>245619.57249999998</v>
      </c>
      <c r="S28" s="45">
        <f t="shared" si="7"/>
        <v>2319.5294999999996</v>
      </c>
      <c r="T28" s="47">
        <f t="shared" si="7"/>
        <v>340.52949999999998</v>
      </c>
    </row>
    <row r="29" spans="1:20" ht="15.75" thickBot="1" x14ac:dyDescent="0.3">
      <c r="A29" s="243" t="s">
        <v>45</v>
      </c>
      <c r="B29" s="244"/>
      <c r="C29" s="245"/>
      <c r="D29" s="48">
        <f>D4+D5-D28</f>
        <v>645822</v>
      </c>
      <c r="E29" s="48">
        <f t="shared" ref="E29:L29" si="8">E4+E5-E28</f>
        <v>985</v>
      </c>
      <c r="F29" s="48">
        <f t="shared" si="8"/>
        <v>4390</v>
      </c>
      <c r="G29" s="48">
        <f t="shared" si="8"/>
        <v>390</v>
      </c>
      <c r="H29" s="48">
        <f t="shared" si="8"/>
        <v>21790</v>
      </c>
      <c r="I29" s="48">
        <f t="shared" si="8"/>
        <v>1377</v>
      </c>
      <c r="J29" s="48">
        <f t="shared" si="8"/>
        <v>635</v>
      </c>
      <c r="K29" s="48">
        <f t="shared" si="8"/>
        <v>202</v>
      </c>
      <c r="L29" s="48">
        <f t="shared" si="8"/>
        <v>0</v>
      </c>
      <c r="M29" s="246"/>
      <c r="N29" s="247"/>
      <c r="O29" s="247"/>
      <c r="P29" s="247"/>
      <c r="Q29" s="247"/>
      <c r="R29" s="247"/>
      <c r="S29" s="247"/>
      <c r="T29" s="24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34" priority="43" operator="equal">
      <formula>212030016606640</formula>
    </cfRule>
  </conditionalFormatting>
  <conditionalFormatting sqref="D29 E4:E6 E28:K29">
    <cfRule type="cellIs" dxfId="833" priority="41" operator="equal">
      <formula>$E$4</formula>
    </cfRule>
    <cfRule type="cellIs" dxfId="832" priority="42" operator="equal">
      <formula>2120</formula>
    </cfRule>
  </conditionalFormatting>
  <conditionalFormatting sqref="D29:E29 F4:F6 F28:F29">
    <cfRule type="cellIs" dxfId="831" priority="39" operator="equal">
      <formula>$F$4</formula>
    </cfRule>
    <cfRule type="cellIs" dxfId="830" priority="40" operator="equal">
      <formula>300</formula>
    </cfRule>
  </conditionalFormatting>
  <conditionalFormatting sqref="G4:G6 G28:G29">
    <cfRule type="cellIs" dxfId="829" priority="37" operator="equal">
      <formula>$G$4</formula>
    </cfRule>
    <cfRule type="cellIs" dxfId="828" priority="38" operator="equal">
      <formula>1660</formula>
    </cfRule>
  </conditionalFormatting>
  <conditionalFormatting sqref="H4:H6 H28:H29">
    <cfRule type="cellIs" dxfId="827" priority="35" operator="equal">
      <formula>$H$4</formula>
    </cfRule>
    <cfRule type="cellIs" dxfId="826" priority="36" operator="equal">
      <formula>6640</formula>
    </cfRule>
  </conditionalFormatting>
  <conditionalFormatting sqref="T6:T28">
    <cfRule type="cellIs" dxfId="825" priority="34" operator="lessThan">
      <formula>0</formula>
    </cfRule>
  </conditionalFormatting>
  <conditionalFormatting sqref="T7:T27">
    <cfRule type="cellIs" dxfId="824" priority="31" operator="lessThan">
      <formula>0</formula>
    </cfRule>
    <cfRule type="cellIs" dxfId="823" priority="32" operator="lessThan">
      <formula>0</formula>
    </cfRule>
    <cfRule type="cellIs" dxfId="822" priority="33" operator="lessThan">
      <formula>0</formula>
    </cfRule>
  </conditionalFormatting>
  <conditionalFormatting sqref="E4:E6 E28:K28">
    <cfRule type="cellIs" dxfId="821" priority="30" operator="equal">
      <formula>$E$4</formula>
    </cfRule>
  </conditionalFormatting>
  <conditionalFormatting sqref="D28:D29 D6 D4:M4">
    <cfRule type="cellIs" dxfId="820" priority="29" operator="equal">
      <formula>$D$4</formula>
    </cfRule>
  </conditionalFormatting>
  <conditionalFormatting sqref="I4:I6 I28:I29">
    <cfRule type="cellIs" dxfId="819" priority="28" operator="equal">
      <formula>$I$4</formula>
    </cfRule>
  </conditionalFormatting>
  <conditionalFormatting sqref="J4:J6 J28:J29">
    <cfRule type="cellIs" dxfId="818" priority="27" operator="equal">
      <formula>$J$4</formula>
    </cfRule>
  </conditionalFormatting>
  <conditionalFormatting sqref="K4:K6 K28:K29">
    <cfRule type="cellIs" dxfId="817" priority="26" operator="equal">
      <formula>$K$4</formula>
    </cfRule>
  </conditionalFormatting>
  <conditionalFormatting sqref="M4:M6">
    <cfRule type="cellIs" dxfId="816" priority="25" operator="equal">
      <formula>$L$4</formula>
    </cfRule>
  </conditionalFormatting>
  <conditionalFormatting sqref="T7:T28">
    <cfRule type="cellIs" dxfId="815" priority="22" operator="lessThan">
      <formula>0</formula>
    </cfRule>
    <cfRule type="cellIs" dxfId="814" priority="23" operator="lessThan">
      <formula>0</formula>
    </cfRule>
    <cfRule type="cellIs" dxfId="813" priority="24" operator="lessThan">
      <formula>0</formula>
    </cfRule>
  </conditionalFormatting>
  <conditionalFormatting sqref="D5:K5">
    <cfRule type="cellIs" dxfId="812" priority="21" operator="greaterThan">
      <formula>0</formula>
    </cfRule>
  </conditionalFormatting>
  <conditionalFormatting sqref="T6:T28">
    <cfRule type="cellIs" dxfId="811" priority="20" operator="lessThan">
      <formula>0</formula>
    </cfRule>
  </conditionalFormatting>
  <conditionalFormatting sqref="T7:T27">
    <cfRule type="cellIs" dxfId="810" priority="17" operator="lessThan">
      <formula>0</formula>
    </cfRule>
    <cfRule type="cellIs" dxfId="809" priority="18" operator="lessThan">
      <formula>0</formula>
    </cfRule>
    <cfRule type="cellIs" dxfId="808" priority="19" operator="lessThan">
      <formula>0</formula>
    </cfRule>
  </conditionalFormatting>
  <conditionalFormatting sqref="T7:T28">
    <cfRule type="cellIs" dxfId="807" priority="14" operator="lessThan">
      <formula>0</formula>
    </cfRule>
    <cfRule type="cellIs" dxfId="806" priority="15" operator="lessThan">
      <formula>0</formula>
    </cfRule>
    <cfRule type="cellIs" dxfId="805" priority="16" operator="lessThan">
      <formula>0</formula>
    </cfRule>
  </conditionalFormatting>
  <conditionalFormatting sqref="D5:K5">
    <cfRule type="cellIs" dxfId="804" priority="13" operator="greaterThan">
      <formula>0</formula>
    </cfRule>
  </conditionalFormatting>
  <conditionalFormatting sqref="L4 L6 L28:L29">
    <cfRule type="cellIs" dxfId="803" priority="12" operator="equal">
      <formula>$L$4</formula>
    </cfRule>
  </conditionalFormatting>
  <conditionalFormatting sqref="D7:S7">
    <cfRule type="cellIs" dxfId="802" priority="11" operator="greaterThan">
      <formula>0</formula>
    </cfRule>
  </conditionalFormatting>
  <conditionalFormatting sqref="D9:S9">
    <cfRule type="cellIs" dxfId="801" priority="10" operator="greaterThan">
      <formula>0</formula>
    </cfRule>
  </conditionalFormatting>
  <conditionalFormatting sqref="D11:S11">
    <cfRule type="cellIs" dxfId="800" priority="9" operator="greaterThan">
      <formula>0</formula>
    </cfRule>
  </conditionalFormatting>
  <conditionalFormatting sqref="D13:S13">
    <cfRule type="cellIs" dxfId="799" priority="8" operator="greaterThan">
      <formula>0</formula>
    </cfRule>
  </conditionalFormatting>
  <conditionalFormatting sqref="D15:S15">
    <cfRule type="cellIs" dxfId="798" priority="7" operator="greaterThan">
      <formula>0</formula>
    </cfRule>
  </conditionalFormatting>
  <conditionalFormatting sqref="D17:S17">
    <cfRule type="cellIs" dxfId="797" priority="6" operator="greaterThan">
      <formula>0</formula>
    </cfRule>
  </conditionalFormatting>
  <conditionalFormatting sqref="D19:S19">
    <cfRule type="cellIs" dxfId="796" priority="5" operator="greaterThan">
      <formula>0</formula>
    </cfRule>
  </conditionalFormatting>
  <conditionalFormatting sqref="D21:S21">
    <cfRule type="cellIs" dxfId="795" priority="4" operator="greaterThan">
      <formula>0</formula>
    </cfRule>
  </conditionalFormatting>
  <conditionalFormatting sqref="D23:S23">
    <cfRule type="cellIs" dxfId="794" priority="3" operator="greaterThan">
      <formula>0</formula>
    </cfRule>
  </conditionalFormatting>
  <conditionalFormatting sqref="D25:S25">
    <cfRule type="cellIs" dxfId="793" priority="2" operator="greaterThan">
      <formula>0</formula>
    </cfRule>
  </conditionalFormatting>
  <conditionalFormatting sqref="D27:S27">
    <cfRule type="cellIs" dxfId="792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6" max="6" width="7.85546875" customWidth="1"/>
    <col min="7" max="7" width="8.140625" customWidth="1"/>
    <col min="8" max="8" width="8.5703125" customWidth="1"/>
    <col min="9" max="9" width="11.28515625" customWidth="1"/>
    <col min="10" max="10" width="8.5703125" customWidth="1"/>
    <col min="11" max="11" width="8.7109375" customWidth="1"/>
    <col min="12" max="12" width="8.14062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49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</row>
    <row r="2" spans="1:20" ht="15.75" thickBot="1" x14ac:dyDescent="0.3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</row>
    <row r="3" spans="1:20" ht="18.75" x14ac:dyDescent="0.25">
      <c r="A3" s="250" t="s">
        <v>110</v>
      </c>
      <c r="B3" s="251"/>
      <c r="C3" s="252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</row>
    <row r="4" spans="1:20" x14ac:dyDescent="0.25">
      <c r="A4" s="254" t="s">
        <v>1</v>
      </c>
      <c r="B4" s="254"/>
      <c r="C4" s="1"/>
      <c r="D4" s="2">
        <f>'15'!D29</f>
        <v>645822</v>
      </c>
      <c r="E4" s="2">
        <f>'15'!E29</f>
        <v>985</v>
      </c>
      <c r="F4" s="2">
        <f>'15'!F29</f>
        <v>4390</v>
      </c>
      <c r="G4" s="2">
        <f>'15'!G29</f>
        <v>390</v>
      </c>
      <c r="H4" s="2">
        <f>'15'!H29</f>
        <v>21790</v>
      </c>
      <c r="I4" s="2">
        <f>'15'!I29</f>
        <v>1377</v>
      </c>
      <c r="J4" s="2">
        <f>'15'!J29</f>
        <v>635</v>
      </c>
      <c r="K4" s="2">
        <f>'15'!K29</f>
        <v>202</v>
      </c>
      <c r="L4" s="2">
        <f>'15'!L29</f>
        <v>0</v>
      </c>
      <c r="M4" s="3"/>
      <c r="N4" s="255"/>
      <c r="O4" s="255"/>
      <c r="P4" s="255"/>
      <c r="Q4" s="255"/>
      <c r="R4" s="255"/>
      <c r="S4" s="255"/>
      <c r="T4" s="255"/>
    </row>
    <row r="5" spans="1:20" x14ac:dyDescent="0.25">
      <c r="A5" s="254" t="s">
        <v>2</v>
      </c>
      <c r="B5" s="254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255"/>
      <c r="O5" s="255"/>
      <c r="P5" s="255"/>
      <c r="Q5" s="255"/>
      <c r="R5" s="255"/>
      <c r="S5" s="255"/>
      <c r="T5" s="25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16776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16776</v>
      </c>
      <c r="N7" s="24">
        <f>D7+E7*20+F7*10+G7*9+H7*9+I7*191+J7*191+K7*182+L7*100</f>
        <v>16776</v>
      </c>
      <c r="O7" s="25">
        <f>M7*2.75%</f>
        <v>461.34</v>
      </c>
      <c r="P7" s="26">
        <v>2000</v>
      </c>
      <c r="Q7" s="26">
        <v>115</v>
      </c>
      <c r="R7" s="24">
        <f>M7-(M7*2.75%)+I7*191+J7*191+K7*182+L7*100-Q7</f>
        <v>16199.66</v>
      </c>
      <c r="S7" s="25">
        <f>M7*0.95%</f>
        <v>159.37199999999999</v>
      </c>
      <c r="T7" s="27">
        <f>S7-Q7</f>
        <v>44.371999999999986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5935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5935</v>
      </c>
      <c r="N8" s="24">
        <f t="shared" ref="N8:N27" si="1">D8+E8*20+F8*10+G8*9+H8*9+I8*191+J8*191+K8*182+L8*100</f>
        <v>5935</v>
      </c>
      <c r="O8" s="25">
        <f t="shared" ref="O8:O27" si="2">M8*2.75%</f>
        <v>163.21250000000001</v>
      </c>
      <c r="P8" s="26"/>
      <c r="Q8" s="26">
        <v>21</v>
      </c>
      <c r="R8" s="24">
        <f t="shared" ref="R8:R27" si="3">M8-(M8*2.75%)+I8*191+J8*191+K8*182+L8*100-Q8</f>
        <v>5750.7875000000004</v>
      </c>
      <c r="S8" s="25">
        <f t="shared" ref="S8:S27" si="4">M8*0.95%</f>
        <v>56.3825</v>
      </c>
      <c r="T8" s="27">
        <f t="shared" ref="T8:T27" si="5">S8-Q8</f>
        <v>35.3825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22222</v>
      </c>
      <c r="E9" s="30"/>
      <c r="F9" s="30"/>
      <c r="G9" s="30"/>
      <c r="H9" s="30">
        <v>250</v>
      </c>
      <c r="I9" s="20"/>
      <c r="J9" s="20"/>
      <c r="K9" s="20">
        <v>2</v>
      </c>
      <c r="L9" s="20"/>
      <c r="M9" s="20">
        <f t="shared" si="0"/>
        <v>24472</v>
      </c>
      <c r="N9" s="24">
        <f t="shared" si="1"/>
        <v>24836</v>
      </c>
      <c r="O9" s="25">
        <f t="shared" si="2"/>
        <v>672.98</v>
      </c>
      <c r="P9" s="26">
        <v>4000</v>
      </c>
      <c r="Q9" s="26">
        <v>153</v>
      </c>
      <c r="R9" s="24">
        <f t="shared" si="3"/>
        <v>24010.02</v>
      </c>
      <c r="S9" s="25">
        <f t="shared" si="4"/>
        <v>232.48399999999998</v>
      </c>
      <c r="T9" s="27">
        <f t="shared" si="5"/>
        <v>79.48399999999998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4679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4679</v>
      </c>
      <c r="N10" s="24">
        <f t="shared" si="1"/>
        <v>4679</v>
      </c>
      <c r="O10" s="25">
        <f t="shared" si="2"/>
        <v>128.67250000000001</v>
      </c>
      <c r="P10" s="26"/>
      <c r="Q10" s="26">
        <v>30</v>
      </c>
      <c r="R10" s="24">
        <f t="shared" si="3"/>
        <v>4520.3275000000003</v>
      </c>
      <c r="S10" s="25">
        <f t="shared" si="4"/>
        <v>44.450499999999998</v>
      </c>
      <c r="T10" s="27">
        <f t="shared" si="5"/>
        <v>14.450499999999998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2879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2879</v>
      </c>
      <c r="N11" s="24">
        <f t="shared" si="1"/>
        <v>2879</v>
      </c>
      <c r="O11" s="25">
        <f t="shared" si="2"/>
        <v>79.172499999999999</v>
      </c>
      <c r="P11" s="26">
        <v>5200</v>
      </c>
      <c r="Q11" s="26">
        <v>29</v>
      </c>
      <c r="R11" s="24">
        <f t="shared" si="3"/>
        <v>2770.8274999999999</v>
      </c>
      <c r="S11" s="25">
        <f t="shared" si="4"/>
        <v>27.3505</v>
      </c>
      <c r="T11" s="27">
        <f t="shared" si="5"/>
        <v>-1.6494999999999997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4142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4142</v>
      </c>
      <c r="N12" s="24">
        <f t="shared" si="1"/>
        <v>4142</v>
      </c>
      <c r="O12" s="25">
        <f t="shared" si="2"/>
        <v>113.905</v>
      </c>
      <c r="P12" s="26"/>
      <c r="Q12" s="26">
        <v>28</v>
      </c>
      <c r="R12" s="24">
        <f t="shared" si="3"/>
        <v>4000.0949999999998</v>
      </c>
      <c r="S12" s="25">
        <f t="shared" si="4"/>
        <v>39.348999999999997</v>
      </c>
      <c r="T12" s="27">
        <f t="shared" si="5"/>
        <v>11.348999999999997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4112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4112</v>
      </c>
      <c r="N13" s="24">
        <f t="shared" si="1"/>
        <v>4112</v>
      </c>
      <c r="O13" s="25">
        <f t="shared" si="2"/>
        <v>113.08</v>
      </c>
      <c r="P13" s="26"/>
      <c r="Q13" s="26">
        <v>38</v>
      </c>
      <c r="R13" s="24">
        <f t="shared" si="3"/>
        <v>3960.92</v>
      </c>
      <c r="S13" s="25">
        <f t="shared" si="4"/>
        <v>39.064</v>
      </c>
      <c r="T13" s="27">
        <f t="shared" si="5"/>
        <v>1.0640000000000001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18923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18923</v>
      </c>
      <c r="N14" s="24">
        <f t="shared" si="1"/>
        <v>18923</v>
      </c>
      <c r="O14" s="25">
        <f t="shared" si="2"/>
        <v>520.38250000000005</v>
      </c>
      <c r="P14" s="26"/>
      <c r="Q14" s="26">
        <v>153</v>
      </c>
      <c r="R14" s="24">
        <f t="shared" si="3"/>
        <v>18249.6175</v>
      </c>
      <c r="S14" s="25">
        <f t="shared" si="4"/>
        <v>179.76849999999999</v>
      </c>
      <c r="T14" s="27">
        <f t="shared" si="5"/>
        <v>26.768499999999989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17779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17779</v>
      </c>
      <c r="N15" s="24">
        <f t="shared" si="1"/>
        <v>17779</v>
      </c>
      <c r="O15" s="25">
        <f t="shared" si="2"/>
        <v>488.92250000000001</v>
      </c>
      <c r="P15" s="26"/>
      <c r="Q15" s="26">
        <v>160</v>
      </c>
      <c r="R15" s="24">
        <f t="shared" si="3"/>
        <v>17130.077499999999</v>
      </c>
      <c r="S15" s="25">
        <f t="shared" si="4"/>
        <v>168.90049999999999</v>
      </c>
      <c r="T15" s="27">
        <f t="shared" si="5"/>
        <v>8.9004999999999939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11866</v>
      </c>
      <c r="E16" s="30"/>
      <c r="F16" s="30">
        <v>60</v>
      </c>
      <c r="G16" s="30"/>
      <c r="H16" s="30">
        <v>40</v>
      </c>
      <c r="I16" s="20"/>
      <c r="J16" s="20"/>
      <c r="K16" s="20">
        <v>5</v>
      </c>
      <c r="L16" s="20"/>
      <c r="M16" s="20">
        <f t="shared" si="0"/>
        <v>12826</v>
      </c>
      <c r="N16" s="24">
        <f t="shared" si="1"/>
        <v>13736</v>
      </c>
      <c r="O16" s="25">
        <f t="shared" si="2"/>
        <v>352.71499999999997</v>
      </c>
      <c r="P16" s="26"/>
      <c r="Q16" s="26">
        <v>113</v>
      </c>
      <c r="R16" s="24">
        <f t="shared" si="3"/>
        <v>13270.285</v>
      </c>
      <c r="S16" s="25">
        <f t="shared" si="4"/>
        <v>121.84699999999999</v>
      </c>
      <c r="T16" s="27">
        <f t="shared" si="5"/>
        <v>8.8469999999999942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15540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15540</v>
      </c>
      <c r="N17" s="24">
        <f t="shared" si="1"/>
        <v>15540</v>
      </c>
      <c r="O17" s="25">
        <f t="shared" si="2"/>
        <v>427.35</v>
      </c>
      <c r="P17" s="26"/>
      <c r="Q17" s="26"/>
      <c r="R17" s="24">
        <f t="shared" si="3"/>
        <v>15112.65</v>
      </c>
      <c r="S17" s="25">
        <f t="shared" si="4"/>
        <v>147.63</v>
      </c>
      <c r="T17" s="27">
        <f t="shared" si="5"/>
        <v>147.63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10211</v>
      </c>
      <c r="E18" s="30"/>
      <c r="F18" s="30"/>
      <c r="G18" s="30"/>
      <c r="H18" s="30"/>
      <c r="I18" s="20">
        <v>10</v>
      </c>
      <c r="J18" s="20"/>
      <c r="K18" s="20"/>
      <c r="L18" s="20"/>
      <c r="M18" s="20">
        <f t="shared" si="0"/>
        <v>10211</v>
      </c>
      <c r="N18" s="24">
        <f t="shared" si="1"/>
        <v>12121</v>
      </c>
      <c r="O18" s="25">
        <f t="shared" si="2"/>
        <v>280.80250000000001</v>
      </c>
      <c r="P18" s="26"/>
      <c r="Q18" s="26">
        <v>100</v>
      </c>
      <c r="R18" s="24">
        <f t="shared" si="3"/>
        <v>11740.1975</v>
      </c>
      <c r="S18" s="25">
        <f t="shared" si="4"/>
        <v>97.004499999999993</v>
      </c>
      <c r="T18" s="27">
        <f t="shared" si="5"/>
        <v>-2.9955000000000069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13161</v>
      </c>
      <c r="E19" s="30"/>
      <c r="F19" s="30"/>
      <c r="G19" s="30"/>
      <c r="H19" s="30">
        <v>120</v>
      </c>
      <c r="I19" s="20">
        <v>5</v>
      </c>
      <c r="J19" s="20"/>
      <c r="K19" s="20">
        <v>1</v>
      </c>
      <c r="L19" s="20"/>
      <c r="M19" s="20">
        <f t="shared" si="0"/>
        <v>14241</v>
      </c>
      <c r="N19" s="24">
        <f t="shared" si="1"/>
        <v>15378</v>
      </c>
      <c r="O19" s="25">
        <f t="shared" si="2"/>
        <v>391.6275</v>
      </c>
      <c r="P19" s="26"/>
      <c r="Q19" s="26">
        <v>170</v>
      </c>
      <c r="R19" s="24">
        <f t="shared" si="3"/>
        <v>14816.372499999999</v>
      </c>
      <c r="S19" s="25">
        <f t="shared" si="4"/>
        <v>135.2895</v>
      </c>
      <c r="T19" s="27">
        <f t="shared" si="5"/>
        <v>-34.710499999999996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4626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4626</v>
      </c>
      <c r="N20" s="24">
        <f t="shared" si="1"/>
        <v>4626</v>
      </c>
      <c r="O20" s="25">
        <f t="shared" si="2"/>
        <v>127.215</v>
      </c>
      <c r="P20" s="26"/>
      <c r="Q20" s="26"/>
      <c r="R20" s="24">
        <f t="shared" si="3"/>
        <v>4498.7849999999999</v>
      </c>
      <c r="S20" s="25">
        <f t="shared" si="4"/>
        <v>43.946999999999996</v>
      </c>
      <c r="T20" s="27">
        <f t="shared" si="5"/>
        <v>43.946999999999996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4731</v>
      </c>
      <c r="E21" s="30">
        <v>10</v>
      </c>
      <c r="F21" s="30"/>
      <c r="G21" s="30"/>
      <c r="H21" s="30">
        <v>10</v>
      </c>
      <c r="I21" s="20"/>
      <c r="J21" s="20"/>
      <c r="K21" s="20"/>
      <c r="L21" s="20"/>
      <c r="M21" s="20">
        <f t="shared" si="0"/>
        <v>5021</v>
      </c>
      <c r="N21" s="24">
        <f t="shared" si="1"/>
        <v>5021</v>
      </c>
      <c r="O21" s="25">
        <f t="shared" si="2"/>
        <v>138.07750000000001</v>
      </c>
      <c r="P21" s="26">
        <v>10780</v>
      </c>
      <c r="Q21" s="26">
        <v>40</v>
      </c>
      <c r="R21" s="24">
        <f t="shared" si="3"/>
        <v>4842.9224999999997</v>
      </c>
      <c r="S21" s="25">
        <f t="shared" si="4"/>
        <v>47.6995</v>
      </c>
      <c r="T21" s="27">
        <f t="shared" si="5"/>
        <v>7.6995000000000005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16671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16671</v>
      </c>
      <c r="N22" s="24">
        <f t="shared" si="1"/>
        <v>16671</v>
      </c>
      <c r="O22" s="25">
        <f t="shared" si="2"/>
        <v>458.45249999999999</v>
      </c>
      <c r="P22" s="26"/>
      <c r="Q22" s="26">
        <v>150</v>
      </c>
      <c r="R22" s="24">
        <f t="shared" si="3"/>
        <v>16062.547500000001</v>
      </c>
      <c r="S22" s="25">
        <f t="shared" si="4"/>
        <v>158.37449999999998</v>
      </c>
      <c r="T22" s="27">
        <f t="shared" si="5"/>
        <v>8.3744999999999834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6631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6631</v>
      </c>
      <c r="N23" s="24">
        <f t="shared" si="1"/>
        <v>6631</v>
      </c>
      <c r="O23" s="25">
        <f t="shared" si="2"/>
        <v>182.35249999999999</v>
      </c>
      <c r="P23" s="26"/>
      <c r="Q23" s="26">
        <v>60</v>
      </c>
      <c r="R23" s="24">
        <f t="shared" si="3"/>
        <v>6388.6475</v>
      </c>
      <c r="S23" s="25">
        <f t="shared" si="4"/>
        <v>62.994499999999995</v>
      </c>
      <c r="T23" s="27">
        <f t="shared" si="5"/>
        <v>2.9944999999999951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19558</v>
      </c>
      <c r="E24" s="30">
        <v>20</v>
      </c>
      <c r="F24" s="30">
        <v>50</v>
      </c>
      <c r="G24" s="30"/>
      <c r="H24" s="30">
        <v>100</v>
      </c>
      <c r="I24" s="20"/>
      <c r="J24" s="20"/>
      <c r="K24" s="20"/>
      <c r="L24" s="20"/>
      <c r="M24" s="20">
        <f t="shared" si="0"/>
        <v>21358</v>
      </c>
      <c r="N24" s="24">
        <f t="shared" si="1"/>
        <v>21358</v>
      </c>
      <c r="O24" s="25">
        <f t="shared" si="2"/>
        <v>587.34500000000003</v>
      </c>
      <c r="P24" s="26">
        <v>-2000</v>
      </c>
      <c r="Q24" s="26">
        <v>119</v>
      </c>
      <c r="R24" s="24">
        <f t="shared" si="3"/>
        <v>20651.654999999999</v>
      </c>
      <c r="S24" s="25">
        <f t="shared" si="4"/>
        <v>202.90099999999998</v>
      </c>
      <c r="T24" s="27">
        <f t="shared" si="5"/>
        <v>83.900999999999982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11509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11509</v>
      </c>
      <c r="N25" s="24">
        <f t="shared" si="1"/>
        <v>11509</v>
      </c>
      <c r="O25" s="25">
        <f t="shared" si="2"/>
        <v>316.4975</v>
      </c>
      <c r="P25" s="26">
        <v>9582</v>
      </c>
      <c r="Q25" s="26">
        <v>102</v>
      </c>
      <c r="R25" s="24">
        <f t="shared" si="3"/>
        <v>11090.502500000001</v>
      </c>
      <c r="S25" s="25">
        <f t="shared" si="4"/>
        <v>109.3355</v>
      </c>
      <c r="T25" s="27">
        <f t="shared" si="5"/>
        <v>7.3354999999999961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10020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10020</v>
      </c>
      <c r="N26" s="24">
        <f t="shared" si="1"/>
        <v>10020</v>
      </c>
      <c r="O26" s="25">
        <f t="shared" si="2"/>
        <v>275.55</v>
      </c>
      <c r="P26" s="26">
        <v>2245</v>
      </c>
      <c r="Q26" s="26">
        <v>120</v>
      </c>
      <c r="R26" s="24">
        <f t="shared" si="3"/>
        <v>9624.4500000000007</v>
      </c>
      <c r="S26" s="25">
        <f t="shared" si="4"/>
        <v>95.19</v>
      </c>
      <c r="T26" s="27">
        <f t="shared" si="5"/>
        <v>-24.810000000000002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6993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6993</v>
      </c>
      <c r="N27" s="40">
        <f t="shared" si="1"/>
        <v>8903</v>
      </c>
      <c r="O27" s="25">
        <f t="shared" si="2"/>
        <v>192.3075</v>
      </c>
      <c r="P27" s="41"/>
      <c r="Q27" s="41">
        <v>100</v>
      </c>
      <c r="R27" s="24">
        <f t="shared" si="3"/>
        <v>8610.692500000001</v>
      </c>
      <c r="S27" s="42">
        <f t="shared" si="4"/>
        <v>66.433499999999995</v>
      </c>
      <c r="T27" s="43">
        <f t="shared" si="5"/>
        <v>-33.566500000000005</v>
      </c>
    </row>
    <row r="28" spans="1:20" ht="16.5" thickBot="1" x14ac:dyDescent="0.3">
      <c r="A28" s="240" t="s">
        <v>44</v>
      </c>
      <c r="B28" s="241"/>
      <c r="C28" s="242"/>
      <c r="D28" s="44">
        <f t="shared" ref="D28:E28" si="6">SUM(D7:D27)</f>
        <v>228964</v>
      </c>
      <c r="E28" s="45">
        <f t="shared" si="6"/>
        <v>30</v>
      </c>
      <c r="F28" s="45">
        <f t="shared" ref="F28:T28" si="7">SUM(F7:F27)</f>
        <v>110</v>
      </c>
      <c r="G28" s="45">
        <f t="shared" si="7"/>
        <v>0</v>
      </c>
      <c r="H28" s="45">
        <f t="shared" si="7"/>
        <v>520</v>
      </c>
      <c r="I28" s="45">
        <f t="shared" si="7"/>
        <v>25</v>
      </c>
      <c r="J28" s="45">
        <f t="shared" si="7"/>
        <v>0</v>
      </c>
      <c r="K28" s="45">
        <f t="shared" si="7"/>
        <v>8</v>
      </c>
      <c r="L28" s="45">
        <f t="shared" si="7"/>
        <v>0</v>
      </c>
      <c r="M28" s="45">
        <f t="shared" si="7"/>
        <v>235344</v>
      </c>
      <c r="N28" s="45">
        <f t="shared" si="7"/>
        <v>241575</v>
      </c>
      <c r="O28" s="46">
        <f t="shared" si="7"/>
        <v>6471.9600000000009</v>
      </c>
      <c r="P28" s="45">
        <f t="shared" si="7"/>
        <v>31807</v>
      </c>
      <c r="Q28" s="45">
        <f t="shared" si="7"/>
        <v>1801</v>
      </c>
      <c r="R28" s="45">
        <f t="shared" si="7"/>
        <v>233302.03999999998</v>
      </c>
      <c r="S28" s="45">
        <f t="shared" si="7"/>
        <v>2235.768</v>
      </c>
      <c r="T28" s="47">
        <f t="shared" si="7"/>
        <v>434.76799999999986</v>
      </c>
    </row>
    <row r="29" spans="1:20" ht="15.75" thickBot="1" x14ac:dyDescent="0.3">
      <c r="A29" s="243" t="s">
        <v>45</v>
      </c>
      <c r="B29" s="244"/>
      <c r="C29" s="245"/>
      <c r="D29" s="48">
        <f>D4+D5-D28</f>
        <v>728546</v>
      </c>
      <c r="E29" s="48">
        <f t="shared" ref="E29:L29" si="8">E4+E5-E28</f>
        <v>955</v>
      </c>
      <c r="F29" s="48">
        <f t="shared" si="8"/>
        <v>4280</v>
      </c>
      <c r="G29" s="48">
        <f t="shared" si="8"/>
        <v>390</v>
      </c>
      <c r="H29" s="48">
        <f t="shared" si="8"/>
        <v>21270</v>
      </c>
      <c r="I29" s="48">
        <f t="shared" si="8"/>
        <v>1352</v>
      </c>
      <c r="J29" s="48">
        <f t="shared" si="8"/>
        <v>635</v>
      </c>
      <c r="K29" s="48">
        <f t="shared" si="8"/>
        <v>194</v>
      </c>
      <c r="L29" s="48">
        <f t="shared" si="8"/>
        <v>0</v>
      </c>
      <c r="M29" s="246"/>
      <c r="N29" s="247"/>
      <c r="O29" s="247"/>
      <c r="P29" s="247"/>
      <c r="Q29" s="247"/>
      <c r="R29" s="247"/>
      <c r="S29" s="247"/>
      <c r="T29" s="24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91" priority="43" operator="equal">
      <formula>212030016606640</formula>
    </cfRule>
  </conditionalFormatting>
  <conditionalFormatting sqref="D29 E4:E6 E28:K29">
    <cfRule type="cellIs" dxfId="790" priority="41" operator="equal">
      <formula>$E$4</formula>
    </cfRule>
    <cfRule type="cellIs" dxfId="789" priority="42" operator="equal">
      <formula>2120</formula>
    </cfRule>
  </conditionalFormatting>
  <conditionalFormatting sqref="D29:E29 F4:F6 F28:F29">
    <cfRule type="cellIs" dxfId="788" priority="39" operator="equal">
      <formula>$F$4</formula>
    </cfRule>
    <cfRule type="cellIs" dxfId="787" priority="40" operator="equal">
      <formula>300</formula>
    </cfRule>
  </conditionalFormatting>
  <conditionalFormatting sqref="G4:G6 G28:G29">
    <cfRule type="cellIs" dxfId="786" priority="37" operator="equal">
      <formula>$G$4</formula>
    </cfRule>
    <cfRule type="cellIs" dxfId="785" priority="38" operator="equal">
      <formula>1660</formula>
    </cfRule>
  </conditionalFormatting>
  <conditionalFormatting sqref="H4:H6 H28:H29">
    <cfRule type="cellIs" dxfId="784" priority="35" operator="equal">
      <formula>$H$4</formula>
    </cfRule>
    <cfRule type="cellIs" dxfId="783" priority="36" operator="equal">
      <formula>6640</formula>
    </cfRule>
  </conditionalFormatting>
  <conditionalFormatting sqref="T6:T28">
    <cfRule type="cellIs" dxfId="782" priority="34" operator="lessThan">
      <formula>0</formula>
    </cfRule>
  </conditionalFormatting>
  <conditionalFormatting sqref="T7:T27">
    <cfRule type="cellIs" dxfId="781" priority="31" operator="lessThan">
      <formula>0</formula>
    </cfRule>
    <cfRule type="cellIs" dxfId="780" priority="32" operator="lessThan">
      <formula>0</formula>
    </cfRule>
    <cfRule type="cellIs" dxfId="779" priority="33" operator="lessThan">
      <formula>0</formula>
    </cfRule>
  </conditionalFormatting>
  <conditionalFormatting sqref="E4:E6 E28:K28">
    <cfRule type="cellIs" dxfId="778" priority="30" operator="equal">
      <formula>$E$4</formula>
    </cfRule>
  </conditionalFormatting>
  <conditionalFormatting sqref="D28:D29 D6 D4:M4">
    <cfRule type="cellIs" dxfId="777" priority="29" operator="equal">
      <formula>$D$4</formula>
    </cfRule>
  </conditionalFormatting>
  <conditionalFormatting sqref="I4:I6 I28:I29">
    <cfRule type="cellIs" dxfId="776" priority="28" operator="equal">
      <formula>$I$4</formula>
    </cfRule>
  </conditionalFormatting>
  <conditionalFormatting sqref="J4:J6 J28:J29">
    <cfRule type="cellIs" dxfId="775" priority="27" operator="equal">
      <formula>$J$4</formula>
    </cfRule>
  </conditionalFormatting>
  <conditionalFormatting sqref="K4:K6 K28:K29">
    <cfRule type="cellIs" dxfId="774" priority="26" operator="equal">
      <formula>$K$4</formula>
    </cfRule>
  </conditionalFormatting>
  <conditionalFormatting sqref="M4:M6">
    <cfRule type="cellIs" dxfId="773" priority="25" operator="equal">
      <formula>$L$4</formula>
    </cfRule>
  </conditionalFormatting>
  <conditionalFormatting sqref="T7:T28">
    <cfRule type="cellIs" dxfId="772" priority="22" operator="lessThan">
      <formula>0</formula>
    </cfRule>
    <cfRule type="cellIs" dxfId="771" priority="23" operator="lessThan">
      <formula>0</formula>
    </cfRule>
    <cfRule type="cellIs" dxfId="770" priority="24" operator="lessThan">
      <formula>0</formula>
    </cfRule>
  </conditionalFormatting>
  <conditionalFormatting sqref="D5:K5">
    <cfRule type="cellIs" dxfId="769" priority="21" operator="greaterThan">
      <formula>0</formula>
    </cfRule>
  </conditionalFormatting>
  <conditionalFormatting sqref="T6:T28">
    <cfRule type="cellIs" dxfId="768" priority="20" operator="lessThan">
      <formula>0</formula>
    </cfRule>
  </conditionalFormatting>
  <conditionalFormatting sqref="T7:T27">
    <cfRule type="cellIs" dxfId="767" priority="17" operator="lessThan">
      <formula>0</formula>
    </cfRule>
    <cfRule type="cellIs" dxfId="766" priority="18" operator="lessThan">
      <formula>0</formula>
    </cfRule>
    <cfRule type="cellIs" dxfId="765" priority="19" operator="lessThan">
      <formula>0</formula>
    </cfRule>
  </conditionalFormatting>
  <conditionalFormatting sqref="T7:T28">
    <cfRule type="cellIs" dxfId="764" priority="14" operator="lessThan">
      <formula>0</formula>
    </cfRule>
    <cfRule type="cellIs" dxfId="763" priority="15" operator="lessThan">
      <formula>0</formula>
    </cfRule>
    <cfRule type="cellIs" dxfId="762" priority="16" operator="lessThan">
      <formula>0</formula>
    </cfRule>
  </conditionalFormatting>
  <conditionalFormatting sqref="D5:K5">
    <cfRule type="cellIs" dxfId="761" priority="13" operator="greaterThan">
      <formula>0</formula>
    </cfRule>
  </conditionalFormatting>
  <conditionalFormatting sqref="L4 L6 L28:L29">
    <cfRule type="cellIs" dxfId="760" priority="12" operator="equal">
      <formula>$L$4</formula>
    </cfRule>
  </conditionalFormatting>
  <conditionalFormatting sqref="D7:S7">
    <cfRule type="cellIs" dxfId="759" priority="11" operator="greaterThan">
      <formula>0</formula>
    </cfRule>
  </conditionalFormatting>
  <conditionalFormatting sqref="D9:S9">
    <cfRule type="cellIs" dxfId="758" priority="10" operator="greaterThan">
      <formula>0</formula>
    </cfRule>
  </conditionalFormatting>
  <conditionalFormatting sqref="D11:S11">
    <cfRule type="cellIs" dxfId="757" priority="9" operator="greaterThan">
      <formula>0</formula>
    </cfRule>
  </conditionalFormatting>
  <conditionalFormatting sqref="D13:S13 R14">
    <cfRule type="cellIs" dxfId="756" priority="8" operator="greaterThan">
      <formula>0</formula>
    </cfRule>
  </conditionalFormatting>
  <conditionalFormatting sqref="D15:S15">
    <cfRule type="cellIs" dxfId="755" priority="7" operator="greaterThan">
      <formula>0</formula>
    </cfRule>
  </conditionalFormatting>
  <conditionalFormatting sqref="D17:S17">
    <cfRule type="cellIs" dxfId="754" priority="6" operator="greaterThan">
      <formula>0</formula>
    </cfRule>
  </conditionalFormatting>
  <conditionalFormatting sqref="D19:S19">
    <cfRule type="cellIs" dxfId="753" priority="5" operator="greaterThan">
      <formula>0</formula>
    </cfRule>
  </conditionalFormatting>
  <conditionalFormatting sqref="D21:S21">
    <cfRule type="cellIs" dxfId="752" priority="4" operator="greaterThan">
      <formula>0</formula>
    </cfRule>
  </conditionalFormatting>
  <conditionalFormatting sqref="D23:S23">
    <cfRule type="cellIs" dxfId="751" priority="3" operator="greaterThan">
      <formula>0</formula>
    </cfRule>
  </conditionalFormatting>
  <conditionalFormatting sqref="D25:S25">
    <cfRule type="cellIs" dxfId="750" priority="2" operator="greaterThan">
      <formula>0</formula>
    </cfRule>
  </conditionalFormatting>
  <conditionalFormatting sqref="D27:S27">
    <cfRule type="cellIs" dxfId="749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6" sqref="A16:XFD16"/>
    </sheetView>
  </sheetViews>
  <sheetFormatPr defaultRowHeight="15" x14ac:dyDescent="0.25"/>
  <cols>
    <col min="2" max="2" width="14.28515625" bestFit="1" customWidth="1"/>
    <col min="3" max="3" width="12" bestFit="1" customWidth="1"/>
    <col min="6" max="6" width="8.85546875" customWidth="1"/>
    <col min="7" max="7" width="7.42578125" customWidth="1"/>
    <col min="8" max="8" width="7.85546875" customWidth="1"/>
    <col min="9" max="9" width="11.5703125" bestFit="1" customWidth="1"/>
    <col min="12" max="12" width="7.7109375" customWidth="1"/>
    <col min="13" max="13" width="9.140625" hidden="1" customWidth="1"/>
    <col min="14" max="14" width="12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49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</row>
    <row r="2" spans="1:20" ht="15.75" thickBot="1" x14ac:dyDescent="0.3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</row>
    <row r="3" spans="1:20" ht="18.75" x14ac:dyDescent="0.25">
      <c r="A3" s="250" t="s">
        <v>111</v>
      </c>
      <c r="B3" s="251"/>
      <c r="C3" s="252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</row>
    <row r="4" spans="1:20" x14ac:dyDescent="0.25">
      <c r="A4" s="254" t="s">
        <v>1</v>
      </c>
      <c r="B4" s="254"/>
      <c r="C4" s="1"/>
      <c r="D4" s="2">
        <f>'16'!D29</f>
        <v>728546</v>
      </c>
      <c r="E4" s="2">
        <f>'16'!E29</f>
        <v>955</v>
      </c>
      <c r="F4" s="2">
        <f>'16'!F29</f>
        <v>4280</v>
      </c>
      <c r="G4" s="2">
        <f>'16'!G29</f>
        <v>390</v>
      </c>
      <c r="H4" s="2">
        <f>'16'!H29</f>
        <v>21270</v>
      </c>
      <c r="I4" s="2">
        <f>'16'!I29</f>
        <v>1352</v>
      </c>
      <c r="J4" s="2">
        <f>'16'!J29</f>
        <v>635</v>
      </c>
      <c r="K4" s="2">
        <f>'16'!K29</f>
        <v>194</v>
      </c>
      <c r="L4" s="2">
        <f>'16'!L29</f>
        <v>0</v>
      </c>
      <c r="M4" s="3"/>
      <c r="N4" s="255"/>
      <c r="O4" s="255"/>
      <c r="P4" s="255"/>
      <c r="Q4" s="255"/>
      <c r="R4" s="255"/>
      <c r="S4" s="255"/>
      <c r="T4" s="255"/>
    </row>
    <row r="5" spans="1:20" x14ac:dyDescent="0.25">
      <c r="A5" s="254" t="s">
        <v>2</v>
      </c>
      <c r="B5" s="25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5"/>
      <c r="O5" s="255"/>
      <c r="P5" s="255"/>
      <c r="Q5" s="255"/>
      <c r="R5" s="255"/>
      <c r="S5" s="255"/>
      <c r="T5" s="25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14372</v>
      </c>
      <c r="E7" s="22"/>
      <c r="F7" s="22"/>
      <c r="G7" s="22"/>
      <c r="H7" s="22"/>
      <c r="I7" s="23">
        <v>3</v>
      </c>
      <c r="J7" s="23"/>
      <c r="K7" s="23">
        <v>5</v>
      </c>
      <c r="L7" s="23"/>
      <c r="M7" s="20">
        <f>D7+E7*20+F7*10+G7*9+H7*9</f>
        <v>14372</v>
      </c>
      <c r="N7" s="24">
        <f>D7+E7*20+F7*10+G7*9+H7*9+I7*191+J7*191+K7*182+L7*100</f>
        <v>15855</v>
      </c>
      <c r="O7" s="25">
        <f>M7*2.75%</f>
        <v>395.23</v>
      </c>
      <c r="P7" s="26"/>
      <c r="Q7" s="26">
        <v>110</v>
      </c>
      <c r="R7" s="24">
        <f>M7-(M7*2.75%)+I7*191+J7*191+K7*182+L7*100-Q7</f>
        <v>15349.77</v>
      </c>
      <c r="S7" s="25">
        <f>M7*0.95%</f>
        <v>136.53399999999999</v>
      </c>
      <c r="T7" s="27">
        <f>S7-Q7</f>
        <v>26.533999999999992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9062</v>
      </c>
      <c r="E8" s="30"/>
      <c r="F8" s="30"/>
      <c r="G8" s="30"/>
      <c r="H8" s="30">
        <v>80</v>
      </c>
      <c r="I8" s="20"/>
      <c r="J8" s="20"/>
      <c r="K8" s="20">
        <v>2</v>
      </c>
      <c r="L8" s="20"/>
      <c r="M8" s="20">
        <f t="shared" ref="M8:M27" si="0">D8+E8*20+F8*10+G8*9+H8*9</f>
        <v>9782</v>
      </c>
      <c r="N8" s="24">
        <f t="shared" ref="N8:N27" si="1">D8+E8*20+F8*10+G8*9+H8*9+I8*191+J8*191+K8*182+L8*100</f>
        <v>10146</v>
      </c>
      <c r="O8" s="25">
        <f t="shared" ref="O8:O27" si="2">M8*2.75%</f>
        <v>269.005</v>
      </c>
      <c r="P8" s="26"/>
      <c r="Q8" s="26">
        <v>77</v>
      </c>
      <c r="R8" s="24">
        <f t="shared" ref="R8:R27" si="3">M8-(M8*2.75%)+I8*191+J8*191+K8*182+L8*100-Q8</f>
        <v>9799.9950000000008</v>
      </c>
      <c r="S8" s="25">
        <f t="shared" ref="S8:S27" si="4">M8*0.95%</f>
        <v>92.929000000000002</v>
      </c>
      <c r="T8" s="27">
        <f t="shared" ref="T8:T27" si="5">S8-Q8</f>
        <v>15.929000000000002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30838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30838</v>
      </c>
      <c r="N9" s="24">
        <f t="shared" si="1"/>
        <v>30838</v>
      </c>
      <c r="O9" s="25">
        <f t="shared" si="2"/>
        <v>848.04499999999996</v>
      </c>
      <c r="P9" s="26">
        <v>-10000</v>
      </c>
      <c r="Q9" s="26">
        <v>160</v>
      </c>
      <c r="R9" s="24">
        <f t="shared" si="3"/>
        <v>29829.955000000002</v>
      </c>
      <c r="S9" s="25">
        <f t="shared" si="4"/>
        <v>292.96100000000001</v>
      </c>
      <c r="T9" s="27">
        <f t="shared" si="5"/>
        <v>132.96100000000001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3806</v>
      </c>
      <c r="E10" s="30"/>
      <c r="F10" s="30"/>
      <c r="G10" s="30"/>
      <c r="H10" s="30"/>
      <c r="I10" s="20"/>
      <c r="J10" s="20">
        <v>2</v>
      </c>
      <c r="K10" s="20"/>
      <c r="L10" s="20"/>
      <c r="M10" s="20">
        <f t="shared" si="0"/>
        <v>3806</v>
      </c>
      <c r="N10" s="24">
        <f t="shared" si="1"/>
        <v>4188</v>
      </c>
      <c r="O10" s="25">
        <f t="shared" si="2"/>
        <v>104.66500000000001</v>
      </c>
      <c r="P10" s="26"/>
      <c r="Q10" s="26">
        <v>28</v>
      </c>
      <c r="R10" s="24">
        <f t="shared" si="3"/>
        <v>4055.335</v>
      </c>
      <c r="S10" s="25">
        <f t="shared" si="4"/>
        <v>36.156999999999996</v>
      </c>
      <c r="T10" s="27">
        <f t="shared" si="5"/>
        <v>8.1569999999999965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8228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8228</v>
      </c>
      <c r="N11" s="24">
        <f t="shared" si="1"/>
        <v>8228</v>
      </c>
      <c r="O11" s="25">
        <f t="shared" si="2"/>
        <v>226.27</v>
      </c>
      <c r="P11" s="26">
        <v>2770</v>
      </c>
      <c r="Q11" s="26">
        <v>26</v>
      </c>
      <c r="R11" s="24">
        <f t="shared" si="3"/>
        <v>7975.73</v>
      </c>
      <c r="S11" s="25">
        <f t="shared" si="4"/>
        <v>78.165999999999997</v>
      </c>
      <c r="T11" s="27">
        <f t="shared" si="5"/>
        <v>52.165999999999997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6973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6973</v>
      </c>
      <c r="N12" s="24">
        <f t="shared" si="1"/>
        <v>6973</v>
      </c>
      <c r="O12" s="25">
        <f t="shared" si="2"/>
        <v>191.75749999999999</v>
      </c>
      <c r="P12" s="26"/>
      <c r="Q12" s="26">
        <v>31</v>
      </c>
      <c r="R12" s="24">
        <f t="shared" si="3"/>
        <v>6750.2425000000003</v>
      </c>
      <c r="S12" s="25">
        <f t="shared" si="4"/>
        <v>66.243499999999997</v>
      </c>
      <c r="T12" s="27">
        <f t="shared" si="5"/>
        <v>35.243499999999997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3534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3534</v>
      </c>
      <c r="N13" s="24">
        <f t="shared" si="1"/>
        <v>3534</v>
      </c>
      <c r="O13" s="25">
        <f t="shared" si="2"/>
        <v>97.185000000000002</v>
      </c>
      <c r="P13" s="26"/>
      <c r="Q13" s="26">
        <v>36</v>
      </c>
      <c r="R13" s="24">
        <f t="shared" si="3"/>
        <v>3400.8150000000001</v>
      </c>
      <c r="S13" s="25">
        <f t="shared" si="4"/>
        <v>33.573</v>
      </c>
      <c r="T13" s="27">
        <f t="shared" si="5"/>
        <v>-2.4269999999999996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21605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21605</v>
      </c>
      <c r="N14" s="24">
        <f t="shared" si="1"/>
        <v>21605</v>
      </c>
      <c r="O14" s="25">
        <f t="shared" si="2"/>
        <v>594.13750000000005</v>
      </c>
      <c r="P14" s="26"/>
      <c r="Q14" s="26">
        <v>160</v>
      </c>
      <c r="R14" s="24">
        <f t="shared" si="3"/>
        <v>20850.862499999999</v>
      </c>
      <c r="S14" s="25">
        <f t="shared" si="4"/>
        <v>205.2475</v>
      </c>
      <c r="T14" s="27">
        <f t="shared" si="5"/>
        <v>45.247500000000002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17170</v>
      </c>
      <c r="E15" s="30"/>
      <c r="F15" s="30"/>
      <c r="G15" s="30"/>
      <c r="H15" s="30">
        <v>60</v>
      </c>
      <c r="I15" s="20"/>
      <c r="J15" s="20"/>
      <c r="K15" s="20"/>
      <c r="L15" s="20"/>
      <c r="M15" s="20">
        <f t="shared" si="0"/>
        <v>17710</v>
      </c>
      <c r="N15" s="24">
        <f t="shared" si="1"/>
        <v>17710</v>
      </c>
      <c r="O15" s="25">
        <f t="shared" si="2"/>
        <v>487.02499999999998</v>
      </c>
      <c r="P15" s="26">
        <v>34330</v>
      </c>
      <c r="Q15" s="26">
        <v>160</v>
      </c>
      <c r="R15" s="24">
        <f t="shared" si="3"/>
        <v>17062.974999999999</v>
      </c>
      <c r="S15" s="25">
        <f t="shared" si="4"/>
        <v>168.245</v>
      </c>
      <c r="T15" s="27">
        <f t="shared" si="5"/>
        <v>8.2450000000000045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17730</v>
      </c>
      <c r="E16" s="30"/>
      <c r="F16" s="30"/>
      <c r="G16" s="30"/>
      <c r="H16" s="30">
        <v>120</v>
      </c>
      <c r="I16" s="20">
        <v>6</v>
      </c>
      <c r="J16" s="20">
        <v>15</v>
      </c>
      <c r="K16" s="20"/>
      <c r="L16" s="20"/>
      <c r="M16" s="20">
        <f t="shared" si="0"/>
        <v>18810</v>
      </c>
      <c r="N16" s="24">
        <f t="shared" si="1"/>
        <v>22821</v>
      </c>
      <c r="O16" s="25">
        <f t="shared" si="2"/>
        <v>517.27499999999998</v>
      </c>
      <c r="P16" s="26">
        <v>1000</v>
      </c>
      <c r="Q16" s="26">
        <v>133</v>
      </c>
      <c r="R16" s="24">
        <f t="shared" si="3"/>
        <v>22170.724999999999</v>
      </c>
      <c r="S16" s="25">
        <f t="shared" si="4"/>
        <v>178.69499999999999</v>
      </c>
      <c r="T16" s="27">
        <f t="shared" si="5"/>
        <v>45.694999999999993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3370</v>
      </c>
      <c r="E17" s="30"/>
      <c r="F17" s="30">
        <v>120</v>
      </c>
      <c r="G17" s="30">
        <v>190</v>
      </c>
      <c r="H17" s="30">
        <v>250</v>
      </c>
      <c r="I17" s="20">
        <v>10</v>
      </c>
      <c r="J17" s="20"/>
      <c r="K17" s="20">
        <v>10</v>
      </c>
      <c r="L17" s="20"/>
      <c r="M17" s="20">
        <f t="shared" si="0"/>
        <v>8530</v>
      </c>
      <c r="N17" s="24">
        <f t="shared" si="1"/>
        <v>12260</v>
      </c>
      <c r="O17" s="25">
        <f t="shared" si="2"/>
        <v>234.57499999999999</v>
      </c>
      <c r="P17" s="26"/>
      <c r="Q17" s="26">
        <v>200</v>
      </c>
      <c r="R17" s="24">
        <f t="shared" si="3"/>
        <v>11825.424999999999</v>
      </c>
      <c r="S17" s="25">
        <f t="shared" si="4"/>
        <v>81.034999999999997</v>
      </c>
      <c r="T17" s="27">
        <f t="shared" si="5"/>
        <v>-118.965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10178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10178</v>
      </c>
      <c r="N18" s="24">
        <f t="shared" si="1"/>
        <v>10178</v>
      </c>
      <c r="O18" s="25">
        <f t="shared" si="2"/>
        <v>279.89499999999998</v>
      </c>
      <c r="P18" s="26"/>
      <c r="Q18" s="26">
        <v>98</v>
      </c>
      <c r="R18" s="24">
        <f t="shared" si="3"/>
        <v>9800.1049999999996</v>
      </c>
      <c r="S18" s="25">
        <f t="shared" si="4"/>
        <v>96.691000000000003</v>
      </c>
      <c r="T18" s="27">
        <f t="shared" si="5"/>
        <v>-1.3089999999999975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16371</v>
      </c>
      <c r="E19" s="30">
        <v>30</v>
      </c>
      <c r="F19" s="30">
        <v>50</v>
      </c>
      <c r="G19" s="30"/>
      <c r="H19" s="30">
        <v>80</v>
      </c>
      <c r="I19" s="20"/>
      <c r="J19" s="20"/>
      <c r="K19" s="20"/>
      <c r="L19" s="20"/>
      <c r="M19" s="20">
        <f t="shared" si="0"/>
        <v>18191</v>
      </c>
      <c r="N19" s="24">
        <f t="shared" si="1"/>
        <v>18191</v>
      </c>
      <c r="O19" s="25">
        <f t="shared" si="2"/>
        <v>500.2525</v>
      </c>
      <c r="P19" s="26"/>
      <c r="Q19" s="26">
        <v>170</v>
      </c>
      <c r="R19" s="24">
        <f t="shared" si="3"/>
        <v>17520.747500000001</v>
      </c>
      <c r="S19" s="25">
        <f t="shared" si="4"/>
        <v>172.81450000000001</v>
      </c>
      <c r="T19" s="27">
        <f t="shared" si="5"/>
        <v>2.8145000000000095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6816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6816</v>
      </c>
      <c r="N21" s="24">
        <f t="shared" si="1"/>
        <v>7771</v>
      </c>
      <c r="O21" s="25">
        <f t="shared" si="2"/>
        <v>187.44</v>
      </c>
      <c r="P21" s="26"/>
      <c r="Q21" s="26">
        <v>23</v>
      </c>
      <c r="R21" s="24">
        <f t="shared" si="3"/>
        <v>7560.56</v>
      </c>
      <c r="S21" s="25">
        <f t="shared" si="4"/>
        <v>64.751999999999995</v>
      </c>
      <c r="T21" s="27">
        <f t="shared" si="5"/>
        <v>41.751999999999995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26242</v>
      </c>
      <c r="E22" s="30"/>
      <c r="F22" s="30"/>
      <c r="G22" s="20"/>
      <c r="H22" s="30"/>
      <c r="I22" s="20">
        <v>5</v>
      </c>
      <c r="J22" s="20"/>
      <c r="K22" s="20"/>
      <c r="L22" s="20"/>
      <c r="M22" s="20">
        <f t="shared" si="0"/>
        <v>26242</v>
      </c>
      <c r="N22" s="24">
        <f t="shared" si="1"/>
        <v>27197</v>
      </c>
      <c r="O22" s="25">
        <f t="shared" si="2"/>
        <v>721.65499999999997</v>
      </c>
      <c r="P22" s="26"/>
      <c r="Q22" s="26">
        <v>150</v>
      </c>
      <c r="R22" s="24">
        <f t="shared" si="3"/>
        <v>26325.345000000001</v>
      </c>
      <c r="S22" s="25">
        <f t="shared" si="4"/>
        <v>249.29900000000001</v>
      </c>
      <c r="T22" s="27">
        <f t="shared" si="5"/>
        <v>99.299000000000007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10046</v>
      </c>
      <c r="E23" s="30"/>
      <c r="F23" s="30"/>
      <c r="G23" s="30"/>
      <c r="H23" s="30"/>
      <c r="I23" s="20">
        <v>7</v>
      </c>
      <c r="J23" s="20">
        <v>10</v>
      </c>
      <c r="K23" s="20"/>
      <c r="L23" s="20"/>
      <c r="M23" s="20">
        <f t="shared" si="0"/>
        <v>10046</v>
      </c>
      <c r="N23" s="24">
        <f t="shared" si="1"/>
        <v>13293</v>
      </c>
      <c r="O23" s="25">
        <f t="shared" si="2"/>
        <v>276.26499999999999</v>
      </c>
      <c r="P23" s="26"/>
      <c r="Q23" s="26">
        <v>100</v>
      </c>
      <c r="R23" s="24">
        <f t="shared" si="3"/>
        <v>12916.735000000001</v>
      </c>
      <c r="S23" s="25">
        <f t="shared" si="4"/>
        <v>95.436999999999998</v>
      </c>
      <c r="T23" s="27">
        <f t="shared" si="5"/>
        <v>-4.5630000000000024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33928</v>
      </c>
      <c r="E24" s="30">
        <v>10</v>
      </c>
      <c r="F24" s="30">
        <v>30</v>
      </c>
      <c r="G24" s="30"/>
      <c r="H24" s="30">
        <v>180</v>
      </c>
      <c r="I24" s="20">
        <v>10</v>
      </c>
      <c r="J24" s="20"/>
      <c r="K24" s="20">
        <v>5</v>
      </c>
      <c r="L24" s="20"/>
      <c r="M24" s="20">
        <f t="shared" si="0"/>
        <v>36048</v>
      </c>
      <c r="N24" s="24">
        <f t="shared" si="1"/>
        <v>38868</v>
      </c>
      <c r="O24" s="25">
        <f t="shared" si="2"/>
        <v>991.32</v>
      </c>
      <c r="P24" s="26">
        <v>2500</v>
      </c>
      <c r="Q24" s="26">
        <v>137</v>
      </c>
      <c r="R24" s="24">
        <f t="shared" si="3"/>
        <v>37739.68</v>
      </c>
      <c r="S24" s="25">
        <f t="shared" si="4"/>
        <v>342.45600000000002</v>
      </c>
      <c r="T24" s="27">
        <f t="shared" si="5"/>
        <v>205.45600000000002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11764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11764</v>
      </c>
      <c r="N25" s="24">
        <f t="shared" si="1"/>
        <v>11764</v>
      </c>
      <c r="O25" s="25">
        <f t="shared" si="2"/>
        <v>323.51</v>
      </c>
      <c r="P25" s="26"/>
      <c r="Q25" s="26">
        <v>110</v>
      </c>
      <c r="R25" s="24">
        <f t="shared" si="3"/>
        <v>11330.49</v>
      </c>
      <c r="S25" s="25">
        <f t="shared" si="4"/>
        <v>111.758</v>
      </c>
      <c r="T25" s="27">
        <f t="shared" si="5"/>
        <v>1.7579999999999956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12690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12690</v>
      </c>
      <c r="N26" s="24">
        <f t="shared" si="1"/>
        <v>14600</v>
      </c>
      <c r="O26" s="25">
        <f t="shared" si="2"/>
        <v>348.97500000000002</v>
      </c>
      <c r="P26" s="26">
        <v>-1000</v>
      </c>
      <c r="Q26" s="26">
        <v>141</v>
      </c>
      <c r="R26" s="24">
        <f t="shared" si="3"/>
        <v>14110.025</v>
      </c>
      <c r="S26" s="25">
        <f t="shared" si="4"/>
        <v>120.55499999999999</v>
      </c>
      <c r="T26" s="27">
        <f t="shared" si="5"/>
        <v>-20.445000000000007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14144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14144</v>
      </c>
      <c r="N27" s="40">
        <f t="shared" si="1"/>
        <v>14144</v>
      </c>
      <c r="O27" s="25">
        <f t="shared" si="2"/>
        <v>388.96</v>
      </c>
      <c r="P27" s="41"/>
      <c r="Q27" s="41">
        <v>100</v>
      </c>
      <c r="R27" s="24">
        <f t="shared" si="3"/>
        <v>13655.04</v>
      </c>
      <c r="S27" s="42">
        <f t="shared" si="4"/>
        <v>134.36799999999999</v>
      </c>
      <c r="T27" s="43">
        <f t="shared" si="5"/>
        <v>34.367999999999995</v>
      </c>
    </row>
    <row r="28" spans="1:20" ht="16.5" thickBot="1" x14ac:dyDescent="0.3">
      <c r="A28" s="240" t="s">
        <v>44</v>
      </c>
      <c r="B28" s="241"/>
      <c r="C28" s="242"/>
      <c r="D28" s="44">
        <f t="shared" ref="D28:E28" si="6">SUM(D7:D27)</f>
        <v>279895</v>
      </c>
      <c r="E28" s="45">
        <f t="shared" si="6"/>
        <v>40</v>
      </c>
      <c r="F28" s="45">
        <f t="shared" ref="F28:T28" si="7">SUM(F7:F27)</f>
        <v>200</v>
      </c>
      <c r="G28" s="45">
        <f t="shared" si="7"/>
        <v>190</v>
      </c>
      <c r="H28" s="45">
        <f t="shared" si="7"/>
        <v>770</v>
      </c>
      <c r="I28" s="45">
        <f t="shared" si="7"/>
        <v>56</v>
      </c>
      <c r="J28" s="45">
        <f t="shared" si="7"/>
        <v>27</v>
      </c>
      <c r="K28" s="45">
        <f t="shared" si="7"/>
        <v>22</v>
      </c>
      <c r="L28" s="45">
        <f t="shared" si="7"/>
        <v>0</v>
      </c>
      <c r="M28" s="45">
        <f t="shared" si="7"/>
        <v>291335</v>
      </c>
      <c r="N28" s="45">
        <f t="shared" si="7"/>
        <v>311192</v>
      </c>
      <c r="O28" s="46">
        <f t="shared" si="7"/>
        <v>8011.7125000000005</v>
      </c>
      <c r="P28" s="45">
        <f t="shared" si="7"/>
        <v>29600</v>
      </c>
      <c r="Q28" s="45">
        <f t="shared" si="7"/>
        <v>2150</v>
      </c>
      <c r="R28" s="45">
        <f t="shared" si="7"/>
        <v>301030.28749999998</v>
      </c>
      <c r="S28" s="45">
        <f t="shared" si="7"/>
        <v>2767.6824999999999</v>
      </c>
      <c r="T28" s="47">
        <f t="shared" si="7"/>
        <v>617.68250000000012</v>
      </c>
    </row>
    <row r="29" spans="1:20" ht="15.75" thickBot="1" x14ac:dyDescent="0.3">
      <c r="A29" s="243" t="s">
        <v>45</v>
      </c>
      <c r="B29" s="244"/>
      <c r="C29" s="245"/>
      <c r="D29" s="48">
        <f>D4+D5-D28</f>
        <v>448651</v>
      </c>
      <c r="E29" s="48">
        <f t="shared" ref="E29:L29" si="8">E4+E5-E28</f>
        <v>915</v>
      </c>
      <c r="F29" s="48">
        <f t="shared" si="8"/>
        <v>4080</v>
      </c>
      <c r="G29" s="48">
        <f t="shared" si="8"/>
        <v>200</v>
      </c>
      <c r="H29" s="48">
        <f t="shared" si="8"/>
        <v>20500</v>
      </c>
      <c r="I29" s="48">
        <f t="shared" si="8"/>
        <v>1296</v>
      </c>
      <c r="J29" s="48">
        <f t="shared" si="8"/>
        <v>608</v>
      </c>
      <c r="K29" s="48">
        <f t="shared" si="8"/>
        <v>172</v>
      </c>
      <c r="L29" s="48">
        <f t="shared" si="8"/>
        <v>0</v>
      </c>
      <c r="M29" s="246"/>
      <c r="N29" s="247"/>
      <c r="O29" s="247"/>
      <c r="P29" s="247"/>
      <c r="Q29" s="247"/>
      <c r="R29" s="247"/>
      <c r="S29" s="247"/>
      <c r="T29" s="24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48" priority="43" operator="equal">
      <formula>212030016606640</formula>
    </cfRule>
  </conditionalFormatting>
  <conditionalFormatting sqref="D29 E4:E6 E28:K29">
    <cfRule type="cellIs" dxfId="747" priority="41" operator="equal">
      <formula>$E$4</formula>
    </cfRule>
    <cfRule type="cellIs" dxfId="746" priority="42" operator="equal">
      <formula>2120</formula>
    </cfRule>
  </conditionalFormatting>
  <conditionalFormatting sqref="D29:E29 F4:F6 F28:F29">
    <cfRule type="cellIs" dxfId="745" priority="39" operator="equal">
      <formula>$F$4</formula>
    </cfRule>
    <cfRule type="cellIs" dxfId="744" priority="40" operator="equal">
      <formula>300</formula>
    </cfRule>
  </conditionalFormatting>
  <conditionalFormatting sqref="G4:G6 G28:G29">
    <cfRule type="cellIs" dxfId="743" priority="37" operator="equal">
      <formula>$G$4</formula>
    </cfRule>
    <cfRule type="cellIs" dxfId="742" priority="38" operator="equal">
      <formula>1660</formula>
    </cfRule>
  </conditionalFormatting>
  <conditionalFormatting sqref="H4:H6 H28:H29">
    <cfRule type="cellIs" dxfId="741" priority="35" operator="equal">
      <formula>$H$4</formula>
    </cfRule>
    <cfRule type="cellIs" dxfId="740" priority="36" operator="equal">
      <formula>6640</formula>
    </cfRule>
  </conditionalFormatting>
  <conditionalFormatting sqref="T6:T28">
    <cfRule type="cellIs" dxfId="739" priority="34" operator="lessThan">
      <formula>0</formula>
    </cfRule>
  </conditionalFormatting>
  <conditionalFormatting sqref="T7:T27">
    <cfRule type="cellIs" dxfId="738" priority="31" operator="lessThan">
      <formula>0</formula>
    </cfRule>
    <cfRule type="cellIs" dxfId="737" priority="32" operator="lessThan">
      <formula>0</formula>
    </cfRule>
    <cfRule type="cellIs" dxfId="736" priority="33" operator="lessThan">
      <formula>0</formula>
    </cfRule>
  </conditionalFormatting>
  <conditionalFormatting sqref="E4:E6 E28:K28">
    <cfRule type="cellIs" dxfId="735" priority="30" operator="equal">
      <formula>$E$4</formula>
    </cfRule>
  </conditionalFormatting>
  <conditionalFormatting sqref="D28:D29 D6 D4:M4">
    <cfRule type="cellIs" dxfId="734" priority="29" operator="equal">
      <formula>$D$4</formula>
    </cfRule>
  </conditionalFormatting>
  <conditionalFormatting sqref="I4:I6 I28:I29">
    <cfRule type="cellIs" dxfId="733" priority="28" operator="equal">
      <formula>$I$4</formula>
    </cfRule>
  </conditionalFormatting>
  <conditionalFormatting sqref="J4:J6 J28:J29">
    <cfRule type="cellIs" dxfId="732" priority="27" operator="equal">
      <formula>$J$4</formula>
    </cfRule>
  </conditionalFormatting>
  <conditionalFormatting sqref="K4:K6 K28:K29">
    <cfRule type="cellIs" dxfId="731" priority="26" operator="equal">
      <formula>$K$4</formula>
    </cfRule>
  </conditionalFormatting>
  <conditionalFormatting sqref="M4:M6">
    <cfRule type="cellIs" dxfId="730" priority="25" operator="equal">
      <formula>$L$4</formula>
    </cfRule>
  </conditionalFormatting>
  <conditionalFormatting sqref="T7:T28">
    <cfRule type="cellIs" dxfId="729" priority="22" operator="lessThan">
      <formula>0</formula>
    </cfRule>
    <cfRule type="cellIs" dxfId="728" priority="23" operator="lessThan">
      <formula>0</formula>
    </cfRule>
    <cfRule type="cellIs" dxfId="727" priority="24" operator="lessThan">
      <formula>0</formula>
    </cfRule>
  </conditionalFormatting>
  <conditionalFormatting sqref="D5:K5">
    <cfRule type="cellIs" dxfId="726" priority="21" operator="greaterThan">
      <formula>0</formula>
    </cfRule>
  </conditionalFormatting>
  <conditionalFormatting sqref="T6:T28">
    <cfRule type="cellIs" dxfId="725" priority="20" operator="lessThan">
      <formula>0</formula>
    </cfRule>
  </conditionalFormatting>
  <conditionalFormatting sqref="T7:T27">
    <cfRule type="cellIs" dxfId="724" priority="17" operator="lessThan">
      <formula>0</formula>
    </cfRule>
    <cfRule type="cellIs" dxfId="723" priority="18" operator="lessThan">
      <formula>0</formula>
    </cfRule>
    <cfRule type="cellIs" dxfId="722" priority="19" operator="lessThan">
      <formula>0</formula>
    </cfRule>
  </conditionalFormatting>
  <conditionalFormatting sqref="T7:T28">
    <cfRule type="cellIs" dxfId="721" priority="14" operator="lessThan">
      <formula>0</formula>
    </cfRule>
    <cfRule type="cellIs" dxfId="720" priority="15" operator="lessThan">
      <formula>0</formula>
    </cfRule>
    <cfRule type="cellIs" dxfId="719" priority="16" operator="lessThan">
      <formula>0</formula>
    </cfRule>
  </conditionalFormatting>
  <conditionalFormatting sqref="D5:K5">
    <cfRule type="cellIs" dxfId="718" priority="13" operator="greaterThan">
      <formula>0</formula>
    </cfRule>
  </conditionalFormatting>
  <conditionalFormatting sqref="L4 L6 L28:L29">
    <cfRule type="cellIs" dxfId="717" priority="12" operator="equal">
      <formula>$L$4</formula>
    </cfRule>
  </conditionalFormatting>
  <conditionalFormatting sqref="D7:S7">
    <cfRule type="cellIs" dxfId="716" priority="11" operator="greaterThan">
      <formula>0</formula>
    </cfRule>
  </conditionalFormatting>
  <conditionalFormatting sqref="D9:S9">
    <cfRule type="cellIs" dxfId="715" priority="10" operator="greaterThan">
      <formula>0</formula>
    </cfRule>
  </conditionalFormatting>
  <conditionalFormatting sqref="D11:S11">
    <cfRule type="cellIs" dxfId="714" priority="9" operator="greaterThan">
      <formula>0</formula>
    </cfRule>
  </conditionalFormatting>
  <conditionalFormatting sqref="D13:S13">
    <cfRule type="cellIs" dxfId="713" priority="8" operator="greaterThan">
      <formula>0</formula>
    </cfRule>
  </conditionalFormatting>
  <conditionalFormatting sqref="D15:S15">
    <cfRule type="cellIs" dxfId="712" priority="7" operator="greaterThan">
      <formula>0</formula>
    </cfRule>
  </conditionalFormatting>
  <conditionalFormatting sqref="D17:S17">
    <cfRule type="cellIs" dxfId="711" priority="6" operator="greaterThan">
      <formula>0</formula>
    </cfRule>
  </conditionalFormatting>
  <conditionalFormatting sqref="D19:S19">
    <cfRule type="cellIs" dxfId="710" priority="5" operator="greaterThan">
      <formula>0</formula>
    </cfRule>
  </conditionalFormatting>
  <conditionalFormatting sqref="D21:S21">
    <cfRule type="cellIs" dxfId="709" priority="4" operator="greaterThan">
      <formula>0</formula>
    </cfRule>
  </conditionalFormatting>
  <conditionalFormatting sqref="D23:S23">
    <cfRule type="cellIs" dxfId="708" priority="3" operator="greaterThan">
      <formula>0</formula>
    </cfRule>
  </conditionalFormatting>
  <conditionalFormatting sqref="D25:S25">
    <cfRule type="cellIs" dxfId="707" priority="2" operator="greaterThan">
      <formula>0</formula>
    </cfRule>
  </conditionalFormatting>
  <conditionalFormatting sqref="D27:S27">
    <cfRule type="cellIs" dxfId="706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49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</row>
    <row r="2" spans="1:20" ht="15.75" thickBot="1" x14ac:dyDescent="0.3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</row>
    <row r="3" spans="1:20" ht="18.75" x14ac:dyDescent="0.25">
      <c r="A3" s="250" t="s">
        <v>46</v>
      </c>
      <c r="B3" s="251"/>
      <c r="C3" s="252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</row>
    <row r="4" spans="1:20" x14ac:dyDescent="0.25">
      <c r="A4" s="254" t="s">
        <v>1</v>
      </c>
      <c r="B4" s="254"/>
      <c r="C4" s="1"/>
      <c r="D4" s="2">
        <f>'17'!D29</f>
        <v>448651</v>
      </c>
      <c r="E4" s="2">
        <f>'17'!E29</f>
        <v>915</v>
      </c>
      <c r="F4" s="2">
        <f>'17'!F29</f>
        <v>4080</v>
      </c>
      <c r="G4" s="2">
        <f>'17'!G29</f>
        <v>200</v>
      </c>
      <c r="H4" s="2">
        <f>'17'!H29</f>
        <v>20500</v>
      </c>
      <c r="I4" s="2">
        <f>'17'!I29</f>
        <v>1296</v>
      </c>
      <c r="J4" s="2">
        <f>'17'!J29</f>
        <v>608</v>
      </c>
      <c r="K4" s="2">
        <f>'17'!K29</f>
        <v>172</v>
      </c>
      <c r="L4" s="2">
        <f>'17'!L29</f>
        <v>0</v>
      </c>
      <c r="M4" s="3"/>
      <c r="N4" s="255"/>
      <c r="O4" s="255"/>
      <c r="P4" s="255"/>
      <c r="Q4" s="255"/>
      <c r="R4" s="255"/>
      <c r="S4" s="255"/>
      <c r="T4" s="255"/>
    </row>
    <row r="5" spans="1:20" x14ac:dyDescent="0.25">
      <c r="A5" s="254" t="s">
        <v>2</v>
      </c>
      <c r="B5" s="25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5"/>
      <c r="O5" s="255"/>
      <c r="P5" s="255"/>
      <c r="Q5" s="255"/>
      <c r="R5" s="255"/>
      <c r="S5" s="255"/>
      <c r="T5" s="25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40" t="s">
        <v>44</v>
      </c>
      <c r="B28" s="241"/>
      <c r="C28" s="24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43" t="s">
        <v>45</v>
      </c>
      <c r="B29" s="244"/>
      <c r="C29" s="245"/>
      <c r="D29" s="48">
        <f>D4+D5-D28</f>
        <v>448651</v>
      </c>
      <c r="E29" s="48">
        <f t="shared" ref="E29:L29" si="8">E4+E5-E28</f>
        <v>915</v>
      </c>
      <c r="F29" s="48">
        <f t="shared" si="8"/>
        <v>4080</v>
      </c>
      <c r="G29" s="48">
        <f t="shared" si="8"/>
        <v>200</v>
      </c>
      <c r="H29" s="48">
        <f t="shared" si="8"/>
        <v>20500</v>
      </c>
      <c r="I29" s="48">
        <f t="shared" si="8"/>
        <v>1296</v>
      </c>
      <c r="J29" s="48">
        <f t="shared" si="8"/>
        <v>608</v>
      </c>
      <c r="K29" s="48">
        <f t="shared" si="8"/>
        <v>172</v>
      </c>
      <c r="L29" s="48">
        <f t="shared" si="8"/>
        <v>0</v>
      </c>
      <c r="M29" s="246"/>
      <c r="N29" s="247"/>
      <c r="O29" s="247"/>
      <c r="P29" s="247"/>
      <c r="Q29" s="247"/>
      <c r="R29" s="247"/>
      <c r="S29" s="247"/>
      <c r="T29" s="24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05" priority="43" operator="equal">
      <formula>212030016606640</formula>
    </cfRule>
  </conditionalFormatting>
  <conditionalFormatting sqref="D29 E4:E6 E28:K29">
    <cfRule type="cellIs" dxfId="704" priority="41" operator="equal">
      <formula>$E$4</formula>
    </cfRule>
    <cfRule type="cellIs" dxfId="703" priority="42" operator="equal">
      <formula>2120</formula>
    </cfRule>
  </conditionalFormatting>
  <conditionalFormatting sqref="D29:E29 F4:F6 F28:F29">
    <cfRule type="cellIs" dxfId="702" priority="39" operator="equal">
      <formula>$F$4</formula>
    </cfRule>
    <cfRule type="cellIs" dxfId="701" priority="40" operator="equal">
      <formula>300</formula>
    </cfRule>
  </conditionalFormatting>
  <conditionalFormatting sqref="G4:G6 G28:G29">
    <cfRule type="cellIs" dxfId="700" priority="37" operator="equal">
      <formula>$G$4</formula>
    </cfRule>
    <cfRule type="cellIs" dxfId="699" priority="38" operator="equal">
      <formula>1660</formula>
    </cfRule>
  </conditionalFormatting>
  <conditionalFormatting sqref="H4:H6 H28:H29">
    <cfRule type="cellIs" dxfId="698" priority="35" operator="equal">
      <formula>$H$4</formula>
    </cfRule>
    <cfRule type="cellIs" dxfId="697" priority="36" operator="equal">
      <formula>6640</formula>
    </cfRule>
  </conditionalFormatting>
  <conditionalFormatting sqref="T6:T28">
    <cfRule type="cellIs" dxfId="696" priority="34" operator="lessThan">
      <formula>0</formula>
    </cfRule>
  </conditionalFormatting>
  <conditionalFormatting sqref="T7:T27">
    <cfRule type="cellIs" dxfId="695" priority="31" operator="lessThan">
      <formula>0</formula>
    </cfRule>
    <cfRule type="cellIs" dxfId="694" priority="32" operator="lessThan">
      <formula>0</formula>
    </cfRule>
    <cfRule type="cellIs" dxfId="693" priority="33" operator="lessThan">
      <formula>0</formula>
    </cfRule>
  </conditionalFormatting>
  <conditionalFormatting sqref="E4:E6 E28:K28">
    <cfRule type="cellIs" dxfId="692" priority="30" operator="equal">
      <formula>$E$4</formula>
    </cfRule>
  </conditionalFormatting>
  <conditionalFormatting sqref="D28:D29 D6 D4:M4">
    <cfRule type="cellIs" dxfId="691" priority="29" operator="equal">
      <formula>$D$4</formula>
    </cfRule>
  </conditionalFormatting>
  <conditionalFormatting sqref="I4:I6 I28:I29">
    <cfRule type="cellIs" dxfId="690" priority="28" operator="equal">
      <formula>$I$4</formula>
    </cfRule>
  </conditionalFormatting>
  <conditionalFormatting sqref="J4:J6 J28:J29">
    <cfRule type="cellIs" dxfId="689" priority="27" operator="equal">
      <formula>$J$4</formula>
    </cfRule>
  </conditionalFormatting>
  <conditionalFormatting sqref="K4:K6 K28:K29">
    <cfRule type="cellIs" dxfId="688" priority="26" operator="equal">
      <formula>$K$4</formula>
    </cfRule>
  </conditionalFormatting>
  <conditionalFormatting sqref="M4:M6">
    <cfRule type="cellIs" dxfId="687" priority="25" operator="equal">
      <formula>$L$4</formula>
    </cfRule>
  </conditionalFormatting>
  <conditionalFormatting sqref="T7:T28">
    <cfRule type="cellIs" dxfId="686" priority="22" operator="lessThan">
      <formula>0</formula>
    </cfRule>
    <cfRule type="cellIs" dxfId="685" priority="23" operator="lessThan">
      <formula>0</formula>
    </cfRule>
    <cfRule type="cellIs" dxfId="684" priority="24" operator="lessThan">
      <formula>0</formula>
    </cfRule>
  </conditionalFormatting>
  <conditionalFormatting sqref="D5:K5">
    <cfRule type="cellIs" dxfId="683" priority="21" operator="greaterThan">
      <formula>0</formula>
    </cfRule>
  </conditionalFormatting>
  <conditionalFormatting sqref="T6:T28">
    <cfRule type="cellIs" dxfId="682" priority="20" operator="lessThan">
      <formula>0</formula>
    </cfRule>
  </conditionalFormatting>
  <conditionalFormatting sqref="T7:T27">
    <cfRule type="cellIs" dxfId="681" priority="17" operator="lessThan">
      <formula>0</formula>
    </cfRule>
    <cfRule type="cellIs" dxfId="680" priority="18" operator="lessThan">
      <formula>0</formula>
    </cfRule>
    <cfRule type="cellIs" dxfId="679" priority="19" operator="lessThan">
      <formula>0</formula>
    </cfRule>
  </conditionalFormatting>
  <conditionalFormatting sqref="T7:T28">
    <cfRule type="cellIs" dxfId="678" priority="14" operator="lessThan">
      <formula>0</formula>
    </cfRule>
    <cfRule type="cellIs" dxfId="677" priority="15" operator="lessThan">
      <formula>0</formula>
    </cfRule>
    <cfRule type="cellIs" dxfId="676" priority="16" operator="lessThan">
      <formula>0</formula>
    </cfRule>
  </conditionalFormatting>
  <conditionalFormatting sqref="D5:K5">
    <cfRule type="cellIs" dxfId="675" priority="13" operator="greaterThan">
      <formula>0</formula>
    </cfRule>
  </conditionalFormatting>
  <conditionalFormatting sqref="L4 L6 L28:L29">
    <cfRule type="cellIs" dxfId="674" priority="12" operator="equal">
      <formula>$L$4</formula>
    </cfRule>
  </conditionalFormatting>
  <conditionalFormatting sqref="D7:S7">
    <cfRule type="cellIs" dxfId="673" priority="11" operator="greaterThan">
      <formula>0</formula>
    </cfRule>
  </conditionalFormatting>
  <conditionalFormatting sqref="D9:S9">
    <cfRule type="cellIs" dxfId="672" priority="10" operator="greaterThan">
      <formula>0</formula>
    </cfRule>
  </conditionalFormatting>
  <conditionalFormatting sqref="D11:S11">
    <cfRule type="cellIs" dxfId="671" priority="9" operator="greaterThan">
      <formula>0</formula>
    </cfRule>
  </conditionalFormatting>
  <conditionalFormatting sqref="D13:S13">
    <cfRule type="cellIs" dxfId="670" priority="8" operator="greaterThan">
      <formula>0</formula>
    </cfRule>
  </conditionalFormatting>
  <conditionalFormatting sqref="D15:S15">
    <cfRule type="cellIs" dxfId="669" priority="7" operator="greaterThan">
      <formula>0</formula>
    </cfRule>
  </conditionalFormatting>
  <conditionalFormatting sqref="D17:S17">
    <cfRule type="cellIs" dxfId="668" priority="6" operator="greaterThan">
      <formula>0</formula>
    </cfRule>
  </conditionalFormatting>
  <conditionalFormatting sqref="D19:S19">
    <cfRule type="cellIs" dxfId="667" priority="5" operator="greaterThan">
      <formula>0</formula>
    </cfRule>
  </conditionalFormatting>
  <conditionalFormatting sqref="D21:S21">
    <cfRule type="cellIs" dxfId="666" priority="4" operator="greaterThan">
      <formula>0</formula>
    </cfRule>
  </conditionalFormatting>
  <conditionalFormatting sqref="D23:S23">
    <cfRule type="cellIs" dxfId="665" priority="3" operator="greaterThan">
      <formula>0</formula>
    </cfRule>
  </conditionalFormatting>
  <conditionalFormatting sqref="D25:S25">
    <cfRule type="cellIs" dxfId="664" priority="2" operator="greaterThan">
      <formula>0</formula>
    </cfRule>
  </conditionalFormatting>
  <conditionalFormatting sqref="D27:S27">
    <cfRule type="cellIs" dxfId="663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A16" sqref="A16:XFD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49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</row>
    <row r="2" spans="1:20" ht="15.75" thickBot="1" x14ac:dyDescent="0.3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</row>
    <row r="3" spans="1:20" ht="18.75" x14ac:dyDescent="0.25">
      <c r="A3" s="250" t="s">
        <v>112</v>
      </c>
      <c r="B3" s="251"/>
      <c r="C3" s="252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</row>
    <row r="4" spans="1:20" x14ac:dyDescent="0.25">
      <c r="A4" s="254" t="s">
        <v>1</v>
      </c>
      <c r="B4" s="254"/>
      <c r="C4" s="1"/>
      <c r="D4" s="2">
        <f>'18'!D29</f>
        <v>448651</v>
      </c>
      <c r="E4" s="2">
        <f>'18'!E29</f>
        <v>915</v>
      </c>
      <c r="F4" s="2">
        <f>'18'!F29</f>
        <v>4080</v>
      </c>
      <c r="G4" s="2">
        <f>'18'!G29</f>
        <v>200</v>
      </c>
      <c r="H4" s="2">
        <f>'18'!H29</f>
        <v>20500</v>
      </c>
      <c r="I4" s="2">
        <f>'18'!I29</f>
        <v>1296</v>
      </c>
      <c r="J4" s="2">
        <f>'18'!J29</f>
        <v>608</v>
      </c>
      <c r="K4" s="2">
        <f>'18'!K29</f>
        <v>172</v>
      </c>
      <c r="L4" s="2">
        <f>'18'!L29</f>
        <v>0</v>
      </c>
      <c r="M4" s="3"/>
      <c r="N4" s="255"/>
      <c r="O4" s="255"/>
      <c r="P4" s="255"/>
      <c r="Q4" s="255"/>
      <c r="R4" s="255"/>
      <c r="S4" s="255"/>
      <c r="T4" s="255"/>
    </row>
    <row r="5" spans="1:20" x14ac:dyDescent="0.25">
      <c r="A5" s="254" t="s">
        <v>2</v>
      </c>
      <c r="B5" s="254"/>
      <c r="C5" s="1"/>
      <c r="D5" s="1">
        <v>205354</v>
      </c>
      <c r="E5" s="4">
        <v>8000</v>
      </c>
      <c r="F5" s="4">
        <v>15000</v>
      </c>
      <c r="G5" s="4">
        <v>1000</v>
      </c>
      <c r="H5" s="4">
        <v>20000</v>
      </c>
      <c r="I5" s="1"/>
      <c r="J5" s="1"/>
      <c r="K5" s="1"/>
      <c r="L5" s="1"/>
      <c r="M5" s="5"/>
      <c r="N5" s="255"/>
      <c r="O5" s="255"/>
      <c r="P5" s="255"/>
      <c r="Q5" s="255"/>
      <c r="R5" s="255"/>
      <c r="S5" s="255"/>
      <c r="T5" s="25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11507</v>
      </c>
      <c r="E7" s="22"/>
      <c r="F7" s="22"/>
      <c r="G7" s="22"/>
      <c r="H7" s="22"/>
      <c r="I7" s="23">
        <v>12</v>
      </c>
      <c r="J7" s="23"/>
      <c r="K7" s="23"/>
      <c r="L7" s="23"/>
      <c r="M7" s="20">
        <f>D7+E7*20+F7*10+G7*9+H7*9</f>
        <v>11507</v>
      </c>
      <c r="N7" s="24">
        <f>D7+E7*20+F7*10+G7*9+H7*9+I7*191+J7*191+K7*182+L7*100</f>
        <v>13799</v>
      </c>
      <c r="O7" s="25">
        <f>M7*2.75%</f>
        <v>316.4425</v>
      </c>
      <c r="P7" s="26"/>
      <c r="Q7" s="26">
        <v>123</v>
      </c>
      <c r="R7" s="24">
        <f>M7-(M7*2.75%)+I7*191+J7*191+K7*182+L7*100-Q7</f>
        <v>13359.557500000001</v>
      </c>
      <c r="S7" s="25">
        <f>M7*0.95%</f>
        <v>109.31649999999999</v>
      </c>
      <c r="T7" s="27">
        <f>S7-Q7</f>
        <v>-13.683500000000009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5935</v>
      </c>
      <c r="E8" s="30"/>
      <c r="F8" s="30">
        <v>50</v>
      </c>
      <c r="G8" s="30">
        <v>50</v>
      </c>
      <c r="H8" s="30">
        <v>50</v>
      </c>
      <c r="I8" s="20"/>
      <c r="J8" s="20"/>
      <c r="K8" s="20"/>
      <c r="L8" s="20"/>
      <c r="M8" s="20">
        <f t="shared" ref="M8:M27" si="0">D8+E8*20+F8*10+G8*9+H8*9</f>
        <v>7335</v>
      </c>
      <c r="N8" s="24">
        <f t="shared" ref="N8:N27" si="1">D8+E8*20+F8*10+G8*9+H8*9+I8*191+J8*191+K8*182+L8*100</f>
        <v>7335</v>
      </c>
      <c r="O8" s="25">
        <f t="shared" ref="O8:O27" si="2">M8*2.75%</f>
        <v>201.71250000000001</v>
      </c>
      <c r="P8" s="26"/>
      <c r="Q8" s="26">
        <v>48</v>
      </c>
      <c r="R8" s="24">
        <f t="shared" ref="R8:R27" si="3">M8-(M8*2.75%)+I8*191+J8*191+K8*182+L8*100-Q8</f>
        <v>7085.2875000000004</v>
      </c>
      <c r="S8" s="25">
        <f t="shared" ref="S8:S27" si="4">M8*0.95%</f>
        <v>69.682500000000005</v>
      </c>
      <c r="T8" s="27">
        <f t="shared" ref="T8:T27" si="5">S8-Q8</f>
        <v>21.682500000000005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18960</v>
      </c>
      <c r="E9" s="30"/>
      <c r="F9" s="30">
        <v>50</v>
      </c>
      <c r="G9" s="30"/>
      <c r="H9" s="30">
        <v>110</v>
      </c>
      <c r="I9" s="20"/>
      <c r="J9" s="20"/>
      <c r="K9" s="20"/>
      <c r="L9" s="20"/>
      <c r="M9" s="20">
        <f t="shared" si="0"/>
        <v>20450</v>
      </c>
      <c r="N9" s="24">
        <f t="shared" si="1"/>
        <v>20450</v>
      </c>
      <c r="O9" s="25">
        <f t="shared" si="2"/>
        <v>562.375</v>
      </c>
      <c r="P9" s="26">
        <v>10000</v>
      </c>
      <c r="Q9" s="26">
        <v>157</v>
      </c>
      <c r="R9" s="24">
        <f t="shared" si="3"/>
        <v>19730.625</v>
      </c>
      <c r="S9" s="25">
        <f t="shared" si="4"/>
        <v>194.27500000000001</v>
      </c>
      <c r="T9" s="27">
        <f t="shared" si="5"/>
        <v>37.275000000000006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4884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4884</v>
      </c>
      <c r="N10" s="24">
        <f t="shared" si="1"/>
        <v>5839</v>
      </c>
      <c r="O10" s="25">
        <f t="shared" si="2"/>
        <v>134.31</v>
      </c>
      <c r="P10" s="26">
        <v>500</v>
      </c>
      <c r="Q10" s="26">
        <v>29</v>
      </c>
      <c r="R10" s="24">
        <f t="shared" si="3"/>
        <v>5675.69</v>
      </c>
      <c r="S10" s="25">
        <f t="shared" si="4"/>
        <v>46.397999999999996</v>
      </c>
      <c r="T10" s="27">
        <f t="shared" si="5"/>
        <v>17.397999999999996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5139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5139</v>
      </c>
      <c r="N11" s="24">
        <f t="shared" si="1"/>
        <v>5139</v>
      </c>
      <c r="O11" s="25">
        <f t="shared" si="2"/>
        <v>141.32249999999999</v>
      </c>
      <c r="P11" s="26"/>
      <c r="Q11" s="26"/>
      <c r="R11" s="24">
        <f t="shared" si="3"/>
        <v>4997.6774999999998</v>
      </c>
      <c r="S11" s="25">
        <f t="shared" si="4"/>
        <v>48.820499999999996</v>
      </c>
      <c r="T11" s="27">
        <f t="shared" si="5"/>
        <v>48.820499999999996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2984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2984</v>
      </c>
      <c r="N12" s="24">
        <f t="shared" si="1"/>
        <v>2984</v>
      </c>
      <c r="O12" s="25">
        <f t="shared" si="2"/>
        <v>82.06</v>
      </c>
      <c r="P12" s="26"/>
      <c r="Q12" s="26">
        <v>22</v>
      </c>
      <c r="R12" s="24">
        <f t="shared" si="3"/>
        <v>2879.94</v>
      </c>
      <c r="S12" s="25">
        <f t="shared" si="4"/>
        <v>28.347999999999999</v>
      </c>
      <c r="T12" s="27">
        <f t="shared" si="5"/>
        <v>6.347999999999999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4736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4736</v>
      </c>
      <c r="N13" s="24">
        <f t="shared" si="1"/>
        <v>4736</v>
      </c>
      <c r="O13" s="25">
        <f t="shared" si="2"/>
        <v>130.24</v>
      </c>
      <c r="P13" s="26"/>
      <c r="Q13" s="26">
        <v>50</v>
      </c>
      <c r="R13" s="24">
        <f t="shared" si="3"/>
        <v>4555.76</v>
      </c>
      <c r="S13" s="25">
        <f t="shared" si="4"/>
        <v>44.991999999999997</v>
      </c>
      <c r="T13" s="27">
        <f t="shared" si="5"/>
        <v>-5.0080000000000027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20972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20972</v>
      </c>
      <c r="N14" s="24">
        <f t="shared" si="1"/>
        <v>20972</v>
      </c>
      <c r="O14" s="25">
        <f t="shared" si="2"/>
        <v>576.73</v>
      </c>
      <c r="P14" s="26"/>
      <c r="Q14" s="26"/>
      <c r="R14" s="24">
        <f t="shared" si="3"/>
        <v>20395.27</v>
      </c>
      <c r="S14" s="25">
        <f t="shared" si="4"/>
        <v>199.23400000000001</v>
      </c>
      <c r="T14" s="27">
        <f t="shared" si="5"/>
        <v>199.23400000000001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19430</v>
      </c>
      <c r="E15" s="30">
        <v>80</v>
      </c>
      <c r="F15" s="30">
        <v>50</v>
      </c>
      <c r="G15" s="30">
        <v>40</v>
      </c>
      <c r="H15" s="30">
        <v>10</v>
      </c>
      <c r="I15" s="20">
        <v>3</v>
      </c>
      <c r="J15" s="20"/>
      <c r="K15" s="20"/>
      <c r="L15" s="20"/>
      <c r="M15" s="20">
        <f t="shared" si="0"/>
        <v>21980</v>
      </c>
      <c r="N15" s="24">
        <f t="shared" si="1"/>
        <v>22553</v>
      </c>
      <c r="O15" s="25">
        <f t="shared" si="2"/>
        <v>604.45000000000005</v>
      </c>
      <c r="P15" s="26">
        <v>17062</v>
      </c>
      <c r="Q15" s="26">
        <v>160</v>
      </c>
      <c r="R15" s="24">
        <f t="shared" si="3"/>
        <v>21788.55</v>
      </c>
      <c r="S15" s="25">
        <f t="shared" si="4"/>
        <v>208.81</v>
      </c>
      <c r="T15" s="27">
        <f t="shared" si="5"/>
        <v>48.81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12703</v>
      </c>
      <c r="E16" s="30"/>
      <c r="F16" s="30"/>
      <c r="G16" s="30"/>
      <c r="H16" s="30"/>
      <c r="I16" s="20">
        <v>1</v>
      </c>
      <c r="J16" s="20"/>
      <c r="K16" s="20"/>
      <c r="L16" s="20"/>
      <c r="M16" s="20">
        <f t="shared" si="0"/>
        <v>12703</v>
      </c>
      <c r="N16" s="24">
        <f t="shared" si="1"/>
        <v>12894</v>
      </c>
      <c r="O16" s="25">
        <f t="shared" si="2"/>
        <v>349.33249999999998</v>
      </c>
      <c r="P16" s="26">
        <v>-1500</v>
      </c>
      <c r="Q16" s="26">
        <v>144</v>
      </c>
      <c r="R16" s="24">
        <f t="shared" si="3"/>
        <v>12400.6675</v>
      </c>
      <c r="S16" s="25">
        <f t="shared" si="4"/>
        <v>120.6785</v>
      </c>
      <c r="T16" s="27">
        <f t="shared" si="5"/>
        <v>-23.3215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15622</v>
      </c>
      <c r="E17" s="30"/>
      <c r="F17" s="30">
        <v>100</v>
      </c>
      <c r="G17" s="30">
        <v>50</v>
      </c>
      <c r="H17" s="30">
        <v>120</v>
      </c>
      <c r="I17" s="20">
        <v>35</v>
      </c>
      <c r="J17" s="20"/>
      <c r="K17" s="20">
        <v>9</v>
      </c>
      <c r="L17" s="20"/>
      <c r="M17" s="20">
        <f t="shared" si="0"/>
        <v>18152</v>
      </c>
      <c r="N17" s="24">
        <f t="shared" si="1"/>
        <v>26475</v>
      </c>
      <c r="O17" s="25">
        <f t="shared" si="2"/>
        <v>499.18</v>
      </c>
      <c r="P17" s="26">
        <v>-1000</v>
      </c>
      <c r="Q17" s="26">
        <v>165</v>
      </c>
      <c r="R17" s="24">
        <f t="shared" si="3"/>
        <v>25810.82</v>
      </c>
      <c r="S17" s="25">
        <f t="shared" si="4"/>
        <v>172.44399999999999</v>
      </c>
      <c r="T17" s="27">
        <f t="shared" si="5"/>
        <v>7.4439999999999884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12852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12852</v>
      </c>
      <c r="N18" s="24">
        <f t="shared" si="1"/>
        <v>12852</v>
      </c>
      <c r="O18" s="25">
        <f t="shared" si="2"/>
        <v>353.43</v>
      </c>
      <c r="P18" s="26">
        <v>29958</v>
      </c>
      <c r="Q18" s="26">
        <v>180</v>
      </c>
      <c r="R18" s="24">
        <f t="shared" si="3"/>
        <v>12318.57</v>
      </c>
      <c r="S18" s="25">
        <f t="shared" si="4"/>
        <v>122.09399999999999</v>
      </c>
      <c r="T18" s="27">
        <f t="shared" si="5"/>
        <v>-57.906000000000006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11000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11000</v>
      </c>
      <c r="N19" s="24">
        <f t="shared" si="1"/>
        <v>11000</v>
      </c>
      <c r="O19" s="25">
        <f t="shared" si="2"/>
        <v>302.5</v>
      </c>
      <c r="P19" s="26"/>
      <c r="Q19" s="26">
        <v>170</v>
      </c>
      <c r="R19" s="24">
        <f t="shared" si="3"/>
        <v>10527.5</v>
      </c>
      <c r="S19" s="25">
        <f t="shared" si="4"/>
        <v>104.5</v>
      </c>
      <c r="T19" s="27">
        <f t="shared" si="5"/>
        <v>-65.5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9253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9253</v>
      </c>
      <c r="N20" s="24">
        <f t="shared" si="1"/>
        <v>9253</v>
      </c>
      <c r="O20" s="25">
        <f t="shared" si="2"/>
        <v>254.45750000000001</v>
      </c>
      <c r="P20" s="26">
        <v>4000</v>
      </c>
      <c r="Q20" s="26">
        <v>120</v>
      </c>
      <c r="R20" s="24">
        <f t="shared" si="3"/>
        <v>8878.5424999999996</v>
      </c>
      <c r="S20" s="25">
        <f t="shared" si="4"/>
        <v>87.903499999999994</v>
      </c>
      <c r="T20" s="27">
        <f t="shared" si="5"/>
        <v>-32.096500000000006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10359</v>
      </c>
      <c r="E21" s="30">
        <v>20</v>
      </c>
      <c r="F21" s="30"/>
      <c r="G21" s="30"/>
      <c r="H21" s="30">
        <v>50</v>
      </c>
      <c r="I21" s="20"/>
      <c r="J21" s="20"/>
      <c r="K21" s="20">
        <v>5</v>
      </c>
      <c r="L21" s="20"/>
      <c r="M21" s="20">
        <f t="shared" si="0"/>
        <v>11209</v>
      </c>
      <c r="N21" s="24">
        <f t="shared" si="1"/>
        <v>12119</v>
      </c>
      <c r="O21" s="25">
        <f t="shared" si="2"/>
        <v>308.2475</v>
      </c>
      <c r="P21" s="26">
        <v>-780</v>
      </c>
      <c r="Q21" s="26">
        <v>30</v>
      </c>
      <c r="R21" s="24">
        <f t="shared" si="3"/>
        <v>11780.752500000001</v>
      </c>
      <c r="S21" s="25">
        <f t="shared" si="4"/>
        <v>106.4855</v>
      </c>
      <c r="T21" s="27">
        <f t="shared" si="5"/>
        <v>76.485500000000002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13210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13210</v>
      </c>
      <c r="N22" s="24">
        <f t="shared" si="1"/>
        <v>13210</v>
      </c>
      <c r="O22" s="25">
        <f t="shared" si="2"/>
        <v>363.27499999999998</v>
      </c>
      <c r="P22" s="26">
        <v>-1000</v>
      </c>
      <c r="Q22" s="26">
        <v>100</v>
      </c>
      <c r="R22" s="24">
        <f t="shared" si="3"/>
        <v>12746.725</v>
      </c>
      <c r="S22" s="25">
        <f t="shared" si="4"/>
        <v>125.49499999999999</v>
      </c>
      <c r="T22" s="27">
        <f t="shared" si="5"/>
        <v>25.49499999999999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7245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7245</v>
      </c>
      <c r="N23" s="24">
        <f t="shared" si="1"/>
        <v>7245</v>
      </c>
      <c r="O23" s="25">
        <f t="shared" si="2"/>
        <v>199.23750000000001</v>
      </c>
      <c r="P23" s="26"/>
      <c r="Q23" s="26">
        <v>70</v>
      </c>
      <c r="R23" s="24">
        <f t="shared" si="3"/>
        <v>6975.7624999999998</v>
      </c>
      <c r="S23" s="25">
        <f t="shared" si="4"/>
        <v>68.827500000000001</v>
      </c>
      <c r="T23" s="27">
        <f t="shared" si="5"/>
        <v>-1.1724999999999994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11822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11822</v>
      </c>
      <c r="N24" s="24">
        <f t="shared" si="1"/>
        <v>11822</v>
      </c>
      <c r="O24" s="25">
        <f t="shared" si="2"/>
        <v>325.10500000000002</v>
      </c>
      <c r="P24" s="26"/>
      <c r="Q24" s="26"/>
      <c r="R24" s="24">
        <f t="shared" si="3"/>
        <v>11496.895</v>
      </c>
      <c r="S24" s="25">
        <f t="shared" si="4"/>
        <v>112.309</v>
      </c>
      <c r="T24" s="27">
        <f t="shared" si="5"/>
        <v>112.309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8380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8380</v>
      </c>
      <c r="N25" s="24">
        <f t="shared" si="1"/>
        <v>8380</v>
      </c>
      <c r="O25" s="25">
        <f t="shared" si="2"/>
        <v>230.45</v>
      </c>
      <c r="P25" s="26">
        <v>13500</v>
      </c>
      <c r="Q25" s="26">
        <v>83</v>
      </c>
      <c r="R25" s="24">
        <f t="shared" si="3"/>
        <v>8066.55</v>
      </c>
      <c r="S25" s="25">
        <f t="shared" si="4"/>
        <v>79.61</v>
      </c>
      <c r="T25" s="27">
        <f t="shared" si="5"/>
        <v>-3.3900000000000006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5757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5757</v>
      </c>
      <c r="N26" s="24">
        <f t="shared" si="1"/>
        <v>5757</v>
      </c>
      <c r="O26" s="25">
        <f t="shared" si="2"/>
        <v>158.3175</v>
      </c>
      <c r="P26" s="26"/>
      <c r="Q26" s="26">
        <v>48</v>
      </c>
      <c r="R26" s="24">
        <f t="shared" si="3"/>
        <v>5550.6824999999999</v>
      </c>
      <c r="S26" s="25">
        <f t="shared" si="4"/>
        <v>54.691499999999998</v>
      </c>
      <c r="T26" s="27">
        <f t="shared" si="5"/>
        <v>6.6914999999999978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10487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10487</v>
      </c>
      <c r="N27" s="40">
        <f t="shared" si="1"/>
        <v>11442</v>
      </c>
      <c r="O27" s="25">
        <f t="shared" si="2"/>
        <v>288.39249999999998</v>
      </c>
      <c r="P27" s="41">
        <v>37000</v>
      </c>
      <c r="Q27" s="41">
        <v>100</v>
      </c>
      <c r="R27" s="24">
        <f t="shared" si="3"/>
        <v>11053.6075</v>
      </c>
      <c r="S27" s="42">
        <f t="shared" si="4"/>
        <v>99.626499999999993</v>
      </c>
      <c r="T27" s="43">
        <f t="shared" si="5"/>
        <v>-0.37350000000000705</v>
      </c>
    </row>
    <row r="28" spans="1:20" ht="16.5" thickBot="1" x14ac:dyDescent="0.3">
      <c r="A28" s="240" t="s">
        <v>44</v>
      </c>
      <c r="B28" s="241"/>
      <c r="C28" s="242"/>
      <c r="D28" s="44">
        <f t="shared" ref="D28:E28" si="6">SUM(D7:D27)</f>
        <v>223237</v>
      </c>
      <c r="E28" s="45">
        <f t="shared" si="6"/>
        <v>100</v>
      </c>
      <c r="F28" s="45">
        <f t="shared" ref="F28:T28" si="7">SUM(F7:F27)</f>
        <v>250</v>
      </c>
      <c r="G28" s="45">
        <f t="shared" si="7"/>
        <v>140</v>
      </c>
      <c r="H28" s="45">
        <f t="shared" si="7"/>
        <v>340</v>
      </c>
      <c r="I28" s="45">
        <f t="shared" si="7"/>
        <v>61</v>
      </c>
      <c r="J28" s="45">
        <f t="shared" si="7"/>
        <v>0</v>
      </c>
      <c r="K28" s="45">
        <f t="shared" si="7"/>
        <v>14</v>
      </c>
      <c r="L28" s="45">
        <f t="shared" si="7"/>
        <v>0</v>
      </c>
      <c r="M28" s="45">
        <f t="shared" si="7"/>
        <v>232057</v>
      </c>
      <c r="N28" s="45">
        <f t="shared" si="7"/>
        <v>246256</v>
      </c>
      <c r="O28" s="46">
        <f t="shared" si="7"/>
        <v>6381.5674999999992</v>
      </c>
      <c r="P28" s="45">
        <f t="shared" si="7"/>
        <v>107740</v>
      </c>
      <c r="Q28" s="45">
        <f t="shared" si="7"/>
        <v>1799</v>
      </c>
      <c r="R28" s="45">
        <f t="shared" si="7"/>
        <v>238075.43250000002</v>
      </c>
      <c r="S28" s="45">
        <f t="shared" si="7"/>
        <v>2204.5414999999998</v>
      </c>
      <c r="T28" s="47">
        <f t="shared" si="7"/>
        <v>405.54150000000004</v>
      </c>
    </row>
    <row r="29" spans="1:20" ht="15.75" thickBot="1" x14ac:dyDescent="0.3">
      <c r="A29" s="243" t="s">
        <v>45</v>
      </c>
      <c r="B29" s="244"/>
      <c r="C29" s="245"/>
      <c r="D29" s="48">
        <f>D4+D5-D28</f>
        <v>430768</v>
      </c>
      <c r="E29" s="48">
        <f t="shared" ref="E29:L29" si="8">E4+E5-E28</f>
        <v>8815</v>
      </c>
      <c r="F29" s="48">
        <f t="shared" si="8"/>
        <v>18830</v>
      </c>
      <c r="G29" s="48">
        <f t="shared" si="8"/>
        <v>1060</v>
      </c>
      <c r="H29" s="48">
        <f t="shared" si="8"/>
        <v>40160</v>
      </c>
      <c r="I29" s="48">
        <f t="shared" si="8"/>
        <v>1235</v>
      </c>
      <c r="J29" s="48">
        <f t="shared" si="8"/>
        <v>608</v>
      </c>
      <c r="K29" s="48">
        <f t="shared" si="8"/>
        <v>158</v>
      </c>
      <c r="L29" s="48">
        <f t="shared" si="8"/>
        <v>0</v>
      </c>
      <c r="M29" s="246"/>
      <c r="N29" s="247"/>
      <c r="O29" s="247"/>
      <c r="P29" s="247"/>
      <c r="Q29" s="247"/>
      <c r="R29" s="247"/>
      <c r="S29" s="247"/>
      <c r="T29" s="24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62" priority="43" operator="equal">
      <formula>212030016606640</formula>
    </cfRule>
  </conditionalFormatting>
  <conditionalFormatting sqref="D29 E4:E6 E28:K29">
    <cfRule type="cellIs" dxfId="661" priority="41" operator="equal">
      <formula>$E$4</formula>
    </cfRule>
    <cfRule type="cellIs" dxfId="660" priority="42" operator="equal">
      <formula>2120</formula>
    </cfRule>
  </conditionalFormatting>
  <conditionalFormatting sqref="D29:E29 F4:F6 F28:F29">
    <cfRule type="cellIs" dxfId="659" priority="39" operator="equal">
      <formula>$F$4</formula>
    </cfRule>
    <cfRule type="cellIs" dxfId="658" priority="40" operator="equal">
      <formula>300</formula>
    </cfRule>
  </conditionalFormatting>
  <conditionalFormatting sqref="G4:G6 G28:G29">
    <cfRule type="cellIs" dxfId="657" priority="37" operator="equal">
      <formula>$G$4</formula>
    </cfRule>
    <cfRule type="cellIs" dxfId="656" priority="38" operator="equal">
      <formula>1660</formula>
    </cfRule>
  </conditionalFormatting>
  <conditionalFormatting sqref="H4:H6 H28:H29">
    <cfRule type="cellIs" dxfId="655" priority="35" operator="equal">
      <formula>$H$4</formula>
    </cfRule>
    <cfRule type="cellIs" dxfId="654" priority="36" operator="equal">
      <formula>6640</formula>
    </cfRule>
  </conditionalFormatting>
  <conditionalFormatting sqref="T6:T28">
    <cfRule type="cellIs" dxfId="653" priority="34" operator="lessThan">
      <formula>0</formula>
    </cfRule>
  </conditionalFormatting>
  <conditionalFormatting sqref="T7:T27">
    <cfRule type="cellIs" dxfId="652" priority="31" operator="lessThan">
      <formula>0</formula>
    </cfRule>
    <cfRule type="cellIs" dxfId="651" priority="32" operator="lessThan">
      <formula>0</formula>
    </cfRule>
    <cfRule type="cellIs" dxfId="650" priority="33" operator="lessThan">
      <formula>0</formula>
    </cfRule>
  </conditionalFormatting>
  <conditionalFormatting sqref="E4:E6 E28:K28">
    <cfRule type="cellIs" dxfId="649" priority="30" operator="equal">
      <formula>$E$4</formula>
    </cfRule>
  </conditionalFormatting>
  <conditionalFormatting sqref="D28:D29 D6 D4:M4">
    <cfRule type="cellIs" dxfId="648" priority="29" operator="equal">
      <formula>$D$4</formula>
    </cfRule>
  </conditionalFormatting>
  <conditionalFormatting sqref="I4:I6 I28:I29">
    <cfRule type="cellIs" dxfId="647" priority="28" operator="equal">
      <formula>$I$4</formula>
    </cfRule>
  </conditionalFormatting>
  <conditionalFormatting sqref="J4:J6 J28:J29">
    <cfRule type="cellIs" dxfId="646" priority="27" operator="equal">
      <formula>$J$4</formula>
    </cfRule>
  </conditionalFormatting>
  <conditionalFormatting sqref="K4:K6 K28:K29">
    <cfRule type="cellIs" dxfId="645" priority="26" operator="equal">
      <formula>$K$4</formula>
    </cfRule>
  </conditionalFormatting>
  <conditionalFormatting sqref="M4:M6">
    <cfRule type="cellIs" dxfId="644" priority="25" operator="equal">
      <formula>$L$4</formula>
    </cfRule>
  </conditionalFormatting>
  <conditionalFormatting sqref="T7:T28">
    <cfRule type="cellIs" dxfId="643" priority="22" operator="lessThan">
      <formula>0</formula>
    </cfRule>
    <cfRule type="cellIs" dxfId="642" priority="23" operator="lessThan">
      <formula>0</formula>
    </cfRule>
    <cfRule type="cellIs" dxfId="641" priority="24" operator="lessThan">
      <formula>0</formula>
    </cfRule>
  </conditionalFormatting>
  <conditionalFormatting sqref="D5:K5">
    <cfRule type="cellIs" dxfId="640" priority="21" operator="greaterThan">
      <formula>0</formula>
    </cfRule>
  </conditionalFormatting>
  <conditionalFormatting sqref="T6:T28">
    <cfRule type="cellIs" dxfId="639" priority="20" operator="lessThan">
      <formula>0</formula>
    </cfRule>
  </conditionalFormatting>
  <conditionalFormatting sqref="T7:T27">
    <cfRule type="cellIs" dxfId="638" priority="17" operator="lessThan">
      <formula>0</formula>
    </cfRule>
    <cfRule type="cellIs" dxfId="637" priority="18" operator="lessThan">
      <formula>0</formula>
    </cfRule>
    <cfRule type="cellIs" dxfId="636" priority="19" operator="lessThan">
      <formula>0</formula>
    </cfRule>
  </conditionalFormatting>
  <conditionalFormatting sqref="T7:T28">
    <cfRule type="cellIs" dxfId="635" priority="14" operator="lessThan">
      <formula>0</formula>
    </cfRule>
    <cfRule type="cellIs" dxfId="634" priority="15" operator="lessThan">
      <formula>0</formula>
    </cfRule>
    <cfRule type="cellIs" dxfId="633" priority="16" operator="lessThan">
      <formula>0</formula>
    </cfRule>
  </conditionalFormatting>
  <conditionalFormatting sqref="D5:K5">
    <cfRule type="cellIs" dxfId="632" priority="13" operator="greaterThan">
      <formula>0</formula>
    </cfRule>
  </conditionalFormatting>
  <conditionalFormatting sqref="L4 L6 L28:L29">
    <cfRule type="cellIs" dxfId="631" priority="12" operator="equal">
      <formula>$L$4</formula>
    </cfRule>
  </conditionalFormatting>
  <conditionalFormatting sqref="D7:S7">
    <cfRule type="cellIs" dxfId="630" priority="11" operator="greaterThan">
      <formula>0</formula>
    </cfRule>
  </conditionalFormatting>
  <conditionalFormatting sqref="D9:S9">
    <cfRule type="cellIs" dxfId="629" priority="10" operator="greaterThan">
      <formula>0</formula>
    </cfRule>
  </conditionalFormatting>
  <conditionalFormatting sqref="D11:S11">
    <cfRule type="cellIs" dxfId="628" priority="9" operator="greaterThan">
      <formula>0</formula>
    </cfRule>
  </conditionalFormatting>
  <conditionalFormatting sqref="D13:S13">
    <cfRule type="cellIs" dxfId="627" priority="8" operator="greaterThan">
      <formula>0</formula>
    </cfRule>
  </conditionalFormatting>
  <conditionalFormatting sqref="D15:S15">
    <cfRule type="cellIs" dxfId="626" priority="7" operator="greaterThan">
      <formula>0</formula>
    </cfRule>
  </conditionalFormatting>
  <conditionalFormatting sqref="D17:S17">
    <cfRule type="cellIs" dxfId="625" priority="6" operator="greaterThan">
      <formula>0</formula>
    </cfRule>
  </conditionalFormatting>
  <conditionalFormatting sqref="D19:S19">
    <cfRule type="cellIs" dxfId="624" priority="5" operator="greaterThan">
      <formula>0</formula>
    </cfRule>
  </conditionalFormatting>
  <conditionalFormatting sqref="D21:S21">
    <cfRule type="cellIs" dxfId="623" priority="4" operator="greaterThan">
      <formula>0</formula>
    </cfRule>
  </conditionalFormatting>
  <conditionalFormatting sqref="D23:S23">
    <cfRule type="cellIs" dxfId="622" priority="3" operator="greaterThan">
      <formula>0</formula>
    </cfRule>
  </conditionalFormatting>
  <conditionalFormatting sqref="D25:S25">
    <cfRule type="cellIs" dxfId="621" priority="2" operator="greaterThan">
      <formula>0</formula>
    </cfRule>
  </conditionalFormatting>
  <conditionalFormatting sqref="D27:S27">
    <cfRule type="cellIs" dxfId="62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8574"/>
  <sheetViews>
    <sheetView zoomScaleNormal="100" workbookViewId="0">
      <pane ySplit="6" topLeftCell="A16" activePane="bottomLeft" state="frozen"/>
      <selection pane="bottomLeft" activeCell="F24" sqref="F24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49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</row>
    <row r="2" spans="1:20" ht="15.75" thickBot="1" x14ac:dyDescent="0.3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</row>
    <row r="3" spans="1:20" ht="18.75" x14ac:dyDescent="0.25">
      <c r="A3" s="250" t="s">
        <v>55</v>
      </c>
      <c r="B3" s="251"/>
      <c r="C3" s="252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</row>
    <row r="4" spans="1:20" x14ac:dyDescent="0.25">
      <c r="A4" s="254" t="s">
        <v>1</v>
      </c>
      <c r="B4" s="254"/>
      <c r="C4" s="1"/>
      <c r="D4" s="2">
        <f>'1'!D31</f>
        <v>634945</v>
      </c>
      <c r="E4" s="2">
        <f>'1'!E31</f>
        <v>2750</v>
      </c>
      <c r="F4" s="2">
        <f>'1'!F31</f>
        <v>5500</v>
      </c>
      <c r="G4" s="2">
        <f>'1'!G31</f>
        <v>0</v>
      </c>
      <c r="H4" s="2">
        <f>'1'!H31</f>
        <v>28170</v>
      </c>
      <c r="I4" s="2">
        <f>'1'!I31</f>
        <v>611</v>
      </c>
      <c r="J4" s="2">
        <f>'1'!J31</f>
        <v>172</v>
      </c>
      <c r="K4" s="2">
        <f>'1'!K31</f>
        <v>514</v>
      </c>
      <c r="L4" s="2">
        <f>'1'!L31</f>
        <v>0</v>
      </c>
      <c r="M4" s="3"/>
      <c r="N4" s="255"/>
      <c r="O4" s="255"/>
      <c r="P4" s="255"/>
      <c r="Q4" s="255"/>
      <c r="R4" s="255"/>
      <c r="S4" s="255"/>
      <c r="T4" s="255"/>
    </row>
    <row r="5" spans="1:20" x14ac:dyDescent="0.25">
      <c r="A5" s="254" t="s">
        <v>2</v>
      </c>
      <c r="B5" s="25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5"/>
      <c r="O5" s="255"/>
      <c r="P5" s="255"/>
      <c r="Q5" s="255"/>
      <c r="R5" s="255"/>
      <c r="S5" s="255"/>
      <c r="T5" s="255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7204</v>
      </c>
      <c r="E7" s="22"/>
      <c r="F7" s="22">
        <v>10</v>
      </c>
      <c r="G7" s="22"/>
      <c r="H7" s="22">
        <v>40</v>
      </c>
      <c r="I7" s="23"/>
      <c r="J7" s="23">
        <v>3</v>
      </c>
      <c r="K7" s="23">
        <v>2</v>
      </c>
      <c r="L7" s="23"/>
      <c r="M7" s="20">
        <f>D7+E7*20+F7*10+G7*9+H7*9</f>
        <v>7664</v>
      </c>
      <c r="N7" s="24">
        <f>D7+E7*20+F7*10+G7*9+H7*9+I7*191+J7*191+K7*182+L7*100</f>
        <v>8601</v>
      </c>
      <c r="O7" s="25">
        <f>M7*2.75%</f>
        <v>210.76</v>
      </c>
      <c r="P7" s="26">
        <v>250</v>
      </c>
      <c r="Q7" s="26">
        <v>80</v>
      </c>
      <c r="R7" s="24">
        <f>M7-(M7*2.75%)+I7*191+J7*191+K7*182+L7*100-Q7</f>
        <v>8310.24</v>
      </c>
      <c r="S7" s="25">
        <f>M7*0.95%</f>
        <v>72.807999999999993</v>
      </c>
      <c r="T7" s="27">
        <f>S7-Q7</f>
        <v>-7.1920000000000073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3704</v>
      </c>
      <c r="E8" s="30"/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4604</v>
      </c>
      <c r="N8" s="24">
        <f t="shared" ref="N8:N27" si="1">D8+E8*20+F8*10+G8*9+H8*9+I8*191+J8*191+K8*182+L8*100</f>
        <v>4604</v>
      </c>
      <c r="O8" s="25">
        <f t="shared" ref="O8:O27" si="2">M8*2.75%</f>
        <v>126.61</v>
      </c>
      <c r="P8" s="26">
        <v>4000</v>
      </c>
      <c r="Q8" s="26">
        <v>42</v>
      </c>
      <c r="R8" s="24">
        <f t="shared" ref="R8:R27" si="3">M8-(M8*2.75%)+I8*191+J8*191+K8*182+L8*100-Q8</f>
        <v>4435.3900000000003</v>
      </c>
      <c r="S8" s="25">
        <f t="shared" ref="S8:S27" si="4">M8*0.95%</f>
        <v>43.738</v>
      </c>
      <c r="T8" s="27">
        <f t="shared" ref="T8:T27" si="5">S8-Q8</f>
        <v>1.7379999999999995</v>
      </c>
    </row>
    <row r="9" spans="1:20" ht="15.75" x14ac:dyDescent="0.25">
      <c r="A9" s="28">
        <v>3</v>
      </c>
      <c r="B9" s="20">
        <v>1908446136</v>
      </c>
      <c r="C9" s="53">
        <v>100</v>
      </c>
      <c r="D9" s="29">
        <v>18019</v>
      </c>
      <c r="E9" s="30"/>
      <c r="F9" s="30">
        <v>30</v>
      </c>
      <c r="G9" s="30"/>
      <c r="H9" s="30">
        <v>150</v>
      </c>
      <c r="I9" s="20"/>
      <c r="J9" s="20"/>
      <c r="K9" s="20">
        <v>2</v>
      </c>
      <c r="L9" s="20"/>
      <c r="M9" s="20">
        <f t="shared" si="0"/>
        <v>19669</v>
      </c>
      <c r="N9" s="24">
        <f t="shared" si="1"/>
        <v>20033</v>
      </c>
      <c r="O9" s="25">
        <f t="shared" si="2"/>
        <v>540.89750000000004</v>
      </c>
      <c r="P9" s="26">
        <v>2000</v>
      </c>
      <c r="Q9" s="26">
        <v>152</v>
      </c>
      <c r="R9" s="24">
        <f t="shared" si="3"/>
        <v>19340.102500000001</v>
      </c>
      <c r="S9" s="25">
        <f t="shared" si="4"/>
        <v>186.85550000000001</v>
      </c>
      <c r="T9" s="27">
        <f t="shared" si="5"/>
        <v>34.855500000000006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2726</v>
      </c>
      <c r="E10" s="30"/>
      <c r="F10" s="30"/>
      <c r="G10" s="30"/>
      <c r="H10" s="30"/>
      <c r="I10" s="20"/>
      <c r="J10" s="20">
        <v>6</v>
      </c>
      <c r="K10" s="20"/>
      <c r="L10" s="20"/>
      <c r="M10" s="20">
        <f t="shared" si="0"/>
        <v>2726</v>
      </c>
      <c r="N10" s="24">
        <f t="shared" si="1"/>
        <v>3872</v>
      </c>
      <c r="O10" s="25">
        <f t="shared" si="2"/>
        <v>74.965000000000003</v>
      </c>
      <c r="P10" s="26"/>
      <c r="Q10" s="26">
        <v>27</v>
      </c>
      <c r="R10" s="24">
        <f t="shared" si="3"/>
        <v>3770.0349999999999</v>
      </c>
      <c r="S10" s="25">
        <f t="shared" si="4"/>
        <v>25.896999999999998</v>
      </c>
      <c r="T10" s="27">
        <f t="shared" si="5"/>
        <v>-1.1030000000000015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3748</v>
      </c>
      <c r="E11" s="30"/>
      <c r="F11" s="30"/>
      <c r="G11" s="32"/>
      <c r="H11" s="30"/>
      <c r="I11" s="20">
        <v>7</v>
      </c>
      <c r="J11" s="20">
        <v>2</v>
      </c>
      <c r="K11" s="20">
        <v>5</v>
      </c>
      <c r="L11" s="20"/>
      <c r="M11" s="20">
        <f t="shared" si="0"/>
        <v>3748</v>
      </c>
      <c r="N11" s="24">
        <f t="shared" si="1"/>
        <v>6377</v>
      </c>
      <c r="O11" s="25">
        <f t="shared" si="2"/>
        <v>103.07000000000001</v>
      </c>
      <c r="P11" s="26"/>
      <c r="Q11" s="26">
        <v>32</v>
      </c>
      <c r="R11" s="24">
        <f t="shared" si="3"/>
        <v>6241.93</v>
      </c>
      <c r="S11" s="25">
        <f t="shared" si="4"/>
        <v>35.606000000000002</v>
      </c>
      <c r="T11" s="27">
        <f t="shared" si="5"/>
        <v>3.6060000000000016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5536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5536</v>
      </c>
      <c r="N12" s="24">
        <f t="shared" si="1"/>
        <v>5536</v>
      </c>
      <c r="O12" s="25">
        <f t="shared" si="2"/>
        <v>152.24</v>
      </c>
      <c r="P12" s="26"/>
      <c r="Q12" s="26">
        <v>33</v>
      </c>
      <c r="R12" s="24">
        <f t="shared" si="3"/>
        <v>5350.76</v>
      </c>
      <c r="S12" s="25">
        <f t="shared" si="4"/>
        <v>52.591999999999999</v>
      </c>
      <c r="T12" s="27">
        <f t="shared" si="5"/>
        <v>19.591999999999999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5140</v>
      </c>
      <c r="E13" s="30"/>
      <c r="F13" s="30">
        <v>60</v>
      </c>
      <c r="G13" s="30"/>
      <c r="H13" s="30"/>
      <c r="I13" s="20"/>
      <c r="J13" s="20"/>
      <c r="K13" s="20"/>
      <c r="L13" s="20"/>
      <c r="M13" s="20">
        <f t="shared" si="0"/>
        <v>5740</v>
      </c>
      <c r="N13" s="24">
        <f t="shared" si="1"/>
        <v>5740</v>
      </c>
      <c r="O13" s="25">
        <f t="shared" si="2"/>
        <v>157.85</v>
      </c>
      <c r="P13" s="26"/>
      <c r="Q13" s="26">
        <v>52</v>
      </c>
      <c r="R13" s="24">
        <f t="shared" si="3"/>
        <v>5530.15</v>
      </c>
      <c r="S13" s="25">
        <f t="shared" si="4"/>
        <v>54.53</v>
      </c>
      <c r="T13" s="27">
        <f t="shared" si="5"/>
        <v>2.5300000000000011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6295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6835</v>
      </c>
      <c r="N14" s="24">
        <f t="shared" si="1"/>
        <v>6835</v>
      </c>
      <c r="O14" s="25">
        <f t="shared" si="2"/>
        <v>187.96250000000001</v>
      </c>
      <c r="P14" s="26">
        <v>3000</v>
      </c>
      <c r="Q14" s="26">
        <v>117</v>
      </c>
      <c r="R14" s="24">
        <f t="shared" si="3"/>
        <v>6530.0375000000004</v>
      </c>
      <c r="S14" s="25">
        <f t="shared" si="4"/>
        <v>64.932500000000005</v>
      </c>
      <c r="T14" s="27">
        <f t="shared" si="5"/>
        <v>-52.067499999999995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17404</v>
      </c>
      <c r="E15" s="30">
        <v>50</v>
      </c>
      <c r="F15" s="30">
        <v>50</v>
      </c>
      <c r="G15" s="30"/>
      <c r="H15" s="30">
        <v>40</v>
      </c>
      <c r="I15" s="20"/>
      <c r="J15" s="20"/>
      <c r="K15" s="20">
        <v>13</v>
      </c>
      <c r="L15" s="20"/>
      <c r="M15" s="20">
        <f t="shared" si="0"/>
        <v>19264</v>
      </c>
      <c r="N15" s="24">
        <f t="shared" si="1"/>
        <v>21630</v>
      </c>
      <c r="O15" s="25">
        <f t="shared" si="2"/>
        <v>529.76</v>
      </c>
      <c r="P15" s="26"/>
      <c r="Q15" s="26">
        <v>140</v>
      </c>
      <c r="R15" s="24">
        <f t="shared" si="3"/>
        <v>20960.240000000002</v>
      </c>
      <c r="S15" s="25">
        <f t="shared" si="4"/>
        <v>183.00799999999998</v>
      </c>
      <c r="T15" s="27">
        <f t="shared" si="5"/>
        <v>43.007999999999981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12021</v>
      </c>
      <c r="E16" s="30"/>
      <c r="F16" s="30">
        <v>100</v>
      </c>
      <c r="G16" s="30"/>
      <c r="H16" s="30">
        <v>50</v>
      </c>
      <c r="I16" s="20"/>
      <c r="J16" s="20">
        <v>10</v>
      </c>
      <c r="K16" s="20"/>
      <c r="L16" s="20"/>
      <c r="M16" s="20">
        <f t="shared" si="0"/>
        <v>13471</v>
      </c>
      <c r="N16" s="24">
        <f t="shared" si="1"/>
        <v>15381</v>
      </c>
      <c r="O16" s="25">
        <f t="shared" si="2"/>
        <v>370.45249999999999</v>
      </c>
      <c r="P16" s="26">
        <v>5500</v>
      </c>
      <c r="Q16" s="26">
        <v>101</v>
      </c>
      <c r="R16" s="24">
        <f t="shared" si="3"/>
        <v>14909.547500000001</v>
      </c>
      <c r="S16" s="25">
        <f t="shared" si="4"/>
        <v>127.97449999999999</v>
      </c>
      <c r="T16" s="27">
        <f t="shared" si="5"/>
        <v>26.974499999999992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5334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5334</v>
      </c>
      <c r="N17" s="24">
        <f t="shared" si="1"/>
        <v>5334</v>
      </c>
      <c r="O17" s="25">
        <f t="shared" si="2"/>
        <v>146.685</v>
      </c>
      <c r="P17" s="26"/>
      <c r="Q17" s="26">
        <v>50</v>
      </c>
      <c r="R17" s="24">
        <f t="shared" si="3"/>
        <v>5137.3149999999996</v>
      </c>
      <c r="S17" s="25">
        <f t="shared" si="4"/>
        <v>50.673000000000002</v>
      </c>
      <c r="T17" s="27">
        <f t="shared" si="5"/>
        <v>0.67300000000000182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3290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3290</v>
      </c>
      <c r="N18" s="24">
        <f t="shared" si="1"/>
        <v>3290</v>
      </c>
      <c r="O18" s="25">
        <f t="shared" si="2"/>
        <v>90.474999999999994</v>
      </c>
      <c r="P18" s="26"/>
      <c r="Q18" s="26"/>
      <c r="R18" s="24">
        <f t="shared" si="3"/>
        <v>3199.5250000000001</v>
      </c>
      <c r="S18" s="25">
        <f t="shared" si="4"/>
        <v>31.254999999999999</v>
      </c>
      <c r="T18" s="27">
        <f t="shared" si="5"/>
        <v>31.254999999999999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5965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5965</v>
      </c>
      <c r="N19" s="24">
        <f t="shared" si="1"/>
        <v>5965</v>
      </c>
      <c r="O19" s="25">
        <f t="shared" si="2"/>
        <v>164.03749999999999</v>
      </c>
      <c r="P19" s="26"/>
      <c r="Q19" s="26">
        <v>50</v>
      </c>
      <c r="R19" s="24">
        <f t="shared" si="3"/>
        <v>5750.9624999999996</v>
      </c>
      <c r="S19" s="25">
        <f t="shared" si="4"/>
        <v>56.667499999999997</v>
      </c>
      <c r="T19" s="27">
        <f t="shared" si="5"/>
        <v>6.6674999999999969</v>
      </c>
    </row>
    <row r="20" spans="1:20" ht="15.75" x14ac:dyDescent="0.25">
      <c r="A20" s="28">
        <v>14</v>
      </c>
      <c r="B20" s="20">
        <v>1908446147</v>
      </c>
      <c r="C20" s="20" t="s">
        <v>56</v>
      </c>
      <c r="D20" s="29">
        <v>7787</v>
      </c>
      <c r="E20" s="30">
        <v>50</v>
      </c>
      <c r="F20" s="30"/>
      <c r="G20" s="30"/>
      <c r="H20" s="30">
        <v>50</v>
      </c>
      <c r="I20" s="20"/>
      <c r="J20" s="20"/>
      <c r="K20" s="20"/>
      <c r="L20" s="20"/>
      <c r="M20" s="20">
        <f t="shared" si="0"/>
        <v>9237</v>
      </c>
      <c r="N20" s="24">
        <f t="shared" si="1"/>
        <v>9237</v>
      </c>
      <c r="O20" s="25">
        <f t="shared" si="2"/>
        <v>254.01750000000001</v>
      </c>
      <c r="P20" s="26"/>
      <c r="Q20" s="26">
        <v>120</v>
      </c>
      <c r="R20" s="24">
        <f t="shared" si="3"/>
        <v>8862.9825000000001</v>
      </c>
      <c r="S20" s="25">
        <f t="shared" si="4"/>
        <v>87.751499999999993</v>
      </c>
      <c r="T20" s="27">
        <f t="shared" si="5"/>
        <v>-32.248500000000007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4221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4221</v>
      </c>
      <c r="N21" s="24">
        <f t="shared" si="1"/>
        <v>4221</v>
      </c>
      <c r="O21" s="25">
        <f t="shared" si="2"/>
        <v>116.0775</v>
      </c>
      <c r="P21" s="26"/>
      <c r="Q21" s="26">
        <v>30</v>
      </c>
      <c r="R21" s="24">
        <f t="shared" si="3"/>
        <v>4074.9224999999997</v>
      </c>
      <c r="S21" s="25">
        <f t="shared" si="4"/>
        <v>40.099499999999999</v>
      </c>
      <c r="T21" s="27">
        <f t="shared" si="5"/>
        <v>10.099499999999999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10622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10622</v>
      </c>
      <c r="N22" s="24">
        <f t="shared" si="1"/>
        <v>10622</v>
      </c>
      <c r="O22" s="25">
        <f t="shared" si="2"/>
        <v>292.10500000000002</v>
      </c>
      <c r="P22" s="26">
        <v>2000</v>
      </c>
      <c r="Q22" s="26">
        <v>100</v>
      </c>
      <c r="R22" s="24">
        <f>M22-(M22*2.75%)+I22*191+J22*191+K22*182+L22*100-Q22</f>
        <v>10229.895</v>
      </c>
      <c r="S22" s="25">
        <f t="shared" si="4"/>
        <v>100.90899999999999</v>
      </c>
      <c r="T22" s="27">
        <f t="shared" si="5"/>
        <v>0.90899999999999181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6633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6633</v>
      </c>
      <c r="N23" s="24">
        <f t="shared" si="1"/>
        <v>6633</v>
      </c>
      <c r="O23" s="25">
        <f t="shared" si="2"/>
        <v>182.4075</v>
      </c>
      <c r="P23" s="26"/>
      <c r="Q23" s="26">
        <v>60</v>
      </c>
      <c r="R23" s="24">
        <f t="shared" si="3"/>
        <v>6390.5924999999997</v>
      </c>
      <c r="S23" s="25">
        <f t="shared" si="4"/>
        <v>63.013500000000001</v>
      </c>
      <c r="T23" s="27">
        <f t="shared" si="5"/>
        <v>3.0135000000000005</v>
      </c>
    </row>
    <row r="24" spans="1:20" ht="15.75" x14ac:dyDescent="0.25">
      <c r="A24" s="28">
        <v>18</v>
      </c>
      <c r="B24" s="20">
        <v>1908446151</v>
      </c>
      <c r="C24" s="53">
        <v>2500</v>
      </c>
      <c r="D24" s="29">
        <v>14870</v>
      </c>
      <c r="E24" s="30">
        <v>60</v>
      </c>
      <c r="F24" s="30">
        <v>320</v>
      </c>
      <c r="G24" s="30"/>
      <c r="H24" s="30">
        <v>240</v>
      </c>
      <c r="I24" s="20"/>
      <c r="J24" s="20"/>
      <c r="K24" s="20"/>
      <c r="L24" s="20"/>
      <c r="M24" s="20">
        <f t="shared" si="0"/>
        <v>21430</v>
      </c>
      <c r="N24" s="24">
        <f t="shared" si="1"/>
        <v>21430</v>
      </c>
      <c r="O24" s="25">
        <f t="shared" si="2"/>
        <v>589.32500000000005</v>
      </c>
      <c r="P24" s="26">
        <v>5000</v>
      </c>
      <c r="Q24" s="26">
        <v>116</v>
      </c>
      <c r="R24" s="24">
        <f t="shared" si="3"/>
        <v>20724.674999999999</v>
      </c>
      <c r="S24" s="25">
        <f t="shared" si="4"/>
        <v>203.58500000000001</v>
      </c>
      <c r="T24" s="27">
        <f t="shared" si="5"/>
        <v>87.585000000000008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6067</v>
      </c>
      <c r="E25" s="30"/>
      <c r="F25" s="30"/>
      <c r="G25" s="30"/>
      <c r="H25" s="30"/>
      <c r="I25" s="20">
        <v>10</v>
      </c>
      <c r="J25" s="20"/>
      <c r="K25" s="20">
        <v>10</v>
      </c>
      <c r="L25" s="20"/>
      <c r="M25" s="20">
        <f t="shared" si="0"/>
        <v>6067</v>
      </c>
      <c r="N25" s="24">
        <f t="shared" si="1"/>
        <v>9797</v>
      </c>
      <c r="O25" s="25">
        <f t="shared" si="2"/>
        <v>166.8425</v>
      </c>
      <c r="P25" s="26"/>
      <c r="Q25" s="26">
        <v>61</v>
      </c>
      <c r="R25" s="24">
        <f t="shared" si="3"/>
        <v>9569.1575000000012</v>
      </c>
      <c r="S25" s="25">
        <f t="shared" si="4"/>
        <v>57.636499999999998</v>
      </c>
      <c r="T25" s="27">
        <f t="shared" si="5"/>
        <v>-3.3635000000000019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1028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1028</v>
      </c>
      <c r="N26" s="24">
        <f t="shared" si="1"/>
        <v>1028</v>
      </c>
      <c r="O26" s="25">
        <f t="shared" si="2"/>
        <v>28.27</v>
      </c>
      <c r="P26" s="26"/>
      <c r="Q26" s="26"/>
      <c r="R26" s="24">
        <f t="shared" si="3"/>
        <v>999.73</v>
      </c>
      <c r="S26" s="25">
        <f t="shared" si="4"/>
        <v>9.766</v>
      </c>
      <c r="T26" s="27">
        <f t="shared" si="5"/>
        <v>9.766</v>
      </c>
    </row>
    <row r="27" spans="1:20" ht="19.5" thickBot="1" x14ac:dyDescent="0.35">
      <c r="A27" s="28">
        <v>21</v>
      </c>
      <c r="B27" s="56">
        <v>1908446154</v>
      </c>
      <c r="C27" s="56" t="s">
        <v>43</v>
      </c>
      <c r="D27" s="37">
        <v>4259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4259</v>
      </c>
      <c r="N27" s="40">
        <f t="shared" si="1"/>
        <v>4259</v>
      </c>
      <c r="O27" s="25">
        <f t="shared" si="2"/>
        <v>117.1225</v>
      </c>
      <c r="P27" s="41"/>
      <c r="Q27" s="41">
        <v>100</v>
      </c>
      <c r="R27" s="24">
        <f t="shared" si="3"/>
        <v>4041.8774999999996</v>
      </c>
      <c r="S27" s="42">
        <f t="shared" si="4"/>
        <v>40.460499999999996</v>
      </c>
      <c r="T27" s="43">
        <f t="shared" si="5"/>
        <v>-59.539500000000004</v>
      </c>
    </row>
    <row r="28" spans="1:20" ht="16.5" thickBot="1" x14ac:dyDescent="0.3">
      <c r="A28" s="240" t="s">
        <v>44</v>
      </c>
      <c r="B28" s="241"/>
      <c r="C28" s="242"/>
      <c r="D28" s="44">
        <f t="shared" ref="D28:E28" si="6">SUM(D7:D27)</f>
        <v>151873</v>
      </c>
      <c r="E28" s="45">
        <f t="shared" si="6"/>
        <v>160</v>
      </c>
      <c r="F28" s="45">
        <f t="shared" ref="F28:T28" si="7">SUM(F7:F27)</f>
        <v>570</v>
      </c>
      <c r="G28" s="45">
        <f t="shared" si="7"/>
        <v>0</v>
      </c>
      <c r="H28" s="45">
        <f t="shared" si="7"/>
        <v>730</v>
      </c>
      <c r="I28" s="45">
        <f t="shared" si="7"/>
        <v>17</v>
      </c>
      <c r="J28" s="45">
        <f t="shared" si="7"/>
        <v>21</v>
      </c>
      <c r="K28" s="45">
        <f t="shared" si="7"/>
        <v>32</v>
      </c>
      <c r="L28" s="45">
        <f t="shared" si="7"/>
        <v>0</v>
      </c>
      <c r="M28" s="45">
        <f t="shared" si="7"/>
        <v>167343</v>
      </c>
      <c r="N28" s="45">
        <f t="shared" si="7"/>
        <v>180425</v>
      </c>
      <c r="O28" s="46">
        <f t="shared" si="7"/>
        <v>4601.9324999999999</v>
      </c>
      <c r="P28" s="45">
        <f t="shared" si="7"/>
        <v>21750</v>
      </c>
      <c r="Q28" s="45">
        <f t="shared" si="7"/>
        <v>1463</v>
      </c>
      <c r="R28" s="45">
        <f t="shared" si="7"/>
        <v>174360.0675</v>
      </c>
      <c r="S28" s="45">
        <f t="shared" si="7"/>
        <v>1589.7585000000001</v>
      </c>
      <c r="T28" s="47">
        <f t="shared" si="7"/>
        <v>126.75849999999997</v>
      </c>
    </row>
    <row r="29" spans="1:20" ht="15.75" thickBot="1" x14ac:dyDescent="0.3">
      <c r="A29" s="243" t="s">
        <v>45</v>
      </c>
      <c r="B29" s="244"/>
      <c r="C29" s="245"/>
      <c r="D29" s="48">
        <f>D4+D5-D28</f>
        <v>483072</v>
      </c>
      <c r="E29" s="48">
        <f t="shared" ref="E29:L29" si="8">E4+E5-E28</f>
        <v>2590</v>
      </c>
      <c r="F29" s="48">
        <f t="shared" si="8"/>
        <v>4930</v>
      </c>
      <c r="G29" s="48">
        <f t="shared" si="8"/>
        <v>0</v>
      </c>
      <c r="H29" s="48">
        <f t="shared" si="8"/>
        <v>27440</v>
      </c>
      <c r="I29" s="48">
        <f t="shared" si="8"/>
        <v>594</v>
      </c>
      <c r="J29" s="48">
        <f t="shared" si="8"/>
        <v>151</v>
      </c>
      <c r="K29" s="48">
        <f t="shared" si="8"/>
        <v>482</v>
      </c>
      <c r="L29" s="48">
        <f t="shared" si="8"/>
        <v>0</v>
      </c>
      <c r="M29" s="246"/>
      <c r="N29" s="247"/>
      <c r="O29" s="247"/>
      <c r="P29" s="247"/>
      <c r="Q29" s="247"/>
      <c r="R29" s="247"/>
      <c r="S29" s="247"/>
      <c r="T29" s="24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1048560" spans="3:12" x14ac:dyDescent="0.25">
      <c r="C1048560" s="55"/>
      <c r="D1048560" s="55"/>
      <c r="E1048560" s="55"/>
      <c r="F1048560" s="55"/>
      <c r="G1048560" s="55"/>
      <c r="H1048560" s="55"/>
      <c r="I1048560" s="55"/>
      <c r="J1048560" s="55"/>
      <c r="K1048560" s="55"/>
      <c r="L1048560" s="55"/>
    </row>
    <row r="1048561" spans="3:12" x14ac:dyDescent="0.25">
      <c r="C1048561" s="55"/>
      <c r="D1048561" s="54"/>
      <c r="E1048561" s="54"/>
      <c r="F1048561" s="54"/>
      <c r="G1048561" s="54"/>
      <c r="H1048561" s="54"/>
      <c r="I1048561" s="54"/>
      <c r="J1048561" s="54"/>
      <c r="K1048561" s="54"/>
      <c r="L1048561" s="55"/>
    </row>
    <row r="1048562" spans="3:12" x14ac:dyDescent="0.25">
      <c r="C1048562" s="55"/>
      <c r="D1048562" s="54"/>
      <c r="E1048562" s="54"/>
      <c r="F1048562" s="54"/>
      <c r="G1048562" s="54"/>
      <c r="H1048562" s="54"/>
      <c r="I1048562" s="54"/>
      <c r="J1048562" s="54"/>
      <c r="K1048562" s="54"/>
      <c r="L1048562" s="55"/>
    </row>
    <row r="1048563" spans="3:12" x14ac:dyDescent="0.25">
      <c r="C1048563" s="55"/>
      <c r="D1048563" s="54"/>
      <c r="E1048563" s="54"/>
      <c r="F1048563" s="54"/>
      <c r="G1048563" s="54"/>
      <c r="H1048563" s="54"/>
      <c r="I1048563" s="54"/>
      <c r="J1048563" s="54"/>
      <c r="K1048563" s="54"/>
      <c r="L1048563" s="55"/>
    </row>
    <row r="1048564" spans="3:12" x14ac:dyDescent="0.25">
      <c r="C1048564" s="55"/>
      <c r="D1048564" s="54"/>
      <c r="E1048564" s="54"/>
      <c r="F1048564" s="54"/>
      <c r="G1048564" s="54"/>
      <c r="H1048564" s="54"/>
      <c r="I1048564" s="54"/>
      <c r="J1048564" s="54"/>
      <c r="K1048564" s="54"/>
      <c r="L1048564" s="55"/>
    </row>
    <row r="1048565" spans="3:12" x14ac:dyDescent="0.25">
      <c r="C1048565" s="55"/>
      <c r="D1048565" s="54"/>
      <c r="E1048565" s="54"/>
      <c r="F1048565" s="54"/>
      <c r="G1048565" s="54"/>
      <c r="H1048565" s="54"/>
      <c r="I1048565" s="54"/>
      <c r="J1048565" s="54"/>
      <c r="K1048565" s="54"/>
      <c r="L1048565" s="55"/>
    </row>
    <row r="1048566" spans="3:12" x14ac:dyDescent="0.25">
      <c r="C1048566" s="55"/>
      <c r="D1048566" s="54"/>
      <c r="E1048566" s="54"/>
      <c r="F1048566" s="54"/>
      <c r="G1048566" s="54"/>
      <c r="H1048566" s="54"/>
      <c r="I1048566" s="54"/>
      <c r="J1048566" s="54"/>
      <c r="K1048566" s="54"/>
      <c r="L1048566" s="55"/>
    </row>
    <row r="1048567" spans="3:12" x14ac:dyDescent="0.25">
      <c r="C1048567" s="55"/>
      <c r="D1048567" s="54"/>
      <c r="E1048567" s="54"/>
      <c r="F1048567" s="54"/>
      <c r="G1048567" s="54"/>
      <c r="H1048567" s="54"/>
      <c r="I1048567" s="54"/>
      <c r="J1048567" s="54"/>
      <c r="K1048567" s="54"/>
      <c r="L1048567" s="55"/>
    </row>
    <row r="1048568" spans="3:12" x14ac:dyDescent="0.25">
      <c r="C1048568" s="55"/>
      <c r="D1048568" s="54"/>
      <c r="E1048568" s="54"/>
      <c r="F1048568" s="54"/>
      <c r="G1048568" s="54"/>
      <c r="H1048568" s="54"/>
      <c r="I1048568" s="54"/>
      <c r="J1048568" s="54"/>
      <c r="K1048568" s="54"/>
      <c r="L1048568" s="55"/>
    </row>
    <row r="1048569" spans="3:12" x14ac:dyDescent="0.25">
      <c r="C1048569" s="55"/>
      <c r="D1048569" s="54"/>
      <c r="E1048569" s="54"/>
      <c r="F1048569" s="54"/>
      <c r="G1048569" s="54"/>
      <c r="H1048569" s="54"/>
      <c r="I1048569" s="54"/>
      <c r="J1048569" s="54"/>
      <c r="K1048569" s="54"/>
      <c r="L1048569" s="55"/>
    </row>
    <row r="1048570" spans="3:12" x14ac:dyDescent="0.25">
      <c r="C1048570" s="55"/>
      <c r="D1048570" s="54"/>
      <c r="E1048570" s="54"/>
      <c r="F1048570" s="54"/>
      <c r="G1048570" s="54"/>
      <c r="H1048570" s="54"/>
      <c r="I1048570" s="54"/>
      <c r="J1048570" s="54"/>
      <c r="K1048570" s="54"/>
      <c r="L1048570" s="55"/>
    </row>
    <row r="1048571" spans="3:12" x14ac:dyDescent="0.25">
      <c r="C1048571" s="55"/>
      <c r="D1048571" s="54"/>
      <c r="E1048571" s="54"/>
      <c r="F1048571" s="54"/>
      <c r="G1048571" s="54"/>
      <c r="H1048571" s="54"/>
      <c r="I1048571" s="54"/>
      <c r="J1048571" s="54"/>
      <c r="K1048571" s="54"/>
      <c r="L1048571" s="55"/>
    </row>
    <row r="1048572" spans="3:12" x14ac:dyDescent="0.25">
      <c r="C1048572" s="55"/>
      <c r="D1048572" s="54"/>
      <c r="E1048572" s="54"/>
      <c r="F1048572" s="54"/>
      <c r="G1048572" s="54"/>
      <c r="H1048572" s="54"/>
      <c r="I1048572" s="54"/>
      <c r="J1048572" s="54"/>
      <c r="K1048572" s="54"/>
      <c r="L1048572" s="55"/>
    </row>
    <row r="1048573" spans="3:12" x14ac:dyDescent="0.25">
      <c r="C1048573" s="55"/>
      <c r="D1048573" s="54"/>
      <c r="E1048573" s="54"/>
      <c r="F1048573" s="54"/>
      <c r="G1048573" s="54"/>
      <c r="H1048573" s="54"/>
      <c r="I1048573" s="54"/>
      <c r="J1048573" s="54"/>
      <c r="K1048573" s="54"/>
      <c r="L1048573" s="55"/>
    </row>
    <row r="1048574" spans="3:12" x14ac:dyDescent="0.25">
      <c r="C1048574" s="55"/>
      <c r="D1048574" s="55"/>
      <c r="E1048574" s="55"/>
      <c r="F1048574" s="55"/>
      <c r="G1048574" s="55"/>
      <c r="H1048574" s="55"/>
      <c r="I1048574" s="55"/>
      <c r="J1048574" s="55"/>
      <c r="K1048574" s="55"/>
      <c r="L1048574" s="55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83" priority="43" operator="equal">
      <formula>212030016606640</formula>
    </cfRule>
  </conditionalFormatting>
  <conditionalFormatting sqref="D29 E4:E6 E28:K29">
    <cfRule type="cellIs" dxfId="1382" priority="41" operator="equal">
      <formula>$E$4</formula>
    </cfRule>
    <cfRule type="cellIs" dxfId="1381" priority="42" operator="equal">
      <formula>2120</formula>
    </cfRule>
  </conditionalFormatting>
  <conditionalFormatting sqref="D29:E29 F4:F6 F28:F29">
    <cfRule type="cellIs" dxfId="1380" priority="39" operator="equal">
      <formula>$F$4</formula>
    </cfRule>
    <cfRule type="cellIs" dxfId="1379" priority="40" operator="equal">
      <formula>300</formula>
    </cfRule>
  </conditionalFormatting>
  <conditionalFormatting sqref="G4:G6 G28:G29">
    <cfRule type="cellIs" dxfId="1378" priority="37" operator="equal">
      <formula>$G$4</formula>
    </cfRule>
    <cfRule type="cellIs" dxfId="1377" priority="38" operator="equal">
      <formula>1660</formula>
    </cfRule>
  </conditionalFormatting>
  <conditionalFormatting sqref="H4:H6 H28:H29">
    <cfRule type="cellIs" dxfId="1376" priority="35" operator="equal">
      <formula>$H$4</formula>
    </cfRule>
    <cfRule type="cellIs" dxfId="1375" priority="36" operator="equal">
      <formula>6640</formula>
    </cfRule>
  </conditionalFormatting>
  <conditionalFormatting sqref="T6:T28">
    <cfRule type="cellIs" dxfId="1374" priority="34" operator="lessThan">
      <formula>0</formula>
    </cfRule>
  </conditionalFormatting>
  <conditionalFormatting sqref="T7:T27">
    <cfRule type="cellIs" dxfId="1373" priority="31" operator="lessThan">
      <formula>0</formula>
    </cfRule>
    <cfRule type="cellIs" dxfId="1372" priority="32" operator="lessThan">
      <formula>0</formula>
    </cfRule>
    <cfRule type="cellIs" dxfId="1371" priority="33" operator="lessThan">
      <formula>0</formula>
    </cfRule>
  </conditionalFormatting>
  <conditionalFormatting sqref="E4:E6 E28:K28">
    <cfRule type="cellIs" dxfId="1370" priority="30" operator="equal">
      <formula>$E$4</formula>
    </cfRule>
  </conditionalFormatting>
  <conditionalFormatting sqref="D28:D29 D6 D4:M4">
    <cfRule type="cellIs" dxfId="1369" priority="29" operator="equal">
      <formula>$D$4</formula>
    </cfRule>
  </conditionalFormatting>
  <conditionalFormatting sqref="I4:I6 I28:I29">
    <cfRule type="cellIs" dxfId="1368" priority="28" operator="equal">
      <formula>$I$4</formula>
    </cfRule>
  </conditionalFormatting>
  <conditionalFormatting sqref="J4:J6 J28:J29">
    <cfRule type="cellIs" dxfId="1367" priority="27" operator="equal">
      <formula>$J$4</formula>
    </cfRule>
  </conditionalFormatting>
  <conditionalFormatting sqref="K4:K6 K28:K29">
    <cfRule type="cellIs" dxfId="1366" priority="26" operator="equal">
      <formula>$K$4</formula>
    </cfRule>
  </conditionalFormatting>
  <conditionalFormatting sqref="M4:M6">
    <cfRule type="cellIs" dxfId="1365" priority="25" operator="equal">
      <formula>$L$4</formula>
    </cfRule>
  </conditionalFormatting>
  <conditionalFormatting sqref="T7:T28">
    <cfRule type="cellIs" dxfId="1364" priority="22" operator="lessThan">
      <formula>0</formula>
    </cfRule>
    <cfRule type="cellIs" dxfId="1363" priority="23" operator="lessThan">
      <formula>0</formula>
    </cfRule>
    <cfRule type="cellIs" dxfId="1362" priority="24" operator="lessThan">
      <formula>0</formula>
    </cfRule>
  </conditionalFormatting>
  <conditionalFormatting sqref="D5:K5">
    <cfRule type="cellIs" dxfId="1361" priority="21" operator="greaterThan">
      <formula>0</formula>
    </cfRule>
  </conditionalFormatting>
  <conditionalFormatting sqref="T6:T28">
    <cfRule type="cellIs" dxfId="1360" priority="20" operator="lessThan">
      <formula>0</formula>
    </cfRule>
  </conditionalFormatting>
  <conditionalFormatting sqref="T7:T27">
    <cfRule type="cellIs" dxfId="1359" priority="17" operator="lessThan">
      <formula>0</formula>
    </cfRule>
    <cfRule type="cellIs" dxfId="1358" priority="18" operator="lessThan">
      <formula>0</formula>
    </cfRule>
    <cfRule type="cellIs" dxfId="1357" priority="19" operator="lessThan">
      <formula>0</formula>
    </cfRule>
  </conditionalFormatting>
  <conditionalFormatting sqref="T7:T28">
    <cfRule type="cellIs" dxfId="1356" priority="14" operator="lessThan">
      <formula>0</formula>
    </cfRule>
    <cfRule type="cellIs" dxfId="1355" priority="15" operator="lessThan">
      <formula>0</formula>
    </cfRule>
    <cfRule type="cellIs" dxfId="1354" priority="16" operator="lessThan">
      <formula>0</formula>
    </cfRule>
  </conditionalFormatting>
  <conditionalFormatting sqref="D5:K5">
    <cfRule type="cellIs" dxfId="1353" priority="13" operator="greaterThan">
      <formula>0</formula>
    </cfRule>
  </conditionalFormatting>
  <conditionalFormatting sqref="L4 L6 L28:L29">
    <cfRule type="cellIs" dxfId="1352" priority="12" operator="equal">
      <formula>$L$4</formula>
    </cfRule>
  </conditionalFormatting>
  <conditionalFormatting sqref="D7:S7">
    <cfRule type="cellIs" dxfId="1351" priority="11" operator="greaterThan">
      <formula>0</formula>
    </cfRule>
  </conditionalFormatting>
  <conditionalFormatting sqref="D9:S9">
    <cfRule type="cellIs" dxfId="1350" priority="10" operator="greaterThan">
      <formula>0</formula>
    </cfRule>
  </conditionalFormatting>
  <conditionalFormatting sqref="D11:S11">
    <cfRule type="cellIs" dxfId="1349" priority="9" operator="greaterThan">
      <formula>0</formula>
    </cfRule>
  </conditionalFormatting>
  <conditionalFormatting sqref="D13:S13">
    <cfRule type="cellIs" dxfId="1348" priority="8" operator="greaterThan">
      <formula>0</formula>
    </cfRule>
  </conditionalFormatting>
  <conditionalFormatting sqref="D15:S15">
    <cfRule type="cellIs" dxfId="1347" priority="7" operator="greaterThan">
      <formula>0</formula>
    </cfRule>
  </conditionalFormatting>
  <conditionalFormatting sqref="D17:S17">
    <cfRule type="cellIs" dxfId="1346" priority="6" operator="greaterThan">
      <formula>0</formula>
    </cfRule>
  </conditionalFormatting>
  <conditionalFormatting sqref="D19:S19">
    <cfRule type="cellIs" dxfId="1345" priority="5" operator="greaterThan">
      <formula>0</formula>
    </cfRule>
  </conditionalFormatting>
  <conditionalFormatting sqref="D21:S21">
    <cfRule type="cellIs" dxfId="1344" priority="4" operator="greaterThan">
      <formula>0</formula>
    </cfRule>
  </conditionalFormatting>
  <conditionalFormatting sqref="D23:S23">
    <cfRule type="cellIs" dxfId="1343" priority="3" operator="greaterThan">
      <formula>0</formula>
    </cfRule>
  </conditionalFormatting>
  <conditionalFormatting sqref="D25:S25">
    <cfRule type="cellIs" dxfId="1342" priority="2" operator="greaterThan">
      <formula>0</formula>
    </cfRule>
  </conditionalFormatting>
  <conditionalFormatting sqref="D27:S27">
    <cfRule type="cellIs" dxfId="1341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9" activePane="bottomLeft" state="frozen"/>
      <selection pane="bottomLeft" activeCell="L33" sqref="L33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7109375" bestFit="1" customWidth="1"/>
    <col min="18" max="18" width="12.140625" bestFit="1" customWidth="1"/>
    <col min="22" max="22" width="10.28515625" bestFit="1" customWidth="1"/>
  </cols>
  <sheetData>
    <row r="1" spans="1:22" x14ac:dyDescent="0.25">
      <c r="A1" s="249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</row>
    <row r="2" spans="1:22" ht="15.75" thickBot="1" x14ac:dyDescent="0.3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</row>
    <row r="3" spans="1:22" ht="18.75" x14ac:dyDescent="0.25">
      <c r="A3" s="250" t="s">
        <v>114</v>
      </c>
      <c r="B3" s="251"/>
      <c r="C3" s="252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</row>
    <row r="4" spans="1:22" x14ac:dyDescent="0.25">
      <c r="A4" s="254" t="s">
        <v>1</v>
      </c>
      <c r="B4" s="254"/>
      <c r="C4" s="1"/>
      <c r="D4" s="2">
        <f>'19'!D29</f>
        <v>430768</v>
      </c>
      <c r="E4" s="2">
        <f>'19'!E29</f>
        <v>8815</v>
      </c>
      <c r="F4" s="2">
        <f>'19'!F29</f>
        <v>18830</v>
      </c>
      <c r="G4" s="2">
        <f>'19'!G29</f>
        <v>1060</v>
      </c>
      <c r="H4" s="2">
        <f>'19'!H29</f>
        <v>40160</v>
      </c>
      <c r="I4" s="2">
        <f>'19'!I29</f>
        <v>1235</v>
      </c>
      <c r="J4" s="2">
        <f>'19'!J29</f>
        <v>608</v>
      </c>
      <c r="K4" s="2">
        <f>'19'!K29</f>
        <v>158</v>
      </c>
      <c r="L4" s="2">
        <f>'19'!L29</f>
        <v>0</v>
      </c>
      <c r="M4" s="3"/>
      <c r="N4" s="261"/>
      <c r="O4" s="262"/>
      <c r="P4" s="262"/>
      <c r="Q4" s="262"/>
      <c r="R4" s="262"/>
      <c r="S4" s="262"/>
      <c r="T4" s="262"/>
      <c r="U4" s="262"/>
      <c r="V4" s="263"/>
    </row>
    <row r="5" spans="1:22" x14ac:dyDescent="0.25">
      <c r="A5" s="254" t="s">
        <v>2</v>
      </c>
      <c r="B5" s="254"/>
      <c r="C5" s="1"/>
      <c r="D5" s="1">
        <v>831169</v>
      </c>
      <c r="E5" s="4"/>
      <c r="F5" s="4"/>
      <c r="G5" s="4"/>
      <c r="H5" s="4"/>
      <c r="I5" s="1"/>
      <c r="J5" s="1"/>
      <c r="K5" s="1"/>
      <c r="L5" s="1"/>
      <c r="M5" s="5"/>
      <c r="N5" s="261"/>
      <c r="O5" s="262"/>
      <c r="P5" s="262"/>
      <c r="Q5" s="262"/>
      <c r="R5" s="262"/>
      <c r="S5" s="262"/>
      <c r="T5" s="262"/>
      <c r="U5" s="262"/>
      <c r="V5" s="263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220" t="s">
        <v>22</v>
      </c>
      <c r="U6" s="18" t="s">
        <v>115</v>
      </c>
      <c r="V6" s="18" t="s">
        <v>113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71077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71077</v>
      </c>
      <c r="N7" s="24">
        <f>D7+E7*20+F7*10+G7*9+H7*9+I7*191+J7*191+K7*182+L7*100</f>
        <v>71077</v>
      </c>
      <c r="O7" s="25">
        <f>M7*2.75%</f>
        <v>1954.6175000000001</v>
      </c>
      <c r="P7" s="26">
        <v>-30100</v>
      </c>
      <c r="Q7" s="26">
        <v>100</v>
      </c>
      <c r="R7" s="24">
        <f>M7-(M7*2.75%)+I7*191+J7*191+K7*182+L7*100-Q7</f>
        <v>69022.382500000007</v>
      </c>
      <c r="S7" s="25">
        <f>M7*0.95%</f>
        <v>675.23149999999998</v>
      </c>
      <c r="T7" s="221">
        <f>S7-Q7</f>
        <v>575.23149999999998</v>
      </c>
      <c r="U7" s="223">
        <v>621</v>
      </c>
      <c r="V7" s="224">
        <f>R7-U7</f>
        <v>68401.382500000007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30624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30624</v>
      </c>
      <c r="N8" s="24">
        <f t="shared" ref="N8:N27" si="1">D8+E8*20+F8*10+G8*9+H8*9+I8*191+J8*191+K8*182+L8*100</f>
        <v>30624</v>
      </c>
      <c r="O8" s="25">
        <f t="shared" ref="O8:O27" si="2">M8*2.75%</f>
        <v>842.16</v>
      </c>
      <c r="P8" s="26">
        <v>-1000</v>
      </c>
      <c r="Q8" s="26">
        <v>130</v>
      </c>
      <c r="R8" s="24">
        <f t="shared" ref="R8:R27" si="3">M8-(M8*2.75%)+I8*191+J8*191+K8*182+L8*100-Q8</f>
        <v>29651.84</v>
      </c>
      <c r="S8" s="25">
        <f t="shared" ref="S8:S27" si="4">M8*0.95%</f>
        <v>290.928</v>
      </c>
      <c r="T8" s="221">
        <f t="shared" ref="T8:T27" si="5">S8-Q8</f>
        <v>160.928</v>
      </c>
      <c r="U8" s="223">
        <v>252</v>
      </c>
      <c r="V8" s="224">
        <f t="shared" ref="V8:V27" si="6">R8-U8</f>
        <v>29399.84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74038</v>
      </c>
      <c r="E9" s="30"/>
      <c r="F9" s="30"/>
      <c r="G9" s="30"/>
      <c r="H9" s="30">
        <v>240</v>
      </c>
      <c r="I9" s="20">
        <v>7</v>
      </c>
      <c r="J9" s="20"/>
      <c r="K9" s="20">
        <v>2</v>
      </c>
      <c r="L9" s="20"/>
      <c r="M9" s="20">
        <f t="shared" si="0"/>
        <v>76198</v>
      </c>
      <c r="N9" s="24">
        <f t="shared" si="1"/>
        <v>77899</v>
      </c>
      <c r="O9" s="25">
        <f t="shared" si="2"/>
        <v>2095.4450000000002</v>
      </c>
      <c r="P9" s="26">
        <v>-11000</v>
      </c>
      <c r="Q9" s="26">
        <v>222</v>
      </c>
      <c r="R9" s="24">
        <f t="shared" si="3"/>
        <v>75581.554999999993</v>
      </c>
      <c r="S9" s="25">
        <f t="shared" si="4"/>
        <v>723.88099999999997</v>
      </c>
      <c r="T9" s="221">
        <f t="shared" si="5"/>
        <v>501.88099999999997</v>
      </c>
      <c r="U9" s="223">
        <v>603</v>
      </c>
      <c r="V9" s="224">
        <f t="shared" si="6"/>
        <v>74978.554999999993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17090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17090</v>
      </c>
      <c r="N10" s="24">
        <f t="shared" si="1"/>
        <v>17090</v>
      </c>
      <c r="O10" s="25">
        <f t="shared" si="2"/>
        <v>469.97500000000002</v>
      </c>
      <c r="P10" s="26"/>
      <c r="Q10" s="26">
        <v>32</v>
      </c>
      <c r="R10" s="24">
        <f t="shared" si="3"/>
        <v>16588.025000000001</v>
      </c>
      <c r="S10" s="25">
        <f t="shared" si="4"/>
        <v>162.35499999999999</v>
      </c>
      <c r="T10" s="221">
        <f t="shared" si="5"/>
        <v>130.35499999999999</v>
      </c>
      <c r="U10" s="223">
        <v>108</v>
      </c>
      <c r="V10" s="224">
        <f t="shared" si="6"/>
        <v>16480.025000000001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36482</v>
      </c>
      <c r="E11" s="30">
        <v>50</v>
      </c>
      <c r="F11" s="30">
        <v>50</v>
      </c>
      <c r="G11" s="32">
        <v>10</v>
      </c>
      <c r="H11" s="30">
        <v>180</v>
      </c>
      <c r="I11" s="20"/>
      <c r="J11" s="20"/>
      <c r="K11" s="20"/>
      <c r="L11" s="20"/>
      <c r="M11" s="20">
        <f t="shared" si="0"/>
        <v>39692</v>
      </c>
      <c r="N11" s="24">
        <f t="shared" si="1"/>
        <v>39692</v>
      </c>
      <c r="O11" s="25">
        <f t="shared" si="2"/>
        <v>1091.53</v>
      </c>
      <c r="P11" s="26">
        <v>-2000</v>
      </c>
      <c r="Q11" s="26">
        <v>96</v>
      </c>
      <c r="R11" s="24">
        <f t="shared" si="3"/>
        <v>38504.47</v>
      </c>
      <c r="S11" s="25">
        <f t="shared" si="4"/>
        <v>377.07400000000001</v>
      </c>
      <c r="T11" s="221">
        <f t="shared" si="5"/>
        <v>281.07400000000001</v>
      </c>
      <c r="U11" s="223">
        <v>315</v>
      </c>
      <c r="V11" s="224">
        <f t="shared" si="6"/>
        <v>38189.47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11028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11028</v>
      </c>
      <c r="N12" s="24">
        <f t="shared" si="1"/>
        <v>11028</v>
      </c>
      <c r="O12" s="25">
        <f t="shared" si="2"/>
        <v>303.27</v>
      </c>
      <c r="P12" s="26"/>
      <c r="Q12" s="26">
        <v>44</v>
      </c>
      <c r="R12" s="24">
        <f t="shared" si="3"/>
        <v>10680.73</v>
      </c>
      <c r="S12" s="25">
        <f t="shared" si="4"/>
        <v>104.76599999999999</v>
      </c>
      <c r="T12" s="221">
        <f t="shared" si="5"/>
        <v>60.765999999999991</v>
      </c>
      <c r="U12" s="223">
        <v>81</v>
      </c>
      <c r="V12" s="224">
        <f t="shared" si="6"/>
        <v>10599.73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10322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10322</v>
      </c>
      <c r="N13" s="24">
        <f t="shared" si="1"/>
        <v>10322</v>
      </c>
      <c r="O13" s="25">
        <f t="shared" si="2"/>
        <v>283.85500000000002</v>
      </c>
      <c r="P13" s="26"/>
      <c r="Q13" s="26">
        <v>55</v>
      </c>
      <c r="R13" s="24">
        <f t="shared" si="3"/>
        <v>9983.1450000000004</v>
      </c>
      <c r="S13" s="25">
        <f t="shared" si="4"/>
        <v>98.058999999999997</v>
      </c>
      <c r="T13" s="221">
        <f t="shared" si="5"/>
        <v>43.058999999999997</v>
      </c>
      <c r="U13" s="223">
        <v>72</v>
      </c>
      <c r="V13" s="224">
        <f t="shared" si="6"/>
        <v>9911.1450000000004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110186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110186</v>
      </c>
      <c r="N14" s="24">
        <f t="shared" si="1"/>
        <v>110186</v>
      </c>
      <c r="O14" s="25">
        <f t="shared" si="2"/>
        <v>3030.1150000000002</v>
      </c>
      <c r="P14" s="26">
        <v>20395</v>
      </c>
      <c r="Q14" s="26">
        <v>261</v>
      </c>
      <c r="R14" s="24">
        <f t="shared" si="3"/>
        <v>106894.88499999999</v>
      </c>
      <c r="S14" s="25">
        <f t="shared" si="4"/>
        <v>1046.7670000000001</v>
      </c>
      <c r="T14" s="221">
        <f t="shared" si="5"/>
        <v>785.76700000000005</v>
      </c>
      <c r="U14" s="223">
        <v>900</v>
      </c>
      <c r="V14" s="224">
        <f t="shared" si="6"/>
        <v>105994.88499999999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75016</v>
      </c>
      <c r="E15" s="30">
        <v>30</v>
      </c>
      <c r="F15" s="30"/>
      <c r="G15" s="30"/>
      <c r="H15" s="30">
        <v>20</v>
      </c>
      <c r="I15" s="20">
        <v>4</v>
      </c>
      <c r="J15" s="20"/>
      <c r="K15" s="20"/>
      <c r="L15" s="20"/>
      <c r="M15" s="20">
        <f t="shared" si="0"/>
        <v>75796</v>
      </c>
      <c r="N15" s="24">
        <f t="shared" si="1"/>
        <v>76560</v>
      </c>
      <c r="O15" s="25">
        <f t="shared" si="2"/>
        <v>2084.39</v>
      </c>
      <c r="P15" s="26"/>
      <c r="Q15" s="26">
        <v>350</v>
      </c>
      <c r="R15" s="24">
        <f t="shared" si="3"/>
        <v>74125.61</v>
      </c>
      <c r="S15" s="25">
        <f t="shared" si="4"/>
        <v>720.06200000000001</v>
      </c>
      <c r="T15" s="221">
        <f t="shared" si="5"/>
        <v>370.06200000000001</v>
      </c>
      <c r="U15" s="223">
        <v>576</v>
      </c>
      <c r="V15" s="224">
        <f t="shared" si="6"/>
        <v>73549.61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94468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94468</v>
      </c>
      <c r="N16" s="24">
        <f t="shared" si="1"/>
        <v>94468</v>
      </c>
      <c r="O16" s="25">
        <f t="shared" si="2"/>
        <v>2597.87</v>
      </c>
      <c r="P16" s="26">
        <v>47012</v>
      </c>
      <c r="Q16" s="26">
        <v>200</v>
      </c>
      <c r="R16" s="24">
        <f t="shared" si="3"/>
        <v>91670.13</v>
      </c>
      <c r="S16" s="25">
        <f t="shared" si="4"/>
        <v>897.44600000000003</v>
      </c>
      <c r="T16" s="221">
        <f t="shared" si="5"/>
        <v>697.44600000000003</v>
      </c>
      <c r="U16" s="223">
        <v>828</v>
      </c>
      <c r="V16" s="224">
        <f t="shared" si="6"/>
        <v>90842.13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70837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70837</v>
      </c>
      <c r="N17" s="24">
        <f t="shared" si="1"/>
        <v>70837</v>
      </c>
      <c r="O17" s="25">
        <f t="shared" si="2"/>
        <v>1948.0174999999999</v>
      </c>
      <c r="P17" s="26">
        <v>-43000</v>
      </c>
      <c r="Q17" s="26">
        <v>100</v>
      </c>
      <c r="R17" s="24">
        <f t="shared" si="3"/>
        <v>68788.982499999998</v>
      </c>
      <c r="S17" s="25">
        <f t="shared" si="4"/>
        <v>672.95150000000001</v>
      </c>
      <c r="T17" s="221">
        <f t="shared" si="5"/>
        <v>572.95150000000001</v>
      </c>
      <c r="U17" s="223">
        <v>630</v>
      </c>
      <c r="V17" s="224">
        <f t="shared" si="6"/>
        <v>68158.982499999998</v>
      </c>
    </row>
    <row r="18" spans="1:22" ht="15.75" x14ac:dyDescent="0.25">
      <c r="A18" s="28">
        <v>12</v>
      </c>
      <c r="B18" s="20">
        <v>1908446145</v>
      </c>
      <c r="C18" s="31" t="s">
        <v>52</v>
      </c>
      <c r="D18" s="29">
        <v>59512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59512</v>
      </c>
      <c r="N18" s="24">
        <f t="shared" si="1"/>
        <v>59512</v>
      </c>
      <c r="O18" s="25">
        <f t="shared" si="2"/>
        <v>1636.58</v>
      </c>
      <c r="P18" s="26"/>
      <c r="Q18" s="26">
        <v>180</v>
      </c>
      <c r="R18" s="24">
        <f t="shared" si="3"/>
        <v>57695.42</v>
      </c>
      <c r="S18" s="25">
        <f t="shared" si="4"/>
        <v>565.36400000000003</v>
      </c>
      <c r="T18" s="221">
        <f t="shared" si="5"/>
        <v>385.36400000000003</v>
      </c>
      <c r="U18" s="223">
        <v>468</v>
      </c>
      <c r="V18" s="224">
        <f t="shared" si="6"/>
        <v>57227.42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56166</v>
      </c>
      <c r="E19" s="30"/>
      <c r="F19" s="30"/>
      <c r="G19" s="30"/>
      <c r="H19" s="30">
        <v>20</v>
      </c>
      <c r="I19" s="20"/>
      <c r="J19" s="20"/>
      <c r="K19" s="20"/>
      <c r="L19" s="20"/>
      <c r="M19" s="20">
        <f t="shared" si="0"/>
        <v>56346</v>
      </c>
      <c r="N19" s="24">
        <f t="shared" si="1"/>
        <v>56346</v>
      </c>
      <c r="O19" s="25">
        <f t="shared" si="2"/>
        <v>1549.5150000000001</v>
      </c>
      <c r="P19" s="26">
        <v>-19000</v>
      </c>
      <c r="Q19" s="26">
        <v>220</v>
      </c>
      <c r="R19" s="24">
        <f t="shared" si="3"/>
        <v>54576.485000000001</v>
      </c>
      <c r="S19" s="25">
        <f t="shared" si="4"/>
        <v>535.28700000000003</v>
      </c>
      <c r="T19" s="221">
        <f t="shared" si="5"/>
        <v>315.28700000000003</v>
      </c>
      <c r="U19" s="223">
        <v>459</v>
      </c>
      <c r="V19" s="224">
        <f t="shared" si="6"/>
        <v>54117.485000000001</v>
      </c>
    </row>
    <row r="20" spans="1:22" ht="15.75" x14ac:dyDescent="0.25">
      <c r="A20" s="28">
        <v>14</v>
      </c>
      <c r="B20" s="20">
        <v>1908446147</v>
      </c>
      <c r="C20" s="20" t="s">
        <v>51</v>
      </c>
      <c r="D20" s="29">
        <v>16680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16680</v>
      </c>
      <c r="N20" s="24">
        <f t="shared" si="1"/>
        <v>16680</v>
      </c>
      <c r="O20" s="25">
        <f t="shared" si="2"/>
        <v>458.7</v>
      </c>
      <c r="P20" s="26"/>
      <c r="Q20" s="26">
        <v>122</v>
      </c>
      <c r="R20" s="24">
        <f t="shared" si="3"/>
        <v>16099.3</v>
      </c>
      <c r="S20" s="25">
        <f t="shared" si="4"/>
        <v>158.46</v>
      </c>
      <c r="T20" s="221">
        <f t="shared" si="5"/>
        <v>36.460000000000008</v>
      </c>
      <c r="U20" s="223">
        <v>99</v>
      </c>
      <c r="V20" s="224">
        <f t="shared" si="6"/>
        <v>16000.3</v>
      </c>
    </row>
    <row r="21" spans="1:22" ht="15.75" x14ac:dyDescent="0.25">
      <c r="A21" s="28">
        <v>15</v>
      </c>
      <c r="B21" s="20">
        <v>1908446148</v>
      </c>
      <c r="C21" s="20" t="s">
        <v>50</v>
      </c>
      <c r="D21" s="29">
        <v>20973</v>
      </c>
      <c r="E21" s="30"/>
      <c r="F21" s="30">
        <v>160</v>
      </c>
      <c r="G21" s="30"/>
      <c r="H21" s="30"/>
      <c r="I21" s="20">
        <v>5</v>
      </c>
      <c r="J21" s="20"/>
      <c r="K21" s="20"/>
      <c r="L21" s="20"/>
      <c r="M21" s="20">
        <f t="shared" si="0"/>
        <v>22573</v>
      </c>
      <c r="N21" s="24">
        <f t="shared" si="1"/>
        <v>23528</v>
      </c>
      <c r="O21" s="25">
        <f t="shared" si="2"/>
        <v>620.75750000000005</v>
      </c>
      <c r="P21" s="26">
        <v>500</v>
      </c>
      <c r="Q21" s="26">
        <v>50</v>
      </c>
      <c r="R21" s="24">
        <f t="shared" si="3"/>
        <v>22857.2425</v>
      </c>
      <c r="S21" s="25">
        <f t="shared" si="4"/>
        <v>214.4435</v>
      </c>
      <c r="T21" s="221">
        <f t="shared" si="5"/>
        <v>164.4435</v>
      </c>
      <c r="U21" s="223">
        <v>153</v>
      </c>
      <c r="V21" s="224">
        <f t="shared" si="6"/>
        <v>22704.2425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60108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60108</v>
      </c>
      <c r="N22" s="24">
        <f t="shared" si="1"/>
        <v>60108</v>
      </c>
      <c r="O22" s="25">
        <f t="shared" si="2"/>
        <v>1652.97</v>
      </c>
      <c r="P22" s="26"/>
      <c r="Q22" s="26">
        <v>205</v>
      </c>
      <c r="R22" s="24">
        <f t="shared" si="3"/>
        <v>58250.03</v>
      </c>
      <c r="S22" s="25">
        <f t="shared" si="4"/>
        <v>571.02599999999995</v>
      </c>
      <c r="T22" s="221">
        <f t="shared" si="5"/>
        <v>366.02599999999995</v>
      </c>
      <c r="U22" s="223">
        <v>450</v>
      </c>
      <c r="V22" s="224">
        <f t="shared" si="6"/>
        <v>57800.03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36081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36081</v>
      </c>
      <c r="N23" s="24">
        <f t="shared" si="1"/>
        <v>36081</v>
      </c>
      <c r="O23" s="25">
        <f t="shared" si="2"/>
        <v>992.22749999999996</v>
      </c>
      <c r="P23" s="26"/>
      <c r="Q23" s="26">
        <v>250</v>
      </c>
      <c r="R23" s="24">
        <f t="shared" si="3"/>
        <v>34838.772499999999</v>
      </c>
      <c r="S23" s="25">
        <f t="shared" si="4"/>
        <v>342.76949999999999</v>
      </c>
      <c r="T23" s="221">
        <f t="shared" si="5"/>
        <v>92.769499999999994</v>
      </c>
      <c r="U23" s="223">
        <v>297</v>
      </c>
      <c r="V23" s="224">
        <f t="shared" si="6"/>
        <v>34541.772499999999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74776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74776</v>
      </c>
      <c r="N24" s="24">
        <f t="shared" si="1"/>
        <v>74776</v>
      </c>
      <c r="O24" s="25">
        <f t="shared" si="2"/>
        <v>2056.34</v>
      </c>
      <c r="P24" s="26">
        <v>11400</v>
      </c>
      <c r="Q24" s="26">
        <v>282</v>
      </c>
      <c r="R24" s="24">
        <f t="shared" si="3"/>
        <v>72437.66</v>
      </c>
      <c r="S24" s="25">
        <f t="shared" si="4"/>
        <v>710.37199999999996</v>
      </c>
      <c r="T24" s="221">
        <f t="shared" si="5"/>
        <v>428.37199999999996</v>
      </c>
      <c r="U24" s="223">
        <v>576</v>
      </c>
      <c r="V24" s="224">
        <f t="shared" si="6"/>
        <v>71861.66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34811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34811</v>
      </c>
      <c r="N25" s="24">
        <f t="shared" si="1"/>
        <v>34811</v>
      </c>
      <c r="O25" s="25">
        <f t="shared" si="2"/>
        <v>957.30250000000001</v>
      </c>
      <c r="P25" s="26">
        <v>36490</v>
      </c>
      <c r="Q25" s="26">
        <v>255</v>
      </c>
      <c r="R25" s="24">
        <f t="shared" si="3"/>
        <v>33598.697500000002</v>
      </c>
      <c r="S25" s="25">
        <f t="shared" si="4"/>
        <v>330.7045</v>
      </c>
      <c r="T25" s="221">
        <f t="shared" si="5"/>
        <v>75.704499999999996</v>
      </c>
      <c r="U25" s="223">
        <v>279</v>
      </c>
      <c r="V25" s="224">
        <f t="shared" si="6"/>
        <v>33319.697500000002</v>
      </c>
    </row>
    <row r="26" spans="1:22" ht="15.75" x14ac:dyDescent="0.25">
      <c r="A26" s="28">
        <v>70</v>
      </c>
      <c r="B26" s="20">
        <v>1908446153</v>
      </c>
      <c r="C26" s="36" t="s">
        <v>49</v>
      </c>
      <c r="D26" s="29">
        <v>19707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19707</v>
      </c>
      <c r="N26" s="24">
        <f t="shared" si="1"/>
        <v>20662</v>
      </c>
      <c r="O26" s="25">
        <f t="shared" si="2"/>
        <v>541.9425</v>
      </c>
      <c r="P26" s="26">
        <v>-3000</v>
      </c>
      <c r="Q26" s="26">
        <v>140</v>
      </c>
      <c r="R26" s="24">
        <f t="shared" si="3"/>
        <v>19980.057499999999</v>
      </c>
      <c r="S26" s="25">
        <f t="shared" si="4"/>
        <v>187.2165</v>
      </c>
      <c r="T26" s="221">
        <f t="shared" si="5"/>
        <v>47.216499999999996</v>
      </c>
      <c r="U26" s="223">
        <v>135</v>
      </c>
      <c r="V26" s="224">
        <f t="shared" si="6"/>
        <v>19845.057499999999</v>
      </c>
    </row>
    <row r="27" spans="1:22" ht="16.5" customHeight="1" thickBot="1" x14ac:dyDescent="0.35">
      <c r="A27" s="28">
        <v>21</v>
      </c>
      <c r="B27" s="20">
        <v>1908446154</v>
      </c>
      <c r="C27" s="20" t="s">
        <v>43</v>
      </c>
      <c r="D27" s="37">
        <v>50361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50361</v>
      </c>
      <c r="N27" s="40">
        <f t="shared" si="1"/>
        <v>50361</v>
      </c>
      <c r="O27" s="25">
        <f t="shared" si="2"/>
        <v>1384.9275</v>
      </c>
      <c r="P27" s="41"/>
      <c r="Q27" s="41">
        <v>200</v>
      </c>
      <c r="R27" s="24">
        <f t="shared" si="3"/>
        <v>48776.072500000002</v>
      </c>
      <c r="S27" s="42">
        <f t="shared" si="4"/>
        <v>478.42949999999996</v>
      </c>
      <c r="T27" s="222">
        <f t="shared" si="5"/>
        <v>278.42949999999996</v>
      </c>
      <c r="U27" s="223">
        <v>351</v>
      </c>
      <c r="V27" s="224">
        <f t="shared" si="6"/>
        <v>48425.072500000002</v>
      </c>
    </row>
    <row r="28" spans="1:22" ht="16.5" thickBot="1" x14ac:dyDescent="0.3">
      <c r="A28" s="240" t="s">
        <v>44</v>
      </c>
      <c r="B28" s="241"/>
      <c r="C28" s="242"/>
      <c r="D28" s="44">
        <f t="shared" ref="D28:E28" si="7">SUM(D7:D27)</f>
        <v>1030343</v>
      </c>
      <c r="E28" s="45">
        <f t="shared" si="7"/>
        <v>80</v>
      </c>
      <c r="F28" s="45">
        <f t="shared" ref="F28:U28" si="8">SUM(F7:F27)</f>
        <v>210</v>
      </c>
      <c r="G28" s="45">
        <f t="shared" si="8"/>
        <v>10</v>
      </c>
      <c r="H28" s="45">
        <f t="shared" si="8"/>
        <v>460</v>
      </c>
      <c r="I28" s="45">
        <f t="shared" si="8"/>
        <v>21</v>
      </c>
      <c r="J28" s="45">
        <f t="shared" si="8"/>
        <v>0</v>
      </c>
      <c r="K28" s="45">
        <f t="shared" si="8"/>
        <v>2</v>
      </c>
      <c r="L28" s="45">
        <f t="shared" si="8"/>
        <v>0</v>
      </c>
      <c r="M28" s="225">
        <f t="shared" si="8"/>
        <v>1038273</v>
      </c>
      <c r="N28" s="225">
        <f t="shared" si="8"/>
        <v>1042648</v>
      </c>
      <c r="O28" s="226">
        <f t="shared" si="8"/>
        <v>28552.507500000003</v>
      </c>
      <c r="P28" s="225">
        <f t="shared" si="8"/>
        <v>6697</v>
      </c>
      <c r="Q28" s="225">
        <f t="shared" si="8"/>
        <v>3494</v>
      </c>
      <c r="R28" s="225">
        <f t="shared" si="8"/>
        <v>1010601.4925000002</v>
      </c>
      <c r="S28" s="225">
        <f t="shared" si="8"/>
        <v>9863.5935000000009</v>
      </c>
      <c r="T28" s="227">
        <f t="shared" si="8"/>
        <v>6369.5935000000009</v>
      </c>
      <c r="U28" s="227">
        <f t="shared" si="8"/>
        <v>8253</v>
      </c>
      <c r="V28" s="228">
        <f t="shared" ref="V28" si="9">R28-U28</f>
        <v>1002348.4925000002</v>
      </c>
    </row>
    <row r="29" spans="1:22" ht="15.75" thickBot="1" x14ac:dyDescent="0.3">
      <c r="A29" s="243" t="s">
        <v>45</v>
      </c>
      <c r="B29" s="244"/>
      <c r="C29" s="245"/>
      <c r="D29" s="48">
        <f>D4+D5-D28</f>
        <v>231594</v>
      </c>
      <c r="E29" s="48">
        <f t="shared" ref="E29:L29" si="10">E4+E5-E28</f>
        <v>8735</v>
      </c>
      <c r="F29" s="48">
        <f t="shared" si="10"/>
        <v>18620</v>
      </c>
      <c r="G29" s="48">
        <f t="shared" si="10"/>
        <v>1050</v>
      </c>
      <c r="H29" s="48">
        <f t="shared" si="10"/>
        <v>39700</v>
      </c>
      <c r="I29" s="48">
        <f t="shared" si="10"/>
        <v>1214</v>
      </c>
      <c r="J29" s="48">
        <f t="shared" si="10"/>
        <v>608</v>
      </c>
      <c r="K29" s="48">
        <f t="shared" si="10"/>
        <v>156</v>
      </c>
      <c r="L29" s="48">
        <f t="shared" si="10"/>
        <v>0</v>
      </c>
      <c r="M29" s="264"/>
      <c r="N29" s="264"/>
      <c r="O29" s="264"/>
      <c r="P29" s="264"/>
      <c r="Q29" s="264"/>
      <c r="R29" s="264"/>
      <c r="S29" s="264"/>
      <c r="T29" s="264"/>
      <c r="U29" s="264"/>
      <c r="V29" s="264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19" priority="59" operator="equal">
      <formula>212030016606640</formula>
    </cfRule>
  </conditionalFormatting>
  <conditionalFormatting sqref="D29 E4:E6 E28:K29">
    <cfRule type="cellIs" dxfId="618" priority="57" operator="equal">
      <formula>$E$4</formula>
    </cfRule>
    <cfRule type="cellIs" dxfId="617" priority="58" operator="equal">
      <formula>2120</formula>
    </cfRule>
  </conditionalFormatting>
  <conditionalFormatting sqref="D29:E29 F4:F6 F28:F29">
    <cfRule type="cellIs" dxfId="616" priority="55" operator="equal">
      <formula>$F$4</formula>
    </cfRule>
    <cfRule type="cellIs" dxfId="615" priority="56" operator="equal">
      <formula>300</formula>
    </cfRule>
  </conditionalFormatting>
  <conditionalFormatting sqref="G4:G6 G28:G29">
    <cfRule type="cellIs" dxfId="614" priority="53" operator="equal">
      <formula>$G$4</formula>
    </cfRule>
    <cfRule type="cellIs" dxfId="613" priority="54" operator="equal">
      <formula>1660</formula>
    </cfRule>
  </conditionalFormatting>
  <conditionalFormatting sqref="H4:H6 H28:H29">
    <cfRule type="cellIs" dxfId="612" priority="51" operator="equal">
      <formula>$H$4</formula>
    </cfRule>
    <cfRule type="cellIs" dxfId="611" priority="52" operator="equal">
      <formula>6640</formula>
    </cfRule>
  </conditionalFormatting>
  <conditionalFormatting sqref="T6:T28 U6:V6 U28">
    <cfRule type="cellIs" dxfId="610" priority="50" operator="lessThan">
      <formula>0</formula>
    </cfRule>
  </conditionalFormatting>
  <conditionalFormatting sqref="T7:T27">
    <cfRule type="cellIs" dxfId="609" priority="47" operator="lessThan">
      <formula>0</formula>
    </cfRule>
    <cfRule type="cellIs" dxfId="608" priority="48" operator="lessThan">
      <formula>0</formula>
    </cfRule>
    <cfRule type="cellIs" dxfId="607" priority="49" operator="lessThan">
      <formula>0</formula>
    </cfRule>
  </conditionalFormatting>
  <conditionalFormatting sqref="E4:E6 E28:K28">
    <cfRule type="cellIs" dxfId="606" priority="46" operator="equal">
      <formula>$E$4</formula>
    </cfRule>
  </conditionalFormatting>
  <conditionalFormatting sqref="D28:D29 D6 D4:M4">
    <cfRule type="cellIs" dxfId="605" priority="45" operator="equal">
      <formula>$D$4</formula>
    </cfRule>
  </conditionalFormatting>
  <conditionalFormatting sqref="I4:I6 I28:I29">
    <cfRule type="cellIs" dxfId="604" priority="44" operator="equal">
      <formula>$I$4</formula>
    </cfRule>
  </conditionalFormatting>
  <conditionalFormatting sqref="J4:J6 J28:J29">
    <cfRule type="cellIs" dxfId="603" priority="43" operator="equal">
      <formula>$J$4</formula>
    </cfRule>
  </conditionalFormatting>
  <conditionalFormatting sqref="K4:K6 K28:K29">
    <cfRule type="cellIs" dxfId="602" priority="42" operator="equal">
      <formula>$K$4</formula>
    </cfRule>
  </conditionalFormatting>
  <conditionalFormatting sqref="M4:M6">
    <cfRule type="cellIs" dxfId="601" priority="41" operator="equal">
      <formula>$L$4</formula>
    </cfRule>
  </conditionalFormatting>
  <conditionalFormatting sqref="T7:T28 U28">
    <cfRule type="cellIs" dxfId="600" priority="38" operator="lessThan">
      <formula>0</formula>
    </cfRule>
    <cfRule type="cellIs" dxfId="599" priority="39" operator="lessThan">
      <formula>0</formula>
    </cfRule>
    <cfRule type="cellIs" dxfId="598" priority="40" operator="lessThan">
      <formula>0</formula>
    </cfRule>
  </conditionalFormatting>
  <conditionalFormatting sqref="D5:K5">
    <cfRule type="cellIs" dxfId="597" priority="37" operator="greaterThan">
      <formula>0</formula>
    </cfRule>
  </conditionalFormatting>
  <conditionalFormatting sqref="T6:T28 U6:V6 U28">
    <cfRule type="cellIs" dxfId="596" priority="36" operator="lessThan">
      <formula>0</formula>
    </cfRule>
  </conditionalFormatting>
  <conditionalFormatting sqref="T7:T27">
    <cfRule type="cellIs" dxfId="595" priority="33" operator="lessThan">
      <formula>0</formula>
    </cfRule>
    <cfRule type="cellIs" dxfId="594" priority="34" operator="lessThan">
      <formula>0</formula>
    </cfRule>
    <cfRule type="cellIs" dxfId="593" priority="35" operator="lessThan">
      <formula>0</formula>
    </cfRule>
  </conditionalFormatting>
  <conditionalFormatting sqref="T7:T28 U28">
    <cfRule type="cellIs" dxfId="592" priority="30" operator="lessThan">
      <formula>0</formula>
    </cfRule>
    <cfRule type="cellIs" dxfId="591" priority="31" operator="lessThan">
      <formula>0</formula>
    </cfRule>
    <cfRule type="cellIs" dxfId="590" priority="32" operator="lessThan">
      <formula>0</formula>
    </cfRule>
  </conditionalFormatting>
  <conditionalFormatting sqref="D5:K5">
    <cfRule type="cellIs" dxfId="589" priority="29" operator="greaterThan">
      <formula>0</formula>
    </cfRule>
  </conditionalFormatting>
  <conditionalFormatting sqref="L4 L6 L28:L29">
    <cfRule type="cellIs" dxfId="588" priority="28" operator="equal">
      <formula>$L$4</formula>
    </cfRule>
  </conditionalFormatting>
  <conditionalFormatting sqref="D7:S7">
    <cfRule type="cellIs" dxfId="587" priority="27" operator="greaterThan">
      <formula>0</formula>
    </cfRule>
  </conditionalFormatting>
  <conditionalFormatting sqref="D9:S9">
    <cfRule type="cellIs" dxfId="586" priority="26" operator="greaterThan">
      <formula>0</formula>
    </cfRule>
  </conditionalFormatting>
  <conditionalFormatting sqref="D11:S11">
    <cfRule type="cellIs" dxfId="585" priority="25" operator="greaterThan">
      <formula>0</formula>
    </cfRule>
  </conditionalFormatting>
  <conditionalFormatting sqref="D13:S13">
    <cfRule type="cellIs" dxfId="584" priority="24" operator="greaterThan">
      <formula>0</formula>
    </cfRule>
  </conditionalFormatting>
  <conditionalFormatting sqref="D15:S15">
    <cfRule type="cellIs" dxfId="583" priority="23" operator="greaterThan">
      <formula>0</formula>
    </cfRule>
  </conditionalFormatting>
  <conditionalFormatting sqref="D17:S17">
    <cfRule type="cellIs" dxfId="582" priority="22" operator="greaterThan">
      <formula>0</formula>
    </cfRule>
  </conditionalFormatting>
  <conditionalFormatting sqref="D19:S19">
    <cfRule type="cellIs" dxfId="581" priority="21" operator="greaterThan">
      <formula>0</formula>
    </cfRule>
  </conditionalFormatting>
  <conditionalFormatting sqref="D21:S21">
    <cfRule type="cellIs" dxfId="580" priority="20" operator="greaterThan">
      <formula>0</formula>
    </cfRule>
  </conditionalFormatting>
  <conditionalFormatting sqref="D23:S23">
    <cfRule type="cellIs" dxfId="579" priority="19" operator="greaterThan">
      <formula>0</formula>
    </cfRule>
  </conditionalFormatting>
  <conditionalFormatting sqref="D25:S25">
    <cfRule type="cellIs" dxfId="578" priority="18" operator="greaterThan">
      <formula>0</formula>
    </cfRule>
  </conditionalFormatting>
  <conditionalFormatting sqref="D27:S27">
    <cfRule type="cellIs" dxfId="577" priority="17" operator="greaterThan">
      <formula>0</formula>
    </cfRule>
  </conditionalFormatting>
  <conditionalFormatting sqref="V28">
    <cfRule type="cellIs" dxfId="576" priority="8" operator="lessThan">
      <formula>0</formula>
    </cfRule>
  </conditionalFormatting>
  <conditionalFormatting sqref="V28">
    <cfRule type="cellIs" dxfId="575" priority="5" operator="lessThan">
      <formula>0</formula>
    </cfRule>
    <cfRule type="cellIs" dxfId="574" priority="6" operator="lessThan">
      <formula>0</formula>
    </cfRule>
    <cfRule type="cellIs" dxfId="573" priority="7" operator="lessThan">
      <formula>0</formula>
    </cfRule>
  </conditionalFormatting>
  <conditionalFormatting sqref="V28">
    <cfRule type="cellIs" dxfId="572" priority="4" operator="lessThan">
      <formula>0</formula>
    </cfRule>
  </conditionalFormatting>
  <conditionalFormatting sqref="V28">
    <cfRule type="cellIs" dxfId="571" priority="1" operator="lessThan">
      <formula>0</formula>
    </cfRule>
    <cfRule type="cellIs" dxfId="570" priority="2" operator="lessThan">
      <formula>0</formula>
    </cfRule>
    <cfRule type="cellIs" dxfId="569" priority="3" operator="less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I25" sqref="I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49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</row>
    <row r="2" spans="1:20" ht="15.75" thickBot="1" x14ac:dyDescent="0.3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</row>
    <row r="3" spans="1:20" ht="18.75" x14ac:dyDescent="0.25">
      <c r="A3" s="250" t="s">
        <v>116</v>
      </c>
      <c r="B3" s="251"/>
      <c r="C3" s="252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</row>
    <row r="4" spans="1:20" x14ac:dyDescent="0.25">
      <c r="A4" s="254" t="s">
        <v>1</v>
      </c>
      <c r="B4" s="254"/>
      <c r="C4" s="1"/>
      <c r="D4" s="2">
        <f>'20'!D29</f>
        <v>231594</v>
      </c>
      <c r="E4" s="2">
        <f>'20'!E29</f>
        <v>8735</v>
      </c>
      <c r="F4" s="2">
        <f>'20'!F29</f>
        <v>18620</v>
      </c>
      <c r="G4" s="2">
        <f>'20'!G29</f>
        <v>1050</v>
      </c>
      <c r="H4" s="2">
        <f>'20'!H29</f>
        <v>39700</v>
      </c>
      <c r="I4" s="2">
        <f>'20'!I29</f>
        <v>1214</v>
      </c>
      <c r="J4" s="2">
        <f>'20'!J29</f>
        <v>608</v>
      </c>
      <c r="K4" s="2">
        <f>'20'!K29</f>
        <v>156</v>
      </c>
      <c r="L4" s="2">
        <f>'20'!L29</f>
        <v>0</v>
      </c>
      <c r="M4" s="3"/>
      <c r="N4" s="255"/>
      <c r="O4" s="255"/>
      <c r="P4" s="255"/>
      <c r="Q4" s="255"/>
      <c r="R4" s="255"/>
      <c r="S4" s="255"/>
      <c r="T4" s="255"/>
    </row>
    <row r="5" spans="1:20" x14ac:dyDescent="0.25">
      <c r="A5" s="254" t="s">
        <v>2</v>
      </c>
      <c r="B5" s="254"/>
      <c r="C5" s="1"/>
      <c r="D5" s="1">
        <v>482819</v>
      </c>
      <c r="E5" s="4"/>
      <c r="F5" s="4"/>
      <c r="G5" s="4"/>
      <c r="H5" s="4"/>
      <c r="I5" s="1"/>
      <c r="J5" s="1"/>
      <c r="K5" s="1"/>
      <c r="L5" s="1"/>
      <c r="M5" s="5"/>
      <c r="N5" s="255"/>
      <c r="O5" s="255"/>
      <c r="P5" s="255"/>
      <c r="Q5" s="255"/>
      <c r="R5" s="255"/>
      <c r="S5" s="255"/>
      <c r="T5" s="25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10277</v>
      </c>
      <c r="E7" s="22"/>
      <c r="F7" s="22"/>
      <c r="G7" s="22"/>
      <c r="H7" s="22">
        <v>100</v>
      </c>
      <c r="I7" s="23"/>
      <c r="J7" s="23"/>
      <c r="K7" s="23"/>
      <c r="L7" s="23"/>
      <c r="M7" s="20">
        <f>D7+E7*20+F7*10+G7*9+H7*9</f>
        <v>11177</v>
      </c>
      <c r="N7" s="24">
        <f>D7+E7*20+F7*10+G7*9+H7*9+I7*191+J7*191+K7*182+L7*100</f>
        <v>11177</v>
      </c>
      <c r="O7" s="25">
        <f>M7*2.75%</f>
        <v>307.36750000000001</v>
      </c>
      <c r="P7" s="26">
        <v>30100</v>
      </c>
      <c r="Q7" s="26">
        <v>100</v>
      </c>
      <c r="R7" s="24">
        <f>M7-(M7*2.75%)+I7*191+J7*191+K7*182+L7*100-Q7</f>
        <v>10769.6325</v>
      </c>
      <c r="S7" s="25">
        <f>M7*0.95%</f>
        <v>106.1815</v>
      </c>
      <c r="T7" s="27">
        <f>S7-Q7</f>
        <v>6.1814999999999998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2382</v>
      </c>
      <c r="E8" s="30"/>
      <c r="F8" s="30">
        <v>50</v>
      </c>
      <c r="G8" s="30"/>
      <c r="H8" s="30">
        <v>50</v>
      </c>
      <c r="I8" s="20"/>
      <c r="J8" s="20"/>
      <c r="K8" s="20"/>
      <c r="L8" s="20"/>
      <c r="M8" s="20">
        <f t="shared" ref="M8:M27" si="0">D8+E8*20+F8*10+G8*9+H8*9</f>
        <v>3332</v>
      </c>
      <c r="N8" s="24">
        <f t="shared" ref="N8:N27" si="1">D8+E8*20+F8*10+G8*9+H8*9+I8*191+J8*191+K8*182+L8*100</f>
        <v>3332</v>
      </c>
      <c r="O8" s="25">
        <f t="shared" ref="O8:O27" si="2">M8*2.75%</f>
        <v>91.63</v>
      </c>
      <c r="P8" s="26"/>
      <c r="Q8" s="26">
        <v>190</v>
      </c>
      <c r="R8" s="24">
        <f t="shared" ref="R8:R27" si="3">M8-(M8*2.75%)+I8*191+J8*191+K8*182+L8*100-Q8</f>
        <v>3050.37</v>
      </c>
      <c r="S8" s="25">
        <f t="shared" ref="S8:S27" si="4">M8*0.95%</f>
        <v>31.654</v>
      </c>
      <c r="T8" s="27">
        <f t="shared" ref="T8:T27" si="5">S8-Q8</f>
        <v>-158.346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10067</v>
      </c>
      <c r="E9" s="30"/>
      <c r="F9" s="30"/>
      <c r="G9" s="30"/>
      <c r="H9" s="30">
        <v>50</v>
      </c>
      <c r="I9" s="20"/>
      <c r="J9" s="20"/>
      <c r="K9" s="20">
        <v>1</v>
      </c>
      <c r="L9" s="20"/>
      <c r="M9" s="20">
        <f t="shared" si="0"/>
        <v>10517</v>
      </c>
      <c r="N9" s="24">
        <f t="shared" si="1"/>
        <v>10699</v>
      </c>
      <c r="O9" s="25">
        <f t="shared" si="2"/>
        <v>289.21750000000003</v>
      </c>
      <c r="P9" s="26">
        <v>7500</v>
      </c>
      <c r="Q9" s="26">
        <v>120</v>
      </c>
      <c r="R9" s="24">
        <f t="shared" si="3"/>
        <v>10289.782499999999</v>
      </c>
      <c r="S9" s="25">
        <f t="shared" si="4"/>
        <v>99.911500000000004</v>
      </c>
      <c r="T9" s="27">
        <f t="shared" si="5"/>
        <v>-20.088499999999996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2109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2109</v>
      </c>
      <c r="N10" s="24">
        <f t="shared" si="1"/>
        <v>3064</v>
      </c>
      <c r="O10" s="25">
        <f t="shared" si="2"/>
        <v>57.997500000000002</v>
      </c>
      <c r="P10" s="26" t="s">
        <v>117</v>
      </c>
      <c r="Q10" s="26">
        <v>20</v>
      </c>
      <c r="R10" s="24">
        <f t="shared" si="3"/>
        <v>2986.0025000000001</v>
      </c>
      <c r="S10" s="25">
        <f t="shared" si="4"/>
        <v>20.035499999999999</v>
      </c>
      <c r="T10" s="27">
        <f t="shared" si="5"/>
        <v>3.5499999999998977E-2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411</v>
      </c>
      <c r="E11" s="30"/>
      <c r="F11" s="30"/>
      <c r="G11" s="32"/>
      <c r="H11" s="30"/>
      <c r="I11" s="20">
        <v>11</v>
      </c>
      <c r="J11" s="20">
        <v>1</v>
      </c>
      <c r="K11" s="20">
        <v>1</v>
      </c>
      <c r="L11" s="20"/>
      <c r="M11" s="20">
        <f t="shared" si="0"/>
        <v>411</v>
      </c>
      <c r="N11" s="24">
        <f t="shared" si="1"/>
        <v>2885</v>
      </c>
      <c r="O11" s="25">
        <f t="shared" si="2"/>
        <v>11.3025</v>
      </c>
      <c r="P11" s="26"/>
      <c r="Q11" s="26"/>
      <c r="R11" s="24">
        <f t="shared" si="3"/>
        <v>2873.6975000000002</v>
      </c>
      <c r="S11" s="25">
        <f t="shared" si="4"/>
        <v>3.9045000000000001</v>
      </c>
      <c r="T11" s="27">
        <f t="shared" si="5"/>
        <v>3.9045000000000001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3104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3104</v>
      </c>
      <c r="N12" s="24">
        <f t="shared" si="1"/>
        <v>3104</v>
      </c>
      <c r="O12" s="25">
        <f t="shared" si="2"/>
        <v>85.36</v>
      </c>
      <c r="P12" s="26"/>
      <c r="Q12" s="26">
        <v>18</v>
      </c>
      <c r="R12" s="24">
        <f t="shared" si="3"/>
        <v>3000.64</v>
      </c>
      <c r="S12" s="25">
        <f t="shared" si="4"/>
        <v>29.488</v>
      </c>
      <c r="T12" s="27">
        <f t="shared" si="5"/>
        <v>11.488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1593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1593</v>
      </c>
      <c r="N13" s="24">
        <f t="shared" si="1"/>
        <v>1593</v>
      </c>
      <c r="O13" s="25">
        <f t="shared" si="2"/>
        <v>43.807499999999997</v>
      </c>
      <c r="P13" s="26"/>
      <c r="Q13" s="26">
        <v>15</v>
      </c>
      <c r="R13" s="24">
        <f t="shared" si="3"/>
        <v>1534.1925000000001</v>
      </c>
      <c r="S13" s="25">
        <f t="shared" si="4"/>
        <v>15.1335</v>
      </c>
      <c r="T13" s="27">
        <f t="shared" si="5"/>
        <v>0.13349999999999973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7196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7196</v>
      </c>
      <c r="N14" s="24">
        <f t="shared" si="1"/>
        <v>7196</v>
      </c>
      <c r="O14" s="25">
        <f t="shared" si="2"/>
        <v>197.89000000000001</v>
      </c>
      <c r="P14" s="26"/>
      <c r="Q14" s="26"/>
      <c r="R14" s="24">
        <f t="shared" si="3"/>
        <v>6998.11</v>
      </c>
      <c r="S14" s="25">
        <f t="shared" si="4"/>
        <v>68.361999999999995</v>
      </c>
      <c r="T14" s="27">
        <f t="shared" si="5"/>
        <v>68.361999999999995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10509</v>
      </c>
      <c r="E15" s="30"/>
      <c r="F15" s="30">
        <v>50</v>
      </c>
      <c r="G15" s="30"/>
      <c r="H15" s="30">
        <v>10</v>
      </c>
      <c r="I15" s="20"/>
      <c r="J15" s="20"/>
      <c r="K15" s="20"/>
      <c r="L15" s="20"/>
      <c r="M15" s="20">
        <f t="shared" si="0"/>
        <v>11099</v>
      </c>
      <c r="N15" s="24">
        <f t="shared" si="1"/>
        <v>11099</v>
      </c>
      <c r="O15" s="25">
        <f t="shared" si="2"/>
        <v>305.22250000000003</v>
      </c>
      <c r="P15" s="26">
        <v>69000</v>
      </c>
      <c r="Q15" s="26">
        <v>140</v>
      </c>
      <c r="R15" s="24">
        <f t="shared" si="3"/>
        <v>10653.7775</v>
      </c>
      <c r="S15" s="25">
        <f t="shared" si="4"/>
        <v>105.4405</v>
      </c>
      <c r="T15" s="27">
        <f t="shared" si="5"/>
        <v>-34.5595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12746</v>
      </c>
      <c r="E16" s="30"/>
      <c r="F16" s="30"/>
      <c r="G16" s="30"/>
      <c r="H16" s="30">
        <v>60</v>
      </c>
      <c r="I16" s="20"/>
      <c r="J16" s="20"/>
      <c r="K16" s="20"/>
      <c r="L16" s="20"/>
      <c r="M16" s="20">
        <f t="shared" si="0"/>
        <v>13286</v>
      </c>
      <c r="N16" s="24">
        <f t="shared" si="1"/>
        <v>13286</v>
      </c>
      <c r="O16" s="25">
        <f t="shared" si="2"/>
        <v>365.36500000000001</v>
      </c>
      <c r="P16" s="26">
        <v>22000</v>
      </c>
      <c r="Q16" s="26">
        <v>110</v>
      </c>
      <c r="R16" s="24">
        <f t="shared" si="3"/>
        <v>12810.635</v>
      </c>
      <c r="S16" s="25">
        <f t="shared" si="4"/>
        <v>126.217</v>
      </c>
      <c r="T16" s="27">
        <f t="shared" si="5"/>
        <v>16.216999999999999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4437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4437</v>
      </c>
      <c r="N17" s="24">
        <f t="shared" si="1"/>
        <v>4437</v>
      </c>
      <c r="O17" s="25">
        <f t="shared" si="2"/>
        <v>122.0175</v>
      </c>
      <c r="P17" s="26">
        <v>17000</v>
      </c>
      <c r="Q17" s="26">
        <v>60</v>
      </c>
      <c r="R17" s="24">
        <f t="shared" si="3"/>
        <v>4254.9825000000001</v>
      </c>
      <c r="S17" s="25">
        <f t="shared" si="4"/>
        <v>42.151499999999999</v>
      </c>
      <c r="T17" s="27">
        <f t="shared" si="5"/>
        <v>-17.848500000000001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6225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6225</v>
      </c>
      <c r="N18" s="24">
        <f t="shared" si="1"/>
        <v>6225</v>
      </c>
      <c r="O18" s="25">
        <f t="shared" si="2"/>
        <v>171.1875</v>
      </c>
      <c r="P18" s="26">
        <v>27227</v>
      </c>
      <c r="Q18" s="26">
        <v>500</v>
      </c>
      <c r="R18" s="24">
        <f t="shared" si="3"/>
        <v>5553.8125</v>
      </c>
      <c r="S18" s="25">
        <f t="shared" si="4"/>
        <v>59.137499999999996</v>
      </c>
      <c r="T18" s="27">
        <f t="shared" si="5"/>
        <v>-440.86250000000001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8081</v>
      </c>
      <c r="E19" s="30"/>
      <c r="F19" s="30"/>
      <c r="G19" s="30"/>
      <c r="H19" s="30"/>
      <c r="I19" s="20">
        <v>10</v>
      </c>
      <c r="J19" s="20"/>
      <c r="K19" s="20">
        <v>5</v>
      </c>
      <c r="L19" s="20"/>
      <c r="M19" s="20">
        <f t="shared" si="0"/>
        <v>8081</v>
      </c>
      <c r="N19" s="24">
        <f t="shared" si="1"/>
        <v>10901</v>
      </c>
      <c r="O19" s="25">
        <f t="shared" si="2"/>
        <v>222.22749999999999</v>
      </c>
      <c r="P19" s="26">
        <v>14000</v>
      </c>
      <c r="Q19" s="26">
        <v>170</v>
      </c>
      <c r="R19" s="24">
        <f t="shared" si="3"/>
        <v>10508.772499999999</v>
      </c>
      <c r="S19" s="25">
        <f t="shared" si="4"/>
        <v>76.769499999999994</v>
      </c>
      <c r="T19" s="27">
        <f t="shared" si="5"/>
        <v>-93.230500000000006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6478</v>
      </c>
      <c r="E20" s="30"/>
      <c r="F20" s="30"/>
      <c r="G20" s="30"/>
      <c r="H20" s="30"/>
      <c r="I20" s="20">
        <v>8</v>
      </c>
      <c r="J20" s="20"/>
      <c r="K20" s="20"/>
      <c r="L20" s="20"/>
      <c r="M20" s="20">
        <f t="shared" si="0"/>
        <v>6478</v>
      </c>
      <c r="N20" s="24">
        <f t="shared" si="1"/>
        <v>8006</v>
      </c>
      <c r="O20" s="25">
        <f t="shared" si="2"/>
        <v>178.14500000000001</v>
      </c>
      <c r="P20" s="26">
        <v>16000</v>
      </c>
      <c r="Q20" s="26">
        <v>118</v>
      </c>
      <c r="R20" s="24">
        <f t="shared" si="3"/>
        <v>7709.8549999999996</v>
      </c>
      <c r="S20" s="25">
        <f t="shared" si="4"/>
        <v>61.540999999999997</v>
      </c>
      <c r="T20" s="27">
        <f t="shared" si="5"/>
        <v>-56.459000000000003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3551</v>
      </c>
      <c r="E21" s="30"/>
      <c r="F21" s="30"/>
      <c r="G21" s="30"/>
      <c r="H21" s="30"/>
      <c r="I21" s="20">
        <v>1</v>
      </c>
      <c r="J21" s="20"/>
      <c r="K21" s="20"/>
      <c r="L21" s="20"/>
      <c r="M21" s="20">
        <f t="shared" si="0"/>
        <v>3551</v>
      </c>
      <c r="N21" s="24">
        <f t="shared" si="1"/>
        <v>3742</v>
      </c>
      <c r="O21" s="25">
        <f t="shared" si="2"/>
        <v>97.652500000000003</v>
      </c>
      <c r="P21" s="26"/>
      <c r="Q21" s="26">
        <v>20</v>
      </c>
      <c r="R21" s="24">
        <f t="shared" si="3"/>
        <v>3624.3474999999999</v>
      </c>
      <c r="S21" s="25">
        <f t="shared" si="4"/>
        <v>33.734499999999997</v>
      </c>
      <c r="T21" s="27">
        <f t="shared" si="5"/>
        <v>13.734499999999997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9563</v>
      </c>
      <c r="E22" s="30"/>
      <c r="F22" s="30"/>
      <c r="G22" s="20"/>
      <c r="H22" s="30">
        <v>50</v>
      </c>
      <c r="I22" s="20"/>
      <c r="J22" s="20"/>
      <c r="K22" s="20"/>
      <c r="L22" s="20"/>
      <c r="M22" s="20">
        <f t="shared" si="0"/>
        <v>10013</v>
      </c>
      <c r="N22" s="24">
        <f t="shared" si="1"/>
        <v>10013</v>
      </c>
      <c r="O22" s="25">
        <f t="shared" si="2"/>
        <v>275.35750000000002</v>
      </c>
      <c r="P22" s="26"/>
      <c r="Q22" s="26">
        <v>500</v>
      </c>
      <c r="R22" s="24">
        <f t="shared" si="3"/>
        <v>9237.6424999999999</v>
      </c>
      <c r="S22" s="25">
        <f t="shared" si="4"/>
        <v>95.123499999999993</v>
      </c>
      <c r="T22" s="27">
        <f t="shared" si="5"/>
        <v>-404.87650000000002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5628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5628</v>
      </c>
      <c r="N23" s="24">
        <f t="shared" si="1"/>
        <v>5628</v>
      </c>
      <c r="O23" s="25">
        <f t="shared" si="2"/>
        <v>154.77000000000001</v>
      </c>
      <c r="P23" s="26">
        <v>51185</v>
      </c>
      <c r="Q23" s="26">
        <v>60</v>
      </c>
      <c r="R23" s="24">
        <f t="shared" si="3"/>
        <v>5413.23</v>
      </c>
      <c r="S23" s="25">
        <f t="shared" si="4"/>
        <v>53.466000000000001</v>
      </c>
      <c r="T23" s="27">
        <f t="shared" si="5"/>
        <v>-6.5339999999999989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10793</v>
      </c>
      <c r="E24" s="30"/>
      <c r="F24" s="30"/>
      <c r="G24" s="30"/>
      <c r="H24" s="30"/>
      <c r="I24" s="20">
        <v>4</v>
      </c>
      <c r="J24" s="20"/>
      <c r="K24" s="20"/>
      <c r="L24" s="20"/>
      <c r="M24" s="20">
        <f t="shared" si="0"/>
        <v>10793</v>
      </c>
      <c r="N24" s="24">
        <f t="shared" si="1"/>
        <v>11557</v>
      </c>
      <c r="O24" s="25">
        <f t="shared" si="2"/>
        <v>296.8075</v>
      </c>
      <c r="P24" s="26">
        <v>2000</v>
      </c>
      <c r="Q24" s="26">
        <v>100</v>
      </c>
      <c r="R24" s="24">
        <f t="shared" si="3"/>
        <v>11160.192499999999</v>
      </c>
      <c r="S24" s="25">
        <f t="shared" si="4"/>
        <v>102.5335</v>
      </c>
      <c r="T24" s="27">
        <f t="shared" si="5"/>
        <v>2.5335000000000036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6017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6017</v>
      </c>
      <c r="N25" s="24">
        <f t="shared" si="1"/>
        <v>6017</v>
      </c>
      <c r="O25" s="25">
        <f t="shared" si="2"/>
        <v>165.4675</v>
      </c>
      <c r="P25" s="26"/>
      <c r="Q25" s="26">
        <v>61</v>
      </c>
      <c r="R25" s="24">
        <f t="shared" si="3"/>
        <v>5790.5325000000003</v>
      </c>
      <c r="S25" s="25">
        <f t="shared" si="4"/>
        <v>57.161499999999997</v>
      </c>
      <c r="T25" s="27">
        <f t="shared" si="5"/>
        <v>-3.8385000000000034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8267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8267</v>
      </c>
      <c r="N26" s="24">
        <f t="shared" si="1"/>
        <v>8267</v>
      </c>
      <c r="O26" s="25">
        <f t="shared" si="2"/>
        <v>227.3425</v>
      </c>
      <c r="P26" s="26">
        <v>3000</v>
      </c>
      <c r="Q26" s="26">
        <v>39</v>
      </c>
      <c r="R26" s="24">
        <f t="shared" si="3"/>
        <v>8000.6575000000003</v>
      </c>
      <c r="S26" s="25">
        <f t="shared" si="4"/>
        <v>78.536500000000004</v>
      </c>
      <c r="T26" s="27">
        <f t="shared" si="5"/>
        <v>39.536500000000004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4320</v>
      </c>
      <c r="E27" s="38">
        <v>50</v>
      </c>
      <c r="F27" s="39">
        <v>50</v>
      </c>
      <c r="G27" s="39"/>
      <c r="H27" s="39">
        <v>150</v>
      </c>
      <c r="I27" s="31">
        <v>20</v>
      </c>
      <c r="J27" s="31"/>
      <c r="K27" s="31"/>
      <c r="L27" s="31"/>
      <c r="M27" s="31">
        <f t="shared" si="0"/>
        <v>7170</v>
      </c>
      <c r="N27" s="40">
        <f t="shared" si="1"/>
        <v>10990</v>
      </c>
      <c r="O27" s="25">
        <f t="shared" si="2"/>
        <v>197.17500000000001</v>
      </c>
      <c r="P27" s="41">
        <v>50000</v>
      </c>
      <c r="Q27" s="41">
        <v>100</v>
      </c>
      <c r="R27" s="24">
        <f t="shared" si="3"/>
        <v>10692.825000000001</v>
      </c>
      <c r="S27" s="42">
        <f t="shared" si="4"/>
        <v>68.114999999999995</v>
      </c>
      <c r="T27" s="43">
        <f t="shared" si="5"/>
        <v>-31.885000000000005</v>
      </c>
    </row>
    <row r="28" spans="1:20" ht="16.5" thickBot="1" x14ac:dyDescent="0.3">
      <c r="A28" s="240" t="s">
        <v>44</v>
      </c>
      <c r="B28" s="241"/>
      <c r="C28" s="242"/>
      <c r="D28" s="45">
        <f t="shared" ref="D28:E28" si="6">SUM(D7:D27)</f>
        <v>133754</v>
      </c>
      <c r="E28" s="45">
        <f t="shared" si="6"/>
        <v>50</v>
      </c>
      <c r="F28" s="45">
        <f t="shared" ref="F28:T28" si="7">SUM(F7:F27)</f>
        <v>150</v>
      </c>
      <c r="G28" s="45">
        <f t="shared" si="7"/>
        <v>0</v>
      </c>
      <c r="H28" s="45">
        <f t="shared" si="7"/>
        <v>470</v>
      </c>
      <c r="I28" s="45">
        <f t="shared" si="7"/>
        <v>59</v>
      </c>
      <c r="J28" s="45">
        <f t="shared" si="7"/>
        <v>1</v>
      </c>
      <c r="K28" s="45">
        <f t="shared" si="7"/>
        <v>7</v>
      </c>
      <c r="L28" s="45">
        <f t="shared" si="7"/>
        <v>0</v>
      </c>
      <c r="M28" s="45">
        <f t="shared" si="7"/>
        <v>140484</v>
      </c>
      <c r="N28" s="45">
        <f t="shared" si="7"/>
        <v>153218</v>
      </c>
      <c r="O28" s="46">
        <f t="shared" si="7"/>
        <v>3863.3100000000009</v>
      </c>
      <c r="P28" s="45">
        <f t="shared" si="7"/>
        <v>309012</v>
      </c>
      <c r="Q28" s="45">
        <f t="shared" si="7"/>
        <v>2441</v>
      </c>
      <c r="R28" s="45">
        <f t="shared" si="7"/>
        <v>146913.69</v>
      </c>
      <c r="S28" s="45">
        <f t="shared" si="7"/>
        <v>1334.5980000000002</v>
      </c>
      <c r="T28" s="47">
        <f t="shared" si="7"/>
        <v>-1106.4020000000003</v>
      </c>
    </row>
    <row r="29" spans="1:20" ht="15.75" thickBot="1" x14ac:dyDescent="0.3">
      <c r="A29" s="243" t="s">
        <v>45</v>
      </c>
      <c r="B29" s="244"/>
      <c r="C29" s="245"/>
      <c r="D29" s="48">
        <f>D4+D5-D28</f>
        <v>580659</v>
      </c>
      <c r="E29" s="48">
        <f>E4+E5-E28</f>
        <v>8685</v>
      </c>
      <c r="F29" s="48">
        <f t="shared" ref="F29:L29" si="8">F4+F5-F28</f>
        <v>18470</v>
      </c>
      <c r="G29" s="48">
        <f t="shared" si="8"/>
        <v>1050</v>
      </c>
      <c r="H29" s="48">
        <f t="shared" si="8"/>
        <v>39230</v>
      </c>
      <c r="I29" s="48">
        <f t="shared" si="8"/>
        <v>1155</v>
      </c>
      <c r="J29" s="48">
        <f t="shared" si="8"/>
        <v>607</v>
      </c>
      <c r="K29" s="48">
        <f t="shared" si="8"/>
        <v>149</v>
      </c>
      <c r="L29" s="48">
        <f t="shared" si="8"/>
        <v>0</v>
      </c>
      <c r="M29" s="246"/>
      <c r="N29" s="247"/>
      <c r="O29" s="247"/>
      <c r="P29" s="247"/>
      <c r="Q29" s="247"/>
      <c r="R29" s="247"/>
      <c r="S29" s="247"/>
      <c r="T29" s="24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E4:H6 D28:K29">
    <cfRule type="cellIs" dxfId="568" priority="47" operator="equal">
      <formula>212030016606640</formula>
    </cfRule>
  </conditionalFormatting>
  <conditionalFormatting sqref="E4:E6 D28:K29">
    <cfRule type="cellIs" dxfId="567" priority="45" operator="equal">
      <formula>$E$4</formula>
    </cfRule>
    <cfRule type="cellIs" dxfId="566" priority="46" operator="equal">
      <formula>2120</formula>
    </cfRule>
  </conditionalFormatting>
  <conditionalFormatting sqref="D29:E29 F4:F6 F28:F29">
    <cfRule type="cellIs" dxfId="565" priority="43" operator="equal">
      <formula>$F$4</formula>
    </cfRule>
    <cfRule type="cellIs" dxfId="564" priority="44" operator="equal">
      <formula>300</formula>
    </cfRule>
  </conditionalFormatting>
  <conditionalFormatting sqref="G4:G6 G28:G29">
    <cfRule type="cellIs" dxfId="563" priority="41" operator="equal">
      <formula>$G$4</formula>
    </cfRule>
    <cfRule type="cellIs" dxfId="562" priority="42" operator="equal">
      <formula>1660</formula>
    </cfRule>
  </conditionalFormatting>
  <conditionalFormatting sqref="H4:H6 H28:H29">
    <cfRule type="cellIs" dxfId="561" priority="39" operator="equal">
      <formula>$H$4</formula>
    </cfRule>
    <cfRule type="cellIs" dxfId="560" priority="40" operator="equal">
      <formula>6640</formula>
    </cfRule>
  </conditionalFormatting>
  <conditionalFormatting sqref="T6:T28">
    <cfRule type="cellIs" dxfId="559" priority="38" operator="lessThan">
      <formula>0</formula>
    </cfRule>
  </conditionalFormatting>
  <conditionalFormatting sqref="T7:T27">
    <cfRule type="cellIs" dxfId="558" priority="35" operator="lessThan">
      <formula>0</formula>
    </cfRule>
    <cfRule type="cellIs" dxfId="557" priority="36" operator="lessThan">
      <formula>0</formula>
    </cfRule>
    <cfRule type="cellIs" dxfId="556" priority="37" operator="lessThan">
      <formula>0</formula>
    </cfRule>
  </conditionalFormatting>
  <conditionalFormatting sqref="E4:E6 D28:K28">
    <cfRule type="cellIs" dxfId="555" priority="34" operator="equal">
      <formula>$E$4</formula>
    </cfRule>
  </conditionalFormatting>
  <conditionalFormatting sqref="D29 D6 D4:M4">
    <cfRule type="cellIs" dxfId="554" priority="33" operator="equal">
      <formula>$D$4</formula>
    </cfRule>
  </conditionalFormatting>
  <conditionalFormatting sqref="I4:I6 I28:I29">
    <cfRule type="cellIs" dxfId="553" priority="32" operator="equal">
      <formula>$I$4</formula>
    </cfRule>
  </conditionalFormatting>
  <conditionalFormatting sqref="J4:J6 J28:J29">
    <cfRule type="cellIs" dxfId="552" priority="31" operator="equal">
      <formula>$J$4</formula>
    </cfRule>
  </conditionalFormatting>
  <conditionalFormatting sqref="K4:K6 K28:K29">
    <cfRule type="cellIs" dxfId="551" priority="30" operator="equal">
      <formula>$K$4</formula>
    </cfRule>
  </conditionalFormatting>
  <conditionalFormatting sqref="M4:M6">
    <cfRule type="cellIs" dxfId="550" priority="29" operator="equal">
      <formula>$L$4</formula>
    </cfRule>
  </conditionalFormatting>
  <conditionalFormatting sqref="T7:T28">
    <cfRule type="cellIs" dxfId="549" priority="26" operator="lessThan">
      <formula>0</formula>
    </cfRule>
    <cfRule type="cellIs" dxfId="548" priority="27" operator="lessThan">
      <formula>0</formula>
    </cfRule>
    <cfRule type="cellIs" dxfId="547" priority="28" operator="lessThan">
      <formula>0</formula>
    </cfRule>
  </conditionalFormatting>
  <conditionalFormatting sqref="D5:K5">
    <cfRule type="cellIs" dxfId="546" priority="25" operator="greaterThan">
      <formula>0</formula>
    </cfRule>
  </conditionalFormatting>
  <conditionalFormatting sqref="T6:T28">
    <cfRule type="cellIs" dxfId="545" priority="24" operator="lessThan">
      <formula>0</formula>
    </cfRule>
  </conditionalFormatting>
  <conditionalFormatting sqref="T7:T27">
    <cfRule type="cellIs" dxfId="544" priority="21" operator="lessThan">
      <formula>0</formula>
    </cfRule>
    <cfRule type="cellIs" dxfId="543" priority="22" operator="lessThan">
      <formula>0</formula>
    </cfRule>
    <cfRule type="cellIs" dxfId="542" priority="23" operator="lessThan">
      <formula>0</formula>
    </cfRule>
  </conditionalFormatting>
  <conditionalFormatting sqref="T7:T28">
    <cfRule type="cellIs" dxfId="541" priority="18" operator="lessThan">
      <formula>0</formula>
    </cfRule>
    <cfRule type="cellIs" dxfId="540" priority="19" operator="lessThan">
      <formula>0</formula>
    </cfRule>
    <cfRule type="cellIs" dxfId="539" priority="20" operator="lessThan">
      <formula>0</formula>
    </cfRule>
  </conditionalFormatting>
  <conditionalFormatting sqref="D5:K5">
    <cfRule type="cellIs" dxfId="538" priority="17" operator="greaterThan">
      <formula>0</formula>
    </cfRule>
  </conditionalFormatting>
  <conditionalFormatting sqref="L4 L6 L28:L29">
    <cfRule type="cellIs" dxfId="537" priority="16" operator="equal">
      <formula>$L$4</formula>
    </cfRule>
  </conditionalFormatting>
  <conditionalFormatting sqref="D7:S7">
    <cfRule type="cellIs" dxfId="536" priority="15" operator="greaterThan">
      <formula>0</formula>
    </cfRule>
  </conditionalFormatting>
  <conditionalFormatting sqref="D9:S9">
    <cfRule type="cellIs" dxfId="535" priority="14" operator="greaterThan">
      <formula>0</formula>
    </cfRule>
  </conditionalFormatting>
  <conditionalFormatting sqref="D11:S11">
    <cfRule type="cellIs" dxfId="534" priority="13" operator="greaterThan">
      <formula>0</formula>
    </cfRule>
  </conditionalFormatting>
  <conditionalFormatting sqref="D13:S13">
    <cfRule type="cellIs" dxfId="533" priority="12" operator="greaterThan">
      <formula>0</formula>
    </cfRule>
  </conditionalFormatting>
  <conditionalFormatting sqref="D15:S15">
    <cfRule type="cellIs" dxfId="532" priority="11" operator="greaterThan">
      <formula>0</formula>
    </cfRule>
  </conditionalFormatting>
  <conditionalFormatting sqref="D17:S17">
    <cfRule type="cellIs" dxfId="531" priority="10" operator="greaterThan">
      <formula>0</formula>
    </cfRule>
  </conditionalFormatting>
  <conditionalFormatting sqref="D19:S19">
    <cfRule type="cellIs" dxfId="530" priority="9" operator="greaterThan">
      <formula>0</formula>
    </cfRule>
  </conditionalFormatting>
  <conditionalFormatting sqref="D21:S21">
    <cfRule type="cellIs" dxfId="529" priority="8" operator="greaterThan">
      <formula>0</formula>
    </cfRule>
  </conditionalFormatting>
  <conditionalFormatting sqref="D23:S23">
    <cfRule type="cellIs" dxfId="528" priority="7" operator="greaterThan">
      <formula>0</formula>
    </cfRule>
  </conditionalFormatting>
  <conditionalFormatting sqref="D25:S25">
    <cfRule type="cellIs" dxfId="527" priority="6" operator="greaterThan">
      <formula>0</formula>
    </cfRule>
  </conditionalFormatting>
  <conditionalFormatting sqref="D27:S27">
    <cfRule type="cellIs" dxfId="526" priority="5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B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49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</row>
    <row r="2" spans="1:20" ht="15.75" thickBot="1" x14ac:dyDescent="0.3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</row>
    <row r="3" spans="1:20" ht="18.75" x14ac:dyDescent="0.25">
      <c r="A3" s="250" t="s">
        <v>118</v>
      </c>
      <c r="B3" s="251"/>
      <c r="C3" s="252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</row>
    <row r="4" spans="1:20" x14ac:dyDescent="0.25">
      <c r="A4" s="254" t="s">
        <v>1</v>
      </c>
      <c r="B4" s="254"/>
      <c r="C4" s="1"/>
      <c r="D4" s="2">
        <f>'21'!D29</f>
        <v>580659</v>
      </c>
      <c r="E4" s="2">
        <f>'21'!E29</f>
        <v>8685</v>
      </c>
      <c r="F4" s="2">
        <f>'21'!F29</f>
        <v>18470</v>
      </c>
      <c r="G4" s="2">
        <f>'21'!G29</f>
        <v>1050</v>
      </c>
      <c r="H4" s="2">
        <f>'21'!H29</f>
        <v>39230</v>
      </c>
      <c r="I4" s="2">
        <f>'21'!I29</f>
        <v>1155</v>
      </c>
      <c r="J4" s="2">
        <f>'21'!J29</f>
        <v>607</v>
      </c>
      <c r="K4" s="2">
        <f>'21'!K29</f>
        <v>149</v>
      </c>
      <c r="L4" s="2">
        <f>'21'!L29</f>
        <v>0</v>
      </c>
      <c r="M4" s="3"/>
      <c r="N4" s="255"/>
      <c r="O4" s="255"/>
      <c r="P4" s="255"/>
      <c r="Q4" s="255"/>
      <c r="R4" s="255"/>
      <c r="S4" s="255"/>
      <c r="T4" s="255"/>
    </row>
    <row r="5" spans="1:20" x14ac:dyDescent="0.25">
      <c r="A5" s="254" t="s">
        <v>2</v>
      </c>
      <c r="B5" s="254"/>
      <c r="C5" s="1"/>
      <c r="D5" s="1">
        <v>14027</v>
      </c>
      <c r="E5" s="4"/>
      <c r="F5" s="4"/>
      <c r="G5" s="4"/>
      <c r="H5" s="4"/>
      <c r="I5" s="1"/>
      <c r="J5" s="1"/>
      <c r="K5" s="1"/>
      <c r="L5" s="1"/>
      <c r="M5" s="5"/>
      <c r="N5" s="255"/>
      <c r="O5" s="255"/>
      <c r="P5" s="255"/>
      <c r="Q5" s="255"/>
      <c r="R5" s="255"/>
      <c r="S5" s="255"/>
      <c r="T5" s="25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7000</v>
      </c>
      <c r="E7" s="22"/>
      <c r="F7" s="22"/>
      <c r="G7" s="22"/>
      <c r="H7" s="22"/>
      <c r="I7" s="23"/>
      <c r="J7" s="23">
        <v>3</v>
      </c>
      <c r="K7" s="23">
        <v>4</v>
      </c>
      <c r="L7" s="23"/>
      <c r="M7" s="20">
        <f>D7+E7*20+F7*10+G7*9+H7*9</f>
        <v>7000</v>
      </c>
      <c r="N7" s="24">
        <f>D7+E7*20+F7*10+G7*9+H7*9+I7*191+J7*191+K7*182+L7*100</f>
        <v>8301</v>
      </c>
      <c r="O7" s="25">
        <f>M7*2.75%</f>
        <v>192.5</v>
      </c>
      <c r="P7" s="26">
        <v>-2338</v>
      </c>
      <c r="Q7" s="26">
        <v>80</v>
      </c>
      <c r="R7" s="24">
        <f>M7-(M7*2.75%)+I7*191+J7*191+K7*182+L7*100-Q7</f>
        <v>8028.5</v>
      </c>
      <c r="S7" s="25">
        <f>M7*0.95%</f>
        <v>66.5</v>
      </c>
      <c r="T7" s="27">
        <f>S7-Q7</f>
        <v>-13.5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3361</v>
      </c>
      <c r="E8" s="30"/>
      <c r="F8" s="30"/>
      <c r="G8" s="30"/>
      <c r="H8" s="30"/>
      <c r="I8" s="20">
        <v>20</v>
      </c>
      <c r="J8" s="20">
        <v>1</v>
      </c>
      <c r="K8" s="20">
        <v>5</v>
      </c>
      <c r="L8" s="20"/>
      <c r="M8" s="20">
        <f t="shared" ref="M8:M27" si="0">D8+E8*20+F8*10+G8*9+H8*9</f>
        <v>3361</v>
      </c>
      <c r="N8" s="24">
        <f t="shared" ref="N8:N27" si="1">D8+E8*20+F8*10+G8*9+H8*9+I8*191+J8*191+K8*182+L8*100</f>
        <v>8282</v>
      </c>
      <c r="O8" s="25">
        <f t="shared" ref="O8:O27" si="2">M8*2.75%</f>
        <v>92.427499999999995</v>
      </c>
      <c r="P8" s="26">
        <v>500</v>
      </c>
      <c r="Q8" s="26">
        <v>80</v>
      </c>
      <c r="R8" s="24">
        <f t="shared" ref="R8:R27" si="3">M8-(M8*2.75%)+I8*191+J8*191+K8*182+L8*100-Q8</f>
        <v>8109.5725000000002</v>
      </c>
      <c r="S8" s="25">
        <f t="shared" ref="S8:S27" si="4">M8*0.95%</f>
        <v>31.929500000000001</v>
      </c>
      <c r="T8" s="27">
        <f t="shared" ref="T8:T27" si="5">S8-Q8</f>
        <v>-48.070499999999996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9408</v>
      </c>
      <c r="E9" s="30">
        <v>50</v>
      </c>
      <c r="F9" s="30">
        <v>20</v>
      </c>
      <c r="G9" s="30"/>
      <c r="H9" s="30">
        <v>120</v>
      </c>
      <c r="I9" s="20">
        <v>2</v>
      </c>
      <c r="J9" s="20"/>
      <c r="K9" s="20">
        <v>2</v>
      </c>
      <c r="L9" s="20"/>
      <c r="M9" s="20">
        <f t="shared" si="0"/>
        <v>11688</v>
      </c>
      <c r="N9" s="24">
        <f t="shared" si="1"/>
        <v>12434</v>
      </c>
      <c r="O9" s="25">
        <f t="shared" si="2"/>
        <v>321.42</v>
      </c>
      <c r="P9" s="26">
        <v>2000</v>
      </c>
      <c r="Q9" s="26">
        <v>132</v>
      </c>
      <c r="R9" s="24">
        <f t="shared" si="3"/>
        <v>11980.58</v>
      </c>
      <c r="S9" s="25">
        <f t="shared" si="4"/>
        <v>111.036</v>
      </c>
      <c r="T9" s="27">
        <f t="shared" si="5"/>
        <v>-20.963999999999999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2946</v>
      </c>
      <c r="E10" s="30"/>
      <c r="F10" s="30"/>
      <c r="G10" s="30"/>
      <c r="H10" s="30"/>
      <c r="I10" s="20">
        <v>6</v>
      </c>
      <c r="J10" s="20"/>
      <c r="K10" s="20"/>
      <c r="L10" s="20"/>
      <c r="M10" s="20">
        <f t="shared" si="0"/>
        <v>2946</v>
      </c>
      <c r="N10" s="24">
        <f t="shared" si="1"/>
        <v>4092</v>
      </c>
      <c r="O10" s="25">
        <f t="shared" si="2"/>
        <v>81.015000000000001</v>
      </c>
      <c r="P10" s="26"/>
      <c r="Q10" s="26">
        <v>26</v>
      </c>
      <c r="R10" s="24">
        <f t="shared" si="3"/>
        <v>3984.9850000000001</v>
      </c>
      <c r="S10" s="25">
        <f t="shared" si="4"/>
        <v>27.986999999999998</v>
      </c>
      <c r="T10" s="27">
        <f t="shared" si="5"/>
        <v>1.9869999999999983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1542</v>
      </c>
      <c r="E11" s="30"/>
      <c r="F11" s="30"/>
      <c r="G11" s="32"/>
      <c r="H11" s="30">
        <v>250</v>
      </c>
      <c r="I11" s="20"/>
      <c r="J11" s="20"/>
      <c r="K11" s="20"/>
      <c r="L11" s="20"/>
      <c r="M11" s="20">
        <f t="shared" si="0"/>
        <v>3792</v>
      </c>
      <c r="N11" s="24">
        <f t="shared" si="1"/>
        <v>3792</v>
      </c>
      <c r="O11" s="25">
        <f t="shared" si="2"/>
        <v>104.28</v>
      </c>
      <c r="P11" s="26"/>
      <c r="Q11" s="26"/>
      <c r="R11" s="24">
        <f t="shared" si="3"/>
        <v>3687.72</v>
      </c>
      <c r="S11" s="25">
        <f t="shared" si="4"/>
        <v>36.024000000000001</v>
      </c>
      <c r="T11" s="27">
        <f t="shared" si="5"/>
        <v>36.024000000000001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2590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2590</v>
      </c>
      <c r="N12" s="24">
        <f t="shared" si="1"/>
        <v>2590</v>
      </c>
      <c r="O12" s="25">
        <f t="shared" si="2"/>
        <v>71.224999999999994</v>
      </c>
      <c r="P12" s="26"/>
      <c r="Q12" s="26">
        <v>18</v>
      </c>
      <c r="R12" s="24">
        <f t="shared" si="3"/>
        <v>2500.7750000000001</v>
      </c>
      <c r="S12" s="25">
        <f t="shared" si="4"/>
        <v>24.605</v>
      </c>
      <c r="T12" s="27">
        <f t="shared" si="5"/>
        <v>6.6050000000000004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3235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3235</v>
      </c>
      <c r="N13" s="24">
        <f t="shared" si="1"/>
        <v>3235</v>
      </c>
      <c r="O13" s="25">
        <f t="shared" si="2"/>
        <v>88.962500000000006</v>
      </c>
      <c r="P13" s="26"/>
      <c r="Q13" s="26">
        <v>35</v>
      </c>
      <c r="R13" s="24">
        <f t="shared" si="3"/>
        <v>3111.0374999999999</v>
      </c>
      <c r="S13" s="25">
        <f t="shared" si="4"/>
        <v>30.732499999999998</v>
      </c>
      <c r="T13" s="27">
        <f t="shared" si="5"/>
        <v>-4.2675000000000018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10094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10094</v>
      </c>
      <c r="N14" s="24">
        <f t="shared" si="1"/>
        <v>10094</v>
      </c>
      <c r="O14" s="25">
        <f t="shared" si="2"/>
        <v>277.58499999999998</v>
      </c>
      <c r="P14" s="26">
        <v>6998</v>
      </c>
      <c r="Q14" s="26">
        <v>164</v>
      </c>
      <c r="R14" s="24">
        <f t="shared" si="3"/>
        <v>9652.4150000000009</v>
      </c>
      <c r="S14" s="25">
        <f t="shared" si="4"/>
        <v>95.893000000000001</v>
      </c>
      <c r="T14" s="27">
        <f t="shared" si="5"/>
        <v>-68.106999999999999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11488</v>
      </c>
      <c r="E15" s="30">
        <v>20</v>
      </c>
      <c r="F15" s="30">
        <v>40</v>
      </c>
      <c r="G15" s="30">
        <v>20</v>
      </c>
      <c r="H15" s="30">
        <v>50</v>
      </c>
      <c r="I15" s="20"/>
      <c r="J15" s="20"/>
      <c r="K15" s="20"/>
      <c r="L15" s="20"/>
      <c r="M15" s="20">
        <f t="shared" si="0"/>
        <v>12918</v>
      </c>
      <c r="N15" s="24">
        <f t="shared" si="1"/>
        <v>12918</v>
      </c>
      <c r="O15" s="25">
        <f t="shared" si="2"/>
        <v>355.245</v>
      </c>
      <c r="P15" s="26">
        <v>15190</v>
      </c>
      <c r="Q15" s="26">
        <v>140</v>
      </c>
      <c r="R15" s="24">
        <f t="shared" si="3"/>
        <v>12422.754999999999</v>
      </c>
      <c r="S15" s="25">
        <f t="shared" si="4"/>
        <v>122.721</v>
      </c>
      <c r="T15" s="27">
        <f t="shared" si="5"/>
        <v>-17.278999999999996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3393</v>
      </c>
      <c r="E16" s="30"/>
      <c r="F16" s="30"/>
      <c r="G16" s="30">
        <v>200</v>
      </c>
      <c r="H16" s="30">
        <v>100</v>
      </c>
      <c r="I16" s="20"/>
      <c r="J16" s="20"/>
      <c r="K16" s="20">
        <v>2</v>
      </c>
      <c r="L16" s="20"/>
      <c r="M16" s="20">
        <f t="shared" si="0"/>
        <v>6093</v>
      </c>
      <c r="N16" s="24">
        <f t="shared" si="1"/>
        <v>6457</v>
      </c>
      <c r="O16" s="25">
        <f t="shared" si="2"/>
        <v>167.5575</v>
      </c>
      <c r="P16" s="26">
        <v>5500</v>
      </c>
      <c r="Q16" s="26">
        <v>54</v>
      </c>
      <c r="R16" s="24">
        <f t="shared" si="3"/>
        <v>6235.4425000000001</v>
      </c>
      <c r="S16" s="25">
        <f t="shared" si="4"/>
        <v>57.883499999999998</v>
      </c>
      <c r="T16" s="27">
        <f t="shared" si="5"/>
        <v>3.883499999999998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2465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2465</v>
      </c>
      <c r="N17" s="24">
        <f t="shared" si="1"/>
        <v>2465</v>
      </c>
      <c r="O17" s="25">
        <f t="shared" si="2"/>
        <v>67.787499999999994</v>
      </c>
      <c r="P17" s="26">
        <v>15000</v>
      </c>
      <c r="Q17" s="26">
        <v>47</v>
      </c>
      <c r="R17" s="24">
        <f t="shared" si="3"/>
        <v>2350.2125000000001</v>
      </c>
      <c r="S17" s="25">
        <f t="shared" si="4"/>
        <v>23.4175</v>
      </c>
      <c r="T17" s="27">
        <f t="shared" si="5"/>
        <v>-23.5825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8020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8020</v>
      </c>
      <c r="N18" s="24">
        <f t="shared" si="1"/>
        <v>8020</v>
      </c>
      <c r="O18" s="25">
        <f t="shared" si="2"/>
        <v>220.55</v>
      </c>
      <c r="P18" s="26"/>
      <c r="Q18" s="26">
        <v>100</v>
      </c>
      <c r="R18" s="24">
        <f t="shared" si="3"/>
        <v>7699.45</v>
      </c>
      <c r="S18" s="25">
        <f t="shared" si="4"/>
        <v>76.19</v>
      </c>
      <c r="T18" s="27">
        <f t="shared" si="5"/>
        <v>-23.810000000000002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12759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12759</v>
      </c>
      <c r="N19" s="24">
        <f t="shared" si="1"/>
        <v>12759</v>
      </c>
      <c r="O19" s="25">
        <f t="shared" si="2"/>
        <v>350.8725</v>
      </c>
      <c r="P19" s="26">
        <v>3000</v>
      </c>
      <c r="Q19" s="26">
        <v>570</v>
      </c>
      <c r="R19" s="24">
        <f t="shared" si="3"/>
        <v>11838.127500000001</v>
      </c>
      <c r="S19" s="25">
        <f t="shared" si="4"/>
        <v>121.2105</v>
      </c>
      <c r="T19" s="27">
        <f t="shared" si="5"/>
        <v>-448.78949999999998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6581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6581</v>
      </c>
      <c r="N20" s="24">
        <f t="shared" si="1"/>
        <v>7536</v>
      </c>
      <c r="O20" s="25">
        <f t="shared" si="2"/>
        <v>180.97749999999999</v>
      </c>
      <c r="P20" s="26">
        <v>1000</v>
      </c>
      <c r="Q20" s="26">
        <v>120</v>
      </c>
      <c r="R20" s="24">
        <f t="shared" si="3"/>
        <v>7235.0225</v>
      </c>
      <c r="S20" s="25">
        <f t="shared" si="4"/>
        <v>62.519500000000001</v>
      </c>
      <c r="T20" s="27">
        <f t="shared" si="5"/>
        <v>-57.480499999999999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4459</v>
      </c>
      <c r="E21" s="30"/>
      <c r="F21" s="30">
        <v>30</v>
      </c>
      <c r="G21" s="30"/>
      <c r="H21" s="30">
        <v>20</v>
      </c>
      <c r="I21" s="20"/>
      <c r="J21" s="20"/>
      <c r="K21" s="20"/>
      <c r="L21" s="20"/>
      <c r="M21" s="20">
        <f t="shared" si="0"/>
        <v>4939</v>
      </c>
      <c r="N21" s="24">
        <f t="shared" si="1"/>
        <v>4939</v>
      </c>
      <c r="O21" s="25">
        <f t="shared" si="2"/>
        <v>135.82249999999999</v>
      </c>
      <c r="P21" s="26">
        <v>280</v>
      </c>
      <c r="Q21" s="26">
        <v>23</v>
      </c>
      <c r="R21" s="24">
        <f t="shared" si="3"/>
        <v>4780.1774999999998</v>
      </c>
      <c r="S21" s="25">
        <f t="shared" si="4"/>
        <v>46.920499999999997</v>
      </c>
      <c r="T21" s="27">
        <f t="shared" si="5"/>
        <v>23.920499999999997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12853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12853</v>
      </c>
      <c r="N22" s="24">
        <f t="shared" si="1"/>
        <v>12853</v>
      </c>
      <c r="O22" s="25">
        <f t="shared" si="2"/>
        <v>353.45749999999998</v>
      </c>
      <c r="P22" s="26">
        <v>1000</v>
      </c>
      <c r="Q22" s="26">
        <v>150</v>
      </c>
      <c r="R22" s="24">
        <f t="shared" si="3"/>
        <v>12349.5425</v>
      </c>
      <c r="S22" s="25">
        <f t="shared" si="4"/>
        <v>122.1035</v>
      </c>
      <c r="T22" s="27">
        <f t="shared" si="5"/>
        <v>-27.896500000000003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5447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5447</v>
      </c>
      <c r="N23" s="24">
        <f t="shared" si="1"/>
        <v>5447</v>
      </c>
      <c r="O23" s="25">
        <f t="shared" si="2"/>
        <v>149.79249999999999</v>
      </c>
      <c r="P23" s="26"/>
      <c r="Q23" s="26">
        <v>50</v>
      </c>
      <c r="R23" s="24">
        <f t="shared" si="3"/>
        <v>5247.2075000000004</v>
      </c>
      <c r="S23" s="25">
        <f t="shared" si="4"/>
        <v>51.746499999999997</v>
      </c>
      <c r="T23" s="27">
        <f t="shared" si="5"/>
        <v>1.7464999999999975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17784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17784</v>
      </c>
      <c r="N24" s="24">
        <f t="shared" si="1"/>
        <v>17784</v>
      </c>
      <c r="O24" s="25">
        <f t="shared" si="2"/>
        <v>489.06</v>
      </c>
      <c r="P24" s="26">
        <v>3000</v>
      </c>
      <c r="Q24" s="26">
        <v>125</v>
      </c>
      <c r="R24" s="24">
        <f t="shared" si="3"/>
        <v>17169.939999999999</v>
      </c>
      <c r="S24" s="25">
        <f t="shared" si="4"/>
        <v>168.94800000000001</v>
      </c>
      <c r="T24" s="27">
        <f t="shared" si="5"/>
        <v>43.948000000000008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4372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4372</v>
      </c>
      <c r="N25" s="24">
        <f t="shared" si="1"/>
        <v>4372</v>
      </c>
      <c r="O25" s="25">
        <f t="shared" si="2"/>
        <v>120.23</v>
      </c>
      <c r="P25" s="26">
        <v>10000</v>
      </c>
      <c r="Q25" s="26">
        <v>42</v>
      </c>
      <c r="R25" s="24">
        <f t="shared" si="3"/>
        <v>4209.7700000000004</v>
      </c>
      <c r="S25" s="25">
        <f t="shared" si="4"/>
        <v>41.533999999999999</v>
      </c>
      <c r="T25" s="27">
        <f t="shared" si="5"/>
        <v>-0.46600000000000108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9915</v>
      </c>
      <c r="E26" s="29"/>
      <c r="F26" s="30"/>
      <c r="G26" s="30"/>
      <c r="H26" s="30"/>
      <c r="I26" s="20"/>
      <c r="J26" s="20"/>
      <c r="K26" s="20">
        <v>5</v>
      </c>
      <c r="L26" s="20"/>
      <c r="M26" s="20">
        <f t="shared" si="0"/>
        <v>9915</v>
      </c>
      <c r="N26" s="24">
        <f t="shared" si="1"/>
        <v>10825</v>
      </c>
      <c r="O26" s="25">
        <f t="shared" si="2"/>
        <v>272.66250000000002</v>
      </c>
      <c r="P26" s="26"/>
      <c r="Q26" s="26">
        <v>90</v>
      </c>
      <c r="R26" s="24">
        <f t="shared" si="3"/>
        <v>10462.3375</v>
      </c>
      <c r="S26" s="25">
        <f t="shared" si="4"/>
        <v>94.192499999999995</v>
      </c>
      <c r="T26" s="27">
        <f t="shared" si="5"/>
        <v>4.1924999999999955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9255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9255</v>
      </c>
      <c r="N27" s="40">
        <f t="shared" si="1"/>
        <v>9255</v>
      </c>
      <c r="O27" s="25">
        <f t="shared" si="2"/>
        <v>254.51249999999999</v>
      </c>
      <c r="P27" s="41">
        <v>18000</v>
      </c>
      <c r="Q27" s="41">
        <v>100</v>
      </c>
      <c r="R27" s="24">
        <f t="shared" si="3"/>
        <v>8900.4874999999993</v>
      </c>
      <c r="S27" s="42">
        <f t="shared" si="4"/>
        <v>87.922499999999999</v>
      </c>
      <c r="T27" s="43">
        <f t="shared" si="5"/>
        <v>-12.077500000000001</v>
      </c>
    </row>
    <row r="28" spans="1:20" ht="16.5" thickBot="1" x14ac:dyDescent="0.3">
      <c r="A28" s="240" t="s">
        <v>44</v>
      </c>
      <c r="B28" s="241"/>
      <c r="C28" s="242"/>
      <c r="D28" s="44">
        <f t="shared" ref="D28:E28" si="6">SUM(D7:D27)</f>
        <v>148967</v>
      </c>
      <c r="E28" s="45">
        <f t="shared" si="6"/>
        <v>70</v>
      </c>
      <c r="F28" s="45">
        <f t="shared" ref="F28:T28" si="7">SUM(F7:F27)</f>
        <v>90</v>
      </c>
      <c r="G28" s="45">
        <f t="shared" si="7"/>
        <v>220</v>
      </c>
      <c r="H28" s="45">
        <f t="shared" si="7"/>
        <v>540</v>
      </c>
      <c r="I28" s="45">
        <f t="shared" si="7"/>
        <v>33</v>
      </c>
      <c r="J28" s="45">
        <f t="shared" si="7"/>
        <v>4</v>
      </c>
      <c r="K28" s="45">
        <f t="shared" si="7"/>
        <v>18</v>
      </c>
      <c r="L28" s="45">
        <f t="shared" si="7"/>
        <v>0</v>
      </c>
      <c r="M28" s="45">
        <f t="shared" si="7"/>
        <v>158107</v>
      </c>
      <c r="N28" s="45">
        <f t="shared" si="7"/>
        <v>168450</v>
      </c>
      <c r="O28" s="46">
        <f t="shared" si="7"/>
        <v>4347.9425000000001</v>
      </c>
      <c r="P28" s="45">
        <f t="shared" si="7"/>
        <v>79130</v>
      </c>
      <c r="Q28" s="45">
        <f t="shared" si="7"/>
        <v>2146</v>
      </c>
      <c r="R28" s="45">
        <f t="shared" si="7"/>
        <v>161956.05749999997</v>
      </c>
      <c r="S28" s="45">
        <f t="shared" si="7"/>
        <v>1502.0165</v>
      </c>
      <c r="T28" s="47">
        <f t="shared" si="7"/>
        <v>-643.98350000000005</v>
      </c>
    </row>
    <row r="29" spans="1:20" ht="15.75" thickBot="1" x14ac:dyDescent="0.3">
      <c r="A29" s="243" t="s">
        <v>45</v>
      </c>
      <c r="B29" s="244"/>
      <c r="C29" s="245"/>
      <c r="D29" s="48">
        <f>D4+D5-D28</f>
        <v>445719</v>
      </c>
      <c r="E29" s="48">
        <f t="shared" ref="E29:L29" si="8">E4+E5-E28</f>
        <v>8615</v>
      </c>
      <c r="F29" s="48">
        <f t="shared" si="8"/>
        <v>18380</v>
      </c>
      <c r="G29" s="48">
        <f t="shared" si="8"/>
        <v>830</v>
      </c>
      <c r="H29" s="48">
        <f t="shared" si="8"/>
        <v>38690</v>
      </c>
      <c r="I29" s="48">
        <f t="shared" si="8"/>
        <v>1122</v>
      </c>
      <c r="J29" s="48">
        <f t="shared" si="8"/>
        <v>603</v>
      </c>
      <c r="K29" s="48">
        <f t="shared" si="8"/>
        <v>131</v>
      </c>
      <c r="L29" s="48">
        <f t="shared" si="8"/>
        <v>0</v>
      </c>
      <c r="M29" s="246"/>
      <c r="N29" s="247"/>
      <c r="O29" s="247"/>
      <c r="P29" s="247"/>
      <c r="Q29" s="247"/>
      <c r="R29" s="247"/>
      <c r="S29" s="247"/>
      <c r="T29" s="24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25" priority="43" operator="equal">
      <formula>212030016606640</formula>
    </cfRule>
  </conditionalFormatting>
  <conditionalFormatting sqref="D29 E4:E6 E28:K29">
    <cfRule type="cellIs" dxfId="524" priority="41" operator="equal">
      <formula>$E$4</formula>
    </cfRule>
    <cfRule type="cellIs" dxfId="523" priority="42" operator="equal">
      <formula>2120</formula>
    </cfRule>
  </conditionalFormatting>
  <conditionalFormatting sqref="D29:E29 F4:F6 F28:F29">
    <cfRule type="cellIs" dxfId="522" priority="39" operator="equal">
      <formula>$F$4</formula>
    </cfRule>
    <cfRule type="cellIs" dxfId="521" priority="40" operator="equal">
      <formula>300</formula>
    </cfRule>
  </conditionalFormatting>
  <conditionalFormatting sqref="G4:G6 G28:G29">
    <cfRule type="cellIs" dxfId="520" priority="37" operator="equal">
      <formula>$G$4</formula>
    </cfRule>
    <cfRule type="cellIs" dxfId="519" priority="38" operator="equal">
      <formula>1660</formula>
    </cfRule>
  </conditionalFormatting>
  <conditionalFormatting sqref="H4:H6 H28:H29">
    <cfRule type="cellIs" dxfId="518" priority="35" operator="equal">
      <formula>$H$4</formula>
    </cfRule>
    <cfRule type="cellIs" dxfId="517" priority="36" operator="equal">
      <formula>6640</formula>
    </cfRule>
  </conditionalFormatting>
  <conditionalFormatting sqref="T6:T28">
    <cfRule type="cellIs" dxfId="516" priority="34" operator="lessThan">
      <formula>0</formula>
    </cfRule>
  </conditionalFormatting>
  <conditionalFormatting sqref="T7:T27">
    <cfRule type="cellIs" dxfId="515" priority="31" operator="lessThan">
      <formula>0</formula>
    </cfRule>
    <cfRule type="cellIs" dxfId="514" priority="32" operator="lessThan">
      <formula>0</formula>
    </cfRule>
    <cfRule type="cellIs" dxfId="513" priority="33" operator="lessThan">
      <formula>0</formula>
    </cfRule>
  </conditionalFormatting>
  <conditionalFormatting sqref="E4:E6 E28:K28">
    <cfRule type="cellIs" dxfId="512" priority="30" operator="equal">
      <formula>$E$4</formula>
    </cfRule>
  </conditionalFormatting>
  <conditionalFormatting sqref="D28:D29 D6 D4:M4">
    <cfRule type="cellIs" dxfId="511" priority="29" operator="equal">
      <formula>$D$4</formula>
    </cfRule>
  </conditionalFormatting>
  <conditionalFormatting sqref="I4:I6 I28:I29">
    <cfRule type="cellIs" dxfId="510" priority="28" operator="equal">
      <formula>$I$4</formula>
    </cfRule>
  </conditionalFormatting>
  <conditionalFormatting sqref="J4:J6 J28:J29">
    <cfRule type="cellIs" dxfId="509" priority="27" operator="equal">
      <formula>$J$4</formula>
    </cfRule>
  </conditionalFormatting>
  <conditionalFormatting sqref="K4:K6 K28:K29">
    <cfRule type="cellIs" dxfId="508" priority="26" operator="equal">
      <formula>$K$4</formula>
    </cfRule>
  </conditionalFormatting>
  <conditionalFormatting sqref="M4:M6">
    <cfRule type="cellIs" dxfId="507" priority="25" operator="equal">
      <formula>$L$4</formula>
    </cfRule>
  </conditionalFormatting>
  <conditionalFormatting sqref="T7:T28">
    <cfRule type="cellIs" dxfId="506" priority="22" operator="lessThan">
      <formula>0</formula>
    </cfRule>
    <cfRule type="cellIs" dxfId="505" priority="23" operator="lessThan">
      <formula>0</formula>
    </cfRule>
    <cfRule type="cellIs" dxfId="504" priority="24" operator="lessThan">
      <formula>0</formula>
    </cfRule>
  </conditionalFormatting>
  <conditionalFormatting sqref="D5:K5">
    <cfRule type="cellIs" dxfId="503" priority="21" operator="greaterThan">
      <formula>0</formula>
    </cfRule>
  </conditionalFormatting>
  <conditionalFormatting sqref="T6:T28">
    <cfRule type="cellIs" dxfId="502" priority="20" operator="lessThan">
      <formula>0</formula>
    </cfRule>
  </conditionalFormatting>
  <conditionalFormatting sqref="T7:T27">
    <cfRule type="cellIs" dxfId="501" priority="17" operator="lessThan">
      <formula>0</formula>
    </cfRule>
    <cfRule type="cellIs" dxfId="500" priority="18" operator="lessThan">
      <formula>0</formula>
    </cfRule>
    <cfRule type="cellIs" dxfId="499" priority="19" operator="lessThan">
      <formula>0</formula>
    </cfRule>
  </conditionalFormatting>
  <conditionalFormatting sqref="T7:T28">
    <cfRule type="cellIs" dxfId="498" priority="14" operator="lessThan">
      <formula>0</formula>
    </cfRule>
    <cfRule type="cellIs" dxfId="497" priority="15" operator="lessThan">
      <formula>0</formula>
    </cfRule>
    <cfRule type="cellIs" dxfId="496" priority="16" operator="lessThan">
      <formula>0</formula>
    </cfRule>
  </conditionalFormatting>
  <conditionalFormatting sqref="D5:K5">
    <cfRule type="cellIs" dxfId="495" priority="13" operator="greaterThan">
      <formula>0</formula>
    </cfRule>
  </conditionalFormatting>
  <conditionalFormatting sqref="L4 L6 L28:L29">
    <cfRule type="cellIs" dxfId="494" priority="12" operator="equal">
      <formula>$L$4</formula>
    </cfRule>
  </conditionalFormatting>
  <conditionalFormatting sqref="D7:S7">
    <cfRule type="cellIs" dxfId="493" priority="11" operator="greaterThan">
      <formula>0</formula>
    </cfRule>
  </conditionalFormatting>
  <conditionalFormatting sqref="D9:S9">
    <cfRule type="cellIs" dxfId="492" priority="10" operator="greaterThan">
      <formula>0</formula>
    </cfRule>
  </conditionalFormatting>
  <conditionalFormatting sqref="D11:S11">
    <cfRule type="cellIs" dxfId="491" priority="9" operator="greaterThan">
      <formula>0</formula>
    </cfRule>
  </conditionalFormatting>
  <conditionalFormatting sqref="D13:S13">
    <cfRule type="cellIs" dxfId="490" priority="8" operator="greaterThan">
      <formula>0</formula>
    </cfRule>
  </conditionalFormatting>
  <conditionalFormatting sqref="D15:S15">
    <cfRule type="cellIs" dxfId="489" priority="7" operator="greaterThan">
      <formula>0</formula>
    </cfRule>
  </conditionalFormatting>
  <conditionalFormatting sqref="D17:S17">
    <cfRule type="cellIs" dxfId="488" priority="6" operator="greaterThan">
      <formula>0</formula>
    </cfRule>
  </conditionalFormatting>
  <conditionalFormatting sqref="D19:S19">
    <cfRule type="cellIs" dxfId="487" priority="5" operator="greaterThan">
      <formula>0</formula>
    </cfRule>
  </conditionalFormatting>
  <conditionalFormatting sqref="D21:S21">
    <cfRule type="cellIs" dxfId="486" priority="4" operator="greaterThan">
      <formula>0</formula>
    </cfRule>
  </conditionalFormatting>
  <conditionalFormatting sqref="D23:S23">
    <cfRule type="cellIs" dxfId="485" priority="3" operator="greaterThan">
      <formula>0</formula>
    </cfRule>
  </conditionalFormatting>
  <conditionalFormatting sqref="D25:S25">
    <cfRule type="cellIs" dxfId="484" priority="2" operator="greaterThan">
      <formula>0</formula>
    </cfRule>
  </conditionalFormatting>
  <conditionalFormatting sqref="D27:S27">
    <cfRule type="cellIs" dxfId="483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9" sqref="A19:XFD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49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</row>
    <row r="2" spans="1:20" ht="15.75" thickBot="1" x14ac:dyDescent="0.3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</row>
    <row r="3" spans="1:20" ht="18.75" x14ac:dyDescent="0.25">
      <c r="A3" s="250" t="s">
        <v>119</v>
      </c>
      <c r="B3" s="251"/>
      <c r="C3" s="252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</row>
    <row r="4" spans="1:20" x14ac:dyDescent="0.25">
      <c r="A4" s="254" t="s">
        <v>1</v>
      </c>
      <c r="B4" s="254"/>
      <c r="C4" s="1"/>
      <c r="D4" s="2">
        <f>'22'!D29</f>
        <v>445719</v>
      </c>
      <c r="E4" s="2">
        <f>'22'!E29</f>
        <v>8615</v>
      </c>
      <c r="F4" s="2">
        <f>'22'!F29</f>
        <v>18380</v>
      </c>
      <c r="G4" s="2">
        <f>'22'!G29</f>
        <v>830</v>
      </c>
      <c r="H4" s="2">
        <f>'22'!H29</f>
        <v>38690</v>
      </c>
      <c r="I4" s="2">
        <f>'22'!I29</f>
        <v>1122</v>
      </c>
      <c r="J4" s="2">
        <f>'22'!J29</f>
        <v>603</v>
      </c>
      <c r="K4" s="2">
        <f>'22'!K29</f>
        <v>131</v>
      </c>
      <c r="L4" s="2">
        <f>'22'!L29</f>
        <v>0</v>
      </c>
      <c r="M4" s="3"/>
      <c r="N4" s="255"/>
      <c r="O4" s="255"/>
      <c r="P4" s="255"/>
      <c r="Q4" s="255"/>
      <c r="R4" s="255"/>
      <c r="S4" s="255"/>
      <c r="T4" s="255"/>
    </row>
    <row r="5" spans="1:20" x14ac:dyDescent="0.25">
      <c r="A5" s="254" t="s">
        <v>2</v>
      </c>
      <c r="B5" s="254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255"/>
      <c r="O5" s="255"/>
      <c r="P5" s="255"/>
      <c r="Q5" s="255"/>
      <c r="R5" s="255"/>
      <c r="S5" s="255"/>
      <c r="T5" s="25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6470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6470</v>
      </c>
      <c r="N8" s="24">
        <f t="shared" ref="N8:N27" si="1">D8+E8*20+F8*10+G8*9+H8*9+I8*191+J8*191+K8*182+L8*100</f>
        <v>6470</v>
      </c>
      <c r="O8" s="25">
        <f t="shared" ref="O8:O27" si="2">M8*2.75%</f>
        <v>177.92500000000001</v>
      </c>
      <c r="P8" s="26"/>
      <c r="Q8" s="26">
        <v>62</v>
      </c>
      <c r="R8" s="24">
        <f t="shared" ref="R8:R27" si="3">M8-(M8*2.75%)+I8*191+J8*191+K8*182+L8*100-Q8</f>
        <v>6230.0749999999998</v>
      </c>
      <c r="S8" s="25">
        <f t="shared" ref="S8:S27" si="4">M8*0.95%</f>
        <v>61.464999999999996</v>
      </c>
      <c r="T8" s="27">
        <f t="shared" ref="T8:T27" si="5">S8-Q8</f>
        <v>-0.53500000000000369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14812</v>
      </c>
      <c r="E9" s="30">
        <v>20</v>
      </c>
      <c r="F9" s="30">
        <v>50</v>
      </c>
      <c r="G9" s="30"/>
      <c r="H9" s="30">
        <v>110</v>
      </c>
      <c r="I9" s="20"/>
      <c r="J9" s="20"/>
      <c r="K9" s="20"/>
      <c r="L9" s="20"/>
      <c r="M9" s="20">
        <f t="shared" si="0"/>
        <v>16702</v>
      </c>
      <c r="N9" s="24">
        <f t="shared" si="1"/>
        <v>16702</v>
      </c>
      <c r="O9" s="25">
        <f t="shared" si="2"/>
        <v>459.30500000000001</v>
      </c>
      <c r="P9" s="26">
        <v>2500</v>
      </c>
      <c r="Q9" s="26">
        <v>143</v>
      </c>
      <c r="R9" s="24">
        <f t="shared" si="3"/>
        <v>16099.695</v>
      </c>
      <c r="S9" s="25">
        <f t="shared" si="4"/>
        <v>158.66899999999998</v>
      </c>
      <c r="T9" s="27">
        <f t="shared" si="5"/>
        <v>15.668999999999983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2994</v>
      </c>
      <c r="E10" s="30"/>
      <c r="F10" s="30"/>
      <c r="G10" s="30"/>
      <c r="H10" s="30">
        <v>50</v>
      </c>
      <c r="I10" s="20">
        <v>3</v>
      </c>
      <c r="J10" s="20"/>
      <c r="K10" s="20"/>
      <c r="L10" s="20"/>
      <c r="M10" s="20">
        <f t="shared" si="0"/>
        <v>3444</v>
      </c>
      <c r="N10" s="24">
        <f t="shared" si="1"/>
        <v>4017</v>
      </c>
      <c r="O10" s="25">
        <f t="shared" si="2"/>
        <v>94.71</v>
      </c>
      <c r="P10" s="26"/>
      <c r="Q10" s="26">
        <v>22</v>
      </c>
      <c r="R10" s="24">
        <f t="shared" si="3"/>
        <v>3900.29</v>
      </c>
      <c r="S10" s="25">
        <f t="shared" si="4"/>
        <v>32.717999999999996</v>
      </c>
      <c r="T10" s="27">
        <f t="shared" si="5"/>
        <v>10.717999999999996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1337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1337</v>
      </c>
      <c r="N11" s="24">
        <f t="shared" si="1"/>
        <v>1337</v>
      </c>
      <c r="O11" s="25">
        <f t="shared" si="2"/>
        <v>36.767499999999998</v>
      </c>
      <c r="P11" s="26"/>
      <c r="Q11" s="26"/>
      <c r="R11" s="24">
        <f t="shared" si="3"/>
        <v>1300.2325000000001</v>
      </c>
      <c r="S11" s="25">
        <f t="shared" si="4"/>
        <v>12.701499999999999</v>
      </c>
      <c r="T11" s="27">
        <f t="shared" si="5"/>
        <v>12.701499999999999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5689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5689</v>
      </c>
      <c r="N12" s="24">
        <f t="shared" si="1"/>
        <v>5689</v>
      </c>
      <c r="O12" s="25">
        <f t="shared" si="2"/>
        <v>156.44749999999999</v>
      </c>
      <c r="P12" s="26"/>
      <c r="Q12" s="26">
        <v>32</v>
      </c>
      <c r="R12" s="24">
        <f t="shared" si="3"/>
        <v>5500.5524999999998</v>
      </c>
      <c r="S12" s="25">
        <f t="shared" si="4"/>
        <v>54.045499999999997</v>
      </c>
      <c r="T12" s="27">
        <f t="shared" si="5"/>
        <v>22.045499999999997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3626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3626</v>
      </c>
      <c r="N13" s="24">
        <f t="shared" si="1"/>
        <v>3626</v>
      </c>
      <c r="O13" s="25">
        <f t="shared" si="2"/>
        <v>99.715000000000003</v>
      </c>
      <c r="P13" s="26"/>
      <c r="Q13" s="26">
        <v>36</v>
      </c>
      <c r="R13" s="24">
        <f t="shared" si="3"/>
        <v>3490.2849999999999</v>
      </c>
      <c r="S13" s="25">
        <f t="shared" si="4"/>
        <v>34.446999999999996</v>
      </c>
      <c r="T13" s="27">
        <f t="shared" si="5"/>
        <v>-1.5530000000000044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10364</v>
      </c>
      <c r="E14" s="30"/>
      <c r="F14" s="30"/>
      <c r="G14" s="30"/>
      <c r="H14" s="30">
        <v>500</v>
      </c>
      <c r="I14" s="20">
        <v>15</v>
      </c>
      <c r="J14" s="20"/>
      <c r="K14" s="20"/>
      <c r="L14" s="20"/>
      <c r="M14" s="20">
        <f t="shared" si="0"/>
        <v>14864</v>
      </c>
      <c r="N14" s="24">
        <f t="shared" si="1"/>
        <v>17729</v>
      </c>
      <c r="O14" s="25">
        <f t="shared" si="2"/>
        <v>408.76</v>
      </c>
      <c r="P14" s="26"/>
      <c r="Q14" s="26">
        <v>150</v>
      </c>
      <c r="R14" s="24">
        <f t="shared" si="3"/>
        <v>17170.239999999998</v>
      </c>
      <c r="S14" s="25">
        <f t="shared" si="4"/>
        <v>141.208</v>
      </c>
      <c r="T14" s="27">
        <f t="shared" si="5"/>
        <v>-8.7920000000000016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13093</v>
      </c>
      <c r="E15" s="30"/>
      <c r="F15" s="30"/>
      <c r="G15" s="30"/>
      <c r="H15" s="30"/>
      <c r="I15" s="20">
        <v>2</v>
      </c>
      <c r="J15" s="20"/>
      <c r="K15" s="20"/>
      <c r="L15" s="20"/>
      <c r="M15" s="20">
        <f t="shared" si="0"/>
        <v>13093</v>
      </c>
      <c r="N15" s="24">
        <f t="shared" si="1"/>
        <v>13475</v>
      </c>
      <c r="O15" s="25">
        <f t="shared" si="2"/>
        <v>360.0575</v>
      </c>
      <c r="P15" s="26"/>
      <c r="Q15" s="26">
        <v>140</v>
      </c>
      <c r="R15" s="24">
        <f t="shared" si="3"/>
        <v>12974.942499999999</v>
      </c>
      <c r="S15" s="25">
        <f t="shared" si="4"/>
        <v>124.3835</v>
      </c>
      <c r="T15" s="27">
        <f t="shared" si="5"/>
        <v>-15.616500000000002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2570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2570</v>
      </c>
      <c r="N16" s="24">
        <f t="shared" si="1"/>
        <v>2570</v>
      </c>
      <c r="O16" s="25">
        <f t="shared" si="2"/>
        <v>70.674999999999997</v>
      </c>
      <c r="P16" s="26"/>
      <c r="Q16" s="26">
        <v>24</v>
      </c>
      <c r="R16" s="24">
        <f t="shared" si="3"/>
        <v>2475.3249999999998</v>
      </c>
      <c r="S16" s="25">
        <f t="shared" si="4"/>
        <v>24.414999999999999</v>
      </c>
      <c r="T16" s="27">
        <f t="shared" si="5"/>
        <v>0.41499999999999915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2512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2512</v>
      </c>
      <c r="N17" s="24">
        <f t="shared" si="1"/>
        <v>2512</v>
      </c>
      <c r="O17" s="25">
        <f t="shared" si="2"/>
        <v>69.08</v>
      </c>
      <c r="P17" s="26">
        <v>4000</v>
      </c>
      <c r="Q17" s="26">
        <v>42</v>
      </c>
      <c r="R17" s="24">
        <f t="shared" si="3"/>
        <v>2400.92</v>
      </c>
      <c r="S17" s="25">
        <f t="shared" si="4"/>
        <v>23.864000000000001</v>
      </c>
      <c r="T17" s="27">
        <f t="shared" si="5"/>
        <v>-18.135999999999999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5143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5143</v>
      </c>
      <c r="N19" s="24">
        <f t="shared" si="1"/>
        <v>5143</v>
      </c>
      <c r="O19" s="25">
        <f t="shared" si="2"/>
        <v>141.4325</v>
      </c>
      <c r="P19" s="26">
        <v>2000</v>
      </c>
      <c r="Q19" s="26">
        <v>120</v>
      </c>
      <c r="R19" s="24">
        <f t="shared" si="3"/>
        <v>4881.5675000000001</v>
      </c>
      <c r="S19" s="25">
        <f t="shared" si="4"/>
        <v>48.858499999999999</v>
      </c>
      <c r="T19" s="27">
        <f t="shared" si="5"/>
        <v>-71.141500000000008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3246</v>
      </c>
      <c r="E21" s="30">
        <v>50</v>
      </c>
      <c r="F21" s="30">
        <v>70</v>
      </c>
      <c r="G21" s="30"/>
      <c r="H21" s="30"/>
      <c r="I21" s="20"/>
      <c r="J21" s="20"/>
      <c r="K21" s="20"/>
      <c r="L21" s="20"/>
      <c r="M21" s="20">
        <f t="shared" si="0"/>
        <v>4946</v>
      </c>
      <c r="N21" s="24">
        <f t="shared" si="1"/>
        <v>4946</v>
      </c>
      <c r="O21" s="25">
        <f t="shared" si="2"/>
        <v>136.01500000000001</v>
      </c>
      <c r="P21" s="26"/>
      <c r="Q21" s="26">
        <v>46</v>
      </c>
      <c r="R21" s="24">
        <f>M21-(M21*2.75%)+I21*191+J21*191+K21*182+L21*100-Q21</f>
        <v>4763.9849999999997</v>
      </c>
      <c r="S21" s="25">
        <f t="shared" si="4"/>
        <v>46.987000000000002</v>
      </c>
      <c r="T21" s="27">
        <f t="shared" si="5"/>
        <v>0.98700000000000188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11229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11229</v>
      </c>
      <c r="N22" s="24">
        <f t="shared" si="1"/>
        <v>11229</v>
      </c>
      <c r="O22" s="25">
        <f t="shared" si="2"/>
        <v>308.79750000000001</v>
      </c>
      <c r="P22" s="26">
        <v>500</v>
      </c>
      <c r="Q22" s="26">
        <v>100</v>
      </c>
      <c r="R22" s="24">
        <f t="shared" si="3"/>
        <v>10820.202499999999</v>
      </c>
      <c r="S22" s="25">
        <f t="shared" si="4"/>
        <v>106.6755</v>
      </c>
      <c r="T22" s="27">
        <f t="shared" si="5"/>
        <v>6.6754999999999995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4368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4368</v>
      </c>
      <c r="N23" s="24">
        <f t="shared" si="1"/>
        <v>4368</v>
      </c>
      <c r="O23" s="25">
        <f t="shared" si="2"/>
        <v>120.12</v>
      </c>
      <c r="P23" s="26"/>
      <c r="Q23" s="26">
        <v>40</v>
      </c>
      <c r="R23" s="24">
        <f t="shared" si="3"/>
        <v>4207.88</v>
      </c>
      <c r="S23" s="25">
        <f t="shared" si="4"/>
        <v>41.496000000000002</v>
      </c>
      <c r="T23" s="27">
        <f t="shared" si="5"/>
        <v>1.4960000000000022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16549</v>
      </c>
      <c r="E24" s="30"/>
      <c r="F24" s="30">
        <v>100</v>
      </c>
      <c r="G24" s="30"/>
      <c r="H24" s="30">
        <v>120</v>
      </c>
      <c r="I24" s="20"/>
      <c r="J24" s="20"/>
      <c r="K24" s="20"/>
      <c r="L24" s="20"/>
      <c r="M24" s="20">
        <f t="shared" si="0"/>
        <v>18629</v>
      </c>
      <c r="N24" s="24">
        <f t="shared" si="1"/>
        <v>18629</v>
      </c>
      <c r="O24" s="25">
        <f t="shared" si="2"/>
        <v>512.29750000000001</v>
      </c>
      <c r="P24" s="26">
        <v>1000</v>
      </c>
      <c r="Q24" s="26">
        <v>116</v>
      </c>
      <c r="R24" s="24">
        <f t="shared" si="3"/>
        <v>18000.702499999999</v>
      </c>
      <c r="S24" s="25">
        <f t="shared" si="4"/>
        <v>176.97549999999998</v>
      </c>
      <c r="T24" s="27">
        <f t="shared" si="5"/>
        <v>60.975499999999982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7815</v>
      </c>
      <c r="E25" s="30"/>
      <c r="F25" s="30">
        <v>250</v>
      </c>
      <c r="G25" s="30"/>
      <c r="H25" s="30">
        <v>250</v>
      </c>
      <c r="I25" s="20"/>
      <c r="J25" s="20"/>
      <c r="K25" s="20"/>
      <c r="L25" s="20"/>
      <c r="M25" s="20">
        <f t="shared" si="0"/>
        <v>12565</v>
      </c>
      <c r="N25" s="24">
        <f t="shared" si="1"/>
        <v>12565</v>
      </c>
      <c r="O25" s="25">
        <f t="shared" si="2"/>
        <v>345.53750000000002</v>
      </c>
      <c r="P25" s="26">
        <v>14000</v>
      </c>
      <c r="Q25" s="26">
        <v>78</v>
      </c>
      <c r="R25" s="24">
        <f t="shared" si="3"/>
        <v>12141.4625</v>
      </c>
      <c r="S25" s="25">
        <f t="shared" si="4"/>
        <v>119.36749999999999</v>
      </c>
      <c r="T25" s="27">
        <f t="shared" si="5"/>
        <v>41.367499999999993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1028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1028</v>
      </c>
      <c r="N26" s="24">
        <f t="shared" si="1"/>
        <v>1028</v>
      </c>
      <c r="O26" s="25">
        <f t="shared" si="2"/>
        <v>28.27</v>
      </c>
      <c r="P26" s="26">
        <v>1000</v>
      </c>
      <c r="Q26" s="26"/>
      <c r="R26" s="24">
        <f t="shared" si="3"/>
        <v>999.73</v>
      </c>
      <c r="S26" s="25">
        <f t="shared" si="4"/>
        <v>9.766</v>
      </c>
      <c r="T26" s="27">
        <f t="shared" si="5"/>
        <v>9.766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2159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2159</v>
      </c>
      <c r="N27" s="40">
        <f t="shared" si="1"/>
        <v>2159</v>
      </c>
      <c r="O27" s="25">
        <f t="shared" si="2"/>
        <v>59.372500000000002</v>
      </c>
      <c r="P27" s="41"/>
      <c r="Q27" s="41"/>
      <c r="R27" s="24">
        <f t="shared" si="3"/>
        <v>2099.6275000000001</v>
      </c>
      <c r="S27" s="42">
        <f t="shared" si="4"/>
        <v>20.5105</v>
      </c>
      <c r="T27" s="43">
        <f t="shared" si="5"/>
        <v>20.5105</v>
      </c>
    </row>
    <row r="28" spans="1:20" ht="16.5" thickBot="1" x14ac:dyDescent="0.3">
      <c r="A28" s="240" t="s">
        <v>44</v>
      </c>
      <c r="B28" s="241"/>
      <c r="C28" s="242"/>
      <c r="D28" s="44">
        <f t="shared" ref="D28:E28" si="6">SUM(D7:D27)</f>
        <v>116032</v>
      </c>
      <c r="E28" s="45">
        <f t="shared" si="6"/>
        <v>70</v>
      </c>
      <c r="F28" s="45">
        <f t="shared" ref="F28:T28" si="7">SUM(F7:F27)</f>
        <v>470</v>
      </c>
      <c r="G28" s="45">
        <f t="shared" si="7"/>
        <v>0</v>
      </c>
      <c r="H28" s="45">
        <f t="shared" si="7"/>
        <v>1030</v>
      </c>
      <c r="I28" s="45">
        <f t="shared" si="7"/>
        <v>20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131402</v>
      </c>
      <c r="N28" s="45">
        <f t="shared" si="7"/>
        <v>135222</v>
      </c>
      <c r="O28" s="46">
        <f t="shared" si="7"/>
        <v>3613.5549999999998</v>
      </c>
      <c r="P28" s="45">
        <f t="shared" si="7"/>
        <v>25000</v>
      </c>
      <c r="Q28" s="45">
        <f t="shared" si="7"/>
        <v>1151</v>
      </c>
      <c r="R28" s="45">
        <f t="shared" si="7"/>
        <v>130457.44499999999</v>
      </c>
      <c r="S28" s="45">
        <f t="shared" si="7"/>
        <v>1248.3190000000002</v>
      </c>
      <c r="T28" s="47">
        <f t="shared" si="7"/>
        <v>97.318999999999932</v>
      </c>
    </row>
    <row r="29" spans="1:20" ht="15.75" thickBot="1" x14ac:dyDescent="0.3">
      <c r="A29" s="243" t="s">
        <v>45</v>
      </c>
      <c r="B29" s="244"/>
      <c r="C29" s="245"/>
      <c r="D29" s="48">
        <f>D4+D5-D28</f>
        <v>537479</v>
      </c>
      <c r="E29" s="48">
        <f t="shared" ref="E29:L29" si="8">E4+E5-E28</f>
        <v>8545</v>
      </c>
      <c r="F29" s="48">
        <f t="shared" si="8"/>
        <v>17910</v>
      </c>
      <c r="G29" s="48">
        <f t="shared" si="8"/>
        <v>830</v>
      </c>
      <c r="H29" s="48">
        <f t="shared" si="8"/>
        <v>37660</v>
      </c>
      <c r="I29" s="48">
        <f t="shared" si="8"/>
        <v>1102</v>
      </c>
      <c r="J29" s="48">
        <f t="shared" si="8"/>
        <v>603</v>
      </c>
      <c r="K29" s="48">
        <f t="shared" si="8"/>
        <v>131</v>
      </c>
      <c r="L29" s="48">
        <f t="shared" si="8"/>
        <v>0</v>
      </c>
      <c r="M29" s="246"/>
      <c r="N29" s="247"/>
      <c r="O29" s="247"/>
      <c r="P29" s="247"/>
      <c r="Q29" s="247"/>
      <c r="R29" s="247"/>
      <c r="S29" s="247"/>
      <c r="T29" s="24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82" priority="43" operator="equal">
      <formula>212030016606640</formula>
    </cfRule>
  </conditionalFormatting>
  <conditionalFormatting sqref="D29 E4:E6 E28:K29">
    <cfRule type="cellIs" dxfId="481" priority="41" operator="equal">
      <formula>$E$4</formula>
    </cfRule>
    <cfRule type="cellIs" dxfId="480" priority="42" operator="equal">
      <formula>2120</formula>
    </cfRule>
  </conditionalFormatting>
  <conditionalFormatting sqref="D29:E29 F4:F6 F28:F29">
    <cfRule type="cellIs" dxfId="479" priority="39" operator="equal">
      <formula>$F$4</formula>
    </cfRule>
    <cfRule type="cellIs" dxfId="478" priority="40" operator="equal">
      <formula>300</formula>
    </cfRule>
  </conditionalFormatting>
  <conditionalFormatting sqref="G4:G6 G28:G29">
    <cfRule type="cellIs" dxfId="477" priority="37" operator="equal">
      <formula>$G$4</formula>
    </cfRule>
    <cfRule type="cellIs" dxfId="476" priority="38" operator="equal">
      <formula>1660</formula>
    </cfRule>
  </conditionalFormatting>
  <conditionalFormatting sqref="H4:H6 H28:H29">
    <cfRule type="cellIs" dxfId="475" priority="35" operator="equal">
      <formula>$H$4</formula>
    </cfRule>
    <cfRule type="cellIs" dxfId="474" priority="36" operator="equal">
      <formula>6640</formula>
    </cfRule>
  </conditionalFormatting>
  <conditionalFormatting sqref="T6:T28">
    <cfRule type="cellIs" dxfId="473" priority="34" operator="lessThan">
      <formula>0</formula>
    </cfRule>
  </conditionalFormatting>
  <conditionalFormatting sqref="T7:T27">
    <cfRule type="cellIs" dxfId="472" priority="31" operator="lessThan">
      <formula>0</formula>
    </cfRule>
    <cfRule type="cellIs" dxfId="471" priority="32" operator="lessThan">
      <formula>0</formula>
    </cfRule>
    <cfRule type="cellIs" dxfId="470" priority="33" operator="lessThan">
      <formula>0</formula>
    </cfRule>
  </conditionalFormatting>
  <conditionalFormatting sqref="E4:E6 E28:K28">
    <cfRule type="cellIs" dxfId="469" priority="30" operator="equal">
      <formula>$E$4</formula>
    </cfRule>
  </conditionalFormatting>
  <conditionalFormatting sqref="D28:D29 D6 D4:M4">
    <cfRule type="cellIs" dxfId="468" priority="29" operator="equal">
      <formula>$D$4</formula>
    </cfRule>
  </conditionalFormatting>
  <conditionalFormatting sqref="I4:I6 I28:I29">
    <cfRule type="cellIs" dxfId="467" priority="28" operator="equal">
      <formula>$I$4</formula>
    </cfRule>
  </conditionalFormatting>
  <conditionalFormatting sqref="J4:J6 J28:J29">
    <cfRule type="cellIs" dxfId="466" priority="27" operator="equal">
      <formula>$J$4</formula>
    </cfRule>
  </conditionalFormatting>
  <conditionalFormatting sqref="K4:K6 K28:K29">
    <cfRule type="cellIs" dxfId="465" priority="26" operator="equal">
      <formula>$K$4</formula>
    </cfRule>
  </conditionalFormatting>
  <conditionalFormatting sqref="M4:M6">
    <cfRule type="cellIs" dxfId="464" priority="25" operator="equal">
      <formula>$L$4</formula>
    </cfRule>
  </conditionalFormatting>
  <conditionalFormatting sqref="T7:T28">
    <cfRule type="cellIs" dxfId="463" priority="22" operator="lessThan">
      <formula>0</formula>
    </cfRule>
    <cfRule type="cellIs" dxfId="462" priority="23" operator="lessThan">
      <formula>0</formula>
    </cfRule>
    <cfRule type="cellIs" dxfId="461" priority="24" operator="lessThan">
      <formula>0</formula>
    </cfRule>
  </conditionalFormatting>
  <conditionalFormatting sqref="D5:K5">
    <cfRule type="cellIs" dxfId="460" priority="21" operator="greaterThan">
      <formula>0</formula>
    </cfRule>
  </conditionalFormatting>
  <conditionalFormatting sqref="T6:T28">
    <cfRule type="cellIs" dxfId="459" priority="20" operator="lessThan">
      <formula>0</formula>
    </cfRule>
  </conditionalFormatting>
  <conditionalFormatting sqref="T7:T27">
    <cfRule type="cellIs" dxfId="458" priority="17" operator="lessThan">
      <formula>0</formula>
    </cfRule>
    <cfRule type="cellIs" dxfId="457" priority="18" operator="lessThan">
      <formula>0</formula>
    </cfRule>
    <cfRule type="cellIs" dxfId="456" priority="19" operator="lessThan">
      <formula>0</formula>
    </cfRule>
  </conditionalFormatting>
  <conditionalFormatting sqref="T7:T28">
    <cfRule type="cellIs" dxfId="455" priority="14" operator="lessThan">
      <formula>0</formula>
    </cfRule>
    <cfRule type="cellIs" dxfId="454" priority="15" operator="lessThan">
      <formula>0</formula>
    </cfRule>
    <cfRule type="cellIs" dxfId="453" priority="16" operator="lessThan">
      <formula>0</formula>
    </cfRule>
  </conditionalFormatting>
  <conditionalFormatting sqref="D5:K5">
    <cfRule type="cellIs" dxfId="452" priority="13" operator="greaterThan">
      <formula>0</formula>
    </cfRule>
  </conditionalFormatting>
  <conditionalFormatting sqref="L4 L6 L28:L29">
    <cfRule type="cellIs" dxfId="451" priority="12" operator="equal">
      <formula>$L$4</formula>
    </cfRule>
  </conditionalFormatting>
  <conditionalFormatting sqref="D7:S7">
    <cfRule type="cellIs" dxfId="450" priority="11" operator="greaterThan">
      <formula>0</formula>
    </cfRule>
  </conditionalFormatting>
  <conditionalFormatting sqref="D9:S9">
    <cfRule type="cellIs" dxfId="449" priority="10" operator="greaterThan">
      <formula>0</formula>
    </cfRule>
  </conditionalFormatting>
  <conditionalFormatting sqref="D11:S11">
    <cfRule type="cellIs" dxfId="448" priority="9" operator="greaterThan">
      <formula>0</formula>
    </cfRule>
  </conditionalFormatting>
  <conditionalFormatting sqref="D13:S13">
    <cfRule type="cellIs" dxfId="447" priority="8" operator="greaterThan">
      <formula>0</formula>
    </cfRule>
  </conditionalFormatting>
  <conditionalFormatting sqref="D15:S15">
    <cfRule type="cellIs" dxfId="446" priority="7" operator="greaterThan">
      <formula>0</formula>
    </cfRule>
  </conditionalFormatting>
  <conditionalFormatting sqref="D17:S17">
    <cfRule type="cellIs" dxfId="445" priority="6" operator="greaterThan">
      <formula>0</formula>
    </cfRule>
  </conditionalFormatting>
  <conditionalFormatting sqref="D19:S19">
    <cfRule type="cellIs" dxfId="444" priority="5" operator="greaterThan">
      <formula>0</formula>
    </cfRule>
  </conditionalFormatting>
  <conditionalFormatting sqref="D21:S21">
    <cfRule type="cellIs" dxfId="443" priority="4" operator="greaterThan">
      <formula>0</formula>
    </cfRule>
  </conditionalFormatting>
  <conditionalFormatting sqref="D23:S23">
    <cfRule type="cellIs" dxfId="442" priority="3" operator="greaterThan">
      <formula>0</formula>
    </cfRule>
  </conditionalFormatting>
  <conditionalFormatting sqref="D25:S25">
    <cfRule type="cellIs" dxfId="441" priority="2" operator="greaterThan">
      <formula>0</formula>
    </cfRule>
  </conditionalFormatting>
  <conditionalFormatting sqref="D27:S27">
    <cfRule type="cellIs" dxfId="440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F29" sqref="F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49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</row>
    <row r="2" spans="1:20" ht="15.75" thickBot="1" x14ac:dyDescent="0.3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</row>
    <row r="3" spans="1:20" ht="18.75" x14ac:dyDescent="0.25">
      <c r="A3" s="250" t="s">
        <v>120</v>
      </c>
      <c r="B3" s="251"/>
      <c r="C3" s="252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</row>
    <row r="4" spans="1:20" x14ac:dyDescent="0.25">
      <c r="A4" s="254" t="s">
        <v>1</v>
      </c>
      <c r="B4" s="254"/>
      <c r="C4" s="1"/>
      <c r="D4" s="2">
        <f>'23'!D29</f>
        <v>537479</v>
      </c>
      <c r="E4" s="2">
        <f>'23'!E29</f>
        <v>8545</v>
      </c>
      <c r="F4" s="2">
        <f>'23'!F29</f>
        <v>17910</v>
      </c>
      <c r="G4" s="2">
        <f>'23'!G29</f>
        <v>830</v>
      </c>
      <c r="H4" s="2">
        <f>'23'!H29</f>
        <v>37660</v>
      </c>
      <c r="I4" s="2">
        <f>'23'!I29</f>
        <v>1102</v>
      </c>
      <c r="J4" s="2">
        <f>'23'!J29</f>
        <v>603</v>
      </c>
      <c r="K4" s="2">
        <f>'23'!K29</f>
        <v>131</v>
      </c>
      <c r="L4" s="2">
        <f>'23'!L29</f>
        <v>0</v>
      </c>
      <c r="M4" s="3"/>
      <c r="N4" s="255"/>
      <c r="O4" s="255"/>
      <c r="P4" s="255"/>
      <c r="Q4" s="255"/>
      <c r="R4" s="255"/>
      <c r="S4" s="255"/>
      <c r="T4" s="255"/>
    </row>
    <row r="5" spans="1:20" x14ac:dyDescent="0.25">
      <c r="A5" s="254" t="s">
        <v>2</v>
      </c>
      <c r="B5" s="25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5"/>
      <c r="O5" s="255"/>
      <c r="P5" s="255"/>
      <c r="Q5" s="255"/>
      <c r="R5" s="255"/>
      <c r="S5" s="255"/>
      <c r="T5" s="25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12248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12248</v>
      </c>
      <c r="N7" s="24">
        <f>D7+E7*20+F7*10+G7*9+H7*9+I7*191+J7*191+K7*182+L7*100</f>
        <v>12248</v>
      </c>
      <c r="O7" s="25">
        <f>M7*2.75%</f>
        <v>336.82</v>
      </c>
      <c r="P7" s="26"/>
      <c r="Q7" s="26">
        <v>89</v>
      </c>
      <c r="R7" s="24">
        <f>M7-(M7*2.75%)+I7*191+J7*191+K7*182+L7*100-Q7</f>
        <v>11822.18</v>
      </c>
      <c r="S7" s="25">
        <f>M7*0.95%</f>
        <v>116.35599999999999</v>
      </c>
      <c r="T7" s="27">
        <f>S7-Q7</f>
        <v>27.355999999999995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6008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6008</v>
      </c>
      <c r="N8" s="24">
        <f t="shared" ref="N8:N27" si="1">D8+E8*20+F8*10+G8*9+H8*9+I8*191+J8*191+K8*182+L8*100</f>
        <v>6008</v>
      </c>
      <c r="O8" s="25">
        <f t="shared" ref="O8:O27" si="2">M8*2.75%</f>
        <v>165.22</v>
      </c>
      <c r="P8" s="26">
        <v>30</v>
      </c>
      <c r="Q8" s="26">
        <v>80</v>
      </c>
      <c r="R8" s="24">
        <f t="shared" ref="R8:R27" si="3">M8-(M8*2.75%)+I8*191+J8*191+K8*182+L8*100-Q8</f>
        <v>5762.78</v>
      </c>
      <c r="S8" s="25">
        <f t="shared" ref="S8:S27" si="4">M8*0.95%</f>
        <v>57.076000000000001</v>
      </c>
      <c r="T8" s="27">
        <f t="shared" ref="T8:T27" si="5">S8-Q8</f>
        <v>-22.923999999999999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15376</v>
      </c>
      <c r="E9" s="30"/>
      <c r="F9" s="30">
        <v>20</v>
      </c>
      <c r="G9" s="30"/>
      <c r="H9" s="30">
        <v>120</v>
      </c>
      <c r="I9" s="20"/>
      <c r="J9" s="20"/>
      <c r="K9" s="20"/>
      <c r="L9" s="20"/>
      <c r="M9" s="20">
        <f t="shared" si="0"/>
        <v>16656</v>
      </c>
      <c r="N9" s="24">
        <f t="shared" si="1"/>
        <v>16656</v>
      </c>
      <c r="O9" s="25">
        <f t="shared" si="2"/>
        <v>458.04</v>
      </c>
      <c r="P9" s="26">
        <v>-2500</v>
      </c>
      <c r="Q9" s="26">
        <v>148</v>
      </c>
      <c r="R9" s="24">
        <f t="shared" si="3"/>
        <v>16049.96</v>
      </c>
      <c r="S9" s="25">
        <f t="shared" si="4"/>
        <v>158.232</v>
      </c>
      <c r="T9" s="27">
        <f t="shared" si="5"/>
        <v>10.231999999999999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3086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3086</v>
      </c>
      <c r="N10" s="24">
        <f t="shared" si="1"/>
        <v>3086</v>
      </c>
      <c r="O10" s="25">
        <f t="shared" si="2"/>
        <v>84.864999999999995</v>
      </c>
      <c r="P10" s="26"/>
      <c r="Q10" s="26">
        <v>26</v>
      </c>
      <c r="R10" s="24">
        <f t="shared" si="3"/>
        <v>2975.1350000000002</v>
      </c>
      <c r="S10" s="25">
        <f t="shared" si="4"/>
        <v>29.317</v>
      </c>
      <c r="T10" s="27">
        <f t="shared" si="5"/>
        <v>3.3170000000000002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1131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1131</v>
      </c>
      <c r="N11" s="24">
        <f t="shared" si="1"/>
        <v>1131</v>
      </c>
      <c r="O11" s="25">
        <f t="shared" si="2"/>
        <v>31.102499999999999</v>
      </c>
      <c r="P11" s="26"/>
      <c r="Q11" s="26"/>
      <c r="R11" s="24">
        <f t="shared" si="3"/>
        <v>1099.8975</v>
      </c>
      <c r="S11" s="25">
        <f t="shared" si="4"/>
        <v>10.7445</v>
      </c>
      <c r="T11" s="27">
        <f t="shared" si="5"/>
        <v>10.7445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4162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4162</v>
      </c>
      <c r="N12" s="24">
        <f t="shared" si="1"/>
        <v>4162</v>
      </c>
      <c r="O12" s="25">
        <f t="shared" si="2"/>
        <v>114.455</v>
      </c>
      <c r="P12" s="26"/>
      <c r="Q12" s="26">
        <v>27</v>
      </c>
      <c r="R12" s="24">
        <f t="shared" si="3"/>
        <v>4020.5450000000001</v>
      </c>
      <c r="S12" s="25">
        <f t="shared" si="4"/>
        <v>39.539000000000001</v>
      </c>
      <c r="T12" s="27">
        <f t="shared" si="5"/>
        <v>12.539000000000001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1542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1542</v>
      </c>
      <c r="N13" s="24">
        <f t="shared" si="1"/>
        <v>1542</v>
      </c>
      <c r="O13" s="25">
        <f t="shared" si="2"/>
        <v>42.405000000000001</v>
      </c>
      <c r="P13" s="26"/>
      <c r="Q13" s="26">
        <v>20</v>
      </c>
      <c r="R13" s="24">
        <f t="shared" si="3"/>
        <v>1479.595</v>
      </c>
      <c r="S13" s="25">
        <f t="shared" si="4"/>
        <v>14.648999999999999</v>
      </c>
      <c r="T13" s="27">
        <f t="shared" si="5"/>
        <v>-5.3510000000000009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7744</v>
      </c>
      <c r="E14" s="30"/>
      <c r="F14" s="30"/>
      <c r="G14" s="30"/>
      <c r="H14" s="30">
        <v>500</v>
      </c>
      <c r="I14" s="20">
        <v>15</v>
      </c>
      <c r="J14" s="20"/>
      <c r="K14" s="20"/>
      <c r="L14" s="20"/>
      <c r="M14" s="20">
        <f t="shared" si="0"/>
        <v>12244</v>
      </c>
      <c r="N14" s="24">
        <f t="shared" si="1"/>
        <v>15109</v>
      </c>
      <c r="O14" s="25">
        <f t="shared" si="2"/>
        <v>336.71</v>
      </c>
      <c r="P14" s="26"/>
      <c r="Q14" s="26">
        <v>182</v>
      </c>
      <c r="R14" s="24">
        <f t="shared" si="3"/>
        <v>14590.29</v>
      </c>
      <c r="S14" s="25">
        <f t="shared" si="4"/>
        <v>116.318</v>
      </c>
      <c r="T14" s="27">
        <f t="shared" si="5"/>
        <v>-65.682000000000002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10130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10130</v>
      </c>
      <c r="N15" s="24">
        <f t="shared" si="1"/>
        <v>10130</v>
      </c>
      <c r="O15" s="25">
        <f t="shared" si="2"/>
        <v>278.57499999999999</v>
      </c>
      <c r="P15" s="26"/>
      <c r="Q15" s="26">
        <v>140</v>
      </c>
      <c r="R15" s="24">
        <f t="shared" si="3"/>
        <v>9711.4249999999993</v>
      </c>
      <c r="S15" s="25">
        <f t="shared" si="4"/>
        <v>96.234999999999999</v>
      </c>
      <c r="T15" s="27">
        <f t="shared" si="5"/>
        <v>-43.765000000000001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9255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9255</v>
      </c>
      <c r="N16" s="24">
        <f t="shared" si="1"/>
        <v>9255</v>
      </c>
      <c r="O16" s="25">
        <f t="shared" si="2"/>
        <v>254.51249999999999</v>
      </c>
      <c r="P16" s="26"/>
      <c r="Q16" s="26">
        <v>90</v>
      </c>
      <c r="R16" s="24">
        <f>M16-(M16*2.75%)+I16*191+J16*191+K16*182+L16*100-Q16</f>
        <v>8910.4874999999993</v>
      </c>
      <c r="S16" s="25">
        <f t="shared" si="4"/>
        <v>87.922499999999999</v>
      </c>
      <c r="T16" s="27">
        <f t="shared" si="5"/>
        <v>-2.0775000000000006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4161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4161</v>
      </c>
      <c r="N17" s="24">
        <f t="shared" si="1"/>
        <v>4161</v>
      </c>
      <c r="O17" s="25">
        <f t="shared" si="2"/>
        <v>114.42749999999999</v>
      </c>
      <c r="P17" s="26">
        <v>3000</v>
      </c>
      <c r="Q17" s="26">
        <v>46</v>
      </c>
      <c r="R17" s="24">
        <f t="shared" si="3"/>
        <v>4000.5725000000002</v>
      </c>
      <c r="S17" s="25">
        <f t="shared" si="4"/>
        <v>39.529499999999999</v>
      </c>
      <c r="T17" s="27">
        <f t="shared" si="5"/>
        <v>-6.4705000000000013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8446</v>
      </c>
      <c r="E19" s="30"/>
      <c r="F19" s="30"/>
      <c r="G19" s="30"/>
      <c r="H19" s="30">
        <v>80</v>
      </c>
      <c r="I19" s="20">
        <v>10</v>
      </c>
      <c r="J19" s="20"/>
      <c r="K19" s="20"/>
      <c r="L19" s="20"/>
      <c r="M19" s="20">
        <f t="shared" si="0"/>
        <v>9166</v>
      </c>
      <c r="N19" s="24">
        <f t="shared" si="1"/>
        <v>11076</v>
      </c>
      <c r="O19" s="25">
        <f t="shared" si="2"/>
        <v>252.065</v>
      </c>
      <c r="P19" s="26"/>
      <c r="Q19" s="26">
        <v>120</v>
      </c>
      <c r="R19" s="24">
        <f t="shared" si="3"/>
        <v>10703.934999999999</v>
      </c>
      <c r="S19" s="25">
        <f t="shared" si="4"/>
        <v>87.076999999999998</v>
      </c>
      <c r="T19" s="27">
        <f t="shared" si="5"/>
        <v>-32.923000000000002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7917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7917</v>
      </c>
      <c r="N20" s="24">
        <f t="shared" si="1"/>
        <v>7917</v>
      </c>
      <c r="O20" s="25">
        <f t="shared" si="2"/>
        <v>217.7175</v>
      </c>
      <c r="P20" s="26"/>
      <c r="Q20" s="26">
        <v>120</v>
      </c>
      <c r="R20" s="24">
        <f t="shared" si="3"/>
        <v>7579.2825000000003</v>
      </c>
      <c r="S20" s="25">
        <f t="shared" si="4"/>
        <v>75.211500000000001</v>
      </c>
      <c r="T20" s="27">
        <f t="shared" si="5"/>
        <v>-44.788499999999999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3552</v>
      </c>
      <c r="E21" s="30"/>
      <c r="F21" s="30">
        <v>10</v>
      </c>
      <c r="G21" s="30"/>
      <c r="H21" s="30">
        <v>20</v>
      </c>
      <c r="I21" s="20">
        <v>1</v>
      </c>
      <c r="J21" s="20"/>
      <c r="K21" s="20"/>
      <c r="L21" s="20"/>
      <c r="M21" s="20">
        <f t="shared" si="0"/>
        <v>3832</v>
      </c>
      <c r="N21" s="24">
        <f t="shared" si="1"/>
        <v>4023</v>
      </c>
      <c r="O21" s="25">
        <f t="shared" si="2"/>
        <v>105.38</v>
      </c>
      <c r="P21" s="26"/>
      <c r="Q21" s="26">
        <v>17</v>
      </c>
      <c r="R21" s="24">
        <f t="shared" si="3"/>
        <v>3900.62</v>
      </c>
      <c r="S21" s="25">
        <f t="shared" si="4"/>
        <v>36.403999999999996</v>
      </c>
      <c r="T21" s="27">
        <f t="shared" si="5"/>
        <v>19.403999999999996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18244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18244</v>
      </c>
      <c r="N22" s="24">
        <f t="shared" si="1"/>
        <v>18244</v>
      </c>
      <c r="O22" s="25">
        <f t="shared" si="2"/>
        <v>501.71</v>
      </c>
      <c r="P22" s="26"/>
      <c r="Q22" s="26">
        <v>150</v>
      </c>
      <c r="R22" s="24">
        <f t="shared" si="3"/>
        <v>17592.29</v>
      </c>
      <c r="S22" s="25">
        <f t="shared" si="4"/>
        <v>173.31799999999998</v>
      </c>
      <c r="T22" s="27">
        <f t="shared" si="5"/>
        <v>23.317999999999984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7303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7303</v>
      </c>
      <c r="N23" s="24">
        <f t="shared" si="1"/>
        <v>7303</v>
      </c>
      <c r="O23" s="25">
        <f t="shared" si="2"/>
        <v>200.83250000000001</v>
      </c>
      <c r="P23" s="26"/>
      <c r="Q23" s="26">
        <v>70</v>
      </c>
      <c r="R23" s="24">
        <f t="shared" si="3"/>
        <v>7032.1674999999996</v>
      </c>
      <c r="S23" s="25">
        <f t="shared" si="4"/>
        <v>69.378500000000003</v>
      </c>
      <c r="T23" s="27">
        <f t="shared" si="5"/>
        <v>-0.6214999999999975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18108</v>
      </c>
      <c r="E24" s="30"/>
      <c r="F24" s="30">
        <v>100</v>
      </c>
      <c r="G24" s="30"/>
      <c r="H24" s="30">
        <v>250</v>
      </c>
      <c r="I24" s="20">
        <v>13</v>
      </c>
      <c r="J24" s="20"/>
      <c r="K24" s="20"/>
      <c r="L24" s="20"/>
      <c r="M24" s="20">
        <f t="shared" si="0"/>
        <v>21358</v>
      </c>
      <c r="N24" s="24">
        <f t="shared" si="1"/>
        <v>23841</v>
      </c>
      <c r="O24" s="25">
        <f t="shared" si="2"/>
        <v>587.34500000000003</v>
      </c>
      <c r="P24" s="26"/>
      <c r="Q24" s="26">
        <v>124</v>
      </c>
      <c r="R24" s="24">
        <f t="shared" si="3"/>
        <v>23129.654999999999</v>
      </c>
      <c r="S24" s="25">
        <f t="shared" si="4"/>
        <v>202.90099999999998</v>
      </c>
      <c r="T24" s="27">
        <f t="shared" si="5"/>
        <v>78.900999999999982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5912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5912</v>
      </c>
      <c r="N25" s="24">
        <f t="shared" si="1"/>
        <v>5912</v>
      </c>
      <c r="O25" s="25">
        <f t="shared" si="2"/>
        <v>162.58000000000001</v>
      </c>
      <c r="P25" s="26"/>
      <c r="Q25" s="26">
        <v>60</v>
      </c>
      <c r="R25" s="24">
        <f t="shared" si="3"/>
        <v>5689.42</v>
      </c>
      <c r="S25" s="25">
        <f t="shared" si="4"/>
        <v>56.164000000000001</v>
      </c>
      <c r="T25" s="27">
        <f t="shared" si="5"/>
        <v>-3.8359999999999985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1020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1020</v>
      </c>
      <c r="N26" s="24">
        <f t="shared" si="1"/>
        <v>1020</v>
      </c>
      <c r="O26" s="25">
        <f t="shared" si="2"/>
        <v>28.05</v>
      </c>
      <c r="P26" s="26"/>
      <c r="Q26" s="26"/>
      <c r="R26" s="24">
        <f t="shared" si="3"/>
        <v>991.95</v>
      </c>
      <c r="S26" s="25">
        <f t="shared" si="4"/>
        <v>9.69</v>
      </c>
      <c r="T26" s="27">
        <f t="shared" si="5"/>
        <v>9.69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4566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4566</v>
      </c>
      <c r="N27" s="40">
        <f t="shared" si="1"/>
        <v>4566</v>
      </c>
      <c r="O27" s="25">
        <f t="shared" si="2"/>
        <v>125.565</v>
      </c>
      <c r="P27" s="41"/>
      <c r="Q27" s="41">
        <v>100</v>
      </c>
      <c r="R27" s="24">
        <f t="shared" si="3"/>
        <v>4340.4350000000004</v>
      </c>
      <c r="S27" s="42">
        <f t="shared" si="4"/>
        <v>43.377000000000002</v>
      </c>
      <c r="T27" s="43">
        <f t="shared" si="5"/>
        <v>-56.622999999999998</v>
      </c>
    </row>
    <row r="28" spans="1:20" ht="16.5" thickBot="1" x14ac:dyDescent="0.3">
      <c r="A28" s="240" t="s">
        <v>44</v>
      </c>
      <c r="B28" s="241"/>
      <c r="C28" s="242"/>
      <c r="D28" s="44">
        <f t="shared" ref="D28:E28" si="6">SUM(D7:D27)</f>
        <v>149911</v>
      </c>
      <c r="E28" s="45">
        <f t="shared" si="6"/>
        <v>0</v>
      </c>
      <c r="F28" s="45">
        <f t="shared" ref="F28:T28" si="7">SUM(F7:F27)</f>
        <v>130</v>
      </c>
      <c r="G28" s="45">
        <f t="shared" si="7"/>
        <v>0</v>
      </c>
      <c r="H28" s="45">
        <f t="shared" si="7"/>
        <v>970</v>
      </c>
      <c r="I28" s="45">
        <f t="shared" si="7"/>
        <v>39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159941</v>
      </c>
      <c r="N28" s="45">
        <f t="shared" si="7"/>
        <v>167390</v>
      </c>
      <c r="O28" s="46">
        <f t="shared" si="7"/>
        <v>4398.3774999999996</v>
      </c>
      <c r="P28" s="45">
        <f t="shared" si="7"/>
        <v>530</v>
      </c>
      <c r="Q28" s="45">
        <f t="shared" si="7"/>
        <v>1609</v>
      </c>
      <c r="R28" s="45">
        <f t="shared" si="7"/>
        <v>161382.62250000003</v>
      </c>
      <c r="S28" s="45">
        <f t="shared" si="7"/>
        <v>1519.4395000000002</v>
      </c>
      <c r="T28" s="47">
        <f t="shared" si="7"/>
        <v>-89.560500000000047</v>
      </c>
    </row>
    <row r="29" spans="1:20" ht="15.75" thickBot="1" x14ac:dyDescent="0.3">
      <c r="A29" s="243" t="s">
        <v>45</v>
      </c>
      <c r="B29" s="244"/>
      <c r="C29" s="245"/>
      <c r="D29" s="48">
        <f>D4+D5-D28</f>
        <v>387568</v>
      </c>
      <c r="E29" s="48">
        <f t="shared" ref="E29:L29" si="8">E4+E5-E28</f>
        <v>8545</v>
      </c>
      <c r="F29" s="48">
        <f t="shared" si="8"/>
        <v>17780</v>
      </c>
      <c r="G29" s="48">
        <f t="shared" si="8"/>
        <v>830</v>
      </c>
      <c r="H29" s="48">
        <f t="shared" si="8"/>
        <v>36690</v>
      </c>
      <c r="I29" s="48">
        <f t="shared" si="8"/>
        <v>1063</v>
      </c>
      <c r="J29" s="48">
        <f t="shared" si="8"/>
        <v>603</v>
      </c>
      <c r="K29" s="48">
        <f t="shared" si="8"/>
        <v>131</v>
      </c>
      <c r="L29" s="48">
        <f t="shared" si="8"/>
        <v>0</v>
      </c>
      <c r="M29" s="246"/>
      <c r="N29" s="247"/>
      <c r="O29" s="247"/>
      <c r="P29" s="247"/>
      <c r="Q29" s="247"/>
      <c r="R29" s="247"/>
      <c r="S29" s="247"/>
      <c r="T29" s="24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39" priority="43" operator="equal">
      <formula>212030016606640</formula>
    </cfRule>
  </conditionalFormatting>
  <conditionalFormatting sqref="D29 E4:E6 E28:K29">
    <cfRule type="cellIs" dxfId="438" priority="41" operator="equal">
      <formula>$E$4</formula>
    </cfRule>
    <cfRule type="cellIs" dxfId="437" priority="42" operator="equal">
      <formula>2120</formula>
    </cfRule>
  </conditionalFormatting>
  <conditionalFormatting sqref="D29:E29 F4:F6 F28:F29">
    <cfRule type="cellIs" dxfId="436" priority="39" operator="equal">
      <formula>$F$4</formula>
    </cfRule>
    <cfRule type="cellIs" dxfId="435" priority="40" operator="equal">
      <formula>300</formula>
    </cfRule>
  </conditionalFormatting>
  <conditionalFormatting sqref="G4:G6 G28:G29">
    <cfRule type="cellIs" dxfId="434" priority="37" operator="equal">
      <formula>$G$4</formula>
    </cfRule>
    <cfRule type="cellIs" dxfId="433" priority="38" operator="equal">
      <formula>1660</formula>
    </cfRule>
  </conditionalFormatting>
  <conditionalFormatting sqref="H4:H6 H28:H29">
    <cfRule type="cellIs" dxfId="432" priority="35" operator="equal">
      <formula>$H$4</formula>
    </cfRule>
    <cfRule type="cellIs" dxfId="431" priority="36" operator="equal">
      <formula>6640</formula>
    </cfRule>
  </conditionalFormatting>
  <conditionalFormatting sqref="T6:T28">
    <cfRule type="cellIs" dxfId="430" priority="34" operator="lessThan">
      <formula>0</formula>
    </cfRule>
  </conditionalFormatting>
  <conditionalFormatting sqref="T7:T27">
    <cfRule type="cellIs" dxfId="429" priority="31" operator="lessThan">
      <formula>0</formula>
    </cfRule>
    <cfRule type="cellIs" dxfId="428" priority="32" operator="lessThan">
      <formula>0</formula>
    </cfRule>
    <cfRule type="cellIs" dxfId="427" priority="33" operator="lessThan">
      <formula>0</formula>
    </cfRule>
  </conditionalFormatting>
  <conditionalFormatting sqref="E4:E6 E28:K28">
    <cfRule type="cellIs" dxfId="426" priority="30" operator="equal">
      <formula>$E$4</formula>
    </cfRule>
  </conditionalFormatting>
  <conditionalFormatting sqref="D28:D29 D6 D4:M4">
    <cfRule type="cellIs" dxfId="425" priority="29" operator="equal">
      <formula>$D$4</formula>
    </cfRule>
  </conditionalFormatting>
  <conditionalFormatting sqref="I4:I6 I28:I29">
    <cfRule type="cellIs" dxfId="424" priority="28" operator="equal">
      <formula>$I$4</formula>
    </cfRule>
  </conditionalFormatting>
  <conditionalFormatting sqref="J4:J6 J28:J29">
    <cfRule type="cellIs" dxfId="423" priority="27" operator="equal">
      <formula>$J$4</formula>
    </cfRule>
  </conditionalFormatting>
  <conditionalFormatting sqref="K4:K6 K28:K29">
    <cfRule type="cellIs" dxfId="422" priority="26" operator="equal">
      <formula>$K$4</formula>
    </cfRule>
  </conditionalFormatting>
  <conditionalFormatting sqref="M4:M6">
    <cfRule type="cellIs" dxfId="421" priority="25" operator="equal">
      <formula>$L$4</formula>
    </cfRule>
  </conditionalFormatting>
  <conditionalFormatting sqref="T7:T28">
    <cfRule type="cellIs" dxfId="420" priority="22" operator="lessThan">
      <formula>0</formula>
    </cfRule>
    <cfRule type="cellIs" dxfId="419" priority="23" operator="lessThan">
      <formula>0</formula>
    </cfRule>
    <cfRule type="cellIs" dxfId="418" priority="24" operator="lessThan">
      <formula>0</formula>
    </cfRule>
  </conditionalFormatting>
  <conditionalFormatting sqref="D5:K5">
    <cfRule type="cellIs" dxfId="417" priority="21" operator="greaterThan">
      <formula>0</formula>
    </cfRule>
  </conditionalFormatting>
  <conditionalFormatting sqref="T6:T28">
    <cfRule type="cellIs" dxfId="416" priority="20" operator="lessThan">
      <formula>0</formula>
    </cfRule>
  </conditionalFormatting>
  <conditionalFormatting sqref="T7:T27">
    <cfRule type="cellIs" dxfId="415" priority="17" operator="lessThan">
      <formula>0</formula>
    </cfRule>
    <cfRule type="cellIs" dxfId="414" priority="18" operator="lessThan">
      <formula>0</formula>
    </cfRule>
    <cfRule type="cellIs" dxfId="413" priority="19" operator="lessThan">
      <formula>0</formula>
    </cfRule>
  </conditionalFormatting>
  <conditionalFormatting sqref="T7:T28">
    <cfRule type="cellIs" dxfId="412" priority="14" operator="lessThan">
      <formula>0</formula>
    </cfRule>
    <cfRule type="cellIs" dxfId="411" priority="15" operator="lessThan">
      <formula>0</formula>
    </cfRule>
    <cfRule type="cellIs" dxfId="410" priority="16" operator="lessThan">
      <formula>0</formula>
    </cfRule>
  </conditionalFormatting>
  <conditionalFormatting sqref="D5:K5">
    <cfRule type="cellIs" dxfId="409" priority="13" operator="greaterThan">
      <formula>0</formula>
    </cfRule>
  </conditionalFormatting>
  <conditionalFormatting sqref="L4 L6 L28:L29">
    <cfRule type="cellIs" dxfId="408" priority="12" operator="equal">
      <formula>$L$4</formula>
    </cfRule>
  </conditionalFormatting>
  <conditionalFormatting sqref="D7:S7">
    <cfRule type="cellIs" dxfId="407" priority="11" operator="greaterThan">
      <formula>0</formula>
    </cfRule>
  </conditionalFormatting>
  <conditionalFormatting sqref="D9:S9">
    <cfRule type="cellIs" dxfId="406" priority="10" operator="greaterThan">
      <formula>0</formula>
    </cfRule>
  </conditionalFormatting>
  <conditionalFormatting sqref="D11:S11">
    <cfRule type="cellIs" dxfId="405" priority="9" operator="greaterThan">
      <formula>0</formula>
    </cfRule>
  </conditionalFormatting>
  <conditionalFormatting sqref="D13:S13">
    <cfRule type="cellIs" dxfId="404" priority="8" operator="greaterThan">
      <formula>0</formula>
    </cfRule>
  </conditionalFormatting>
  <conditionalFormatting sqref="D15:S15">
    <cfRule type="cellIs" dxfId="403" priority="7" operator="greaterThan">
      <formula>0</formula>
    </cfRule>
  </conditionalFormatting>
  <conditionalFormatting sqref="D17:S17">
    <cfRule type="cellIs" dxfId="402" priority="6" operator="greaterThan">
      <formula>0</formula>
    </cfRule>
  </conditionalFormatting>
  <conditionalFormatting sqref="D19:S19">
    <cfRule type="cellIs" dxfId="401" priority="5" operator="greaterThan">
      <formula>0</formula>
    </cfRule>
  </conditionalFormatting>
  <conditionalFormatting sqref="D21:S21">
    <cfRule type="cellIs" dxfId="400" priority="4" operator="greaterThan">
      <formula>0</formula>
    </cfRule>
  </conditionalFormatting>
  <conditionalFormatting sqref="D23:S23">
    <cfRule type="cellIs" dxfId="399" priority="3" operator="greaterThan">
      <formula>0</formula>
    </cfRule>
  </conditionalFormatting>
  <conditionalFormatting sqref="D25:S25">
    <cfRule type="cellIs" dxfId="398" priority="2" operator="greaterThan">
      <formula>0</formula>
    </cfRule>
  </conditionalFormatting>
  <conditionalFormatting sqref="D27:S27">
    <cfRule type="cellIs" dxfId="397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7" activePane="bottomLeft" state="frozen"/>
      <selection pane="bottomLeft" activeCell="L23" sqref="L2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2" max="22" width="10.5703125" bestFit="1" customWidth="1"/>
  </cols>
  <sheetData>
    <row r="1" spans="1:22" x14ac:dyDescent="0.25">
      <c r="A1" s="249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</row>
    <row r="2" spans="1:22" ht="15.75" thickBot="1" x14ac:dyDescent="0.3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</row>
    <row r="3" spans="1:22" ht="18.75" x14ac:dyDescent="0.25">
      <c r="A3" s="250" t="s">
        <v>123</v>
      </c>
      <c r="B3" s="251"/>
      <c r="C3" s="252"/>
      <c r="D3" s="253"/>
      <c r="E3" s="253"/>
      <c r="F3" s="253"/>
      <c r="G3" s="253"/>
      <c r="H3" s="253"/>
      <c r="I3" s="253"/>
      <c r="J3" s="253"/>
      <c r="K3" s="253"/>
      <c r="L3" s="253"/>
      <c r="M3" s="265"/>
      <c r="N3" s="265"/>
      <c r="O3" s="265"/>
      <c r="P3" s="265"/>
      <c r="Q3" s="265"/>
      <c r="R3" s="265"/>
      <c r="S3" s="265"/>
      <c r="T3" s="265"/>
    </row>
    <row r="4" spans="1:22" x14ac:dyDescent="0.25">
      <c r="A4" s="254" t="s">
        <v>1</v>
      </c>
      <c r="B4" s="254"/>
      <c r="C4" s="1"/>
      <c r="D4" s="2">
        <f>'24'!D29</f>
        <v>387568</v>
      </c>
      <c r="E4" s="2">
        <f>'24'!E29</f>
        <v>8545</v>
      </c>
      <c r="F4" s="2">
        <f>'24'!F29</f>
        <v>17780</v>
      </c>
      <c r="G4" s="2">
        <f>'24'!G29</f>
        <v>830</v>
      </c>
      <c r="H4" s="2">
        <f>'24'!H29</f>
        <v>36690</v>
      </c>
      <c r="I4" s="2">
        <f>'24'!I29</f>
        <v>1063</v>
      </c>
      <c r="J4" s="2">
        <f>'24'!J29</f>
        <v>603</v>
      </c>
      <c r="K4" s="2">
        <f>'24'!K29</f>
        <v>131</v>
      </c>
      <c r="L4" s="2">
        <f>'24'!L29</f>
        <v>0</v>
      </c>
      <c r="M4" s="3"/>
      <c r="N4" s="261"/>
      <c r="O4" s="262"/>
      <c r="P4" s="262"/>
      <c r="Q4" s="262"/>
      <c r="R4" s="262"/>
      <c r="S4" s="262"/>
      <c r="T4" s="262"/>
      <c r="U4" s="262"/>
      <c r="V4" s="263"/>
    </row>
    <row r="5" spans="1:22" x14ac:dyDescent="0.25">
      <c r="A5" s="254" t="s">
        <v>2</v>
      </c>
      <c r="B5" s="25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61"/>
      <c r="O5" s="262"/>
      <c r="P5" s="262"/>
      <c r="Q5" s="262"/>
      <c r="R5" s="262"/>
      <c r="S5" s="262"/>
      <c r="T5" s="262"/>
      <c r="U5" s="262"/>
      <c r="V5" s="263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230" t="s">
        <v>15</v>
      </c>
      <c r="N6" s="229" t="s">
        <v>16</v>
      </c>
      <c r="O6" s="17" t="s">
        <v>17</v>
      </c>
      <c r="P6" s="229" t="s">
        <v>18</v>
      </c>
      <c r="Q6" s="229" t="s">
        <v>19</v>
      </c>
      <c r="R6" s="229" t="s">
        <v>20</v>
      </c>
      <c r="S6" s="17" t="s">
        <v>21</v>
      </c>
      <c r="T6" s="18" t="s">
        <v>22</v>
      </c>
      <c r="U6" s="18" t="s">
        <v>121</v>
      </c>
      <c r="V6" s="18" t="s">
        <v>122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  <c r="U7" s="234"/>
      <c r="V7" s="235"/>
    </row>
    <row r="8" spans="1:22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  <c r="U8" s="234"/>
      <c r="V8" s="235"/>
    </row>
    <row r="9" spans="1:22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  <c r="U9" s="234"/>
      <c r="V9" s="235"/>
    </row>
    <row r="10" spans="1:22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  <c r="U10" s="234"/>
      <c r="V10" s="235"/>
    </row>
    <row r="11" spans="1:22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  <c r="U11" s="234"/>
      <c r="V11" s="235"/>
    </row>
    <row r="12" spans="1:22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  <c r="U12" s="234"/>
      <c r="V12" s="235"/>
    </row>
    <row r="13" spans="1:22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  <c r="U13" s="234"/>
      <c r="V13" s="235"/>
    </row>
    <row r="14" spans="1:22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  <c r="U14" s="234"/>
      <c r="V14" s="235"/>
    </row>
    <row r="15" spans="1:22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  <c r="U15" s="234"/>
      <c r="V15" s="235"/>
    </row>
    <row r="16" spans="1:22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  <c r="U16" s="234"/>
      <c r="V16" s="235"/>
    </row>
    <row r="17" spans="1:22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  <c r="U17" s="234"/>
      <c r="V17" s="235"/>
    </row>
    <row r="18" spans="1:22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  <c r="U18" s="234"/>
      <c r="V18" s="235"/>
    </row>
    <row r="19" spans="1:22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  <c r="U19" s="234"/>
      <c r="V19" s="235"/>
    </row>
    <row r="20" spans="1:22" ht="15.75" x14ac:dyDescent="0.25">
      <c r="A20" s="28">
        <v>14</v>
      </c>
      <c r="B20" s="20">
        <v>1908446147</v>
      </c>
      <c r="C20" s="20" t="s">
        <v>51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  <c r="U20" s="234"/>
      <c r="V20" s="235"/>
    </row>
    <row r="21" spans="1:22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  <c r="U21" s="234"/>
      <c r="V21" s="235"/>
    </row>
    <row r="22" spans="1:22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  <c r="U22" s="234"/>
      <c r="V22" s="235"/>
    </row>
    <row r="23" spans="1:22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  <c r="U23" s="234"/>
      <c r="V23" s="235"/>
    </row>
    <row r="24" spans="1:22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  <c r="U24" s="234"/>
      <c r="V24" s="235"/>
    </row>
    <row r="25" spans="1:22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  <c r="U25" s="234"/>
      <c r="V25" s="235"/>
    </row>
    <row r="26" spans="1:22" ht="15.75" x14ac:dyDescent="0.25">
      <c r="A26" s="28">
        <v>70</v>
      </c>
      <c r="B26" s="20">
        <v>1908446153</v>
      </c>
      <c r="C26" s="36" t="s">
        <v>49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  <c r="U26" s="234"/>
      <c r="V26" s="235"/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20">
        <f t="shared" si="0"/>
        <v>0</v>
      </c>
      <c r="N27" s="24">
        <f t="shared" si="1"/>
        <v>0</v>
      </c>
      <c r="O27" s="25">
        <f t="shared" si="2"/>
        <v>0</v>
      </c>
      <c r="P27" s="26"/>
      <c r="Q27" s="26"/>
      <c r="R27" s="24">
        <f t="shared" si="3"/>
        <v>0</v>
      </c>
      <c r="S27" s="25">
        <f t="shared" si="4"/>
        <v>0</v>
      </c>
      <c r="T27" s="27">
        <f t="shared" si="5"/>
        <v>0</v>
      </c>
      <c r="U27" s="234"/>
      <c r="V27" s="235"/>
    </row>
    <row r="28" spans="1:22" ht="16.5" thickBot="1" x14ac:dyDescent="0.3">
      <c r="A28" s="240" t="s">
        <v>44</v>
      </c>
      <c r="B28" s="241"/>
      <c r="C28" s="242"/>
      <c r="D28" s="44">
        <f t="shared" ref="D28:E28" si="6">SUM(D7:D27)</f>
        <v>0</v>
      </c>
      <c r="E28" s="45">
        <f t="shared" si="6"/>
        <v>0</v>
      </c>
      <c r="F28" s="45">
        <f t="shared" ref="F28:V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231">
        <f t="shared" si="7"/>
        <v>0</v>
      </c>
      <c r="N28" s="231">
        <f t="shared" si="7"/>
        <v>0</v>
      </c>
      <c r="O28" s="232">
        <f t="shared" si="7"/>
        <v>0</v>
      </c>
      <c r="P28" s="231">
        <f t="shared" si="7"/>
        <v>0</v>
      </c>
      <c r="Q28" s="231">
        <f t="shared" si="7"/>
        <v>0</v>
      </c>
      <c r="R28" s="231">
        <f t="shared" si="7"/>
        <v>0</v>
      </c>
      <c r="S28" s="231">
        <f t="shared" si="7"/>
        <v>0</v>
      </c>
      <c r="T28" s="231">
        <f t="shared" si="7"/>
        <v>0</v>
      </c>
      <c r="U28" s="231">
        <f t="shared" si="7"/>
        <v>0</v>
      </c>
      <c r="V28" s="231">
        <f t="shared" si="7"/>
        <v>0</v>
      </c>
    </row>
    <row r="29" spans="1:22" ht="15.75" thickBot="1" x14ac:dyDescent="0.3">
      <c r="A29" s="243" t="s">
        <v>45</v>
      </c>
      <c r="B29" s="244"/>
      <c r="C29" s="245"/>
      <c r="D29" s="48">
        <f>D4+D5-D28</f>
        <v>387568</v>
      </c>
      <c r="E29" s="48">
        <f t="shared" ref="E29:L29" si="8">E4+E5-E28</f>
        <v>8545</v>
      </c>
      <c r="F29" s="48">
        <f t="shared" si="8"/>
        <v>17780</v>
      </c>
      <c r="G29" s="48">
        <f t="shared" si="8"/>
        <v>830</v>
      </c>
      <c r="H29" s="48">
        <f t="shared" si="8"/>
        <v>36690</v>
      </c>
      <c r="I29" s="48">
        <f t="shared" si="8"/>
        <v>1063</v>
      </c>
      <c r="J29" s="48">
        <f t="shared" si="8"/>
        <v>603</v>
      </c>
      <c r="K29" s="48">
        <f t="shared" si="8"/>
        <v>131</v>
      </c>
      <c r="L29" s="48">
        <f t="shared" si="8"/>
        <v>0</v>
      </c>
      <c r="M29" s="266"/>
      <c r="N29" s="267"/>
      <c r="O29" s="267"/>
      <c r="P29" s="267"/>
      <c r="Q29" s="267"/>
      <c r="R29" s="267"/>
      <c r="S29" s="267"/>
      <c r="T29" s="267"/>
      <c r="U29" s="267"/>
      <c r="V29" s="268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396" priority="63" operator="equal">
      <formula>212030016606640</formula>
    </cfRule>
  </conditionalFormatting>
  <conditionalFormatting sqref="D29 E4:E6 E28:K29">
    <cfRule type="cellIs" dxfId="395" priority="61" operator="equal">
      <formula>$E$4</formula>
    </cfRule>
    <cfRule type="cellIs" dxfId="394" priority="62" operator="equal">
      <formula>2120</formula>
    </cfRule>
  </conditionalFormatting>
  <conditionalFormatting sqref="D29:E29 F4:F6 F28:F29">
    <cfRule type="cellIs" dxfId="393" priority="59" operator="equal">
      <formula>$F$4</formula>
    </cfRule>
    <cfRule type="cellIs" dxfId="392" priority="60" operator="equal">
      <formula>300</formula>
    </cfRule>
  </conditionalFormatting>
  <conditionalFormatting sqref="G4:G6 G28:G29">
    <cfRule type="cellIs" dxfId="391" priority="57" operator="equal">
      <formula>$G$4</formula>
    </cfRule>
    <cfRule type="cellIs" dxfId="390" priority="58" operator="equal">
      <formula>1660</formula>
    </cfRule>
  </conditionalFormatting>
  <conditionalFormatting sqref="H4:H6 H28:H29">
    <cfRule type="cellIs" dxfId="389" priority="55" operator="equal">
      <formula>$H$4</formula>
    </cfRule>
    <cfRule type="cellIs" dxfId="388" priority="56" operator="equal">
      <formula>6640</formula>
    </cfRule>
  </conditionalFormatting>
  <conditionalFormatting sqref="T6:T28 U28:V28">
    <cfRule type="cellIs" dxfId="387" priority="54" operator="lessThan">
      <formula>0</formula>
    </cfRule>
  </conditionalFormatting>
  <conditionalFormatting sqref="T7:T27">
    <cfRule type="cellIs" dxfId="386" priority="51" operator="lessThan">
      <formula>0</formula>
    </cfRule>
    <cfRule type="cellIs" dxfId="385" priority="52" operator="lessThan">
      <formula>0</formula>
    </cfRule>
    <cfRule type="cellIs" dxfId="384" priority="53" operator="lessThan">
      <formula>0</formula>
    </cfRule>
  </conditionalFormatting>
  <conditionalFormatting sqref="E4:E6 E28:K28">
    <cfRule type="cellIs" dxfId="383" priority="50" operator="equal">
      <formula>$E$4</formula>
    </cfRule>
  </conditionalFormatting>
  <conditionalFormatting sqref="D28:D29 D6 D4:M4">
    <cfRule type="cellIs" dxfId="382" priority="49" operator="equal">
      <formula>$D$4</formula>
    </cfRule>
  </conditionalFormatting>
  <conditionalFormatting sqref="I4:I6 I28:I29">
    <cfRule type="cellIs" dxfId="381" priority="48" operator="equal">
      <formula>$I$4</formula>
    </cfRule>
  </conditionalFormatting>
  <conditionalFormatting sqref="J4:J6 J28:J29">
    <cfRule type="cellIs" dxfId="380" priority="47" operator="equal">
      <formula>$J$4</formula>
    </cfRule>
  </conditionalFormatting>
  <conditionalFormatting sqref="K4:K6 K28:K29">
    <cfRule type="cellIs" dxfId="379" priority="46" operator="equal">
      <formula>$K$4</formula>
    </cfRule>
  </conditionalFormatting>
  <conditionalFormatting sqref="M4:M6">
    <cfRule type="cellIs" dxfId="378" priority="45" operator="equal">
      <formula>$L$4</formula>
    </cfRule>
  </conditionalFormatting>
  <conditionalFormatting sqref="T7:T28 U28:V28">
    <cfRule type="cellIs" dxfId="377" priority="42" operator="lessThan">
      <formula>0</formula>
    </cfRule>
    <cfRule type="cellIs" dxfId="376" priority="43" operator="lessThan">
      <formula>0</formula>
    </cfRule>
    <cfRule type="cellIs" dxfId="375" priority="44" operator="lessThan">
      <formula>0</formula>
    </cfRule>
  </conditionalFormatting>
  <conditionalFormatting sqref="D5:K5">
    <cfRule type="cellIs" dxfId="374" priority="41" operator="greaterThan">
      <formula>0</formula>
    </cfRule>
  </conditionalFormatting>
  <conditionalFormatting sqref="T6:T28 U28:V28">
    <cfRule type="cellIs" dxfId="373" priority="40" operator="lessThan">
      <formula>0</formula>
    </cfRule>
  </conditionalFormatting>
  <conditionalFormatting sqref="T7:T27">
    <cfRule type="cellIs" dxfId="372" priority="37" operator="lessThan">
      <formula>0</formula>
    </cfRule>
    <cfRule type="cellIs" dxfId="371" priority="38" operator="lessThan">
      <formula>0</formula>
    </cfRule>
    <cfRule type="cellIs" dxfId="370" priority="39" operator="lessThan">
      <formula>0</formula>
    </cfRule>
  </conditionalFormatting>
  <conditionalFormatting sqref="T7:T28 U28:V28">
    <cfRule type="cellIs" dxfId="369" priority="34" operator="lessThan">
      <formula>0</formula>
    </cfRule>
    <cfRule type="cellIs" dxfId="368" priority="35" operator="lessThan">
      <formula>0</formula>
    </cfRule>
    <cfRule type="cellIs" dxfId="367" priority="36" operator="lessThan">
      <formula>0</formula>
    </cfRule>
  </conditionalFormatting>
  <conditionalFormatting sqref="D5:K5">
    <cfRule type="cellIs" dxfId="366" priority="33" operator="greaterThan">
      <formula>0</formula>
    </cfRule>
  </conditionalFormatting>
  <conditionalFormatting sqref="L4 L6 L28:L29">
    <cfRule type="cellIs" dxfId="365" priority="32" operator="equal">
      <formula>$L$4</formula>
    </cfRule>
  </conditionalFormatting>
  <conditionalFormatting sqref="D7:S7">
    <cfRule type="cellIs" dxfId="364" priority="31" operator="greaterThan">
      <formula>0</formula>
    </cfRule>
  </conditionalFormatting>
  <conditionalFormatting sqref="D9:S9">
    <cfRule type="cellIs" dxfId="363" priority="30" operator="greaterThan">
      <formula>0</formula>
    </cfRule>
  </conditionalFormatting>
  <conditionalFormatting sqref="D11:S11">
    <cfRule type="cellIs" dxfId="362" priority="29" operator="greaterThan">
      <formula>0</formula>
    </cfRule>
  </conditionalFormatting>
  <conditionalFormatting sqref="D13:S13">
    <cfRule type="cellIs" dxfId="361" priority="28" operator="greaterThan">
      <formula>0</formula>
    </cfRule>
  </conditionalFormatting>
  <conditionalFormatting sqref="D15:S15">
    <cfRule type="cellIs" dxfId="360" priority="27" operator="greaterThan">
      <formula>0</formula>
    </cfRule>
  </conditionalFormatting>
  <conditionalFormatting sqref="D17:S17">
    <cfRule type="cellIs" dxfId="359" priority="26" operator="greaterThan">
      <formula>0</formula>
    </cfRule>
  </conditionalFormatting>
  <conditionalFormatting sqref="D19:S19">
    <cfRule type="cellIs" dxfId="358" priority="25" operator="greaterThan">
      <formula>0</formula>
    </cfRule>
  </conditionalFormatting>
  <conditionalFormatting sqref="D21:S21">
    <cfRule type="cellIs" dxfId="357" priority="24" operator="greaterThan">
      <formula>0</formula>
    </cfRule>
  </conditionalFormatting>
  <conditionalFormatting sqref="D23:S23">
    <cfRule type="cellIs" dxfId="356" priority="23" operator="greaterThan">
      <formula>0</formula>
    </cfRule>
  </conditionalFormatting>
  <conditionalFormatting sqref="D25:S25">
    <cfRule type="cellIs" dxfId="355" priority="22" operator="greaterThan">
      <formula>0</formula>
    </cfRule>
  </conditionalFormatting>
  <conditionalFormatting sqref="D27:S27">
    <cfRule type="cellIs" dxfId="354" priority="21" operator="greaterThan">
      <formula>0</formula>
    </cfRule>
  </conditionalFormatting>
  <conditionalFormatting sqref="U6">
    <cfRule type="cellIs" dxfId="353" priority="4" operator="lessThan">
      <formula>0</formula>
    </cfRule>
  </conditionalFormatting>
  <conditionalFormatting sqref="U6">
    <cfRule type="cellIs" dxfId="352" priority="3" operator="lessThan">
      <formula>0</formula>
    </cfRule>
  </conditionalFormatting>
  <conditionalFormatting sqref="V6">
    <cfRule type="cellIs" dxfId="351" priority="2" operator="lessThan">
      <formula>0</formula>
    </cfRule>
  </conditionalFormatting>
  <conditionalFormatting sqref="V6">
    <cfRule type="cellIs" dxfId="35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9" activePane="bottomLeft" state="frozen"/>
      <selection pane="bottomLeft" activeCell="N31" sqref="N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1" max="21" width="8.28515625" bestFit="1" customWidth="1"/>
  </cols>
  <sheetData>
    <row r="1" spans="1:22" x14ac:dyDescent="0.25">
      <c r="A1" s="249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</row>
    <row r="2" spans="1:22" ht="15.75" thickBot="1" x14ac:dyDescent="0.3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</row>
    <row r="3" spans="1:22" ht="18.75" x14ac:dyDescent="0.25">
      <c r="A3" s="250" t="s">
        <v>123</v>
      </c>
      <c r="B3" s="251"/>
      <c r="C3" s="252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</row>
    <row r="4" spans="1:22" x14ac:dyDescent="0.25">
      <c r="A4" s="254" t="s">
        <v>1</v>
      </c>
      <c r="B4" s="254"/>
      <c r="C4" s="1"/>
      <c r="D4" s="2">
        <f>'25'!D29</f>
        <v>387568</v>
      </c>
      <c r="E4" s="2">
        <f>'25'!E29</f>
        <v>8545</v>
      </c>
      <c r="F4" s="2">
        <f>'25'!F29</f>
        <v>17780</v>
      </c>
      <c r="G4" s="2">
        <f>'25'!G29</f>
        <v>830</v>
      </c>
      <c r="H4" s="2">
        <f>'25'!H29</f>
        <v>36690</v>
      </c>
      <c r="I4" s="2">
        <f>'25'!I29</f>
        <v>1063</v>
      </c>
      <c r="J4" s="2">
        <f>'25'!J29</f>
        <v>603</v>
      </c>
      <c r="K4" s="2">
        <f>'25'!K29</f>
        <v>131</v>
      </c>
      <c r="L4" s="2">
        <f>'25'!L29</f>
        <v>0</v>
      </c>
      <c r="M4" s="3"/>
      <c r="N4" s="261"/>
      <c r="O4" s="262"/>
      <c r="P4" s="262"/>
      <c r="Q4" s="262"/>
      <c r="R4" s="262"/>
      <c r="S4" s="262"/>
      <c r="T4" s="262"/>
      <c r="U4" s="262"/>
      <c r="V4" s="263"/>
    </row>
    <row r="5" spans="1:22" x14ac:dyDescent="0.25">
      <c r="A5" s="254" t="s">
        <v>2</v>
      </c>
      <c r="B5" s="254"/>
      <c r="C5" s="1"/>
      <c r="D5" s="1">
        <v>311688</v>
      </c>
      <c r="E5" s="4"/>
      <c r="F5" s="4"/>
      <c r="G5" s="4"/>
      <c r="H5" s="4"/>
      <c r="I5" s="1"/>
      <c r="J5" s="1"/>
      <c r="K5" s="1">
        <v>500</v>
      </c>
      <c r="L5" s="1"/>
      <c r="M5" s="5"/>
      <c r="N5" s="261"/>
      <c r="O5" s="262"/>
      <c r="P5" s="262"/>
      <c r="Q5" s="262"/>
      <c r="R5" s="262"/>
      <c r="S5" s="262"/>
      <c r="T5" s="262"/>
      <c r="U5" s="262"/>
      <c r="V5" s="263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220" t="s">
        <v>22</v>
      </c>
      <c r="U6" s="220" t="s">
        <v>124</v>
      </c>
      <c r="V6" s="18" t="s">
        <v>125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25238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25238</v>
      </c>
      <c r="N7" s="24">
        <f>D7+E7*20+F7*10+G7*9+H7*9+I7*191+J7*191+K7*182+L7*100</f>
        <v>25238</v>
      </c>
      <c r="O7" s="25">
        <f>M7*2.75%</f>
        <v>694.04499999999996</v>
      </c>
      <c r="P7" s="26"/>
      <c r="Q7" s="26">
        <v>120</v>
      </c>
      <c r="R7" s="24">
        <f>M7-(M7*2.75%)+I7*191+J7*191+K7*182+L7*100-Q7</f>
        <v>24423.955000000002</v>
      </c>
      <c r="S7" s="25">
        <f>M7*0.95%</f>
        <v>239.761</v>
      </c>
      <c r="T7" s="221">
        <f>S7-Q7</f>
        <v>119.761</v>
      </c>
      <c r="U7" s="223">
        <v>104</v>
      </c>
      <c r="V7" s="233">
        <f t="shared" ref="V7:V15" si="0">R7-U7</f>
        <v>24319.955000000002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10079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1">D8+E8*20+F8*10+G8*9+H8*9</f>
        <v>10079</v>
      </c>
      <c r="N8" s="24">
        <f t="shared" ref="N8:N27" si="2">D8+E8*20+F8*10+G8*9+H8*9+I8*191+J8*191+K8*182+L8*100</f>
        <v>10079</v>
      </c>
      <c r="O8" s="25">
        <f t="shared" ref="O8:O27" si="3">M8*2.75%</f>
        <v>277.17250000000001</v>
      </c>
      <c r="P8" s="26"/>
      <c r="Q8" s="26">
        <v>97</v>
      </c>
      <c r="R8" s="24">
        <f t="shared" ref="R8:R27" si="4">M8-(M8*2.75%)+I8*191+J8*191+K8*182+L8*100-Q8</f>
        <v>9704.8274999999994</v>
      </c>
      <c r="S8" s="25">
        <f t="shared" ref="S8:S27" si="5">M8*0.95%</f>
        <v>95.750500000000002</v>
      </c>
      <c r="T8" s="221">
        <f t="shared" ref="T8:T27" si="6">S8-Q8</f>
        <v>-1.2494999999999976</v>
      </c>
      <c r="U8" s="223">
        <v>14</v>
      </c>
      <c r="V8" s="233">
        <f t="shared" si="0"/>
        <v>9690.8274999999994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39968</v>
      </c>
      <c r="E9" s="30"/>
      <c r="F9" s="30"/>
      <c r="G9" s="30"/>
      <c r="H9" s="30"/>
      <c r="I9" s="20">
        <v>11</v>
      </c>
      <c r="J9" s="20"/>
      <c r="K9" s="20"/>
      <c r="L9" s="20"/>
      <c r="M9" s="20">
        <f t="shared" si="1"/>
        <v>39968</v>
      </c>
      <c r="N9" s="24">
        <f t="shared" si="2"/>
        <v>42069</v>
      </c>
      <c r="O9" s="25">
        <f t="shared" si="3"/>
        <v>1099.1200000000001</v>
      </c>
      <c r="P9" s="26">
        <v>2500</v>
      </c>
      <c r="Q9" s="26">
        <v>214</v>
      </c>
      <c r="R9" s="24">
        <f t="shared" si="4"/>
        <v>40755.879999999997</v>
      </c>
      <c r="S9" s="25">
        <f t="shared" si="5"/>
        <v>379.69599999999997</v>
      </c>
      <c r="T9" s="221">
        <f t="shared" si="6"/>
        <v>165.69599999999997</v>
      </c>
      <c r="U9" s="223">
        <v>256</v>
      </c>
      <c r="V9" s="233">
        <f t="shared" si="0"/>
        <v>40499.879999999997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8674</v>
      </c>
      <c r="E10" s="30"/>
      <c r="F10" s="30"/>
      <c r="G10" s="30"/>
      <c r="H10" s="30"/>
      <c r="I10" s="20"/>
      <c r="J10" s="20"/>
      <c r="K10" s="20"/>
      <c r="L10" s="20"/>
      <c r="M10" s="20">
        <f t="shared" si="1"/>
        <v>8674</v>
      </c>
      <c r="N10" s="24">
        <f t="shared" si="2"/>
        <v>8674</v>
      </c>
      <c r="O10" s="25">
        <f t="shared" si="3"/>
        <v>238.535</v>
      </c>
      <c r="P10" s="26"/>
      <c r="Q10" s="26">
        <v>27</v>
      </c>
      <c r="R10" s="24">
        <f t="shared" si="4"/>
        <v>8408.4650000000001</v>
      </c>
      <c r="S10" s="25">
        <f t="shared" si="5"/>
        <v>82.402999999999992</v>
      </c>
      <c r="T10" s="221">
        <f t="shared" si="6"/>
        <v>55.402999999999992</v>
      </c>
      <c r="U10" s="223">
        <v>28</v>
      </c>
      <c r="V10" s="233">
        <f t="shared" si="0"/>
        <v>8380.4650000000001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15963</v>
      </c>
      <c r="E11" s="30"/>
      <c r="F11" s="30"/>
      <c r="G11" s="32"/>
      <c r="H11" s="30"/>
      <c r="I11" s="20"/>
      <c r="J11" s="20"/>
      <c r="K11" s="20"/>
      <c r="L11" s="20"/>
      <c r="M11" s="20">
        <f t="shared" si="1"/>
        <v>15963</v>
      </c>
      <c r="N11" s="24">
        <f t="shared" si="2"/>
        <v>15963</v>
      </c>
      <c r="O11" s="25">
        <f t="shared" si="3"/>
        <v>438.98250000000002</v>
      </c>
      <c r="P11" s="26"/>
      <c r="Q11" s="26">
        <v>33</v>
      </c>
      <c r="R11" s="24">
        <f t="shared" si="4"/>
        <v>15491.0175</v>
      </c>
      <c r="S11" s="25">
        <f t="shared" si="5"/>
        <v>151.64849999999998</v>
      </c>
      <c r="T11" s="221">
        <f t="shared" si="6"/>
        <v>118.64849999999998</v>
      </c>
      <c r="U11" s="223">
        <v>42</v>
      </c>
      <c r="V11" s="233">
        <f t="shared" si="0"/>
        <v>15449.0175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17070</v>
      </c>
      <c r="E12" s="30"/>
      <c r="F12" s="30"/>
      <c r="G12" s="30"/>
      <c r="H12" s="30"/>
      <c r="I12" s="20"/>
      <c r="J12" s="20"/>
      <c r="K12" s="20"/>
      <c r="L12" s="20"/>
      <c r="M12" s="20">
        <f t="shared" si="1"/>
        <v>17070</v>
      </c>
      <c r="N12" s="24">
        <f t="shared" si="2"/>
        <v>17070</v>
      </c>
      <c r="O12" s="25">
        <f t="shared" si="3"/>
        <v>469.42500000000001</v>
      </c>
      <c r="P12" s="26"/>
      <c r="Q12" s="26">
        <v>58</v>
      </c>
      <c r="R12" s="24">
        <f t="shared" si="4"/>
        <v>16542.575000000001</v>
      </c>
      <c r="S12" s="25">
        <f t="shared" si="5"/>
        <v>162.16499999999999</v>
      </c>
      <c r="T12" s="221">
        <f t="shared" si="6"/>
        <v>104.16499999999999</v>
      </c>
      <c r="U12" s="223">
        <v>112</v>
      </c>
      <c r="V12" s="233">
        <f t="shared" si="0"/>
        <v>16430.575000000001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10061</v>
      </c>
      <c r="E13" s="30"/>
      <c r="F13" s="30"/>
      <c r="G13" s="30"/>
      <c r="H13" s="30"/>
      <c r="I13" s="20"/>
      <c r="J13" s="20"/>
      <c r="K13" s="20"/>
      <c r="L13" s="20"/>
      <c r="M13" s="20">
        <f t="shared" si="1"/>
        <v>10061</v>
      </c>
      <c r="N13" s="24">
        <f t="shared" si="2"/>
        <v>10061</v>
      </c>
      <c r="O13" s="25">
        <f t="shared" si="3"/>
        <v>276.67750000000001</v>
      </c>
      <c r="P13" s="26"/>
      <c r="Q13" s="26">
        <v>53</v>
      </c>
      <c r="R13" s="24">
        <f t="shared" si="4"/>
        <v>9731.3225000000002</v>
      </c>
      <c r="S13" s="25">
        <f t="shared" si="5"/>
        <v>95.579499999999996</v>
      </c>
      <c r="T13" s="221">
        <f t="shared" si="6"/>
        <v>42.579499999999996</v>
      </c>
      <c r="U13" s="223">
        <v>56</v>
      </c>
      <c r="V13" s="233">
        <f t="shared" si="0"/>
        <v>9675.3225000000002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49840</v>
      </c>
      <c r="E14" s="30"/>
      <c r="F14" s="30"/>
      <c r="G14" s="30"/>
      <c r="H14" s="30"/>
      <c r="I14" s="20">
        <v>4</v>
      </c>
      <c r="J14" s="20"/>
      <c r="K14" s="20"/>
      <c r="L14" s="20"/>
      <c r="M14" s="20">
        <f t="shared" si="1"/>
        <v>49840</v>
      </c>
      <c r="N14" s="24">
        <f t="shared" si="2"/>
        <v>50604</v>
      </c>
      <c r="O14" s="25">
        <f t="shared" si="3"/>
        <v>1370.6</v>
      </c>
      <c r="P14" s="26"/>
      <c r="Q14" s="26">
        <v>205</v>
      </c>
      <c r="R14" s="24">
        <f t="shared" si="4"/>
        <v>49028.4</v>
      </c>
      <c r="S14" s="25">
        <f t="shared" si="5"/>
        <v>473.47999999999996</v>
      </c>
      <c r="T14" s="221">
        <f t="shared" si="6"/>
        <v>268.47999999999996</v>
      </c>
      <c r="U14" s="223">
        <v>259</v>
      </c>
      <c r="V14" s="233">
        <f t="shared" si="0"/>
        <v>48769.4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46872</v>
      </c>
      <c r="E15" s="30"/>
      <c r="F15" s="30"/>
      <c r="G15" s="30"/>
      <c r="H15" s="30"/>
      <c r="I15" s="20">
        <v>8</v>
      </c>
      <c r="J15" s="20"/>
      <c r="K15" s="20"/>
      <c r="L15" s="20"/>
      <c r="M15" s="20">
        <f t="shared" si="1"/>
        <v>46872</v>
      </c>
      <c r="N15" s="24">
        <f t="shared" si="2"/>
        <v>48400</v>
      </c>
      <c r="O15" s="25">
        <f t="shared" si="3"/>
        <v>1288.98</v>
      </c>
      <c r="P15" s="26"/>
      <c r="Q15" s="26">
        <v>180</v>
      </c>
      <c r="R15" s="24">
        <f t="shared" si="4"/>
        <v>46931.02</v>
      </c>
      <c r="S15" s="25">
        <f t="shared" si="5"/>
        <v>445.28399999999999</v>
      </c>
      <c r="T15" s="221">
        <f t="shared" si="6"/>
        <v>265.28399999999999</v>
      </c>
      <c r="U15" s="223">
        <v>154</v>
      </c>
      <c r="V15" s="233">
        <f t="shared" si="0"/>
        <v>46777.02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30336</v>
      </c>
      <c r="E16" s="30"/>
      <c r="F16" s="30"/>
      <c r="G16" s="30"/>
      <c r="H16" s="30"/>
      <c r="I16" s="20"/>
      <c r="J16" s="20"/>
      <c r="K16" s="20"/>
      <c r="L16" s="20"/>
      <c r="M16" s="20">
        <f t="shared" si="1"/>
        <v>30336</v>
      </c>
      <c r="N16" s="24">
        <f t="shared" si="2"/>
        <v>30336</v>
      </c>
      <c r="O16" s="25">
        <f t="shared" si="3"/>
        <v>834.24</v>
      </c>
      <c r="P16" s="26">
        <v>-2000</v>
      </c>
      <c r="Q16" s="26">
        <v>161</v>
      </c>
      <c r="R16" s="24">
        <f t="shared" si="4"/>
        <v>29340.76</v>
      </c>
      <c r="S16" s="25">
        <f t="shared" si="5"/>
        <v>288.19200000000001</v>
      </c>
      <c r="T16" s="221">
        <f t="shared" si="6"/>
        <v>127.19200000000001</v>
      </c>
      <c r="U16" s="223">
        <v>128</v>
      </c>
      <c r="V16" s="233">
        <f>R16-U16</f>
        <v>29212.76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16528</v>
      </c>
      <c r="E17" s="30"/>
      <c r="F17" s="1"/>
      <c r="G17" s="30"/>
      <c r="H17" s="30"/>
      <c r="I17" s="20"/>
      <c r="J17" s="20"/>
      <c r="K17" s="20"/>
      <c r="L17" s="20"/>
      <c r="M17" s="20">
        <f t="shared" si="1"/>
        <v>16528</v>
      </c>
      <c r="N17" s="24">
        <f t="shared" si="2"/>
        <v>16528</v>
      </c>
      <c r="O17" s="25">
        <f t="shared" si="3"/>
        <v>454.52</v>
      </c>
      <c r="P17" s="26">
        <v>1000</v>
      </c>
      <c r="Q17" s="26">
        <v>128</v>
      </c>
      <c r="R17" s="24">
        <f t="shared" si="4"/>
        <v>15945.48</v>
      </c>
      <c r="S17" s="25">
        <f t="shared" si="5"/>
        <v>157.01599999999999</v>
      </c>
      <c r="T17" s="221">
        <f t="shared" si="6"/>
        <v>29.015999999999991</v>
      </c>
      <c r="U17" s="223">
        <v>70</v>
      </c>
      <c r="V17" s="233">
        <f t="shared" ref="V17:V27" si="7">R17-U17</f>
        <v>15875.48</v>
      </c>
    </row>
    <row r="18" spans="1:22" ht="15.75" x14ac:dyDescent="0.25">
      <c r="A18" s="28">
        <v>12</v>
      </c>
      <c r="B18" s="20">
        <v>1908446145</v>
      </c>
      <c r="C18" s="31" t="s">
        <v>52</v>
      </c>
      <c r="D18" s="29">
        <v>33301</v>
      </c>
      <c r="E18" s="30"/>
      <c r="F18" s="30"/>
      <c r="G18" s="30"/>
      <c r="H18" s="30"/>
      <c r="I18" s="20"/>
      <c r="J18" s="20"/>
      <c r="K18" s="20"/>
      <c r="L18" s="20"/>
      <c r="M18" s="20">
        <f t="shared" si="1"/>
        <v>33301</v>
      </c>
      <c r="N18" s="24">
        <f t="shared" si="2"/>
        <v>33301</v>
      </c>
      <c r="O18" s="25">
        <f t="shared" si="3"/>
        <v>915.77750000000003</v>
      </c>
      <c r="P18" s="26"/>
      <c r="Q18" s="26">
        <v>200</v>
      </c>
      <c r="R18" s="24">
        <f t="shared" si="4"/>
        <v>32185.2225</v>
      </c>
      <c r="S18" s="25">
        <f t="shared" si="5"/>
        <v>316.35949999999997</v>
      </c>
      <c r="T18" s="221">
        <f t="shared" si="6"/>
        <v>116.35949999999997</v>
      </c>
      <c r="U18" s="223">
        <v>140</v>
      </c>
      <c r="V18" s="233">
        <f t="shared" si="7"/>
        <v>32045.2225</v>
      </c>
    </row>
    <row r="19" spans="1:22" ht="15.75" x14ac:dyDescent="0.25">
      <c r="A19" s="28">
        <v>13</v>
      </c>
      <c r="B19" s="20">
        <v>1908446146</v>
      </c>
      <c r="C19" s="20" t="s">
        <v>126</v>
      </c>
      <c r="D19" s="29">
        <v>15743</v>
      </c>
      <c r="E19" s="30"/>
      <c r="F19" s="30"/>
      <c r="G19" s="30"/>
      <c r="H19" s="30">
        <v>110</v>
      </c>
      <c r="I19" s="20">
        <v>8</v>
      </c>
      <c r="J19" s="20"/>
      <c r="K19" s="20"/>
      <c r="L19" s="20"/>
      <c r="M19" s="20">
        <f t="shared" si="1"/>
        <v>16733</v>
      </c>
      <c r="N19" s="24">
        <f t="shared" si="2"/>
        <v>18261</v>
      </c>
      <c r="O19" s="25">
        <f t="shared" si="3"/>
        <v>460.15750000000003</v>
      </c>
      <c r="P19" s="26">
        <v>-2379</v>
      </c>
      <c r="Q19" s="26">
        <v>120</v>
      </c>
      <c r="R19" s="24">
        <f t="shared" si="4"/>
        <v>17680.842499999999</v>
      </c>
      <c r="S19" s="25">
        <f t="shared" si="5"/>
        <v>158.96349999999998</v>
      </c>
      <c r="T19" s="221">
        <f t="shared" si="6"/>
        <v>38.963499999999982</v>
      </c>
      <c r="U19" s="223">
        <v>56</v>
      </c>
      <c r="V19" s="233">
        <f t="shared" si="7"/>
        <v>17624.842499999999</v>
      </c>
    </row>
    <row r="20" spans="1:22" ht="15.75" x14ac:dyDescent="0.25">
      <c r="A20" s="28">
        <v>14</v>
      </c>
      <c r="B20" s="20">
        <v>1908446147</v>
      </c>
      <c r="C20" s="20" t="s">
        <v>51</v>
      </c>
      <c r="D20" s="29">
        <v>12340</v>
      </c>
      <c r="E20" s="30"/>
      <c r="F20" s="30"/>
      <c r="G20" s="30"/>
      <c r="H20" s="30"/>
      <c r="I20" s="20"/>
      <c r="J20" s="20"/>
      <c r="K20" s="20"/>
      <c r="L20" s="20"/>
      <c r="M20" s="20">
        <f t="shared" si="1"/>
        <v>12340</v>
      </c>
      <c r="N20" s="24">
        <f t="shared" si="2"/>
        <v>12340</v>
      </c>
      <c r="O20" s="25">
        <f t="shared" si="3"/>
        <v>339.35</v>
      </c>
      <c r="P20" s="26"/>
      <c r="Q20" s="26">
        <v>121</v>
      </c>
      <c r="R20" s="24">
        <f t="shared" si="4"/>
        <v>11879.65</v>
      </c>
      <c r="S20" s="25">
        <f t="shared" si="5"/>
        <v>117.23</v>
      </c>
      <c r="T20" s="221">
        <f t="shared" si="6"/>
        <v>-3.769999999999996</v>
      </c>
      <c r="U20" s="223">
        <v>56</v>
      </c>
      <c r="V20" s="233">
        <f t="shared" si="7"/>
        <v>11823.65</v>
      </c>
    </row>
    <row r="21" spans="1:22" ht="15.75" x14ac:dyDescent="0.25">
      <c r="A21" s="28">
        <v>15</v>
      </c>
      <c r="B21" s="20">
        <v>1908446148</v>
      </c>
      <c r="C21" s="20" t="s">
        <v>127</v>
      </c>
      <c r="D21" s="29">
        <v>10583</v>
      </c>
      <c r="E21" s="30"/>
      <c r="F21" s="30"/>
      <c r="G21" s="30"/>
      <c r="H21" s="30"/>
      <c r="I21" s="20"/>
      <c r="J21" s="20"/>
      <c r="K21" s="20"/>
      <c r="L21" s="20"/>
      <c r="M21" s="20">
        <f t="shared" si="1"/>
        <v>10583</v>
      </c>
      <c r="N21" s="24">
        <f t="shared" si="2"/>
        <v>10583</v>
      </c>
      <c r="O21" s="25">
        <f t="shared" si="3"/>
        <v>291.03250000000003</v>
      </c>
      <c r="P21" s="26"/>
      <c r="Q21" s="26">
        <v>20</v>
      </c>
      <c r="R21" s="24">
        <f t="shared" si="4"/>
        <v>10271.967500000001</v>
      </c>
      <c r="S21" s="25">
        <f t="shared" si="5"/>
        <v>100.5385</v>
      </c>
      <c r="T21" s="221">
        <f t="shared" si="6"/>
        <v>80.538499999999999</v>
      </c>
      <c r="U21" s="223">
        <v>42</v>
      </c>
      <c r="V21" s="233">
        <f t="shared" si="7"/>
        <v>10229.967500000001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26063</v>
      </c>
      <c r="E22" s="30"/>
      <c r="F22" s="30"/>
      <c r="G22" s="20"/>
      <c r="H22" s="30"/>
      <c r="I22" s="20"/>
      <c r="J22" s="20"/>
      <c r="K22" s="20"/>
      <c r="L22" s="20"/>
      <c r="M22" s="20">
        <f t="shared" si="1"/>
        <v>26063</v>
      </c>
      <c r="N22" s="24">
        <f t="shared" si="2"/>
        <v>26063</v>
      </c>
      <c r="O22" s="25">
        <f t="shared" si="3"/>
        <v>716.73249999999996</v>
      </c>
      <c r="P22" s="26">
        <v>-518</v>
      </c>
      <c r="Q22" s="26">
        <v>160</v>
      </c>
      <c r="R22" s="24">
        <f t="shared" si="4"/>
        <v>25186.267500000002</v>
      </c>
      <c r="S22" s="25">
        <f t="shared" si="5"/>
        <v>247.5985</v>
      </c>
      <c r="T22" s="221">
        <f t="shared" si="6"/>
        <v>87.598500000000001</v>
      </c>
      <c r="U22" s="223">
        <v>144</v>
      </c>
      <c r="V22" s="233">
        <f t="shared" si="7"/>
        <v>25042.267500000002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12149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12149</v>
      </c>
      <c r="N23" s="24">
        <f t="shared" si="2"/>
        <v>12149</v>
      </c>
      <c r="O23" s="25">
        <f t="shared" si="3"/>
        <v>334.09750000000003</v>
      </c>
      <c r="P23" s="26">
        <v>21700</v>
      </c>
      <c r="Q23" s="26">
        <v>120</v>
      </c>
      <c r="R23" s="24">
        <f t="shared" si="4"/>
        <v>11694.9025</v>
      </c>
      <c r="S23" s="25">
        <f t="shared" si="5"/>
        <v>115.41549999999999</v>
      </c>
      <c r="T23" s="221">
        <f t="shared" si="6"/>
        <v>-4.5845000000000056</v>
      </c>
      <c r="U23" s="223">
        <v>42</v>
      </c>
      <c r="V23" s="233">
        <f t="shared" si="7"/>
        <v>11652.9025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29401</v>
      </c>
      <c r="E24" s="30"/>
      <c r="F24" s="30"/>
      <c r="G24" s="30"/>
      <c r="H24" s="30"/>
      <c r="I24" s="20"/>
      <c r="J24" s="20"/>
      <c r="K24" s="20"/>
      <c r="L24" s="20"/>
      <c r="M24" s="20">
        <f t="shared" si="1"/>
        <v>29401</v>
      </c>
      <c r="N24" s="24">
        <f t="shared" si="2"/>
        <v>29401</v>
      </c>
      <c r="O24" s="25">
        <f t="shared" si="3"/>
        <v>808.52750000000003</v>
      </c>
      <c r="P24" s="26"/>
      <c r="Q24" s="26">
        <v>122</v>
      </c>
      <c r="R24" s="24">
        <f t="shared" si="4"/>
        <v>28470.4725</v>
      </c>
      <c r="S24" s="25">
        <f t="shared" si="5"/>
        <v>279.30950000000001</v>
      </c>
      <c r="T24" s="221">
        <f t="shared" si="6"/>
        <v>157.30950000000001</v>
      </c>
      <c r="U24" s="223">
        <v>120</v>
      </c>
      <c r="V24" s="233">
        <f t="shared" si="7"/>
        <v>28350.4725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14288</v>
      </c>
      <c r="E25" s="30"/>
      <c r="F25" s="30"/>
      <c r="G25" s="30"/>
      <c r="H25" s="30"/>
      <c r="I25" s="20"/>
      <c r="J25" s="20"/>
      <c r="K25" s="20"/>
      <c r="L25" s="20"/>
      <c r="M25" s="20">
        <f t="shared" si="1"/>
        <v>14288</v>
      </c>
      <c r="N25" s="24">
        <f t="shared" si="2"/>
        <v>14288</v>
      </c>
      <c r="O25" s="25">
        <f t="shared" si="3"/>
        <v>392.92</v>
      </c>
      <c r="P25" s="26">
        <v>6200</v>
      </c>
      <c r="Q25" s="26">
        <v>133</v>
      </c>
      <c r="R25" s="24">
        <f t="shared" si="4"/>
        <v>13762.08</v>
      </c>
      <c r="S25" s="25">
        <f t="shared" si="5"/>
        <v>135.73599999999999</v>
      </c>
      <c r="T25" s="221">
        <f t="shared" si="6"/>
        <v>2.73599999999999</v>
      </c>
      <c r="U25" s="223">
        <v>63</v>
      </c>
      <c r="V25" s="233">
        <f t="shared" si="7"/>
        <v>13699.08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20370</v>
      </c>
      <c r="E26" s="29"/>
      <c r="F26" s="30"/>
      <c r="G26" s="30"/>
      <c r="H26" s="30"/>
      <c r="I26" s="20"/>
      <c r="J26" s="20"/>
      <c r="K26" s="20"/>
      <c r="L26" s="20"/>
      <c r="M26" s="20">
        <f t="shared" si="1"/>
        <v>20370</v>
      </c>
      <c r="N26" s="24">
        <f t="shared" si="2"/>
        <v>20370</v>
      </c>
      <c r="O26" s="25">
        <f t="shared" si="3"/>
        <v>560.17499999999995</v>
      </c>
      <c r="P26" s="26"/>
      <c r="Q26" s="26">
        <v>100</v>
      </c>
      <c r="R26" s="24">
        <f t="shared" si="4"/>
        <v>19709.825000000001</v>
      </c>
      <c r="S26" s="25">
        <f t="shared" si="5"/>
        <v>193.51499999999999</v>
      </c>
      <c r="T26" s="221">
        <f t="shared" si="6"/>
        <v>93.514999999999986</v>
      </c>
      <c r="U26" s="223">
        <v>119</v>
      </c>
      <c r="V26" s="233">
        <f t="shared" si="7"/>
        <v>19590.825000000001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24243</v>
      </c>
      <c r="E27" s="38"/>
      <c r="F27" s="39"/>
      <c r="G27" s="39"/>
      <c r="H27" s="39"/>
      <c r="I27" s="31"/>
      <c r="J27" s="31"/>
      <c r="K27" s="31"/>
      <c r="L27" s="31"/>
      <c r="M27" s="31">
        <f t="shared" si="1"/>
        <v>24243</v>
      </c>
      <c r="N27" s="40">
        <f t="shared" si="2"/>
        <v>24243</v>
      </c>
      <c r="O27" s="42">
        <f t="shared" si="3"/>
        <v>666.6825</v>
      </c>
      <c r="P27" s="41">
        <v>5000</v>
      </c>
      <c r="Q27" s="41">
        <v>100</v>
      </c>
      <c r="R27" s="40">
        <f t="shared" si="4"/>
        <v>23476.317500000001</v>
      </c>
      <c r="S27" s="42">
        <f t="shared" si="5"/>
        <v>230.30849999999998</v>
      </c>
      <c r="T27" s="222">
        <f t="shared" si="6"/>
        <v>130.30849999999998</v>
      </c>
      <c r="U27" s="236">
        <v>101</v>
      </c>
      <c r="V27" s="237">
        <f t="shared" si="7"/>
        <v>23375.317500000001</v>
      </c>
    </row>
    <row r="28" spans="1:22" ht="16.5" thickBot="1" x14ac:dyDescent="0.3">
      <c r="A28" s="240" t="s">
        <v>44</v>
      </c>
      <c r="B28" s="241"/>
      <c r="C28" s="242"/>
      <c r="D28" s="44">
        <f t="shared" ref="D28:E28" si="8">SUM(D7:D27)</f>
        <v>469110</v>
      </c>
      <c r="E28" s="45">
        <f t="shared" si="8"/>
        <v>0</v>
      </c>
      <c r="F28" s="45">
        <f t="shared" ref="F28:V28" si="9">SUM(F7:F27)</f>
        <v>0</v>
      </c>
      <c r="G28" s="45">
        <f t="shared" si="9"/>
        <v>0</v>
      </c>
      <c r="H28" s="45">
        <f t="shared" si="9"/>
        <v>110</v>
      </c>
      <c r="I28" s="45">
        <f t="shared" si="9"/>
        <v>31</v>
      </c>
      <c r="J28" s="45">
        <f t="shared" si="9"/>
        <v>0</v>
      </c>
      <c r="K28" s="45">
        <f t="shared" si="9"/>
        <v>0</v>
      </c>
      <c r="L28" s="45">
        <f t="shared" si="9"/>
        <v>0</v>
      </c>
      <c r="M28" s="231">
        <f t="shared" si="9"/>
        <v>470100</v>
      </c>
      <c r="N28" s="231">
        <f t="shared" si="9"/>
        <v>476021</v>
      </c>
      <c r="O28" s="232">
        <f t="shared" si="9"/>
        <v>12927.75</v>
      </c>
      <c r="P28" s="231">
        <f t="shared" si="9"/>
        <v>31503</v>
      </c>
      <c r="Q28" s="231">
        <f t="shared" si="9"/>
        <v>2472</v>
      </c>
      <c r="R28" s="231">
        <f t="shared" si="9"/>
        <v>460621.25000000006</v>
      </c>
      <c r="S28" s="231">
        <f t="shared" si="9"/>
        <v>4465.95</v>
      </c>
      <c r="T28" s="231">
        <f t="shared" si="9"/>
        <v>1993.9500000000003</v>
      </c>
      <c r="U28" s="231">
        <f t="shared" si="9"/>
        <v>2106</v>
      </c>
      <c r="V28" s="231">
        <f t="shared" si="9"/>
        <v>458515.25000000006</v>
      </c>
    </row>
    <row r="29" spans="1:22" ht="15.75" thickBot="1" x14ac:dyDescent="0.3">
      <c r="A29" s="243" t="s">
        <v>45</v>
      </c>
      <c r="B29" s="244"/>
      <c r="C29" s="245"/>
      <c r="D29" s="48">
        <f>D4+D5-D28</f>
        <v>230146</v>
      </c>
      <c r="E29" s="48">
        <f t="shared" ref="E29:L29" si="10">E4+E5-E28</f>
        <v>8545</v>
      </c>
      <c r="F29" s="48">
        <f t="shared" si="10"/>
        <v>17780</v>
      </c>
      <c r="G29" s="48">
        <f t="shared" si="10"/>
        <v>830</v>
      </c>
      <c r="H29" s="48">
        <f t="shared" si="10"/>
        <v>36580</v>
      </c>
      <c r="I29" s="48">
        <f t="shared" si="10"/>
        <v>1032</v>
      </c>
      <c r="J29" s="48">
        <f t="shared" si="10"/>
        <v>603</v>
      </c>
      <c r="K29" s="48">
        <f t="shared" si="10"/>
        <v>631</v>
      </c>
      <c r="L29" s="48">
        <f t="shared" si="10"/>
        <v>0</v>
      </c>
      <c r="M29" s="264"/>
      <c r="N29" s="264"/>
      <c r="O29" s="264"/>
      <c r="P29" s="264"/>
      <c r="Q29" s="264"/>
      <c r="R29" s="264"/>
      <c r="S29" s="264"/>
      <c r="T29" s="264"/>
      <c r="U29" s="264"/>
      <c r="V29" s="264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349" priority="63" operator="equal">
      <formula>212030016606640</formula>
    </cfRule>
  </conditionalFormatting>
  <conditionalFormatting sqref="D29 E4:E6 E28:K29">
    <cfRule type="cellIs" dxfId="348" priority="61" operator="equal">
      <formula>$E$4</formula>
    </cfRule>
    <cfRule type="cellIs" dxfId="347" priority="62" operator="equal">
      <formula>2120</formula>
    </cfRule>
  </conditionalFormatting>
  <conditionalFormatting sqref="D29:E29 F4:F6 F28:F29">
    <cfRule type="cellIs" dxfId="346" priority="59" operator="equal">
      <formula>$F$4</formula>
    </cfRule>
    <cfRule type="cellIs" dxfId="345" priority="60" operator="equal">
      <formula>300</formula>
    </cfRule>
  </conditionalFormatting>
  <conditionalFormatting sqref="G4:G6 G28:G29">
    <cfRule type="cellIs" dxfId="344" priority="57" operator="equal">
      <formula>$G$4</formula>
    </cfRule>
    <cfRule type="cellIs" dxfId="343" priority="58" operator="equal">
      <formula>1660</formula>
    </cfRule>
  </conditionalFormatting>
  <conditionalFormatting sqref="H4:H6 H28:H29">
    <cfRule type="cellIs" dxfId="342" priority="55" operator="equal">
      <formula>$H$4</formula>
    </cfRule>
    <cfRule type="cellIs" dxfId="341" priority="56" operator="equal">
      <formula>6640</formula>
    </cfRule>
  </conditionalFormatting>
  <conditionalFormatting sqref="T6:T28 U28:V28">
    <cfRule type="cellIs" dxfId="340" priority="54" operator="lessThan">
      <formula>0</formula>
    </cfRule>
  </conditionalFormatting>
  <conditionalFormatting sqref="T7:T27">
    <cfRule type="cellIs" dxfId="339" priority="51" operator="lessThan">
      <formula>0</formula>
    </cfRule>
    <cfRule type="cellIs" dxfId="338" priority="52" operator="lessThan">
      <formula>0</formula>
    </cfRule>
    <cfRule type="cellIs" dxfId="337" priority="53" operator="lessThan">
      <formula>0</formula>
    </cfRule>
  </conditionalFormatting>
  <conditionalFormatting sqref="E4:E6 E28:K28">
    <cfRule type="cellIs" dxfId="336" priority="50" operator="equal">
      <formula>$E$4</formula>
    </cfRule>
  </conditionalFormatting>
  <conditionalFormatting sqref="D28:D29 D6 D4:M4">
    <cfRule type="cellIs" dxfId="335" priority="49" operator="equal">
      <formula>$D$4</formula>
    </cfRule>
  </conditionalFormatting>
  <conditionalFormatting sqref="I4:I6 I28:I29">
    <cfRule type="cellIs" dxfId="334" priority="48" operator="equal">
      <formula>$I$4</formula>
    </cfRule>
  </conditionalFormatting>
  <conditionalFormatting sqref="J4:J6 J28:J29">
    <cfRule type="cellIs" dxfId="333" priority="47" operator="equal">
      <formula>$J$4</formula>
    </cfRule>
  </conditionalFormatting>
  <conditionalFormatting sqref="K4:K6 K28:K29">
    <cfRule type="cellIs" dxfId="332" priority="46" operator="equal">
      <formula>$K$4</formula>
    </cfRule>
  </conditionalFormatting>
  <conditionalFormatting sqref="M4:M6">
    <cfRule type="cellIs" dxfId="331" priority="45" operator="equal">
      <formula>$L$4</formula>
    </cfRule>
  </conditionalFormatting>
  <conditionalFormatting sqref="T7:T28 U28:V28">
    <cfRule type="cellIs" dxfId="330" priority="42" operator="lessThan">
      <formula>0</formula>
    </cfRule>
    <cfRule type="cellIs" dxfId="329" priority="43" operator="lessThan">
      <formula>0</formula>
    </cfRule>
    <cfRule type="cellIs" dxfId="328" priority="44" operator="lessThan">
      <formula>0</formula>
    </cfRule>
  </conditionalFormatting>
  <conditionalFormatting sqref="D5:K5">
    <cfRule type="cellIs" dxfId="327" priority="41" operator="greaterThan">
      <formula>0</formula>
    </cfRule>
  </conditionalFormatting>
  <conditionalFormatting sqref="T6:T28 U28:V28">
    <cfRule type="cellIs" dxfId="326" priority="40" operator="lessThan">
      <formula>0</formula>
    </cfRule>
  </conditionalFormatting>
  <conditionalFormatting sqref="T7:T27">
    <cfRule type="cellIs" dxfId="325" priority="37" operator="lessThan">
      <formula>0</formula>
    </cfRule>
    <cfRule type="cellIs" dxfId="324" priority="38" operator="lessThan">
      <formula>0</formula>
    </cfRule>
    <cfRule type="cellIs" dxfId="323" priority="39" operator="lessThan">
      <formula>0</formula>
    </cfRule>
  </conditionalFormatting>
  <conditionalFormatting sqref="T7:T28 U28:V28">
    <cfRule type="cellIs" dxfId="322" priority="34" operator="lessThan">
      <formula>0</formula>
    </cfRule>
    <cfRule type="cellIs" dxfId="321" priority="35" operator="lessThan">
      <formula>0</formula>
    </cfRule>
    <cfRule type="cellIs" dxfId="320" priority="36" operator="lessThan">
      <formula>0</formula>
    </cfRule>
  </conditionalFormatting>
  <conditionalFormatting sqref="D5:K5">
    <cfRule type="cellIs" dxfId="319" priority="33" operator="greaterThan">
      <formula>0</formula>
    </cfRule>
  </conditionalFormatting>
  <conditionalFormatting sqref="L4 L6 L28:L29">
    <cfRule type="cellIs" dxfId="318" priority="32" operator="equal">
      <formula>$L$4</formula>
    </cfRule>
  </conditionalFormatting>
  <conditionalFormatting sqref="D7:S7">
    <cfRule type="cellIs" dxfId="317" priority="31" operator="greaterThan">
      <formula>0</formula>
    </cfRule>
  </conditionalFormatting>
  <conditionalFormatting sqref="D9:S9">
    <cfRule type="cellIs" dxfId="316" priority="30" operator="greaterThan">
      <formula>0</formula>
    </cfRule>
  </conditionalFormatting>
  <conditionalFormatting sqref="D11:S11">
    <cfRule type="cellIs" dxfId="315" priority="29" operator="greaterThan">
      <formula>0</formula>
    </cfRule>
  </conditionalFormatting>
  <conditionalFormatting sqref="D13:S13">
    <cfRule type="cellIs" dxfId="314" priority="28" operator="greaterThan">
      <formula>0</formula>
    </cfRule>
  </conditionalFormatting>
  <conditionalFormatting sqref="D15:S15">
    <cfRule type="cellIs" dxfId="313" priority="27" operator="greaterThan">
      <formula>0</formula>
    </cfRule>
  </conditionalFormatting>
  <conditionalFormatting sqref="D17:S17">
    <cfRule type="cellIs" dxfId="312" priority="26" operator="greaterThan">
      <formula>0</formula>
    </cfRule>
  </conditionalFormatting>
  <conditionalFormatting sqref="D19:S19">
    <cfRule type="cellIs" dxfId="311" priority="25" operator="greaterThan">
      <formula>0</formula>
    </cfRule>
  </conditionalFormatting>
  <conditionalFormatting sqref="D21:S21">
    <cfRule type="cellIs" dxfId="310" priority="24" operator="greaterThan">
      <formula>0</formula>
    </cfRule>
  </conditionalFormatting>
  <conditionalFormatting sqref="D23:S23">
    <cfRule type="cellIs" dxfId="309" priority="23" operator="greaterThan">
      <formula>0</formula>
    </cfRule>
  </conditionalFormatting>
  <conditionalFormatting sqref="D25:S25">
    <cfRule type="cellIs" dxfId="308" priority="22" operator="greaterThan">
      <formula>0</formula>
    </cfRule>
  </conditionalFormatting>
  <conditionalFormatting sqref="D27:S27">
    <cfRule type="cellIs" dxfId="307" priority="21" operator="greaterThan">
      <formula>0</formula>
    </cfRule>
  </conditionalFormatting>
  <conditionalFormatting sqref="U6">
    <cfRule type="cellIs" dxfId="306" priority="20" operator="lessThan">
      <formula>0</formula>
    </cfRule>
  </conditionalFormatting>
  <conditionalFormatting sqref="U6">
    <cfRule type="cellIs" dxfId="305" priority="19" operator="lessThan">
      <formula>0</formula>
    </cfRule>
  </conditionalFormatting>
  <conditionalFormatting sqref="V6">
    <cfRule type="cellIs" dxfId="304" priority="18" operator="lessThan">
      <formula>0</formula>
    </cfRule>
  </conditionalFormatting>
  <conditionalFormatting sqref="V6">
    <cfRule type="cellIs" dxfId="303" priority="17" operator="less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E1" workbookViewId="0">
      <pane ySplit="6" topLeftCell="A7" activePane="bottomLeft" state="frozen"/>
      <selection pane="bottomLeft" activeCell="J14" sqref="J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0.710937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2" max="22" width="12" bestFit="1" customWidth="1"/>
  </cols>
  <sheetData>
    <row r="1" spans="1:23" x14ac:dyDescent="0.25">
      <c r="A1" s="249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</row>
    <row r="2" spans="1:23" ht="15.75" thickBot="1" x14ac:dyDescent="0.3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</row>
    <row r="3" spans="1:23" ht="18.75" x14ac:dyDescent="0.25">
      <c r="A3" s="250" t="s">
        <v>128</v>
      </c>
      <c r="B3" s="251"/>
      <c r="C3" s="252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</row>
    <row r="4" spans="1:23" x14ac:dyDescent="0.25">
      <c r="A4" s="254" t="s">
        <v>1</v>
      </c>
      <c r="B4" s="254"/>
      <c r="C4" s="1"/>
      <c r="D4" s="2">
        <f>'26'!D29</f>
        <v>230146</v>
      </c>
      <c r="E4" s="2">
        <f>'26'!E29</f>
        <v>8545</v>
      </c>
      <c r="F4" s="2">
        <f>'26'!F29</f>
        <v>17780</v>
      </c>
      <c r="G4" s="2">
        <f>'26'!G29</f>
        <v>830</v>
      </c>
      <c r="H4" s="2">
        <f>'26'!H29</f>
        <v>36580</v>
      </c>
      <c r="I4" s="2">
        <f>'26'!I29</f>
        <v>1032</v>
      </c>
      <c r="J4" s="2">
        <f>'26'!J29</f>
        <v>603</v>
      </c>
      <c r="K4" s="2">
        <f>'26'!K29</f>
        <v>631</v>
      </c>
      <c r="L4" s="2">
        <f>'26'!L29</f>
        <v>0</v>
      </c>
      <c r="M4" s="3"/>
      <c r="N4" s="261"/>
      <c r="O4" s="262"/>
      <c r="P4" s="262"/>
      <c r="Q4" s="262"/>
      <c r="R4" s="262"/>
      <c r="S4" s="262"/>
      <c r="T4" s="262"/>
      <c r="U4" s="262"/>
      <c r="V4" s="263"/>
    </row>
    <row r="5" spans="1:23" x14ac:dyDescent="0.25">
      <c r="A5" s="254" t="s">
        <v>2</v>
      </c>
      <c r="B5" s="254"/>
      <c r="C5" s="1"/>
      <c r="D5" s="1">
        <v>987013</v>
      </c>
      <c r="E5" s="4"/>
      <c r="F5" s="4"/>
      <c r="G5" s="4"/>
      <c r="H5" s="4"/>
      <c r="I5" s="1"/>
      <c r="J5" s="1"/>
      <c r="K5" s="1"/>
      <c r="L5" s="1"/>
      <c r="M5" s="5"/>
      <c r="N5" s="261"/>
      <c r="O5" s="262"/>
      <c r="P5" s="262"/>
      <c r="Q5" s="262"/>
      <c r="R5" s="262"/>
      <c r="S5" s="262"/>
      <c r="T5" s="262"/>
      <c r="U5" s="262"/>
      <c r="V5" s="263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220" t="s">
        <v>22</v>
      </c>
      <c r="U6" s="18" t="s">
        <v>129</v>
      </c>
      <c r="V6" s="18" t="s">
        <v>125</v>
      </c>
    </row>
    <row r="7" spans="1:23" ht="18.75" x14ac:dyDescent="0.25">
      <c r="A7" s="19">
        <v>1</v>
      </c>
      <c r="B7" s="20">
        <v>1908446134</v>
      </c>
      <c r="C7" s="20" t="s">
        <v>23</v>
      </c>
      <c r="D7" s="21">
        <v>13111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13111</v>
      </c>
      <c r="N7" s="24">
        <f>D7+E7*20+F7*10+G7*9+H7*9+I7*191+J7*191+K7*182+L7*100</f>
        <v>13111</v>
      </c>
      <c r="O7" s="25">
        <f>M7*2.75%</f>
        <v>360.55250000000001</v>
      </c>
      <c r="P7" s="26"/>
      <c r="Q7" s="26">
        <v>100</v>
      </c>
      <c r="R7" s="24">
        <f>M7-(M7*2.75%)+I7*191+J7*191+K7*182+L7*100-Q7</f>
        <v>12650.4475</v>
      </c>
      <c r="S7" s="25">
        <f>M7*0.95%</f>
        <v>124.55449999999999</v>
      </c>
      <c r="T7" s="221">
        <f>S7-Q7</f>
        <v>24.55449999999999</v>
      </c>
      <c r="U7" s="223">
        <v>14</v>
      </c>
      <c r="V7" s="238">
        <f>R7-U7</f>
        <v>12636.4475</v>
      </c>
    </row>
    <row r="8" spans="1:23" ht="18.75" x14ac:dyDescent="0.25">
      <c r="A8" s="28">
        <v>2</v>
      </c>
      <c r="B8" s="20">
        <v>1908446135</v>
      </c>
      <c r="C8" s="23" t="s">
        <v>24</v>
      </c>
      <c r="D8" s="29">
        <v>11383</v>
      </c>
      <c r="E8" s="30">
        <v>100</v>
      </c>
      <c r="F8" s="30"/>
      <c r="G8" s="30">
        <v>100</v>
      </c>
      <c r="H8" s="30"/>
      <c r="I8" s="20"/>
      <c r="J8" s="20"/>
      <c r="K8" s="20"/>
      <c r="L8" s="20"/>
      <c r="M8" s="20">
        <f t="shared" ref="M8:M27" si="0">D8+E8*20+F8*10+G8*9+H8*9</f>
        <v>14283</v>
      </c>
      <c r="N8" s="24">
        <f t="shared" ref="N8:N27" si="1">D8+E8*20+F8*10+G8*9+H8*9+I8*191+J8*191+K8*182+L8*100</f>
        <v>14283</v>
      </c>
      <c r="O8" s="25">
        <f t="shared" ref="O8:O27" si="2">M8*2.75%</f>
        <v>392.78250000000003</v>
      </c>
      <c r="P8" s="26"/>
      <c r="Q8" s="26">
        <v>100</v>
      </c>
      <c r="R8" s="24">
        <f t="shared" ref="R8:R27" si="3">M8-(M8*2.75%)+I8*191+J8*191+K8*182+L8*100-Q8</f>
        <v>13790.217500000001</v>
      </c>
      <c r="S8" s="25">
        <f t="shared" ref="S8:S27" si="4">M8*0.95%</f>
        <v>135.6885</v>
      </c>
      <c r="T8" s="221">
        <f t="shared" ref="T8:T27" si="5">S8-Q8</f>
        <v>35.688500000000005</v>
      </c>
      <c r="U8" s="223">
        <v>14</v>
      </c>
      <c r="V8" s="238">
        <f t="shared" ref="V8:V27" si="6">R8-U8</f>
        <v>13776.217500000001</v>
      </c>
    </row>
    <row r="9" spans="1:23" ht="18.75" x14ac:dyDescent="0.25">
      <c r="A9" s="28">
        <v>3</v>
      </c>
      <c r="B9" s="20">
        <v>1908446136</v>
      </c>
      <c r="C9" s="20" t="s">
        <v>25</v>
      </c>
      <c r="D9" s="29">
        <v>39146</v>
      </c>
      <c r="E9" s="30">
        <v>80</v>
      </c>
      <c r="F9" s="30"/>
      <c r="G9" s="30"/>
      <c r="H9" s="30">
        <v>130</v>
      </c>
      <c r="I9" s="20"/>
      <c r="J9" s="20"/>
      <c r="K9" s="20"/>
      <c r="L9" s="20"/>
      <c r="M9" s="20">
        <f t="shared" si="0"/>
        <v>41916</v>
      </c>
      <c r="N9" s="24">
        <f t="shared" si="1"/>
        <v>41916</v>
      </c>
      <c r="O9" s="25">
        <f t="shared" si="2"/>
        <v>1152.69</v>
      </c>
      <c r="P9" s="26">
        <v>-5000</v>
      </c>
      <c r="Q9" s="26">
        <v>168</v>
      </c>
      <c r="R9" s="24">
        <f t="shared" si="3"/>
        <v>40595.31</v>
      </c>
      <c r="S9" s="25">
        <f t="shared" si="4"/>
        <v>398.202</v>
      </c>
      <c r="T9" s="221">
        <f t="shared" si="5"/>
        <v>230.202</v>
      </c>
      <c r="U9" s="223">
        <v>256</v>
      </c>
      <c r="V9" s="238">
        <f t="shared" si="6"/>
        <v>40339.31</v>
      </c>
    </row>
    <row r="10" spans="1:23" ht="18.75" x14ac:dyDescent="0.25">
      <c r="A10" s="28">
        <v>4</v>
      </c>
      <c r="B10" s="20">
        <v>1908446137</v>
      </c>
      <c r="C10" s="20" t="s">
        <v>26</v>
      </c>
      <c r="D10" s="29">
        <v>5245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5245</v>
      </c>
      <c r="N10" s="24">
        <f t="shared" si="1"/>
        <v>5245</v>
      </c>
      <c r="O10" s="25">
        <f t="shared" si="2"/>
        <v>144.23750000000001</v>
      </c>
      <c r="P10" s="26"/>
      <c r="Q10" s="26">
        <v>30</v>
      </c>
      <c r="R10" s="24">
        <f t="shared" si="3"/>
        <v>5070.7624999999998</v>
      </c>
      <c r="S10" s="25">
        <f t="shared" si="4"/>
        <v>49.827500000000001</v>
      </c>
      <c r="T10" s="221">
        <f t="shared" si="5"/>
        <v>19.827500000000001</v>
      </c>
      <c r="U10" s="223"/>
      <c r="V10" s="238">
        <f t="shared" si="6"/>
        <v>5070.7624999999998</v>
      </c>
    </row>
    <row r="11" spans="1:23" ht="18.75" x14ac:dyDescent="0.25">
      <c r="A11" s="28">
        <v>5</v>
      </c>
      <c r="B11" s="20">
        <v>1908446138</v>
      </c>
      <c r="C11" s="31" t="s">
        <v>27</v>
      </c>
      <c r="D11" s="29">
        <v>6196</v>
      </c>
      <c r="E11" s="30"/>
      <c r="F11" s="30"/>
      <c r="G11" s="32"/>
      <c r="H11" s="30"/>
      <c r="I11" s="20">
        <v>10</v>
      </c>
      <c r="J11" s="20">
        <v>1</v>
      </c>
      <c r="K11" s="20">
        <v>1</v>
      </c>
      <c r="L11" s="20"/>
      <c r="M11" s="20">
        <f t="shared" si="0"/>
        <v>6196</v>
      </c>
      <c r="N11" s="24">
        <f t="shared" si="1"/>
        <v>8479</v>
      </c>
      <c r="O11" s="25">
        <f t="shared" si="2"/>
        <v>170.39000000000001</v>
      </c>
      <c r="P11" s="26"/>
      <c r="Q11" s="26">
        <v>30</v>
      </c>
      <c r="R11" s="24">
        <f t="shared" si="3"/>
        <v>8278.61</v>
      </c>
      <c r="S11" s="25">
        <f t="shared" si="4"/>
        <v>58.862000000000002</v>
      </c>
      <c r="T11" s="221">
        <f t="shared" si="5"/>
        <v>28.862000000000002</v>
      </c>
      <c r="U11" s="223">
        <v>28</v>
      </c>
      <c r="V11" s="238">
        <f t="shared" si="6"/>
        <v>8250.61</v>
      </c>
    </row>
    <row r="12" spans="1:23" ht="18.75" x14ac:dyDescent="0.25">
      <c r="A12" s="28">
        <v>6</v>
      </c>
      <c r="B12" s="20">
        <v>1908446139</v>
      </c>
      <c r="C12" s="20" t="s">
        <v>28</v>
      </c>
      <c r="D12" s="29">
        <v>11370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11370</v>
      </c>
      <c r="N12" s="24">
        <f t="shared" si="1"/>
        <v>11370</v>
      </c>
      <c r="O12" s="25">
        <f t="shared" si="2"/>
        <v>312.67500000000001</v>
      </c>
      <c r="P12" s="26"/>
      <c r="Q12" s="26">
        <v>37</v>
      </c>
      <c r="R12" s="24">
        <f t="shared" si="3"/>
        <v>11020.325000000001</v>
      </c>
      <c r="S12" s="25">
        <f t="shared" si="4"/>
        <v>108.015</v>
      </c>
      <c r="T12" s="221">
        <f t="shared" si="5"/>
        <v>71.015000000000001</v>
      </c>
      <c r="U12" s="223">
        <v>70</v>
      </c>
      <c r="V12" s="238">
        <f t="shared" si="6"/>
        <v>10950.325000000001</v>
      </c>
    </row>
    <row r="13" spans="1:23" ht="18.75" x14ac:dyDescent="0.25">
      <c r="A13" s="28">
        <v>7</v>
      </c>
      <c r="B13" s="20">
        <v>1908446140</v>
      </c>
      <c r="C13" s="20" t="s">
        <v>29</v>
      </c>
      <c r="D13" s="29">
        <v>18000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18000</v>
      </c>
      <c r="N13" s="24">
        <f t="shared" si="1"/>
        <v>18000</v>
      </c>
      <c r="O13" s="25">
        <f t="shared" si="2"/>
        <v>495</v>
      </c>
      <c r="P13" s="26"/>
      <c r="Q13" s="26">
        <v>55</v>
      </c>
      <c r="R13" s="24">
        <f t="shared" si="3"/>
        <v>17450</v>
      </c>
      <c r="S13" s="25">
        <f t="shared" si="4"/>
        <v>171</v>
      </c>
      <c r="T13" s="221">
        <f t="shared" si="5"/>
        <v>116</v>
      </c>
      <c r="U13" s="223">
        <v>112</v>
      </c>
      <c r="V13" s="238">
        <f t="shared" si="6"/>
        <v>17338</v>
      </c>
    </row>
    <row r="14" spans="1:23" ht="18.75" x14ac:dyDescent="0.25">
      <c r="A14" s="28">
        <v>8</v>
      </c>
      <c r="B14" s="20">
        <v>1908446141</v>
      </c>
      <c r="C14" s="20" t="s">
        <v>30</v>
      </c>
      <c r="D14" s="29">
        <v>31845</v>
      </c>
      <c r="E14" s="30">
        <v>50</v>
      </c>
      <c r="F14" s="30">
        <v>250</v>
      </c>
      <c r="G14" s="30"/>
      <c r="H14" s="30">
        <v>420</v>
      </c>
      <c r="I14" s="20"/>
      <c r="J14" s="20"/>
      <c r="K14" s="20"/>
      <c r="L14" s="20"/>
      <c r="M14" s="20">
        <f t="shared" si="0"/>
        <v>39125</v>
      </c>
      <c r="N14" s="24">
        <f t="shared" si="1"/>
        <v>39125</v>
      </c>
      <c r="O14" s="25">
        <f t="shared" si="2"/>
        <v>1075.9375</v>
      </c>
      <c r="P14" s="26"/>
      <c r="Q14" s="26">
        <v>227</v>
      </c>
      <c r="R14" s="24">
        <f t="shared" si="3"/>
        <v>37822.0625</v>
      </c>
      <c r="S14" s="25">
        <f t="shared" si="4"/>
        <v>371.6875</v>
      </c>
      <c r="T14" s="221">
        <f t="shared" si="5"/>
        <v>144.6875</v>
      </c>
      <c r="U14" s="223">
        <v>175</v>
      </c>
      <c r="V14" s="238">
        <f t="shared" si="6"/>
        <v>37647.0625</v>
      </c>
      <c r="W14">
        <v>49</v>
      </c>
    </row>
    <row r="15" spans="1:23" ht="18.75" x14ac:dyDescent="0.25">
      <c r="A15" s="28">
        <v>9</v>
      </c>
      <c r="B15" s="20">
        <v>1908446142</v>
      </c>
      <c r="C15" s="33" t="s">
        <v>31</v>
      </c>
      <c r="D15" s="29">
        <v>21734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21734</v>
      </c>
      <c r="N15" s="24">
        <f t="shared" si="1"/>
        <v>21734</v>
      </c>
      <c r="O15" s="25">
        <f t="shared" si="2"/>
        <v>597.68500000000006</v>
      </c>
      <c r="P15" s="26">
        <v>75370</v>
      </c>
      <c r="Q15" s="26">
        <v>160</v>
      </c>
      <c r="R15" s="24">
        <f t="shared" si="3"/>
        <v>20976.314999999999</v>
      </c>
      <c r="S15" s="25">
        <f t="shared" si="4"/>
        <v>206.47299999999998</v>
      </c>
      <c r="T15" s="221">
        <f t="shared" si="5"/>
        <v>46.472999999999985</v>
      </c>
      <c r="U15" s="223">
        <v>105</v>
      </c>
      <c r="V15" s="238">
        <f t="shared" si="6"/>
        <v>20871.314999999999</v>
      </c>
    </row>
    <row r="16" spans="1:23" ht="18.75" x14ac:dyDescent="0.25">
      <c r="A16" s="28">
        <v>10</v>
      </c>
      <c r="B16" s="20">
        <v>1908446143</v>
      </c>
      <c r="C16" s="20" t="s">
        <v>32</v>
      </c>
      <c r="D16" s="29">
        <v>50514</v>
      </c>
      <c r="E16" s="30">
        <v>100</v>
      </c>
      <c r="F16" s="30">
        <v>100</v>
      </c>
      <c r="G16" s="30">
        <v>150</v>
      </c>
      <c r="H16" s="30">
        <v>350</v>
      </c>
      <c r="I16" s="20">
        <v>10</v>
      </c>
      <c r="J16" s="20">
        <v>7</v>
      </c>
      <c r="K16" s="20">
        <v>5</v>
      </c>
      <c r="L16" s="20"/>
      <c r="M16" s="20">
        <f t="shared" si="0"/>
        <v>58014</v>
      </c>
      <c r="N16" s="24">
        <f t="shared" si="1"/>
        <v>62171</v>
      </c>
      <c r="O16" s="25">
        <f t="shared" si="2"/>
        <v>1595.385</v>
      </c>
      <c r="P16" s="26">
        <v>9000</v>
      </c>
      <c r="Q16" s="26">
        <v>202</v>
      </c>
      <c r="R16" s="24">
        <f t="shared" si="3"/>
        <v>60373.614999999998</v>
      </c>
      <c r="S16" s="25">
        <f t="shared" si="4"/>
        <v>551.13300000000004</v>
      </c>
      <c r="T16" s="221">
        <f t="shared" si="5"/>
        <v>349.13300000000004</v>
      </c>
      <c r="U16" s="223">
        <v>273</v>
      </c>
      <c r="V16" s="238">
        <f t="shared" si="6"/>
        <v>60100.614999999998</v>
      </c>
    </row>
    <row r="17" spans="1:22" ht="18.75" x14ac:dyDescent="0.25">
      <c r="A17" s="28">
        <v>11</v>
      </c>
      <c r="B17" s="20">
        <v>1908446144</v>
      </c>
      <c r="C17" s="33" t="s">
        <v>33</v>
      </c>
      <c r="D17" s="29">
        <v>6680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6680</v>
      </c>
      <c r="N17" s="24">
        <f t="shared" si="1"/>
        <v>6680</v>
      </c>
      <c r="O17" s="25">
        <f t="shared" si="2"/>
        <v>183.7</v>
      </c>
      <c r="P17" s="26">
        <v>2000</v>
      </c>
      <c r="Q17" s="26">
        <v>50</v>
      </c>
      <c r="R17" s="24">
        <f t="shared" si="3"/>
        <v>6446.3</v>
      </c>
      <c r="S17" s="25">
        <f t="shared" si="4"/>
        <v>63.46</v>
      </c>
      <c r="T17" s="221">
        <f t="shared" si="5"/>
        <v>13.46</v>
      </c>
      <c r="U17" s="223"/>
      <c r="V17" s="238">
        <f t="shared" si="6"/>
        <v>6446.3</v>
      </c>
    </row>
    <row r="18" spans="1:22" ht="18.75" x14ac:dyDescent="0.25">
      <c r="A18" s="28">
        <v>12</v>
      </c>
      <c r="B18" s="20">
        <v>1908446145</v>
      </c>
      <c r="C18" s="31" t="s">
        <v>52</v>
      </c>
      <c r="D18" s="29">
        <v>21941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21941</v>
      </c>
      <c r="N18" s="24">
        <f t="shared" si="1"/>
        <v>21941</v>
      </c>
      <c r="O18" s="25">
        <f t="shared" si="2"/>
        <v>603.37750000000005</v>
      </c>
      <c r="P18" s="26">
        <v>39700</v>
      </c>
      <c r="Q18" s="26">
        <v>150</v>
      </c>
      <c r="R18" s="24">
        <f t="shared" si="3"/>
        <v>21187.622500000001</v>
      </c>
      <c r="S18" s="25">
        <f t="shared" si="4"/>
        <v>208.43949999999998</v>
      </c>
      <c r="T18" s="221">
        <f t="shared" si="5"/>
        <v>58.439499999999981</v>
      </c>
      <c r="U18" s="223">
        <v>126</v>
      </c>
      <c r="V18" s="238">
        <f t="shared" si="6"/>
        <v>21061.622500000001</v>
      </c>
    </row>
    <row r="19" spans="1:22" ht="18.75" x14ac:dyDescent="0.25">
      <c r="A19" s="28">
        <v>13</v>
      </c>
      <c r="B19" s="20">
        <v>1908446146</v>
      </c>
      <c r="C19" s="20" t="s">
        <v>35</v>
      </c>
      <c r="D19" s="29">
        <v>30157</v>
      </c>
      <c r="E19" s="30">
        <v>50</v>
      </c>
      <c r="F19" s="30">
        <v>60</v>
      </c>
      <c r="G19" s="30"/>
      <c r="H19" s="30">
        <v>60</v>
      </c>
      <c r="I19" s="20"/>
      <c r="J19" s="20"/>
      <c r="K19" s="20"/>
      <c r="L19" s="20"/>
      <c r="M19" s="20">
        <f t="shared" si="0"/>
        <v>32297</v>
      </c>
      <c r="N19" s="24">
        <f t="shared" si="1"/>
        <v>32297</v>
      </c>
      <c r="O19" s="25">
        <f t="shared" si="2"/>
        <v>888.16750000000002</v>
      </c>
      <c r="P19" s="26">
        <v>2380</v>
      </c>
      <c r="Q19" s="26">
        <v>120</v>
      </c>
      <c r="R19" s="24">
        <f t="shared" si="3"/>
        <v>31288.8325</v>
      </c>
      <c r="S19" s="25">
        <f t="shared" si="4"/>
        <v>306.82150000000001</v>
      </c>
      <c r="T19" s="221">
        <f t="shared" si="5"/>
        <v>186.82150000000001</v>
      </c>
      <c r="U19" s="223">
        <v>84</v>
      </c>
      <c r="V19" s="238">
        <f t="shared" si="6"/>
        <v>31204.8325</v>
      </c>
    </row>
    <row r="20" spans="1:22" ht="18.75" x14ac:dyDescent="0.25">
      <c r="A20" s="28">
        <v>14</v>
      </c>
      <c r="B20" s="20">
        <v>1908446147</v>
      </c>
      <c r="C20" s="20" t="s">
        <v>51</v>
      </c>
      <c r="D20" s="29">
        <v>10000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10000</v>
      </c>
      <c r="N20" s="24">
        <f t="shared" si="1"/>
        <v>10000</v>
      </c>
      <c r="O20" s="25">
        <f t="shared" si="2"/>
        <v>275</v>
      </c>
      <c r="P20" s="26"/>
      <c r="Q20" s="26">
        <v>170</v>
      </c>
      <c r="R20" s="24">
        <f t="shared" si="3"/>
        <v>9555</v>
      </c>
      <c r="S20" s="25">
        <f t="shared" si="4"/>
        <v>95</v>
      </c>
      <c r="T20" s="221">
        <f t="shared" si="5"/>
        <v>-75</v>
      </c>
      <c r="U20" s="223">
        <v>35</v>
      </c>
      <c r="V20" s="238">
        <f t="shared" si="6"/>
        <v>9520</v>
      </c>
    </row>
    <row r="21" spans="1:22" ht="18.75" x14ac:dyDescent="0.25">
      <c r="A21" s="28">
        <v>15</v>
      </c>
      <c r="B21" s="20">
        <v>1908446148</v>
      </c>
      <c r="C21" s="20" t="s">
        <v>50</v>
      </c>
      <c r="D21" s="29">
        <v>8054</v>
      </c>
      <c r="E21" s="30"/>
      <c r="F21" s="30">
        <v>100</v>
      </c>
      <c r="G21" s="30"/>
      <c r="H21" s="30">
        <v>100</v>
      </c>
      <c r="I21" s="20">
        <v>7</v>
      </c>
      <c r="J21" s="20"/>
      <c r="K21" s="20"/>
      <c r="L21" s="20"/>
      <c r="M21" s="20">
        <f t="shared" si="0"/>
        <v>9954</v>
      </c>
      <c r="N21" s="24">
        <f t="shared" si="1"/>
        <v>11291</v>
      </c>
      <c r="O21" s="25">
        <f t="shared" si="2"/>
        <v>273.73500000000001</v>
      </c>
      <c r="P21" s="26"/>
      <c r="Q21" s="26">
        <v>20</v>
      </c>
      <c r="R21" s="24">
        <f t="shared" si="3"/>
        <v>10997.264999999999</v>
      </c>
      <c r="S21" s="25">
        <f t="shared" si="4"/>
        <v>94.563000000000002</v>
      </c>
      <c r="T21" s="221">
        <f t="shared" si="5"/>
        <v>74.563000000000002</v>
      </c>
      <c r="U21" s="223">
        <v>28</v>
      </c>
      <c r="V21" s="238">
        <f t="shared" si="6"/>
        <v>10969.264999999999</v>
      </c>
    </row>
    <row r="22" spans="1:22" ht="18.75" x14ac:dyDescent="0.25">
      <c r="A22" s="28">
        <v>16</v>
      </c>
      <c r="B22" s="20">
        <v>1908446149</v>
      </c>
      <c r="C22" s="34" t="s">
        <v>38</v>
      </c>
      <c r="D22" s="29">
        <v>61902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61902</v>
      </c>
      <c r="N22" s="24">
        <f t="shared" si="1"/>
        <v>61902</v>
      </c>
      <c r="O22" s="25">
        <f t="shared" si="2"/>
        <v>1702.3050000000001</v>
      </c>
      <c r="P22" s="26">
        <v>518</v>
      </c>
      <c r="Q22" s="26">
        <v>200</v>
      </c>
      <c r="R22" s="24">
        <f t="shared" si="3"/>
        <v>59999.695</v>
      </c>
      <c r="S22" s="25">
        <f t="shared" si="4"/>
        <v>588.06899999999996</v>
      </c>
      <c r="T22" s="221">
        <f t="shared" si="5"/>
        <v>388.06899999999996</v>
      </c>
      <c r="U22" s="223">
        <v>364</v>
      </c>
      <c r="V22" s="238">
        <f t="shared" si="6"/>
        <v>59635.695</v>
      </c>
    </row>
    <row r="23" spans="1:22" ht="18.75" x14ac:dyDescent="0.25">
      <c r="A23" s="28">
        <v>17</v>
      </c>
      <c r="B23" s="20">
        <v>1908446150</v>
      </c>
      <c r="C23" s="20" t="s">
        <v>39</v>
      </c>
      <c r="D23" s="35">
        <v>12519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12519</v>
      </c>
      <c r="N23" s="24">
        <f t="shared" si="1"/>
        <v>12519</v>
      </c>
      <c r="O23" s="25">
        <f t="shared" si="2"/>
        <v>344.27249999999998</v>
      </c>
      <c r="P23" s="26">
        <v>20000</v>
      </c>
      <c r="Q23" s="26">
        <v>120</v>
      </c>
      <c r="R23" s="24">
        <f t="shared" si="3"/>
        <v>12054.727500000001</v>
      </c>
      <c r="S23" s="25">
        <f t="shared" si="4"/>
        <v>118.93049999999999</v>
      </c>
      <c r="T23" s="221">
        <f t="shared" si="5"/>
        <v>-1.069500000000005</v>
      </c>
      <c r="U23" s="223">
        <v>60</v>
      </c>
      <c r="V23" s="238">
        <f t="shared" si="6"/>
        <v>11994.727500000001</v>
      </c>
    </row>
    <row r="24" spans="1:22" ht="18.75" x14ac:dyDescent="0.25">
      <c r="A24" s="28">
        <v>18</v>
      </c>
      <c r="B24" s="20">
        <v>1908446151</v>
      </c>
      <c r="C24" s="20" t="s">
        <v>40</v>
      </c>
      <c r="D24" s="29">
        <v>31971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31971</v>
      </c>
      <c r="N24" s="24">
        <f t="shared" si="1"/>
        <v>31971</v>
      </c>
      <c r="O24" s="25">
        <f t="shared" si="2"/>
        <v>879.20249999999999</v>
      </c>
      <c r="P24" s="26"/>
      <c r="Q24" s="26">
        <v>132</v>
      </c>
      <c r="R24" s="24">
        <f t="shared" si="3"/>
        <v>30959.797500000001</v>
      </c>
      <c r="S24" s="25">
        <f t="shared" si="4"/>
        <v>303.72449999999998</v>
      </c>
      <c r="T24" s="221">
        <f t="shared" si="5"/>
        <v>171.72449999999998</v>
      </c>
      <c r="U24" s="223">
        <v>120</v>
      </c>
      <c r="V24" s="238">
        <f t="shared" si="6"/>
        <v>30839.797500000001</v>
      </c>
    </row>
    <row r="25" spans="1:22" ht="18.75" x14ac:dyDescent="0.25">
      <c r="A25" s="28">
        <v>19</v>
      </c>
      <c r="B25" s="20">
        <v>1908446152</v>
      </c>
      <c r="C25" s="20" t="s">
        <v>41</v>
      </c>
      <c r="D25" s="29">
        <v>15927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15927</v>
      </c>
      <c r="N25" s="24">
        <f t="shared" si="1"/>
        <v>15927</v>
      </c>
      <c r="O25" s="25">
        <f t="shared" si="2"/>
        <v>437.99250000000001</v>
      </c>
      <c r="P25" s="26">
        <v>13650</v>
      </c>
      <c r="Q25" s="26">
        <v>120</v>
      </c>
      <c r="R25" s="24">
        <f t="shared" si="3"/>
        <v>15369.0075</v>
      </c>
      <c r="S25" s="25">
        <f t="shared" si="4"/>
        <v>151.3065</v>
      </c>
      <c r="T25" s="221">
        <f t="shared" si="5"/>
        <v>31.3065</v>
      </c>
      <c r="U25" s="223">
        <v>84</v>
      </c>
      <c r="V25" s="238">
        <f t="shared" si="6"/>
        <v>15285.0075</v>
      </c>
    </row>
    <row r="26" spans="1:22" ht="18.75" x14ac:dyDescent="0.25">
      <c r="A26" s="28">
        <v>20</v>
      </c>
      <c r="B26" s="20">
        <v>1908446153</v>
      </c>
      <c r="C26" s="36" t="s">
        <v>49</v>
      </c>
      <c r="D26" s="29">
        <v>15079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15079</v>
      </c>
      <c r="N26" s="24">
        <f t="shared" si="1"/>
        <v>15079</v>
      </c>
      <c r="O26" s="25">
        <f t="shared" si="2"/>
        <v>414.67250000000001</v>
      </c>
      <c r="P26" s="26"/>
      <c r="Q26" s="26">
        <v>90</v>
      </c>
      <c r="R26" s="24">
        <f t="shared" si="3"/>
        <v>14574.327499999999</v>
      </c>
      <c r="S26" s="25">
        <f t="shared" si="4"/>
        <v>143.25049999999999</v>
      </c>
      <c r="T26" s="221">
        <f t="shared" si="5"/>
        <v>53.250499999999988</v>
      </c>
      <c r="U26" s="223">
        <v>70</v>
      </c>
      <c r="V26" s="238">
        <f t="shared" si="6"/>
        <v>14504.327499999999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15573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15573</v>
      </c>
      <c r="N27" s="40">
        <f t="shared" si="1"/>
        <v>15573</v>
      </c>
      <c r="O27" s="25">
        <f t="shared" si="2"/>
        <v>428.25749999999999</v>
      </c>
      <c r="P27" s="41">
        <v>35000</v>
      </c>
      <c r="Q27" s="41">
        <v>100</v>
      </c>
      <c r="R27" s="24">
        <f t="shared" si="3"/>
        <v>15044.7425</v>
      </c>
      <c r="S27" s="42">
        <f t="shared" si="4"/>
        <v>147.9435</v>
      </c>
      <c r="T27" s="222">
        <f t="shared" si="5"/>
        <v>47.9435</v>
      </c>
      <c r="U27" s="223">
        <v>85</v>
      </c>
      <c r="V27" s="239">
        <f t="shared" si="6"/>
        <v>14959.7425</v>
      </c>
    </row>
    <row r="28" spans="1:22" ht="16.5" thickBot="1" x14ac:dyDescent="0.3">
      <c r="A28" s="240" t="s">
        <v>44</v>
      </c>
      <c r="B28" s="241"/>
      <c r="C28" s="242"/>
      <c r="D28" s="44">
        <f t="shared" ref="D28:E28" si="7">SUM(D7:D27)</f>
        <v>438347</v>
      </c>
      <c r="E28" s="45">
        <f t="shared" si="7"/>
        <v>380</v>
      </c>
      <c r="F28" s="45">
        <f t="shared" ref="F28:V28" si="8">SUM(F7:F27)</f>
        <v>510</v>
      </c>
      <c r="G28" s="45">
        <f t="shared" si="8"/>
        <v>250</v>
      </c>
      <c r="H28" s="45">
        <f t="shared" si="8"/>
        <v>1060</v>
      </c>
      <c r="I28" s="45">
        <f t="shared" si="8"/>
        <v>27</v>
      </c>
      <c r="J28" s="45">
        <f t="shared" si="8"/>
        <v>8</v>
      </c>
      <c r="K28" s="45">
        <f t="shared" si="8"/>
        <v>6</v>
      </c>
      <c r="L28" s="45">
        <f t="shared" si="8"/>
        <v>0</v>
      </c>
      <c r="M28" s="225">
        <f t="shared" si="8"/>
        <v>462837</v>
      </c>
      <c r="N28" s="225">
        <f t="shared" si="8"/>
        <v>470614</v>
      </c>
      <c r="O28" s="226">
        <f t="shared" si="8"/>
        <v>12728.0175</v>
      </c>
      <c r="P28" s="225">
        <f t="shared" si="8"/>
        <v>192618</v>
      </c>
      <c r="Q28" s="225">
        <f t="shared" si="8"/>
        <v>2381</v>
      </c>
      <c r="R28" s="225">
        <f t="shared" si="8"/>
        <v>455504.98249999998</v>
      </c>
      <c r="S28" s="225">
        <f t="shared" si="8"/>
        <v>4396.9515000000001</v>
      </c>
      <c r="T28" s="227">
        <f t="shared" si="8"/>
        <v>2015.9514999999999</v>
      </c>
      <c r="U28" s="227">
        <f t="shared" si="8"/>
        <v>2103</v>
      </c>
      <c r="V28" s="227">
        <f t="shared" si="8"/>
        <v>453401.98249999998</v>
      </c>
    </row>
    <row r="29" spans="1:22" ht="15.75" thickBot="1" x14ac:dyDescent="0.3">
      <c r="A29" s="243" t="s">
        <v>45</v>
      </c>
      <c r="B29" s="244"/>
      <c r="C29" s="245"/>
      <c r="D29" s="48">
        <f>D4+D5-D28</f>
        <v>778812</v>
      </c>
      <c r="E29" s="48">
        <f t="shared" ref="E29:L29" si="9">E4+E5-E28</f>
        <v>8165</v>
      </c>
      <c r="F29" s="48">
        <f t="shared" si="9"/>
        <v>17270</v>
      </c>
      <c r="G29" s="48">
        <f t="shared" si="9"/>
        <v>580</v>
      </c>
      <c r="H29" s="48">
        <f t="shared" si="9"/>
        <v>35520</v>
      </c>
      <c r="I29" s="48">
        <f t="shared" si="9"/>
        <v>1005</v>
      </c>
      <c r="J29" s="48">
        <f t="shared" si="9"/>
        <v>595</v>
      </c>
      <c r="K29" s="48">
        <f t="shared" si="9"/>
        <v>625</v>
      </c>
      <c r="L29" s="48">
        <f t="shared" si="9"/>
        <v>0</v>
      </c>
      <c r="M29" s="264"/>
      <c r="N29" s="264"/>
      <c r="O29" s="264"/>
      <c r="P29" s="264"/>
      <c r="Q29" s="264"/>
      <c r="R29" s="264"/>
      <c r="S29" s="264"/>
      <c r="T29" s="264"/>
      <c r="U29" s="264"/>
      <c r="V29" s="264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302" priority="59" operator="equal">
      <formula>212030016606640</formula>
    </cfRule>
  </conditionalFormatting>
  <conditionalFormatting sqref="D29 E4:E6 E28:K29">
    <cfRule type="cellIs" dxfId="301" priority="57" operator="equal">
      <formula>$E$4</formula>
    </cfRule>
    <cfRule type="cellIs" dxfId="300" priority="58" operator="equal">
      <formula>2120</formula>
    </cfRule>
  </conditionalFormatting>
  <conditionalFormatting sqref="D29:E29 F4:F6 F28:F29">
    <cfRule type="cellIs" dxfId="299" priority="55" operator="equal">
      <formula>$F$4</formula>
    </cfRule>
    <cfRule type="cellIs" dxfId="298" priority="56" operator="equal">
      <formula>300</formula>
    </cfRule>
  </conditionalFormatting>
  <conditionalFormatting sqref="G4:G6 G28:G29">
    <cfRule type="cellIs" dxfId="297" priority="53" operator="equal">
      <formula>$G$4</formula>
    </cfRule>
    <cfRule type="cellIs" dxfId="296" priority="54" operator="equal">
      <formula>1660</formula>
    </cfRule>
  </conditionalFormatting>
  <conditionalFormatting sqref="H4:H6 H28:H29">
    <cfRule type="cellIs" dxfId="295" priority="51" operator="equal">
      <formula>$H$4</formula>
    </cfRule>
    <cfRule type="cellIs" dxfId="294" priority="52" operator="equal">
      <formula>6640</formula>
    </cfRule>
  </conditionalFormatting>
  <conditionalFormatting sqref="T6:T28 U6:V6 U28:V28">
    <cfRule type="cellIs" dxfId="293" priority="50" operator="lessThan">
      <formula>0</formula>
    </cfRule>
  </conditionalFormatting>
  <conditionalFormatting sqref="T7:T27">
    <cfRule type="cellIs" dxfId="292" priority="47" operator="lessThan">
      <formula>0</formula>
    </cfRule>
    <cfRule type="cellIs" dxfId="291" priority="48" operator="lessThan">
      <formula>0</formula>
    </cfRule>
    <cfRule type="cellIs" dxfId="290" priority="49" operator="lessThan">
      <formula>0</formula>
    </cfRule>
  </conditionalFormatting>
  <conditionalFormatting sqref="E4:E6 E28:K28">
    <cfRule type="cellIs" dxfId="289" priority="46" operator="equal">
      <formula>$E$4</formula>
    </cfRule>
  </conditionalFormatting>
  <conditionalFormatting sqref="D28:D29 D6 D4:M4">
    <cfRule type="cellIs" dxfId="288" priority="45" operator="equal">
      <formula>$D$4</formula>
    </cfRule>
  </conditionalFormatting>
  <conditionalFormatting sqref="I4:I6 I28:I29">
    <cfRule type="cellIs" dxfId="287" priority="44" operator="equal">
      <formula>$I$4</formula>
    </cfRule>
  </conditionalFormatting>
  <conditionalFormatting sqref="J4:J6 J28:J29">
    <cfRule type="cellIs" dxfId="286" priority="43" operator="equal">
      <formula>$J$4</formula>
    </cfRule>
  </conditionalFormatting>
  <conditionalFormatting sqref="K4:K6 K28:K29">
    <cfRule type="cellIs" dxfId="285" priority="42" operator="equal">
      <formula>$K$4</formula>
    </cfRule>
  </conditionalFormatting>
  <conditionalFormatting sqref="M4:M6">
    <cfRule type="cellIs" dxfId="284" priority="41" operator="equal">
      <formula>$L$4</formula>
    </cfRule>
  </conditionalFormatting>
  <conditionalFormatting sqref="T7:T28 U28:V28">
    <cfRule type="cellIs" dxfId="283" priority="38" operator="lessThan">
      <formula>0</formula>
    </cfRule>
    <cfRule type="cellIs" dxfId="282" priority="39" operator="lessThan">
      <formula>0</formula>
    </cfRule>
    <cfRule type="cellIs" dxfId="281" priority="40" operator="lessThan">
      <formula>0</formula>
    </cfRule>
  </conditionalFormatting>
  <conditionalFormatting sqref="D5:K5">
    <cfRule type="cellIs" dxfId="280" priority="37" operator="greaterThan">
      <formula>0</formula>
    </cfRule>
  </conditionalFormatting>
  <conditionalFormatting sqref="T6:T28 U6:X6 U28:V28">
    <cfRule type="cellIs" dxfId="279" priority="36" operator="lessThan">
      <formula>0</formula>
    </cfRule>
  </conditionalFormatting>
  <conditionalFormatting sqref="T7:T27">
    <cfRule type="cellIs" dxfId="278" priority="33" operator="lessThan">
      <formula>0</formula>
    </cfRule>
    <cfRule type="cellIs" dxfId="277" priority="34" operator="lessThan">
      <formula>0</formula>
    </cfRule>
    <cfRule type="cellIs" dxfId="276" priority="35" operator="lessThan">
      <formula>0</formula>
    </cfRule>
  </conditionalFormatting>
  <conditionalFormatting sqref="T7:T28 U28:V28">
    <cfRule type="cellIs" dxfId="275" priority="30" operator="lessThan">
      <formula>0</formula>
    </cfRule>
    <cfRule type="cellIs" dxfId="274" priority="31" operator="lessThan">
      <formula>0</formula>
    </cfRule>
    <cfRule type="cellIs" dxfId="273" priority="32" operator="lessThan">
      <formula>0</formula>
    </cfRule>
  </conditionalFormatting>
  <conditionalFormatting sqref="D5:K5">
    <cfRule type="cellIs" dxfId="272" priority="29" operator="greaterThan">
      <formula>0</formula>
    </cfRule>
  </conditionalFormatting>
  <conditionalFormatting sqref="L4 L6 L28:L29">
    <cfRule type="cellIs" dxfId="271" priority="28" operator="equal">
      <formula>$L$4</formula>
    </cfRule>
  </conditionalFormatting>
  <conditionalFormatting sqref="D7:S7">
    <cfRule type="cellIs" dxfId="270" priority="27" operator="greaterThan">
      <formula>0</formula>
    </cfRule>
  </conditionalFormatting>
  <conditionalFormatting sqref="D9:S9">
    <cfRule type="cellIs" dxfId="269" priority="26" operator="greaterThan">
      <formula>0</formula>
    </cfRule>
  </conditionalFormatting>
  <conditionalFormatting sqref="D11:S11">
    <cfRule type="cellIs" dxfId="268" priority="25" operator="greaterThan">
      <formula>0</formula>
    </cfRule>
  </conditionalFormatting>
  <conditionalFormatting sqref="D13:S13">
    <cfRule type="cellIs" dxfId="267" priority="24" operator="greaterThan">
      <formula>0</formula>
    </cfRule>
  </conditionalFormatting>
  <conditionalFormatting sqref="D15:S15">
    <cfRule type="cellIs" dxfId="266" priority="23" operator="greaterThan">
      <formula>0</formula>
    </cfRule>
  </conditionalFormatting>
  <conditionalFormatting sqref="D17:S17">
    <cfRule type="cellIs" dxfId="265" priority="22" operator="greaterThan">
      <formula>0</formula>
    </cfRule>
  </conditionalFormatting>
  <conditionalFormatting sqref="D19:S19">
    <cfRule type="cellIs" dxfId="264" priority="21" operator="greaterThan">
      <formula>0</formula>
    </cfRule>
  </conditionalFormatting>
  <conditionalFormatting sqref="D21:S21">
    <cfRule type="cellIs" dxfId="263" priority="20" operator="greaterThan">
      <formula>0</formula>
    </cfRule>
  </conditionalFormatting>
  <conditionalFormatting sqref="D23:S23">
    <cfRule type="cellIs" dxfId="262" priority="19" operator="greaterThan">
      <formula>0</formula>
    </cfRule>
  </conditionalFormatting>
  <conditionalFormatting sqref="D25:S25">
    <cfRule type="cellIs" dxfId="261" priority="18" operator="greaterThan">
      <formula>0</formula>
    </cfRule>
  </conditionalFormatting>
  <conditionalFormatting sqref="D27:S27">
    <cfRule type="cellIs" dxfId="260" priority="17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22" activePane="bottomLeft" state="frozen"/>
      <selection pane="bottomLeft" activeCell="Q34" sqref="Q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49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</row>
    <row r="2" spans="1:20" ht="15.75" thickBot="1" x14ac:dyDescent="0.3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</row>
    <row r="3" spans="1:20" ht="18.75" x14ac:dyDescent="0.25">
      <c r="A3" s="250" t="s">
        <v>130</v>
      </c>
      <c r="B3" s="251"/>
      <c r="C3" s="252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</row>
    <row r="4" spans="1:20" x14ac:dyDescent="0.25">
      <c r="A4" s="254" t="s">
        <v>1</v>
      </c>
      <c r="B4" s="254"/>
      <c r="C4" s="1"/>
      <c r="D4" s="2">
        <f>'27'!D29</f>
        <v>778812</v>
      </c>
      <c r="E4" s="2">
        <f>'27'!E29</f>
        <v>8165</v>
      </c>
      <c r="F4" s="2">
        <f>'27'!F29</f>
        <v>17270</v>
      </c>
      <c r="G4" s="2">
        <f>'27'!G29</f>
        <v>580</v>
      </c>
      <c r="H4" s="2">
        <f>'27'!H29</f>
        <v>35520</v>
      </c>
      <c r="I4" s="2">
        <f>'27'!I29</f>
        <v>1005</v>
      </c>
      <c r="J4" s="2">
        <f>'27'!J29</f>
        <v>595</v>
      </c>
      <c r="K4" s="2">
        <f>'27'!K29</f>
        <v>625</v>
      </c>
      <c r="L4" s="2">
        <f>'27'!L29</f>
        <v>0</v>
      </c>
      <c r="M4" s="3"/>
      <c r="N4" s="255"/>
      <c r="O4" s="255"/>
      <c r="P4" s="255"/>
      <c r="Q4" s="255"/>
      <c r="R4" s="255"/>
      <c r="S4" s="255"/>
      <c r="T4" s="255"/>
    </row>
    <row r="5" spans="1:20" x14ac:dyDescent="0.25">
      <c r="A5" s="254" t="s">
        <v>2</v>
      </c>
      <c r="B5" s="25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5"/>
      <c r="O5" s="255"/>
      <c r="P5" s="255"/>
      <c r="Q5" s="255"/>
      <c r="R5" s="255"/>
      <c r="S5" s="255"/>
      <c r="T5" s="25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4930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4930</v>
      </c>
      <c r="N17" s="24">
        <f t="shared" si="1"/>
        <v>4930</v>
      </c>
      <c r="O17" s="25">
        <f t="shared" si="2"/>
        <v>135.57499999999999</v>
      </c>
      <c r="P17" s="26"/>
      <c r="Q17" s="26">
        <v>50</v>
      </c>
      <c r="R17" s="24">
        <f t="shared" si="3"/>
        <v>4744.4250000000002</v>
      </c>
      <c r="S17" s="25">
        <f t="shared" si="4"/>
        <v>46.835000000000001</v>
      </c>
      <c r="T17" s="27">
        <f t="shared" si="5"/>
        <v>-3.1649999999999991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40" t="s">
        <v>44</v>
      </c>
      <c r="B28" s="241"/>
      <c r="C28" s="242"/>
      <c r="D28" s="44">
        <f t="shared" ref="D28:E28" si="6">SUM(D7:D27)</f>
        <v>4930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4930</v>
      </c>
      <c r="N28" s="45">
        <f t="shared" si="7"/>
        <v>4930</v>
      </c>
      <c r="O28" s="46">
        <f t="shared" si="7"/>
        <v>135.57499999999999</v>
      </c>
      <c r="P28" s="45">
        <f t="shared" si="7"/>
        <v>0</v>
      </c>
      <c r="Q28" s="45">
        <f t="shared" si="7"/>
        <v>50</v>
      </c>
      <c r="R28" s="45">
        <f t="shared" si="7"/>
        <v>4744.4250000000002</v>
      </c>
      <c r="S28" s="45">
        <f t="shared" si="7"/>
        <v>46.835000000000001</v>
      </c>
      <c r="T28" s="47">
        <f t="shared" si="7"/>
        <v>-3.1649999999999991</v>
      </c>
    </row>
    <row r="29" spans="1:20" ht="15.75" thickBot="1" x14ac:dyDescent="0.3">
      <c r="A29" s="243" t="s">
        <v>45</v>
      </c>
      <c r="B29" s="244"/>
      <c r="C29" s="245"/>
      <c r="D29" s="48">
        <f>D4+D5-D28</f>
        <v>773882</v>
      </c>
      <c r="E29" s="48">
        <f t="shared" ref="E29:L29" si="8">E4+E5-E28</f>
        <v>8165</v>
      </c>
      <c r="F29" s="48">
        <f t="shared" si="8"/>
        <v>17270</v>
      </c>
      <c r="G29" s="48">
        <f t="shared" si="8"/>
        <v>580</v>
      </c>
      <c r="H29" s="48">
        <f t="shared" si="8"/>
        <v>35520</v>
      </c>
      <c r="I29" s="48">
        <f t="shared" si="8"/>
        <v>1005</v>
      </c>
      <c r="J29" s="48">
        <f t="shared" si="8"/>
        <v>595</v>
      </c>
      <c r="K29" s="48">
        <f t="shared" si="8"/>
        <v>625</v>
      </c>
      <c r="L29" s="48">
        <f t="shared" si="8"/>
        <v>0</v>
      </c>
      <c r="M29" s="246"/>
      <c r="N29" s="247"/>
      <c r="O29" s="247"/>
      <c r="P29" s="247"/>
      <c r="Q29" s="247"/>
      <c r="R29" s="247"/>
      <c r="S29" s="247"/>
      <c r="T29" s="24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9" priority="43" operator="equal">
      <formula>212030016606640</formula>
    </cfRule>
  </conditionalFormatting>
  <conditionalFormatting sqref="D29 E4:E6 E28:K29">
    <cfRule type="cellIs" dxfId="258" priority="41" operator="equal">
      <formula>$E$4</formula>
    </cfRule>
    <cfRule type="cellIs" dxfId="257" priority="42" operator="equal">
      <formula>2120</formula>
    </cfRule>
  </conditionalFormatting>
  <conditionalFormatting sqref="D29:E29 F4:F6 F28:F29">
    <cfRule type="cellIs" dxfId="256" priority="39" operator="equal">
      <formula>$F$4</formula>
    </cfRule>
    <cfRule type="cellIs" dxfId="255" priority="40" operator="equal">
      <formula>300</formula>
    </cfRule>
  </conditionalFormatting>
  <conditionalFormatting sqref="G4:G6 G28:G29">
    <cfRule type="cellIs" dxfId="254" priority="37" operator="equal">
      <formula>$G$4</formula>
    </cfRule>
    <cfRule type="cellIs" dxfId="253" priority="38" operator="equal">
      <formula>1660</formula>
    </cfRule>
  </conditionalFormatting>
  <conditionalFormatting sqref="H4:H6 H28:H29">
    <cfRule type="cellIs" dxfId="252" priority="35" operator="equal">
      <formula>$H$4</formula>
    </cfRule>
    <cfRule type="cellIs" dxfId="251" priority="36" operator="equal">
      <formula>6640</formula>
    </cfRule>
  </conditionalFormatting>
  <conditionalFormatting sqref="T6:T28">
    <cfRule type="cellIs" dxfId="250" priority="34" operator="lessThan">
      <formula>0</formula>
    </cfRule>
  </conditionalFormatting>
  <conditionalFormatting sqref="T7:T27">
    <cfRule type="cellIs" dxfId="249" priority="31" operator="lessThan">
      <formula>0</formula>
    </cfRule>
    <cfRule type="cellIs" dxfId="248" priority="32" operator="lessThan">
      <formula>0</formula>
    </cfRule>
    <cfRule type="cellIs" dxfId="247" priority="33" operator="lessThan">
      <formula>0</formula>
    </cfRule>
  </conditionalFormatting>
  <conditionalFormatting sqref="E4:E6 E28:K28">
    <cfRule type="cellIs" dxfId="246" priority="30" operator="equal">
      <formula>$E$4</formula>
    </cfRule>
  </conditionalFormatting>
  <conditionalFormatting sqref="D28:D29 D6 D4:M4">
    <cfRule type="cellIs" dxfId="245" priority="29" operator="equal">
      <formula>$D$4</formula>
    </cfRule>
  </conditionalFormatting>
  <conditionalFormatting sqref="I4:I6 I28:I29">
    <cfRule type="cellIs" dxfId="244" priority="28" operator="equal">
      <formula>$I$4</formula>
    </cfRule>
  </conditionalFormatting>
  <conditionalFormatting sqref="J4:J6 J28:J29">
    <cfRule type="cellIs" dxfId="243" priority="27" operator="equal">
      <formula>$J$4</formula>
    </cfRule>
  </conditionalFormatting>
  <conditionalFormatting sqref="K4:K6 K28:K29">
    <cfRule type="cellIs" dxfId="242" priority="26" operator="equal">
      <formula>$K$4</formula>
    </cfRule>
  </conditionalFormatting>
  <conditionalFormatting sqref="M4:M6">
    <cfRule type="cellIs" dxfId="241" priority="25" operator="equal">
      <formula>$L$4</formula>
    </cfRule>
  </conditionalFormatting>
  <conditionalFormatting sqref="T7:T28">
    <cfRule type="cellIs" dxfId="240" priority="22" operator="lessThan">
      <formula>0</formula>
    </cfRule>
    <cfRule type="cellIs" dxfId="239" priority="23" operator="lessThan">
      <formula>0</formula>
    </cfRule>
    <cfRule type="cellIs" dxfId="238" priority="24" operator="lessThan">
      <formula>0</formula>
    </cfRule>
  </conditionalFormatting>
  <conditionalFormatting sqref="D5:K5">
    <cfRule type="cellIs" dxfId="237" priority="21" operator="greaterThan">
      <formula>0</formula>
    </cfRule>
  </conditionalFormatting>
  <conditionalFormatting sqref="T6:T28">
    <cfRule type="cellIs" dxfId="236" priority="20" operator="lessThan">
      <formula>0</formula>
    </cfRule>
  </conditionalFormatting>
  <conditionalFormatting sqref="T7:T27">
    <cfRule type="cellIs" dxfId="235" priority="17" operator="lessThan">
      <formula>0</formula>
    </cfRule>
    <cfRule type="cellIs" dxfId="234" priority="18" operator="lessThan">
      <formula>0</formula>
    </cfRule>
    <cfRule type="cellIs" dxfId="233" priority="19" operator="lessThan">
      <formula>0</formula>
    </cfRule>
  </conditionalFormatting>
  <conditionalFormatting sqref="T7:T28">
    <cfRule type="cellIs" dxfId="232" priority="14" operator="lessThan">
      <formula>0</formula>
    </cfRule>
    <cfRule type="cellIs" dxfId="231" priority="15" operator="lessThan">
      <formula>0</formula>
    </cfRule>
    <cfRule type="cellIs" dxfId="230" priority="16" operator="lessThan">
      <formula>0</formula>
    </cfRule>
  </conditionalFormatting>
  <conditionalFormatting sqref="D5:K5">
    <cfRule type="cellIs" dxfId="229" priority="13" operator="greaterThan">
      <formula>0</formula>
    </cfRule>
  </conditionalFormatting>
  <conditionalFormatting sqref="L4 L6 L28:L29">
    <cfRule type="cellIs" dxfId="228" priority="12" operator="equal">
      <formula>$L$4</formula>
    </cfRule>
  </conditionalFormatting>
  <conditionalFormatting sqref="D7:S7">
    <cfRule type="cellIs" dxfId="227" priority="11" operator="greaterThan">
      <formula>0</formula>
    </cfRule>
  </conditionalFormatting>
  <conditionalFormatting sqref="D9:S9">
    <cfRule type="cellIs" dxfId="226" priority="10" operator="greaterThan">
      <formula>0</formula>
    </cfRule>
  </conditionalFormatting>
  <conditionalFormatting sqref="D11:S11">
    <cfRule type="cellIs" dxfId="225" priority="9" operator="greaterThan">
      <formula>0</formula>
    </cfRule>
  </conditionalFormatting>
  <conditionalFormatting sqref="D13:S13">
    <cfRule type="cellIs" dxfId="224" priority="8" operator="greaterThan">
      <formula>0</formula>
    </cfRule>
  </conditionalFormatting>
  <conditionalFormatting sqref="D15:S15">
    <cfRule type="cellIs" dxfId="223" priority="7" operator="greaterThan">
      <formula>0</formula>
    </cfRule>
  </conditionalFormatting>
  <conditionalFormatting sqref="D17:S17">
    <cfRule type="cellIs" dxfId="222" priority="6" operator="greaterThan">
      <formula>0</formula>
    </cfRule>
  </conditionalFormatting>
  <conditionalFormatting sqref="D19:S19">
    <cfRule type="cellIs" dxfId="221" priority="5" operator="greaterThan">
      <formula>0</formula>
    </cfRule>
  </conditionalFormatting>
  <conditionalFormatting sqref="D21:S21">
    <cfRule type="cellIs" dxfId="220" priority="4" operator="greaterThan">
      <formula>0</formula>
    </cfRule>
  </conditionalFormatting>
  <conditionalFormatting sqref="D23:S23">
    <cfRule type="cellIs" dxfId="219" priority="3" operator="greaterThan">
      <formula>0</formula>
    </cfRule>
  </conditionalFormatting>
  <conditionalFormatting sqref="D25:S25">
    <cfRule type="cellIs" dxfId="218" priority="2" operator="greaterThan">
      <formula>0</formula>
    </cfRule>
  </conditionalFormatting>
  <conditionalFormatting sqref="D27:S27">
    <cfRule type="cellIs" dxfId="217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49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</row>
    <row r="2" spans="1:20" ht="15.75" thickBot="1" x14ac:dyDescent="0.3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</row>
    <row r="3" spans="1:20" ht="18.75" x14ac:dyDescent="0.25">
      <c r="A3" s="250" t="s">
        <v>46</v>
      </c>
      <c r="B3" s="251"/>
      <c r="C3" s="252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</row>
    <row r="4" spans="1:20" x14ac:dyDescent="0.25">
      <c r="A4" s="254" t="s">
        <v>1</v>
      </c>
      <c r="B4" s="254"/>
      <c r="C4" s="1"/>
      <c r="D4" s="2">
        <f>'28'!D29</f>
        <v>773882</v>
      </c>
      <c r="E4" s="2">
        <f>'28'!E29</f>
        <v>8165</v>
      </c>
      <c r="F4" s="2">
        <f>'28'!F29</f>
        <v>17270</v>
      </c>
      <c r="G4" s="2">
        <f>'28'!G29</f>
        <v>580</v>
      </c>
      <c r="H4" s="2">
        <f>'28'!H29</f>
        <v>35520</v>
      </c>
      <c r="I4" s="2">
        <f>'28'!I29</f>
        <v>1005</v>
      </c>
      <c r="J4" s="2">
        <f>'28'!J29</f>
        <v>595</v>
      </c>
      <c r="K4" s="2">
        <f>'28'!K29</f>
        <v>625</v>
      </c>
      <c r="L4" s="2">
        <f>'28'!L29</f>
        <v>0</v>
      </c>
      <c r="M4" s="3"/>
      <c r="N4" s="255"/>
      <c r="O4" s="255"/>
      <c r="P4" s="255"/>
      <c r="Q4" s="255"/>
      <c r="R4" s="255"/>
      <c r="S4" s="255"/>
      <c r="T4" s="255"/>
    </row>
    <row r="5" spans="1:20" x14ac:dyDescent="0.25">
      <c r="A5" s="254" t="s">
        <v>2</v>
      </c>
      <c r="B5" s="25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5"/>
      <c r="O5" s="255"/>
      <c r="P5" s="255"/>
      <c r="Q5" s="255"/>
      <c r="R5" s="255"/>
      <c r="S5" s="255"/>
      <c r="T5" s="25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40" t="s">
        <v>44</v>
      </c>
      <c r="B28" s="241"/>
      <c r="C28" s="24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43" t="s">
        <v>45</v>
      </c>
      <c r="B29" s="244"/>
      <c r="C29" s="245"/>
      <c r="D29" s="48">
        <f>D4+D5-D28</f>
        <v>773882</v>
      </c>
      <c r="E29" s="48">
        <f t="shared" ref="E29:L29" si="8">E4+E5-E28</f>
        <v>8165</v>
      </c>
      <c r="F29" s="48">
        <f t="shared" si="8"/>
        <v>17270</v>
      </c>
      <c r="G29" s="48">
        <f t="shared" si="8"/>
        <v>580</v>
      </c>
      <c r="H29" s="48">
        <f t="shared" si="8"/>
        <v>35520</v>
      </c>
      <c r="I29" s="48">
        <f t="shared" si="8"/>
        <v>1005</v>
      </c>
      <c r="J29" s="48">
        <f t="shared" si="8"/>
        <v>595</v>
      </c>
      <c r="K29" s="48">
        <f t="shared" si="8"/>
        <v>625</v>
      </c>
      <c r="L29" s="48">
        <f t="shared" si="8"/>
        <v>0</v>
      </c>
      <c r="M29" s="246"/>
      <c r="N29" s="247"/>
      <c r="O29" s="247"/>
      <c r="P29" s="247"/>
      <c r="Q29" s="247"/>
      <c r="R29" s="247"/>
      <c r="S29" s="247"/>
      <c r="T29" s="24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6" priority="43" operator="equal">
      <formula>212030016606640</formula>
    </cfRule>
  </conditionalFormatting>
  <conditionalFormatting sqref="D29 E4:E6 E28:K29">
    <cfRule type="cellIs" dxfId="215" priority="41" operator="equal">
      <formula>$E$4</formula>
    </cfRule>
    <cfRule type="cellIs" dxfId="214" priority="42" operator="equal">
      <formula>2120</formula>
    </cfRule>
  </conditionalFormatting>
  <conditionalFormatting sqref="D29:E29 F4:F6 F28:F29">
    <cfRule type="cellIs" dxfId="213" priority="39" operator="equal">
      <formula>$F$4</formula>
    </cfRule>
    <cfRule type="cellIs" dxfId="212" priority="40" operator="equal">
      <formula>300</formula>
    </cfRule>
  </conditionalFormatting>
  <conditionalFormatting sqref="G4:G6 G28:G29">
    <cfRule type="cellIs" dxfId="211" priority="37" operator="equal">
      <formula>$G$4</formula>
    </cfRule>
    <cfRule type="cellIs" dxfId="210" priority="38" operator="equal">
      <formula>1660</formula>
    </cfRule>
  </conditionalFormatting>
  <conditionalFormatting sqref="H4:H6 H28:H29">
    <cfRule type="cellIs" dxfId="209" priority="35" operator="equal">
      <formula>$H$4</formula>
    </cfRule>
    <cfRule type="cellIs" dxfId="208" priority="36" operator="equal">
      <formula>6640</formula>
    </cfRule>
  </conditionalFormatting>
  <conditionalFormatting sqref="T6:T28">
    <cfRule type="cellIs" dxfId="207" priority="34" operator="lessThan">
      <formula>0</formula>
    </cfRule>
  </conditionalFormatting>
  <conditionalFormatting sqref="T7:T27">
    <cfRule type="cellIs" dxfId="206" priority="31" operator="lessThan">
      <formula>0</formula>
    </cfRule>
    <cfRule type="cellIs" dxfId="205" priority="32" operator="lessThan">
      <formula>0</formula>
    </cfRule>
    <cfRule type="cellIs" dxfId="204" priority="33" operator="lessThan">
      <formula>0</formula>
    </cfRule>
  </conditionalFormatting>
  <conditionalFormatting sqref="E4:E6 E28:K28">
    <cfRule type="cellIs" dxfId="203" priority="30" operator="equal">
      <formula>$E$4</formula>
    </cfRule>
  </conditionalFormatting>
  <conditionalFormatting sqref="D28:D29 D6 D4:M4">
    <cfRule type="cellIs" dxfId="202" priority="29" operator="equal">
      <formula>$D$4</formula>
    </cfRule>
  </conditionalFormatting>
  <conditionalFormatting sqref="I4:I6 I28:I29">
    <cfRule type="cellIs" dxfId="201" priority="28" operator="equal">
      <formula>$I$4</formula>
    </cfRule>
  </conditionalFormatting>
  <conditionalFormatting sqref="J4:J6 J28:J29">
    <cfRule type="cellIs" dxfId="200" priority="27" operator="equal">
      <formula>$J$4</formula>
    </cfRule>
  </conditionalFormatting>
  <conditionalFormatting sqref="K4:K6 K28:K29">
    <cfRule type="cellIs" dxfId="199" priority="26" operator="equal">
      <formula>$K$4</formula>
    </cfRule>
  </conditionalFormatting>
  <conditionalFormatting sqref="M4:M6">
    <cfRule type="cellIs" dxfId="198" priority="25" operator="equal">
      <formula>$L$4</formula>
    </cfRule>
  </conditionalFormatting>
  <conditionalFormatting sqref="T7:T28">
    <cfRule type="cellIs" dxfId="197" priority="22" operator="lessThan">
      <formula>0</formula>
    </cfRule>
    <cfRule type="cellIs" dxfId="196" priority="23" operator="lessThan">
      <formula>0</formula>
    </cfRule>
    <cfRule type="cellIs" dxfId="195" priority="24" operator="lessThan">
      <formula>0</formula>
    </cfRule>
  </conditionalFormatting>
  <conditionalFormatting sqref="D5:K5">
    <cfRule type="cellIs" dxfId="194" priority="21" operator="greaterThan">
      <formula>0</formula>
    </cfRule>
  </conditionalFormatting>
  <conditionalFormatting sqref="T6:T28">
    <cfRule type="cellIs" dxfId="193" priority="20" operator="lessThan">
      <formula>0</formula>
    </cfRule>
  </conditionalFormatting>
  <conditionalFormatting sqref="T7:T27">
    <cfRule type="cellIs" dxfId="192" priority="17" operator="lessThan">
      <formula>0</formula>
    </cfRule>
    <cfRule type="cellIs" dxfId="191" priority="18" operator="lessThan">
      <formula>0</formula>
    </cfRule>
    <cfRule type="cellIs" dxfId="190" priority="19" operator="lessThan">
      <formula>0</formula>
    </cfRule>
  </conditionalFormatting>
  <conditionalFormatting sqref="T7:T28">
    <cfRule type="cellIs" dxfId="189" priority="14" operator="lessThan">
      <formula>0</formula>
    </cfRule>
    <cfRule type="cellIs" dxfId="188" priority="15" operator="lessThan">
      <formula>0</formula>
    </cfRule>
    <cfRule type="cellIs" dxfId="187" priority="16" operator="lessThan">
      <formula>0</formula>
    </cfRule>
  </conditionalFormatting>
  <conditionalFormatting sqref="D5:K5">
    <cfRule type="cellIs" dxfId="186" priority="13" operator="greaterThan">
      <formula>0</formula>
    </cfRule>
  </conditionalFormatting>
  <conditionalFormatting sqref="L4 L6 L28:L29">
    <cfRule type="cellIs" dxfId="185" priority="12" operator="equal">
      <formula>$L$4</formula>
    </cfRule>
  </conditionalFormatting>
  <conditionalFormatting sqref="D7:S7">
    <cfRule type="cellIs" dxfId="184" priority="11" operator="greaterThan">
      <formula>0</formula>
    </cfRule>
  </conditionalFormatting>
  <conditionalFormatting sqref="D9:S9">
    <cfRule type="cellIs" dxfId="183" priority="10" operator="greaterThan">
      <formula>0</formula>
    </cfRule>
  </conditionalFormatting>
  <conditionalFormatting sqref="D11:S11">
    <cfRule type="cellIs" dxfId="182" priority="9" operator="greaterThan">
      <formula>0</formula>
    </cfRule>
  </conditionalFormatting>
  <conditionalFormatting sqref="D13:S13">
    <cfRule type="cellIs" dxfId="181" priority="8" operator="greaterThan">
      <formula>0</formula>
    </cfRule>
  </conditionalFormatting>
  <conditionalFormatting sqref="D15:S15">
    <cfRule type="cellIs" dxfId="180" priority="7" operator="greaterThan">
      <formula>0</formula>
    </cfRule>
  </conditionalFormatting>
  <conditionalFormatting sqref="D17:S17">
    <cfRule type="cellIs" dxfId="179" priority="6" operator="greaterThan">
      <formula>0</formula>
    </cfRule>
  </conditionalFormatting>
  <conditionalFormatting sqref="D19:S19">
    <cfRule type="cellIs" dxfId="178" priority="5" operator="greaterThan">
      <formula>0</formula>
    </cfRule>
  </conditionalFormatting>
  <conditionalFormatting sqref="D21:S21">
    <cfRule type="cellIs" dxfId="177" priority="4" operator="greaterThan">
      <formula>0</formula>
    </cfRule>
  </conditionalFormatting>
  <conditionalFormatting sqref="D23:S23">
    <cfRule type="cellIs" dxfId="176" priority="3" operator="greaterThan">
      <formula>0</formula>
    </cfRule>
  </conditionalFormatting>
  <conditionalFormatting sqref="D25:S25">
    <cfRule type="cellIs" dxfId="175" priority="2" operator="greaterThan">
      <formula>0</formula>
    </cfRule>
  </conditionalFormatting>
  <conditionalFormatting sqref="D27:S27">
    <cfRule type="cellIs" dxfId="174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22" sqref="I2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8" max="8" width="8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49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</row>
    <row r="2" spans="1:20" ht="15.75" thickBot="1" x14ac:dyDescent="0.3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</row>
    <row r="3" spans="1:20" ht="18.75" x14ac:dyDescent="0.25">
      <c r="A3" s="250" t="s">
        <v>57</v>
      </c>
      <c r="B3" s="251"/>
      <c r="C3" s="252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</row>
    <row r="4" spans="1:20" x14ac:dyDescent="0.25">
      <c r="A4" s="254" t="s">
        <v>1</v>
      </c>
      <c r="B4" s="254"/>
      <c r="C4" s="1"/>
      <c r="D4" s="2">
        <f>'2'!D29</f>
        <v>483072</v>
      </c>
      <c r="E4" s="2">
        <f>'2'!E29</f>
        <v>2590</v>
      </c>
      <c r="F4" s="2">
        <f>'2'!F29</f>
        <v>4930</v>
      </c>
      <c r="G4" s="2">
        <f>'2'!G29</f>
        <v>0</v>
      </c>
      <c r="H4" s="2">
        <f>'2'!H29</f>
        <v>27440</v>
      </c>
      <c r="I4" s="2">
        <f>'2'!I29</f>
        <v>594</v>
      </c>
      <c r="J4" s="2">
        <f>'2'!J29</f>
        <v>151</v>
      </c>
      <c r="K4" s="2">
        <f>'2'!K29</f>
        <v>482</v>
      </c>
      <c r="L4" s="2">
        <f>'2'!L29</f>
        <v>0</v>
      </c>
      <c r="M4" s="3"/>
      <c r="N4" s="255"/>
      <c r="O4" s="255"/>
      <c r="P4" s="255"/>
      <c r="Q4" s="255"/>
      <c r="R4" s="255"/>
      <c r="S4" s="255"/>
      <c r="T4" s="255"/>
    </row>
    <row r="5" spans="1:20" x14ac:dyDescent="0.25">
      <c r="A5" s="254" t="s">
        <v>2</v>
      </c>
      <c r="B5" s="254"/>
      <c r="C5" s="1"/>
      <c r="D5" s="1">
        <v>311688</v>
      </c>
      <c r="E5" s="4">
        <v>2000</v>
      </c>
      <c r="F5" s="4">
        <v>5000</v>
      </c>
      <c r="G5" s="4"/>
      <c r="H5" s="4">
        <v>5000</v>
      </c>
      <c r="I5" s="1">
        <v>500</v>
      </c>
      <c r="J5" s="1"/>
      <c r="K5" s="1"/>
      <c r="L5" s="1"/>
      <c r="M5" s="5"/>
      <c r="N5" s="255"/>
      <c r="O5" s="255"/>
      <c r="P5" s="255"/>
      <c r="Q5" s="255"/>
      <c r="R5" s="255"/>
      <c r="S5" s="255"/>
      <c r="T5" s="25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9173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9173</v>
      </c>
      <c r="N7" s="24">
        <f>D7+E7*20+F7*10+G7*9+H7*9+I7*191+J7*191+K7*182+L7*100</f>
        <v>9173</v>
      </c>
      <c r="O7" s="25">
        <f>M7*2.75%</f>
        <v>252.25749999999999</v>
      </c>
      <c r="P7" s="26">
        <v>500</v>
      </c>
      <c r="Q7" s="26">
        <v>81</v>
      </c>
      <c r="R7" s="24">
        <f>M7-(M7*2.75%)+I7*191+J7*191+K7*182+L7*100-Q7</f>
        <v>8839.7425000000003</v>
      </c>
      <c r="S7" s="25">
        <f>M7*0.95%</f>
        <v>87.143500000000003</v>
      </c>
      <c r="T7" s="27">
        <f>S7-Q7</f>
        <v>6.1435000000000031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6584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6584</v>
      </c>
      <c r="N8" s="24">
        <f t="shared" ref="N8:N27" si="1">D8+E8*20+F8*10+G8*9+H8*9+I8*191+J8*191+K8*182+L8*100</f>
        <v>6584</v>
      </c>
      <c r="O8" s="25">
        <f t="shared" ref="O8:O27" si="2">M8*2.75%</f>
        <v>181.06</v>
      </c>
      <c r="P8" s="26"/>
      <c r="Q8" s="26">
        <v>72</v>
      </c>
      <c r="R8" s="24">
        <f t="shared" ref="R8:R27" si="3">M8-(M8*2.75%)+I8*191+J8*191+K8*182+L8*100-Q8</f>
        <v>6330.94</v>
      </c>
      <c r="S8" s="25">
        <f t="shared" ref="S8:S27" si="4">M8*0.95%</f>
        <v>62.548000000000002</v>
      </c>
      <c r="T8" s="27">
        <f t="shared" ref="T8:T27" si="5">S8-Q8</f>
        <v>-9.4519999999999982</v>
      </c>
    </row>
    <row r="9" spans="1:20" ht="15.75" x14ac:dyDescent="0.25">
      <c r="A9" s="28">
        <v>3</v>
      </c>
      <c r="B9" s="20">
        <v>1908446136</v>
      </c>
      <c r="C9" s="57">
        <v>600</v>
      </c>
      <c r="D9" s="29">
        <v>23744</v>
      </c>
      <c r="E9" s="30"/>
      <c r="F9" s="30"/>
      <c r="G9" s="30"/>
      <c r="H9" s="30"/>
      <c r="I9" s="20">
        <v>3</v>
      </c>
      <c r="J9" s="20"/>
      <c r="K9" s="20">
        <v>3</v>
      </c>
      <c r="L9" s="20"/>
      <c r="M9" s="20">
        <f t="shared" si="0"/>
        <v>23744</v>
      </c>
      <c r="N9" s="24">
        <f t="shared" si="1"/>
        <v>24863</v>
      </c>
      <c r="O9" s="25">
        <f t="shared" si="2"/>
        <v>652.96</v>
      </c>
      <c r="P9" s="26">
        <v>-7000</v>
      </c>
      <c r="Q9" s="26">
        <v>160</v>
      </c>
      <c r="R9" s="24">
        <f t="shared" si="3"/>
        <v>24050.04</v>
      </c>
      <c r="S9" s="25">
        <f t="shared" si="4"/>
        <v>225.56799999999998</v>
      </c>
      <c r="T9" s="27">
        <f t="shared" si="5"/>
        <v>65.567999999999984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5146</v>
      </c>
      <c r="E10" s="30">
        <v>10</v>
      </c>
      <c r="F10" s="30"/>
      <c r="G10" s="30"/>
      <c r="H10" s="30"/>
      <c r="I10" s="20">
        <v>3</v>
      </c>
      <c r="J10" s="20"/>
      <c r="K10" s="20"/>
      <c r="L10" s="20"/>
      <c r="M10" s="20">
        <f t="shared" si="0"/>
        <v>5346</v>
      </c>
      <c r="N10" s="24">
        <f t="shared" si="1"/>
        <v>5919</v>
      </c>
      <c r="O10" s="25">
        <f t="shared" si="2"/>
        <v>147.01500000000001</v>
      </c>
      <c r="P10" s="26"/>
      <c r="Q10" s="26">
        <v>32</v>
      </c>
      <c r="R10" s="24">
        <f t="shared" si="3"/>
        <v>5739.9849999999997</v>
      </c>
      <c r="S10" s="25">
        <f t="shared" si="4"/>
        <v>50.786999999999999</v>
      </c>
      <c r="T10" s="27">
        <f t="shared" si="5"/>
        <v>18.786999999999999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4629</v>
      </c>
      <c r="E11" s="30"/>
      <c r="F11" s="30"/>
      <c r="G11" s="32"/>
      <c r="H11" s="30"/>
      <c r="I11" s="20">
        <v>4</v>
      </c>
      <c r="J11" s="20"/>
      <c r="K11" s="20"/>
      <c r="L11" s="20"/>
      <c r="M11" s="20">
        <f t="shared" si="0"/>
        <v>4629</v>
      </c>
      <c r="N11" s="24">
        <f t="shared" si="1"/>
        <v>5393</v>
      </c>
      <c r="O11" s="25">
        <f t="shared" si="2"/>
        <v>127.2975</v>
      </c>
      <c r="P11" s="26">
        <v>5500</v>
      </c>
      <c r="Q11" s="26">
        <v>36</v>
      </c>
      <c r="R11" s="24">
        <f t="shared" si="3"/>
        <v>5229.7025000000003</v>
      </c>
      <c r="S11" s="25">
        <f t="shared" si="4"/>
        <v>43.975499999999997</v>
      </c>
      <c r="T11" s="27">
        <f t="shared" si="5"/>
        <v>7.9754999999999967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6267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6267</v>
      </c>
      <c r="N12" s="24">
        <f t="shared" si="1"/>
        <v>6267</v>
      </c>
      <c r="O12" s="25">
        <f t="shared" si="2"/>
        <v>172.3425</v>
      </c>
      <c r="P12" s="26">
        <v>1100</v>
      </c>
      <c r="Q12" s="26">
        <v>34</v>
      </c>
      <c r="R12" s="24">
        <f t="shared" si="3"/>
        <v>6060.6575000000003</v>
      </c>
      <c r="S12" s="25">
        <f t="shared" si="4"/>
        <v>59.536499999999997</v>
      </c>
      <c r="T12" s="27">
        <f t="shared" si="5"/>
        <v>25.536499999999997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6024</v>
      </c>
      <c r="E13" s="30"/>
      <c r="F13" s="30"/>
      <c r="G13" s="30"/>
      <c r="H13" s="30">
        <v>300</v>
      </c>
      <c r="I13" s="20"/>
      <c r="J13" s="20"/>
      <c r="K13" s="20"/>
      <c r="L13" s="20"/>
      <c r="M13" s="20">
        <f t="shared" si="0"/>
        <v>8724</v>
      </c>
      <c r="N13" s="24">
        <f t="shared" si="1"/>
        <v>8724</v>
      </c>
      <c r="O13" s="25">
        <f t="shared" si="2"/>
        <v>239.91</v>
      </c>
      <c r="P13" s="26">
        <v>30</v>
      </c>
      <c r="Q13" s="26">
        <v>54</v>
      </c>
      <c r="R13" s="24">
        <f t="shared" si="3"/>
        <v>8430.09</v>
      </c>
      <c r="S13" s="25">
        <f t="shared" si="4"/>
        <v>82.878</v>
      </c>
      <c r="T13" s="27">
        <f t="shared" si="5"/>
        <v>28.878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7250</v>
      </c>
      <c r="E14" s="30"/>
      <c r="F14" s="30"/>
      <c r="G14" s="30"/>
      <c r="H14" s="30"/>
      <c r="I14" s="20">
        <v>9</v>
      </c>
      <c r="J14" s="20">
        <v>1</v>
      </c>
      <c r="K14" s="20"/>
      <c r="L14" s="20"/>
      <c r="M14" s="20">
        <f t="shared" si="0"/>
        <v>7250</v>
      </c>
      <c r="N14" s="24">
        <f t="shared" si="1"/>
        <v>9160</v>
      </c>
      <c r="O14" s="25">
        <f t="shared" si="2"/>
        <v>199.375</v>
      </c>
      <c r="P14" s="26"/>
      <c r="Q14" s="26">
        <v>141</v>
      </c>
      <c r="R14" s="24">
        <f t="shared" si="3"/>
        <v>8819.625</v>
      </c>
      <c r="S14" s="25">
        <f t="shared" si="4"/>
        <v>68.875</v>
      </c>
      <c r="T14" s="27">
        <f t="shared" si="5"/>
        <v>-72.125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14129</v>
      </c>
      <c r="E15" s="30"/>
      <c r="F15" s="30"/>
      <c r="G15" s="30"/>
      <c r="H15" s="30"/>
      <c r="I15" s="20">
        <v>25</v>
      </c>
      <c r="J15" s="20"/>
      <c r="K15" s="20">
        <v>15</v>
      </c>
      <c r="L15" s="20"/>
      <c r="M15" s="20">
        <f t="shared" si="0"/>
        <v>14129</v>
      </c>
      <c r="N15" s="24">
        <f t="shared" si="1"/>
        <v>21634</v>
      </c>
      <c r="O15" s="25">
        <f t="shared" si="2"/>
        <v>388.54750000000001</v>
      </c>
      <c r="P15" s="26">
        <v>20940</v>
      </c>
      <c r="Q15" s="26">
        <v>160</v>
      </c>
      <c r="R15" s="24">
        <f t="shared" si="3"/>
        <v>21085.452499999999</v>
      </c>
      <c r="S15" s="25">
        <f t="shared" si="4"/>
        <v>134.22549999999998</v>
      </c>
      <c r="T15" s="27">
        <f t="shared" si="5"/>
        <v>-25.774500000000018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13669</v>
      </c>
      <c r="E16" s="30">
        <v>40</v>
      </c>
      <c r="F16" s="30">
        <v>100</v>
      </c>
      <c r="G16" s="30"/>
      <c r="H16" s="30">
        <v>110</v>
      </c>
      <c r="I16" s="20"/>
      <c r="J16" s="20"/>
      <c r="K16" s="20"/>
      <c r="L16" s="20"/>
      <c r="M16" s="20">
        <f t="shared" si="0"/>
        <v>16459</v>
      </c>
      <c r="N16" s="24">
        <f t="shared" si="1"/>
        <v>16459</v>
      </c>
      <c r="O16" s="25">
        <f t="shared" si="2"/>
        <v>452.6225</v>
      </c>
      <c r="P16" s="26">
        <v>5500</v>
      </c>
      <c r="Q16" s="26">
        <v>97</v>
      </c>
      <c r="R16" s="24">
        <f t="shared" si="3"/>
        <v>15909.377500000001</v>
      </c>
      <c r="S16" s="25">
        <f t="shared" si="4"/>
        <v>156.3605</v>
      </c>
      <c r="T16" s="27">
        <f t="shared" si="5"/>
        <v>59.360500000000002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6173</v>
      </c>
      <c r="E17" s="30">
        <v>50</v>
      </c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9073</v>
      </c>
      <c r="N17" s="24">
        <f t="shared" si="1"/>
        <v>9073</v>
      </c>
      <c r="O17" s="25">
        <f t="shared" si="2"/>
        <v>249.50749999999999</v>
      </c>
      <c r="P17" s="26">
        <v>161</v>
      </c>
      <c r="Q17" s="26">
        <v>73</v>
      </c>
      <c r="R17" s="24">
        <f t="shared" si="3"/>
        <v>8750.4925000000003</v>
      </c>
      <c r="S17" s="25">
        <f t="shared" si="4"/>
        <v>86.1935</v>
      </c>
      <c r="T17" s="27">
        <f t="shared" si="5"/>
        <v>13.1935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4626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4626</v>
      </c>
      <c r="N18" s="24">
        <f t="shared" si="1"/>
        <v>4626</v>
      </c>
      <c r="O18" s="25">
        <f t="shared" si="2"/>
        <v>127.215</v>
      </c>
      <c r="P18" s="26"/>
      <c r="Q18" s="26"/>
      <c r="R18" s="24">
        <f t="shared" si="3"/>
        <v>4498.7849999999999</v>
      </c>
      <c r="S18" s="25">
        <f t="shared" si="4"/>
        <v>43.946999999999996</v>
      </c>
      <c r="T18" s="27">
        <f t="shared" si="5"/>
        <v>43.946999999999996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4424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4424</v>
      </c>
      <c r="N19" s="24">
        <f t="shared" si="1"/>
        <v>4424</v>
      </c>
      <c r="O19" s="25">
        <f t="shared" si="2"/>
        <v>121.66</v>
      </c>
      <c r="P19" s="26"/>
      <c r="Q19" s="26">
        <v>102</v>
      </c>
      <c r="R19" s="24">
        <f t="shared" si="3"/>
        <v>4200.34</v>
      </c>
      <c r="S19" s="25">
        <f t="shared" si="4"/>
        <v>42.027999999999999</v>
      </c>
      <c r="T19" s="27">
        <f t="shared" si="5"/>
        <v>-59.972000000000001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5669</v>
      </c>
      <c r="E20" s="30">
        <v>10</v>
      </c>
      <c r="F20" s="30">
        <v>20</v>
      </c>
      <c r="G20" s="30"/>
      <c r="H20" s="30">
        <v>30</v>
      </c>
      <c r="I20" s="20"/>
      <c r="J20" s="20"/>
      <c r="K20" s="20"/>
      <c r="L20" s="20"/>
      <c r="M20" s="20">
        <f t="shared" si="0"/>
        <v>6339</v>
      </c>
      <c r="N20" s="24">
        <f t="shared" si="1"/>
        <v>6339</v>
      </c>
      <c r="O20" s="25">
        <f t="shared" si="2"/>
        <v>174.32249999999999</v>
      </c>
      <c r="P20" s="26">
        <v>568</v>
      </c>
      <c r="Q20" s="26">
        <v>120</v>
      </c>
      <c r="R20" s="24">
        <f t="shared" si="3"/>
        <v>6044.6774999999998</v>
      </c>
      <c r="S20" s="25">
        <f t="shared" si="4"/>
        <v>60.220500000000001</v>
      </c>
      <c r="T20" s="27">
        <f t="shared" si="5"/>
        <v>-59.779499999999999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5253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5253</v>
      </c>
      <c r="N21" s="24">
        <f t="shared" si="1"/>
        <v>5253</v>
      </c>
      <c r="O21" s="25">
        <f t="shared" si="2"/>
        <v>144.45750000000001</v>
      </c>
      <c r="P21" s="26">
        <v>250</v>
      </c>
      <c r="Q21" s="26">
        <v>28</v>
      </c>
      <c r="R21" s="24">
        <f t="shared" si="3"/>
        <v>5080.5424999999996</v>
      </c>
      <c r="S21" s="25">
        <f t="shared" si="4"/>
        <v>49.903500000000001</v>
      </c>
      <c r="T21" s="27">
        <f t="shared" si="5"/>
        <v>21.903500000000001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16884</v>
      </c>
      <c r="E22" s="30"/>
      <c r="F22" s="30"/>
      <c r="G22" s="20"/>
      <c r="H22" s="30"/>
      <c r="I22" s="20">
        <v>7</v>
      </c>
      <c r="J22" s="20"/>
      <c r="K22" s="20"/>
      <c r="L22" s="20"/>
      <c r="M22" s="20">
        <f t="shared" si="0"/>
        <v>16884</v>
      </c>
      <c r="N22" s="24">
        <f t="shared" si="1"/>
        <v>18221</v>
      </c>
      <c r="O22" s="25">
        <f t="shared" si="2"/>
        <v>464.31</v>
      </c>
      <c r="P22" s="26"/>
      <c r="Q22" s="26">
        <v>150</v>
      </c>
      <c r="R22" s="24">
        <f t="shared" si="3"/>
        <v>17606.689999999999</v>
      </c>
      <c r="S22" s="25">
        <f t="shared" si="4"/>
        <v>160.398</v>
      </c>
      <c r="T22" s="27">
        <f t="shared" si="5"/>
        <v>10.397999999999996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8084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8084</v>
      </c>
      <c r="N23" s="24">
        <f t="shared" si="1"/>
        <v>8084</v>
      </c>
      <c r="O23" s="25">
        <f t="shared" si="2"/>
        <v>222.31</v>
      </c>
      <c r="P23" s="26">
        <v>33835</v>
      </c>
      <c r="Q23" s="26">
        <v>80</v>
      </c>
      <c r="R23" s="24">
        <f t="shared" si="3"/>
        <v>7781.69</v>
      </c>
      <c r="S23" s="25">
        <f t="shared" si="4"/>
        <v>76.798000000000002</v>
      </c>
      <c r="T23" s="27">
        <f t="shared" si="5"/>
        <v>-3.2019999999999982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20571</v>
      </c>
      <c r="E24" s="30"/>
      <c r="F24" s="30">
        <v>50</v>
      </c>
      <c r="G24" s="30"/>
      <c r="H24" s="30">
        <v>60</v>
      </c>
      <c r="I24" s="20">
        <v>9</v>
      </c>
      <c r="J24" s="20"/>
      <c r="K24" s="20">
        <v>8</v>
      </c>
      <c r="L24" s="20"/>
      <c r="M24" s="20">
        <f t="shared" si="0"/>
        <v>21611</v>
      </c>
      <c r="N24" s="24">
        <f t="shared" si="1"/>
        <v>24786</v>
      </c>
      <c r="O24" s="25">
        <f t="shared" si="2"/>
        <v>594.30250000000001</v>
      </c>
      <c r="P24" s="26">
        <v>5500</v>
      </c>
      <c r="Q24" s="26">
        <v>131</v>
      </c>
      <c r="R24" s="24">
        <f t="shared" si="3"/>
        <v>24060.697499999998</v>
      </c>
      <c r="S24" s="25">
        <f t="shared" si="4"/>
        <v>205.30449999999999</v>
      </c>
      <c r="T24" s="27">
        <f t="shared" si="5"/>
        <v>74.30449999999999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7762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7762</v>
      </c>
      <c r="N25" s="24">
        <f t="shared" si="1"/>
        <v>7762</v>
      </c>
      <c r="O25" s="25">
        <f t="shared" si="2"/>
        <v>213.45500000000001</v>
      </c>
      <c r="P25" s="26"/>
      <c r="Q25" s="26">
        <v>79</v>
      </c>
      <c r="R25" s="24">
        <f t="shared" si="3"/>
        <v>7469.5450000000001</v>
      </c>
      <c r="S25" s="25">
        <f t="shared" si="4"/>
        <v>73.739000000000004</v>
      </c>
      <c r="T25" s="27">
        <f t="shared" si="5"/>
        <v>-5.2609999999999957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2056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2056</v>
      </c>
      <c r="N26" s="24">
        <f t="shared" si="1"/>
        <v>2056</v>
      </c>
      <c r="O26" s="25">
        <f t="shared" si="2"/>
        <v>56.54</v>
      </c>
      <c r="P26" s="26"/>
      <c r="Q26" s="26"/>
      <c r="R26" s="24">
        <f t="shared" si="3"/>
        <v>1999.46</v>
      </c>
      <c r="S26" s="25">
        <f t="shared" si="4"/>
        <v>19.532</v>
      </c>
      <c r="T26" s="27">
        <f t="shared" si="5"/>
        <v>19.532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5773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5773</v>
      </c>
      <c r="N27" s="40">
        <f t="shared" si="1"/>
        <v>5773</v>
      </c>
      <c r="O27" s="25">
        <f t="shared" si="2"/>
        <v>158.75749999999999</v>
      </c>
      <c r="P27" s="41">
        <v>23000</v>
      </c>
      <c r="Q27" s="41">
        <v>100</v>
      </c>
      <c r="R27" s="24">
        <f t="shared" si="3"/>
        <v>5514.2425000000003</v>
      </c>
      <c r="S27" s="42">
        <f t="shared" si="4"/>
        <v>54.843499999999999</v>
      </c>
      <c r="T27" s="43">
        <f t="shared" si="5"/>
        <v>-45.156500000000001</v>
      </c>
    </row>
    <row r="28" spans="1:20" ht="16.5" thickBot="1" x14ac:dyDescent="0.3">
      <c r="A28" s="240" t="s">
        <v>44</v>
      </c>
      <c r="B28" s="241"/>
      <c r="C28" s="242"/>
      <c r="D28" s="44">
        <f t="shared" ref="D28:E28" si="6">SUM(D7:D27)</f>
        <v>183890</v>
      </c>
      <c r="E28" s="45">
        <f t="shared" si="6"/>
        <v>110</v>
      </c>
      <c r="F28" s="45">
        <f t="shared" ref="F28:T28" si="7">SUM(F7:F27)</f>
        <v>270</v>
      </c>
      <c r="G28" s="45">
        <f t="shared" si="7"/>
        <v>0</v>
      </c>
      <c r="H28" s="45">
        <f t="shared" si="7"/>
        <v>600</v>
      </c>
      <c r="I28" s="45">
        <f t="shared" si="7"/>
        <v>60</v>
      </c>
      <c r="J28" s="45">
        <f t="shared" si="7"/>
        <v>1</v>
      </c>
      <c r="K28" s="45">
        <f t="shared" si="7"/>
        <v>26</v>
      </c>
      <c r="L28" s="45">
        <f t="shared" si="7"/>
        <v>0</v>
      </c>
      <c r="M28" s="45">
        <f t="shared" si="7"/>
        <v>194190</v>
      </c>
      <c r="N28" s="45">
        <f t="shared" si="7"/>
        <v>210573</v>
      </c>
      <c r="O28" s="46">
        <f t="shared" si="7"/>
        <v>5340.2250000000004</v>
      </c>
      <c r="P28" s="45">
        <f t="shared" si="7"/>
        <v>89884</v>
      </c>
      <c r="Q28" s="45">
        <f t="shared" si="7"/>
        <v>1730</v>
      </c>
      <c r="R28" s="45">
        <f t="shared" si="7"/>
        <v>203502.77500000002</v>
      </c>
      <c r="S28" s="45">
        <f t="shared" si="7"/>
        <v>1844.8049999999996</v>
      </c>
      <c r="T28" s="47">
        <f t="shared" si="7"/>
        <v>114.80499999999995</v>
      </c>
    </row>
    <row r="29" spans="1:20" ht="15.75" thickBot="1" x14ac:dyDescent="0.3">
      <c r="A29" s="243" t="s">
        <v>45</v>
      </c>
      <c r="B29" s="244"/>
      <c r="C29" s="245"/>
      <c r="D29" s="48">
        <f>D4+D5-D28</f>
        <v>610870</v>
      </c>
      <c r="E29" s="48">
        <f t="shared" ref="E29:L29" si="8">E4+E5-E28</f>
        <v>4480</v>
      </c>
      <c r="F29" s="48">
        <f t="shared" si="8"/>
        <v>9660</v>
      </c>
      <c r="G29" s="48">
        <f t="shared" si="8"/>
        <v>0</v>
      </c>
      <c r="H29" s="48">
        <f t="shared" si="8"/>
        <v>31840</v>
      </c>
      <c r="I29" s="48">
        <f t="shared" si="8"/>
        <v>1034</v>
      </c>
      <c r="J29" s="48">
        <f t="shared" si="8"/>
        <v>150</v>
      </c>
      <c r="K29" s="48">
        <f t="shared" si="8"/>
        <v>456</v>
      </c>
      <c r="L29" s="48">
        <f t="shared" si="8"/>
        <v>0</v>
      </c>
      <c r="M29" s="246"/>
      <c r="N29" s="247"/>
      <c r="O29" s="247"/>
      <c r="P29" s="247"/>
      <c r="Q29" s="247"/>
      <c r="R29" s="247"/>
      <c r="S29" s="247"/>
      <c r="T29" s="24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>
        <v>600</v>
      </c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40" priority="43" operator="equal">
      <formula>212030016606640</formula>
    </cfRule>
  </conditionalFormatting>
  <conditionalFormatting sqref="D29 E4:E6 E28:K29">
    <cfRule type="cellIs" dxfId="1339" priority="41" operator="equal">
      <formula>$E$4</formula>
    </cfRule>
    <cfRule type="cellIs" dxfId="1338" priority="42" operator="equal">
      <formula>2120</formula>
    </cfRule>
  </conditionalFormatting>
  <conditionalFormatting sqref="D29:E29 F4:F6 F28:F29">
    <cfRule type="cellIs" dxfId="1337" priority="39" operator="equal">
      <formula>$F$4</formula>
    </cfRule>
    <cfRule type="cellIs" dxfId="1336" priority="40" operator="equal">
      <formula>300</formula>
    </cfRule>
  </conditionalFormatting>
  <conditionalFormatting sqref="G4:G6 G28:G29">
    <cfRule type="cellIs" dxfId="1335" priority="37" operator="equal">
      <formula>$G$4</formula>
    </cfRule>
    <cfRule type="cellIs" dxfId="1334" priority="38" operator="equal">
      <formula>1660</formula>
    </cfRule>
  </conditionalFormatting>
  <conditionalFormatting sqref="H4:H6 H28:H29">
    <cfRule type="cellIs" dxfId="1333" priority="35" operator="equal">
      <formula>$H$4</formula>
    </cfRule>
    <cfRule type="cellIs" dxfId="1332" priority="36" operator="equal">
      <formula>6640</formula>
    </cfRule>
  </conditionalFormatting>
  <conditionalFormatting sqref="T6:T28">
    <cfRule type="cellIs" dxfId="1331" priority="34" operator="lessThan">
      <formula>0</formula>
    </cfRule>
  </conditionalFormatting>
  <conditionalFormatting sqref="T7:T27">
    <cfRule type="cellIs" dxfId="1330" priority="31" operator="lessThan">
      <formula>0</formula>
    </cfRule>
    <cfRule type="cellIs" dxfId="1329" priority="32" operator="lessThan">
      <formula>0</formula>
    </cfRule>
    <cfRule type="cellIs" dxfId="1328" priority="33" operator="lessThan">
      <formula>0</formula>
    </cfRule>
  </conditionalFormatting>
  <conditionalFormatting sqref="E4:E6 E28:K28">
    <cfRule type="cellIs" dxfId="1327" priority="30" operator="equal">
      <formula>$E$4</formula>
    </cfRule>
  </conditionalFormatting>
  <conditionalFormatting sqref="D28:D29 D6 D4:M4">
    <cfRule type="cellIs" dxfId="1326" priority="29" operator="equal">
      <formula>$D$4</formula>
    </cfRule>
  </conditionalFormatting>
  <conditionalFormatting sqref="I4:I6 I28:I29">
    <cfRule type="cellIs" dxfId="1325" priority="28" operator="equal">
      <formula>$I$4</formula>
    </cfRule>
  </conditionalFormatting>
  <conditionalFormatting sqref="J4:J6 J28:J29">
    <cfRule type="cellIs" dxfId="1324" priority="27" operator="equal">
      <formula>$J$4</formula>
    </cfRule>
  </conditionalFormatting>
  <conditionalFormatting sqref="K4:K6 K28:K29">
    <cfRule type="cellIs" dxfId="1323" priority="26" operator="equal">
      <formula>$K$4</formula>
    </cfRule>
  </conditionalFormatting>
  <conditionalFormatting sqref="M4:M6">
    <cfRule type="cellIs" dxfId="1322" priority="25" operator="equal">
      <formula>$L$4</formula>
    </cfRule>
  </conditionalFormatting>
  <conditionalFormatting sqref="T7:T28">
    <cfRule type="cellIs" dxfId="1321" priority="22" operator="lessThan">
      <formula>0</formula>
    </cfRule>
    <cfRule type="cellIs" dxfId="1320" priority="23" operator="lessThan">
      <formula>0</formula>
    </cfRule>
    <cfRule type="cellIs" dxfId="1319" priority="24" operator="lessThan">
      <formula>0</formula>
    </cfRule>
  </conditionalFormatting>
  <conditionalFormatting sqref="D5:K5">
    <cfRule type="cellIs" dxfId="1318" priority="21" operator="greaterThan">
      <formula>0</formula>
    </cfRule>
  </conditionalFormatting>
  <conditionalFormatting sqref="T6:T28">
    <cfRule type="cellIs" dxfId="1317" priority="20" operator="lessThan">
      <formula>0</formula>
    </cfRule>
  </conditionalFormatting>
  <conditionalFormatting sqref="T7:T27">
    <cfRule type="cellIs" dxfId="1316" priority="17" operator="lessThan">
      <formula>0</formula>
    </cfRule>
    <cfRule type="cellIs" dxfId="1315" priority="18" operator="lessThan">
      <formula>0</formula>
    </cfRule>
    <cfRule type="cellIs" dxfId="1314" priority="19" operator="lessThan">
      <formula>0</formula>
    </cfRule>
  </conditionalFormatting>
  <conditionalFormatting sqref="T7:T28">
    <cfRule type="cellIs" dxfId="1313" priority="14" operator="lessThan">
      <formula>0</formula>
    </cfRule>
    <cfRule type="cellIs" dxfId="1312" priority="15" operator="lessThan">
      <formula>0</formula>
    </cfRule>
    <cfRule type="cellIs" dxfId="1311" priority="16" operator="lessThan">
      <formula>0</formula>
    </cfRule>
  </conditionalFormatting>
  <conditionalFormatting sqref="D5:K5">
    <cfRule type="cellIs" dxfId="1310" priority="13" operator="greaterThan">
      <formula>0</formula>
    </cfRule>
  </conditionalFormatting>
  <conditionalFormatting sqref="L4 L6 L28:L29">
    <cfRule type="cellIs" dxfId="1309" priority="12" operator="equal">
      <formula>$L$4</formula>
    </cfRule>
  </conditionalFormatting>
  <conditionalFormatting sqref="D7:S7">
    <cfRule type="cellIs" dxfId="1308" priority="11" operator="greaterThan">
      <formula>0</formula>
    </cfRule>
  </conditionalFormatting>
  <conditionalFormatting sqref="D9:S9">
    <cfRule type="cellIs" dxfId="1307" priority="10" operator="greaterThan">
      <formula>0</formula>
    </cfRule>
  </conditionalFormatting>
  <conditionalFormatting sqref="D11:S11">
    <cfRule type="cellIs" dxfId="1306" priority="9" operator="greaterThan">
      <formula>0</formula>
    </cfRule>
  </conditionalFormatting>
  <conditionalFormatting sqref="D13:S13">
    <cfRule type="cellIs" dxfId="1305" priority="8" operator="greaterThan">
      <formula>0</formula>
    </cfRule>
  </conditionalFormatting>
  <conditionalFormatting sqref="D15:S15">
    <cfRule type="cellIs" dxfId="1304" priority="7" operator="greaterThan">
      <formula>0</formula>
    </cfRule>
  </conditionalFormatting>
  <conditionalFormatting sqref="D17:S17">
    <cfRule type="cellIs" dxfId="1303" priority="6" operator="greaterThan">
      <formula>0</formula>
    </cfRule>
  </conditionalFormatting>
  <conditionalFormatting sqref="D19:S19">
    <cfRule type="cellIs" dxfId="1302" priority="5" operator="greaterThan">
      <formula>0</formula>
    </cfRule>
  </conditionalFormatting>
  <conditionalFormatting sqref="D21:S21">
    <cfRule type="cellIs" dxfId="1301" priority="4" operator="greaterThan">
      <formula>0</formula>
    </cfRule>
  </conditionalFormatting>
  <conditionalFormatting sqref="D23:S23">
    <cfRule type="cellIs" dxfId="1300" priority="3" operator="greaterThan">
      <formula>0</formula>
    </cfRule>
  </conditionalFormatting>
  <conditionalFormatting sqref="D25:S25">
    <cfRule type="cellIs" dxfId="1299" priority="2" operator="greaterThan">
      <formula>0</formula>
    </cfRule>
  </conditionalFormatting>
  <conditionalFormatting sqref="D27:S27">
    <cfRule type="cellIs" dxfId="1298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49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</row>
    <row r="2" spans="1:20" ht="15.75" thickBot="1" x14ac:dyDescent="0.3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</row>
    <row r="3" spans="1:20" ht="18.75" x14ac:dyDescent="0.25">
      <c r="A3" s="250" t="s">
        <v>47</v>
      </c>
      <c r="B3" s="251"/>
      <c r="C3" s="252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</row>
    <row r="4" spans="1:20" x14ac:dyDescent="0.25">
      <c r="A4" s="254" t="s">
        <v>1</v>
      </c>
      <c r="B4" s="254"/>
      <c r="C4" s="1"/>
      <c r="D4" s="2">
        <f>'29'!D29</f>
        <v>773882</v>
      </c>
      <c r="E4" s="2">
        <f>'29'!E29</f>
        <v>8165</v>
      </c>
      <c r="F4" s="2">
        <f>'29'!F29</f>
        <v>17270</v>
      </c>
      <c r="G4" s="2">
        <f>'29'!G29</f>
        <v>580</v>
      </c>
      <c r="H4" s="2">
        <f>'29'!H29</f>
        <v>35520</v>
      </c>
      <c r="I4" s="2">
        <f>'29'!I29</f>
        <v>1005</v>
      </c>
      <c r="J4" s="2">
        <f>'29'!J29</f>
        <v>595</v>
      </c>
      <c r="K4" s="2">
        <f>'29'!K29</f>
        <v>625</v>
      </c>
      <c r="L4" s="2">
        <f>'29'!L29</f>
        <v>0</v>
      </c>
      <c r="M4" s="3"/>
      <c r="N4" s="255"/>
      <c r="O4" s="255"/>
      <c r="P4" s="255"/>
      <c r="Q4" s="255"/>
      <c r="R4" s="255"/>
      <c r="S4" s="255"/>
      <c r="T4" s="255"/>
    </row>
    <row r="5" spans="1:20" x14ac:dyDescent="0.25">
      <c r="A5" s="254" t="s">
        <v>2</v>
      </c>
      <c r="B5" s="25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5"/>
      <c r="O5" s="255"/>
      <c r="P5" s="255"/>
      <c r="Q5" s="255"/>
      <c r="R5" s="255"/>
      <c r="S5" s="255"/>
      <c r="T5" s="25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40" t="s">
        <v>44</v>
      </c>
      <c r="B28" s="241"/>
      <c r="C28" s="24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43" t="s">
        <v>45</v>
      </c>
      <c r="B29" s="244"/>
      <c r="C29" s="245"/>
      <c r="D29" s="48">
        <f>D4+D5-D28</f>
        <v>773882</v>
      </c>
      <c r="E29" s="48">
        <f t="shared" ref="E29:L29" si="8">E4+E5-E28</f>
        <v>8165</v>
      </c>
      <c r="F29" s="48">
        <f t="shared" si="8"/>
        <v>17270</v>
      </c>
      <c r="G29" s="48">
        <f t="shared" si="8"/>
        <v>580</v>
      </c>
      <c r="H29" s="48">
        <f t="shared" si="8"/>
        <v>35520</v>
      </c>
      <c r="I29" s="48">
        <f t="shared" si="8"/>
        <v>1005</v>
      </c>
      <c r="J29" s="48">
        <f t="shared" si="8"/>
        <v>595</v>
      </c>
      <c r="K29" s="48">
        <f t="shared" si="8"/>
        <v>625</v>
      </c>
      <c r="L29" s="48">
        <f t="shared" si="8"/>
        <v>0</v>
      </c>
      <c r="M29" s="246"/>
      <c r="N29" s="247"/>
      <c r="O29" s="247"/>
      <c r="P29" s="247"/>
      <c r="Q29" s="247"/>
      <c r="R29" s="247"/>
      <c r="S29" s="247"/>
      <c r="T29" s="24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3" priority="43" operator="equal">
      <formula>212030016606640</formula>
    </cfRule>
  </conditionalFormatting>
  <conditionalFormatting sqref="D29 E4:E6 E28:K29">
    <cfRule type="cellIs" dxfId="172" priority="41" operator="equal">
      <formula>$E$4</formula>
    </cfRule>
    <cfRule type="cellIs" dxfId="171" priority="42" operator="equal">
      <formula>2120</formula>
    </cfRule>
  </conditionalFormatting>
  <conditionalFormatting sqref="D29:E29 F4:F6 F28:F29">
    <cfRule type="cellIs" dxfId="170" priority="39" operator="equal">
      <formula>$F$4</formula>
    </cfRule>
    <cfRule type="cellIs" dxfId="169" priority="40" operator="equal">
      <formula>300</formula>
    </cfRule>
  </conditionalFormatting>
  <conditionalFormatting sqref="G4:G6 G28:G29">
    <cfRule type="cellIs" dxfId="168" priority="37" operator="equal">
      <formula>$G$4</formula>
    </cfRule>
    <cfRule type="cellIs" dxfId="167" priority="38" operator="equal">
      <formula>1660</formula>
    </cfRule>
  </conditionalFormatting>
  <conditionalFormatting sqref="H4:H6 H28:H29">
    <cfRule type="cellIs" dxfId="166" priority="35" operator="equal">
      <formula>$H$4</formula>
    </cfRule>
    <cfRule type="cellIs" dxfId="165" priority="36" operator="equal">
      <formula>6640</formula>
    </cfRule>
  </conditionalFormatting>
  <conditionalFormatting sqref="T6:T28">
    <cfRule type="cellIs" dxfId="164" priority="34" operator="lessThan">
      <formula>0</formula>
    </cfRule>
  </conditionalFormatting>
  <conditionalFormatting sqref="T7:T27">
    <cfRule type="cellIs" dxfId="163" priority="31" operator="lessThan">
      <formula>0</formula>
    </cfRule>
    <cfRule type="cellIs" dxfId="162" priority="32" operator="lessThan">
      <formula>0</formula>
    </cfRule>
    <cfRule type="cellIs" dxfId="161" priority="33" operator="lessThan">
      <formula>0</formula>
    </cfRule>
  </conditionalFormatting>
  <conditionalFormatting sqref="E4:E6 E28:K28">
    <cfRule type="cellIs" dxfId="160" priority="30" operator="equal">
      <formula>$E$4</formula>
    </cfRule>
  </conditionalFormatting>
  <conditionalFormatting sqref="D28:D29 D6 D4:M4">
    <cfRule type="cellIs" dxfId="159" priority="29" operator="equal">
      <formula>$D$4</formula>
    </cfRule>
  </conditionalFormatting>
  <conditionalFormatting sqref="I4:I6 I28:I29">
    <cfRule type="cellIs" dxfId="158" priority="28" operator="equal">
      <formula>$I$4</formula>
    </cfRule>
  </conditionalFormatting>
  <conditionalFormatting sqref="J4:J6 J28:J29">
    <cfRule type="cellIs" dxfId="157" priority="27" operator="equal">
      <formula>$J$4</formula>
    </cfRule>
  </conditionalFormatting>
  <conditionalFormatting sqref="K4:K6 K28:K29">
    <cfRule type="cellIs" dxfId="156" priority="26" operator="equal">
      <formula>$K$4</formula>
    </cfRule>
  </conditionalFormatting>
  <conditionalFormatting sqref="M4:M6">
    <cfRule type="cellIs" dxfId="155" priority="25" operator="equal">
      <formula>$L$4</formula>
    </cfRule>
  </conditionalFormatting>
  <conditionalFormatting sqref="T7:T28">
    <cfRule type="cellIs" dxfId="154" priority="22" operator="lessThan">
      <formula>0</formula>
    </cfRule>
    <cfRule type="cellIs" dxfId="153" priority="23" operator="lessThan">
      <formula>0</formula>
    </cfRule>
    <cfRule type="cellIs" dxfId="152" priority="24" operator="lessThan">
      <formula>0</formula>
    </cfRule>
  </conditionalFormatting>
  <conditionalFormatting sqref="D5:K5">
    <cfRule type="cellIs" dxfId="151" priority="21" operator="greaterThan">
      <formula>0</formula>
    </cfRule>
  </conditionalFormatting>
  <conditionalFormatting sqref="T6:T28">
    <cfRule type="cellIs" dxfId="150" priority="20" operator="lessThan">
      <formula>0</formula>
    </cfRule>
  </conditionalFormatting>
  <conditionalFormatting sqref="T7:T27">
    <cfRule type="cellIs" dxfId="149" priority="17" operator="lessThan">
      <formula>0</formula>
    </cfRule>
    <cfRule type="cellIs" dxfId="148" priority="18" operator="lessThan">
      <formula>0</formula>
    </cfRule>
    <cfRule type="cellIs" dxfId="147" priority="19" operator="lessThan">
      <formula>0</formula>
    </cfRule>
  </conditionalFormatting>
  <conditionalFormatting sqref="T7:T28">
    <cfRule type="cellIs" dxfId="146" priority="14" operator="lessThan">
      <formula>0</formula>
    </cfRule>
    <cfRule type="cellIs" dxfId="145" priority="15" operator="lessThan">
      <formula>0</formula>
    </cfRule>
    <cfRule type="cellIs" dxfId="144" priority="16" operator="lessThan">
      <formula>0</formula>
    </cfRule>
  </conditionalFormatting>
  <conditionalFormatting sqref="D5:K5">
    <cfRule type="cellIs" dxfId="143" priority="13" operator="greaterThan">
      <formula>0</formula>
    </cfRule>
  </conditionalFormatting>
  <conditionalFormatting sqref="L4 L6 L28:L29">
    <cfRule type="cellIs" dxfId="142" priority="12" operator="equal">
      <formula>$L$4</formula>
    </cfRule>
  </conditionalFormatting>
  <conditionalFormatting sqref="D7:S7">
    <cfRule type="cellIs" dxfId="141" priority="11" operator="greaterThan">
      <formula>0</formula>
    </cfRule>
  </conditionalFormatting>
  <conditionalFormatting sqref="D9:S9">
    <cfRule type="cellIs" dxfId="140" priority="10" operator="greaterThan">
      <formula>0</formula>
    </cfRule>
  </conditionalFormatting>
  <conditionalFormatting sqref="D11:S11">
    <cfRule type="cellIs" dxfId="139" priority="9" operator="greaterThan">
      <formula>0</formula>
    </cfRule>
  </conditionalFormatting>
  <conditionalFormatting sqref="D13:S13">
    <cfRule type="cellIs" dxfId="138" priority="8" operator="greaterThan">
      <formula>0</formula>
    </cfRule>
  </conditionalFormatting>
  <conditionalFormatting sqref="D15:S15">
    <cfRule type="cellIs" dxfId="137" priority="7" operator="greaterThan">
      <formula>0</formula>
    </cfRule>
  </conditionalFormatting>
  <conditionalFormatting sqref="D17:S17">
    <cfRule type="cellIs" dxfId="136" priority="6" operator="greaterThan">
      <formula>0</formula>
    </cfRule>
  </conditionalFormatting>
  <conditionalFormatting sqref="D19:S19">
    <cfRule type="cellIs" dxfId="135" priority="5" operator="greaterThan">
      <formula>0</formula>
    </cfRule>
  </conditionalFormatting>
  <conditionalFormatting sqref="D21:S21">
    <cfRule type="cellIs" dxfId="134" priority="4" operator="greaterThan">
      <formula>0</formula>
    </cfRule>
  </conditionalFormatting>
  <conditionalFormatting sqref="D23:S23">
    <cfRule type="cellIs" dxfId="133" priority="3" operator="greaterThan">
      <formula>0</formula>
    </cfRule>
  </conditionalFormatting>
  <conditionalFormatting sqref="D25:S25">
    <cfRule type="cellIs" dxfId="132" priority="2" operator="greaterThan">
      <formula>0</formula>
    </cfRule>
  </conditionalFormatting>
  <conditionalFormatting sqref="D27:S27">
    <cfRule type="cellIs" dxfId="131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49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</row>
    <row r="2" spans="1:20" ht="15.75" thickBot="1" x14ac:dyDescent="0.3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</row>
    <row r="3" spans="1:20" ht="18.75" x14ac:dyDescent="0.25">
      <c r="A3" s="250" t="s">
        <v>47</v>
      </c>
      <c r="B3" s="251"/>
      <c r="C3" s="252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</row>
    <row r="4" spans="1:20" x14ac:dyDescent="0.25">
      <c r="A4" s="254" t="s">
        <v>1</v>
      </c>
      <c r="B4" s="254"/>
      <c r="C4" s="1"/>
      <c r="D4" s="2">
        <f>'30'!D29</f>
        <v>773882</v>
      </c>
      <c r="E4" s="2">
        <f>'30'!E29</f>
        <v>8165</v>
      </c>
      <c r="F4" s="2">
        <f>'30'!F29</f>
        <v>17270</v>
      </c>
      <c r="G4" s="2">
        <f>'30'!G29</f>
        <v>580</v>
      </c>
      <c r="H4" s="2">
        <f>'30'!H29</f>
        <v>35520</v>
      </c>
      <c r="I4" s="2">
        <f>'30'!I29</f>
        <v>1005</v>
      </c>
      <c r="J4" s="2">
        <f>'30'!J29</f>
        <v>595</v>
      </c>
      <c r="K4" s="2">
        <f>'30'!K29</f>
        <v>625</v>
      </c>
      <c r="L4" s="2">
        <f>'30'!L29</f>
        <v>0</v>
      </c>
      <c r="M4" s="3"/>
      <c r="N4" s="255"/>
      <c r="O4" s="255"/>
      <c r="P4" s="255"/>
      <c r="Q4" s="255"/>
      <c r="R4" s="255"/>
      <c r="S4" s="255"/>
      <c r="T4" s="255"/>
    </row>
    <row r="5" spans="1:20" x14ac:dyDescent="0.25">
      <c r="A5" s="254" t="s">
        <v>2</v>
      </c>
      <c r="B5" s="25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5"/>
      <c r="O5" s="255"/>
      <c r="P5" s="255"/>
      <c r="Q5" s="255"/>
      <c r="R5" s="255"/>
      <c r="S5" s="255"/>
      <c r="T5" s="25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40" t="s">
        <v>44</v>
      </c>
      <c r="B28" s="241"/>
      <c r="C28" s="24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43" t="s">
        <v>45</v>
      </c>
      <c r="B29" s="244"/>
      <c r="C29" s="245"/>
      <c r="D29" s="48">
        <f>D4+D5-D28</f>
        <v>773882</v>
      </c>
      <c r="E29" s="48">
        <f t="shared" ref="E29:L29" si="8">E4+E5-E28</f>
        <v>8165</v>
      </c>
      <c r="F29" s="48">
        <f t="shared" si="8"/>
        <v>17270</v>
      </c>
      <c r="G29" s="48">
        <f t="shared" si="8"/>
        <v>580</v>
      </c>
      <c r="H29" s="48">
        <f t="shared" si="8"/>
        <v>35520</v>
      </c>
      <c r="I29" s="48">
        <f t="shared" si="8"/>
        <v>1005</v>
      </c>
      <c r="J29" s="48">
        <f t="shared" si="8"/>
        <v>595</v>
      </c>
      <c r="K29" s="48">
        <f t="shared" si="8"/>
        <v>625</v>
      </c>
      <c r="L29" s="48">
        <f t="shared" si="8"/>
        <v>0</v>
      </c>
      <c r="M29" s="246"/>
      <c r="N29" s="247"/>
      <c r="O29" s="247"/>
      <c r="P29" s="247"/>
      <c r="Q29" s="247"/>
      <c r="R29" s="247"/>
      <c r="S29" s="247"/>
      <c r="T29" s="24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" priority="43" operator="equal">
      <formula>212030016606640</formula>
    </cfRule>
  </conditionalFormatting>
  <conditionalFormatting sqref="D29 E4:E6 E28:K29">
    <cfRule type="cellIs" dxfId="129" priority="41" operator="equal">
      <formula>$E$4</formula>
    </cfRule>
    <cfRule type="cellIs" dxfId="128" priority="42" operator="equal">
      <formula>2120</formula>
    </cfRule>
  </conditionalFormatting>
  <conditionalFormatting sqref="D29:E29 F4:F6 F28:F29">
    <cfRule type="cellIs" dxfId="127" priority="39" operator="equal">
      <formula>$F$4</formula>
    </cfRule>
    <cfRule type="cellIs" dxfId="126" priority="40" operator="equal">
      <formula>300</formula>
    </cfRule>
  </conditionalFormatting>
  <conditionalFormatting sqref="G4:G6 G28:G29">
    <cfRule type="cellIs" dxfId="125" priority="37" operator="equal">
      <formula>$G$4</formula>
    </cfRule>
    <cfRule type="cellIs" dxfId="124" priority="38" operator="equal">
      <formula>1660</formula>
    </cfRule>
  </conditionalFormatting>
  <conditionalFormatting sqref="H4:H6 H28:H29">
    <cfRule type="cellIs" dxfId="123" priority="35" operator="equal">
      <formula>$H$4</formula>
    </cfRule>
    <cfRule type="cellIs" dxfId="122" priority="36" operator="equal">
      <formula>6640</formula>
    </cfRule>
  </conditionalFormatting>
  <conditionalFormatting sqref="T6:T28">
    <cfRule type="cellIs" dxfId="121" priority="34" operator="lessThan">
      <formula>0</formula>
    </cfRule>
  </conditionalFormatting>
  <conditionalFormatting sqref="T7:T27">
    <cfRule type="cellIs" dxfId="120" priority="31" operator="lessThan">
      <formula>0</formula>
    </cfRule>
    <cfRule type="cellIs" dxfId="119" priority="32" operator="lessThan">
      <formula>0</formula>
    </cfRule>
    <cfRule type="cellIs" dxfId="118" priority="33" operator="lessThan">
      <formula>0</formula>
    </cfRule>
  </conditionalFormatting>
  <conditionalFormatting sqref="E4:E6 E28:K28">
    <cfRule type="cellIs" dxfId="117" priority="30" operator="equal">
      <formula>$E$4</formula>
    </cfRule>
  </conditionalFormatting>
  <conditionalFormatting sqref="D28:D29 D6 D4:M4">
    <cfRule type="cellIs" dxfId="116" priority="29" operator="equal">
      <formula>$D$4</formula>
    </cfRule>
  </conditionalFormatting>
  <conditionalFormatting sqref="I4:I6 I28:I29">
    <cfRule type="cellIs" dxfId="115" priority="28" operator="equal">
      <formula>$I$4</formula>
    </cfRule>
  </conditionalFormatting>
  <conditionalFormatting sqref="J4:J6 J28:J29">
    <cfRule type="cellIs" dxfId="114" priority="27" operator="equal">
      <formula>$J$4</formula>
    </cfRule>
  </conditionalFormatting>
  <conditionalFormatting sqref="K4:K6 K28:K29">
    <cfRule type="cellIs" dxfId="113" priority="26" operator="equal">
      <formula>$K$4</formula>
    </cfRule>
  </conditionalFormatting>
  <conditionalFormatting sqref="M4:M6">
    <cfRule type="cellIs" dxfId="112" priority="25" operator="equal">
      <formula>$L$4</formula>
    </cfRule>
  </conditionalFormatting>
  <conditionalFormatting sqref="T7:T28">
    <cfRule type="cellIs" dxfId="111" priority="22" operator="lessThan">
      <formula>0</formula>
    </cfRule>
    <cfRule type="cellIs" dxfId="110" priority="23" operator="lessThan">
      <formula>0</formula>
    </cfRule>
    <cfRule type="cellIs" dxfId="109" priority="24" operator="lessThan">
      <formula>0</formula>
    </cfRule>
  </conditionalFormatting>
  <conditionalFormatting sqref="D5:K5">
    <cfRule type="cellIs" dxfId="108" priority="21" operator="greaterThan">
      <formula>0</formula>
    </cfRule>
  </conditionalFormatting>
  <conditionalFormatting sqref="T6:T28">
    <cfRule type="cellIs" dxfId="107" priority="20" operator="lessThan">
      <formula>0</formula>
    </cfRule>
  </conditionalFormatting>
  <conditionalFormatting sqref="T7:T27">
    <cfRule type="cellIs" dxfId="106" priority="17" operator="lessThan">
      <formula>0</formula>
    </cfRule>
    <cfRule type="cellIs" dxfId="105" priority="18" operator="lessThan">
      <formula>0</formula>
    </cfRule>
    <cfRule type="cellIs" dxfId="104" priority="19" operator="lessThan">
      <formula>0</formula>
    </cfRule>
  </conditionalFormatting>
  <conditionalFormatting sqref="T7:T28">
    <cfRule type="cellIs" dxfId="103" priority="14" operator="lessThan">
      <formula>0</formula>
    </cfRule>
    <cfRule type="cellIs" dxfId="102" priority="15" operator="lessThan">
      <formula>0</formula>
    </cfRule>
    <cfRule type="cellIs" dxfId="101" priority="16" operator="lessThan">
      <formula>0</formula>
    </cfRule>
  </conditionalFormatting>
  <conditionalFormatting sqref="D5:K5">
    <cfRule type="cellIs" dxfId="100" priority="13" operator="greaterThan">
      <formula>0</formula>
    </cfRule>
  </conditionalFormatting>
  <conditionalFormatting sqref="L4 L6 L28:L29">
    <cfRule type="cellIs" dxfId="99" priority="12" operator="equal">
      <formula>$L$4</formula>
    </cfRule>
  </conditionalFormatting>
  <conditionalFormatting sqref="D7:S7">
    <cfRule type="cellIs" dxfId="98" priority="11" operator="greaterThan">
      <formula>0</formula>
    </cfRule>
  </conditionalFormatting>
  <conditionalFormatting sqref="D9:S9">
    <cfRule type="cellIs" dxfId="97" priority="10" operator="greaterThan">
      <formula>0</formula>
    </cfRule>
  </conditionalFormatting>
  <conditionalFormatting sqref="D11:S11">
    <cfRule type="cellIs" dxfId="96" priority="9" operator="greaterThan">
      <formula>0</formula>
    </cfRule>
  </conditionalFormatting>
  <conditionalFormatting sqref="D13:S13">
    <cfRule type="cellIs" dxfId="95" priority="8" operator="greaterThan">
      <formula>0</formula>
    </cfRule>
  </conditionalFormatting>
  <conditionalFormatting sqref="D15:S15">
    <cfRule type="cellIs" dxfId="94" priority="7" operator="greaterThan">
      <formula>0</formula>
    </cfRule>
  </conditionalFormatting>
  <conditionalFormatting sqref="D17:S17">
    <cfRule type="cellIs" dxfId="93" priority="6" operator="greaterThan">
      <formula>0</formula>
    </cfRule>
  </conditionalFormatting>
  <conditionalFormatting sqref="D19:S19">
    <cfRule type="cellIs" dxfId="92" priority="5" operator="greaterThan">
      <formula>0</formula>
    </cfRule>
  </conditionalFormatting>
  <conditionalFormatting sqref="D21:S21">
    <cfRule type="cellIs" dxfId="91" priority="4" operator="greaterThan">
      <formula>0</formula>
    </cfRule>
  </conditionalFormatting>
  <conditionalFormatting sqref="D23:S23">
    <cfRule type="cellIs" dxfId="90" priority="3" operator="greaterThan">
      <formula>0</formula>
    </cfRule>
  </conditionalFormatting>
  <conditionalFormatting sqref="D25:S25">
    <cfRule type="cellIs" dxfId="89" priority="2" operator="greaterThan">
      <formula>0</formula>
    </cfRule>
  </conditionalFormatting>
  <conditionalFormatting sqref="D27:S27">
    <cfRule type="cellIs" dxfId="88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30"/>
  <sheetViews>
    <sheetView workbookViewId="0">
      <pane ySplit="6" topLeftCell="A7" activePane="bottomLeft" state="frozen"/>
      <selection pane="bottomLeft" activeCell="H7" sqref="H7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278" t="s">
        <v>0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80"/>
    </row>
    <row r="2" spans="1:20" ht="15.75" thickBot="1" x14ac:dyDescent="0.3">
      <c r="A2" s="281"/>
      <c r="B2" s="260"/>
      <c r="C2" s="260"/>
      <c r="D2" s="260"/>
      <c r="E2" s="260"/>
      <c r="F2" s="260"/>
      <c r="G2" s="260"/>
      <c r="H2" s="260"/>
      <c r="I2" s="260"/>
      <c r="J2" s="260"/>
      <c r="K2" s="260"/>
      <c r="L2" s="260"/>
      <c r="M2" s="260"/>
      <c r="N2" s="260"/>
      <c r="O2" s="260"/>
      <c r="P2" s="260"/>
      <c r="Q2" s="260"/>
      <c r="R2" s="260"/>
      <c r="S2" s="260"/>
      <c r="T2" s="282"/>
    </row>
    <row r="3" spans="1:20" ht="18.75" x14ac:dyDescent="0.25">
      <c r="A3" s="250" t="s">
        <v>63</v>
      </c>
      <c r="B3" s="251"/>
      <c r="C3" s="252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83"/>
    </row>
    <row r="4" spans="1:20" x14ac:dyDescent="0.25">
      <c r="A4" s="284" t="s">
        <v>1</v>
      </c>
      <c r="B4" s="285"/>
      <c r="C4" s="96"/>
      <c r="D4" s="97">
        <f>'1'!D6</f>
        <v>476404</v>
      </c>
      <c r="E4" s="97">
        <f>'1'!E6</f>
        <v>2770</v>
      </c>
      <c r="F4" s="97">
        <f>'1'!F6</f>
        <v>5610</v>
      </c>
      <c r="G4" s="97">
        <f>'1'!G6</f>
        <v>40</v>
      </c>
      <c r="H4" s="97">
        <f>'1'!H6</f>
        <v>28360</v>
      </c>
      <c r="I4" s="97">
        <f>'1'!I6</f>
        <v>799</v>
      </c>
      <c r="J4" s="97">
        <f>'1'!J6</f>
        <v>503</v>
      </c>
      <c r="K4" s="97">
        <f>'1'!K6</f>
        <v>516</v>
      </c>
      <c r="L4" s="97">
        <f>'1'!L6</f>
        <v>0</v>
      </c>
      <c r="M4" s="95"/>
      <c r="N4" s="286"/>
      <c r="O4" s="286"/>
      <c r="P4" s="286"/>
      <c r="Q4" s="286"/>
      <c r="R4" s="286"/>
      <c r="S4" s="286"/>
      <c r="T4" s="287"/>
    </row>
    <row r="5" spans="1:20" x14ac:dyDescent="0.25">
      <c r="A5" s="284" t="s">
        <v>2</v>
      </c>
      <c r="B5" s="285"/>
      <c r="C5" s="96"/>
      <c r="D5" s="96">
        <f>'1'!D7+'2'!D5+'3'!D5+'4'!D5+'5'!D5+'6'!D5+'7'!D5+'8'!D5+'9'!D5+'10'!D5+'11'!D5+'12'!D5+'13'!D5+'14'!D5+'15'!D5+'16'!D5+'17'!D5+'18'!D5+'19'!D5+'20'!D5+'21'!D5+'22'!D5+'23'!D5+'24'!D5+'25'!D5+'26'!D5+'27'!D5+'28'!D5+'29'!D5+'30'!D5+'31'!D5</f>
        <v>6052847</v>
      </c>
      <c r="E5" s="96">
        <f>'1'!E7+'2'!E5+'3'!E5+'4'!E5+'5'!E5+'6'!E5+'7'!E5+'8'!E5+'9'!E5+'10'!E5+'11'!E5+'12'!E5+'13'!E5+'14'!E5+'15'!E5+'16'!E5+'17'!E5+'18'!E5+'19'!E5+'20'!E5+'21'!E5+'22'!E5+'23'!E5+'24'!E5+'25'!E5+'26'!E5+'27'!E5+'28'!E5+'29'!E5+'30'!E5+'31'!E5</f>
        <v>10000</v>
      </c>
      <c r="F5" s="96">
        <f>'1'!F7+'2'!F5+'3'!F5+'4'!F5+'5'!F5+'6'!F5+'7'!F5+'8'!F5+'9'!F5+'10'!F5+'11'!F5+'12'!F5+'13'!F5+'14'!F5+'15'!F5+'16'!F5+'17'!F5+'18'!F5+'19'!F5+'20'!F5+'21'!F5+'22'!F5+'23'!F5+'24'!F5+'25'!F5+'26'!F5+'27'!F5+'28'!F5+'29'!F5+'30'!F5+'31'!F5</f>
        <v>20000</v>
      </c>
      <c r="G5" s="96">
        <f>'1'!G7+'2'!G5+'3'!G5+'4'!G5+'5'!G5+'6'!G5+'7'!G5+'8'!G5+'9'!G5+'10'!G5+'11'!G5+'12'!G5+'13'!G5+'14'!G5+'15'!G5+'16'!G5+'17'!G5+'18'!G5+'19'!G5+'20'!G5+'21'!G5+'22'!G5+'23'!G5+'24'!G5+'25'!G5+'26'!G5+'27'!G5+'28'!G5+'29'!G5+'30'!G5+'31'!G5</f>
        <v>2000</v>
      </c>
      <c r="H5" s="96">
        <f>'1'!H7+'2'!H5+'3'!H5+'4'!H5+'5'!H5+'6'!H5+'7'!H5+'8'!H5+'9'!H5+'10'!H5+'11'!H5+'12'!H5+'13'!H5+'14'!H5+'15'!H5+'16'!H5+'17'!H5+'18'!H5+'19'!H5+'20'!H5+'21'!H5+'22'!H5+'23'!H5+'24'!H5+'25'!H5+'26'!H5+'27'!H5+'28'!H5+'29'!H5+'30'!H5+'31'!H5</f>
        <v>25000</v>
      </c>
      <c r="I5" s="96">
        <f>'1'!I7+'2'!I5+'3'!I5+'4'!I5+'5'!I5+'6'!I5+'7'!I5+'8'!I5+'9'!I5+'10'!I5+'11'!I5+'12'!I5+'13'!I5+'14'!I5+'15'!I5+'16'!I5+'17'!I5+'18'!I5+'19'!I5+'20'!I5+'21'!I5+'22'!I5+'23'!I5+'24'!I5+'25'!I5+'26'!I5+'27'!I5+'28'!I5+'29'!I5+'30'!I5+'31'!I5</f>
        <v>1500</v>
      </c>
      <c r="J5" s="96">
        <f>'1'!J7+'2'!J5+'3'!J5+'4'!J5+'5'!J5+'6'!J5+'7'!J5+'8'!J5+'9'!J5+'10'!J5+'11'!J5+'12'!J5+'13'!J5+'14'!J5+'15'!J5+'16'!J5+'17'!J5+'18'!J5+'19'!J5+'20'!J5+'21'!J5+'22'!J5+'23'!J5+'24'!J5+'25'!J5+'26'!J5+'27'!J5+'28'!J5+'29'!J5+'30'!J5+'31'!J5</f>
        <v>500</v>
      </c>
      <c r="K5" s="96">
        <f>'1'!K7+'2'!K5+'3'!K5+'4'!K5+'5'!K5+'6'!K5+'7'!K5+'8'!K5+'9'!K5+'10'!K5+'11'!K5+'12'!K5+'13'!K5+'14'!K5+'15'!K5+'16'!K5+'17'!K5+'18'!K5+'19'!K5+'20'!K5+'21'!K5+'22'!K5+'23'!K5+'24'!K5+'25'!K5+'26'!K5+'27'!K5+'28'!K5+'29'!K5+'30'!K5+'31'!K5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96">
        <f>'1'!L7+'2'!L5+'3'!L5+'4'!L5+'5'!L5+'6'!L5+'7'!L5+'8'!L5+'9'!L5+'10'!L5+'11'!L5+'12'!L5+'13'!L5+'14'!L5+'15'!L5+'16'!L5+'17'!L5+'18'!L5+'19'!L5+'20'!L5+'21'!L5+'22'!L5+'23'!L5+'24'!L5+'25'!L5+'26'!L5+'27'!L5+'28'!L5+'29'!L5+'30'!L5+'31'!L5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95"/>
      <c r="N5" s="286"/>
      <c r="O5" s="286"/>
      <c r="P5" s="286"/>
      <c r="Q5" s="286"/>
      <c r="R5" s="286"/>
      <c r="S5" s="286"/>
      <c r="T5" s="287"/>
    </row>
    <row r="6" spans="1:20" ht="39" thickBot="1" x14ac:dyDescent="0.3">
      <c r="A6" s="103" t="s">
        <v>3</v>
      </c>
      <c r="B6" s="104" t="s">
        <v>4</v>
      </c>
      <c r="C6" s="105" t="s">
        <v>5</v>
      </c>
      <c r="D6" s="106" t="s">
        <v>6</v>
      </c>
      <c r="E6" s="107" t="s">
        <v>7</v>
      </c>
      <c r="F6" s="108" t="s">
        <v>8</v>
      </c>
      <c r="G6" s="106" t="s">
        <v>9</v>
      </c>
      <c r="H6" s="109" t="s">
        <v>10</v>
      </c>
      <c r="I6" s="106" t="s">
        <v>11</v>
      </c>
      <c r="J6" s="110" t="s">
        <v>12</v>
      </c>
      <c r="K6" s="110" t="s">
        <v>13</v>
      </c>
      <c r="L6" s="110" t="s">
        <v>14</v>
      </c>
      <c r="M6" s="111" t="s">
        <v>15</v>
      </c>
      <c r="N6" s="112" t="s">
        <v>16</v>
      </c>
      <c r="O6" s="113" t="s">
        <v>17</v>
      </c>
      <c r="P6" s="112" t="s">
        <v>18</v>
      </c>
      <c r="Q6" s="112" t="s">
        <v>19</v>
      </c>
      <c r="R6" s="112" t="s">
        <v>20</v>
      </c>
      <c r="S6" s="113" t="s">
        <v>21</v>
      </c>
      <c r="T6" s="114" t="s">
        <v>22</v>
      </c>
    </row>
    <row r="7" spans="1:20" ht="17.100000000000001" customHeight="1" x14ac:dyDescent="0.25">
      <c r="A7" s="115">
        <v>1</v>
      </c>
      <c r="B7" s="94">
        <v>1908446134</v>
      </c>
      <c r="C7" s="82" t="s">
        <v>23</v>
      </c>
      <c r="D7" s="21">
        <f>'1'!D9+'2'!D7+'3'!D7+'4'!D7+'5'!D7+'6'!D7+'7'!D7+'8'!D7+'9'!D7+'10'!D7+'11'!D7+'12'!D7+'13'!D7+'14'!D7+'15'!D7+'16'!D7+'17'!D7+'18'!D7+'19'!D7+'20'!D7+'21'!D7+'22'!D7+'23'!D7+'24'!D7+'25'!D7+'26'!D7+'27'!D7+'28'!D7+'29'!D7+'30'!D7+'31'!D7</f>
        <v>308660</v>
      </c>
      <c r="E7" s="21">
        <f>'1'!E9+'2'!E7+'3'!E7+'4'!E7+'5'!E7+'6'!E7+'7'!E7+'8'!E7+'9'!E7+'10'!E7+'11'!E7+'12'!E7+'13'!E7+'14'!E7+'15'!E7+'16'!E7+'17'!E7+'18'!E7+'19'!E7+'20'!E7+'21'!E7+'22'!E7+'23'!E7+'24'!E7+'25'!E7+'26'!E7+'27'!E7+'28'!E7+'29'!E7+'30'!E7+'31'!E7</f>
        <v>905</v>
      </c>
      <c r="F7" s="21">
        <f>'1'!F9+'2'!F7+'3'!F7+'4'!F7+'5'!F7+'6'!F7+'7'!F7+'8'!F7+'9'!F7+'10'!F7+'11'!F7+'12'!F7+'13'!F7+'14'!F7+'15'!F7+'16'!F7+'17'!F7+'18'!F7+'19'!F7+'20'!F7+'21'!F7+'22'!F7+'23'!F7+'24'!F7+'25'!F7+'26'!F7+'27'!F7+'28'!F7+'29'!F7+'30'!F7+'31'!F7</f>
        <v>1690</v>
      </c>
      <c r="G7" s="21">
        <f>'1'!G9+'2'!G7+'3'!G7+'4'!G7+'5'!G7+'6'!G7+'7'!G7+'8'!G7+'9'!G7+'10'!G7+'11'!G7+'12'!G7+'13'!G7+'14'!G7+'15'!G7+'16'!G7+'17'!G7+'18'!G7+'19'!G7+'20'!G7+'21'!G7+'22'!G7+'23'!G7+'24'!G7+'25'!G7+'26'!G7+'27'!G7+'28'!G7+'29'!G7+'30'!G7+'31'!G7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'1'!H9+'2'!H7+'3'!H7+'4'!H7+'5'!H7+'6'!H7+'7'!H7+'8'!H7+'9'!H7+'10'!H7+'11'!H7+'12'!H7+'13'!H7+'14'!H7+'15'!H7+'16'!H7+'17'!H7+'18'!H7+'19'!H7+'20'!H7+'21'!H7+'22'!H7+'23'!H7+'24'!H7+'25'!H7+'26'!H7+'27'!H7+'28'!H7+'29'!H7+'30'!H7+'31'!H7</f>
        <v>830</v>
      </c>
      <c r="I7" s="21">
        <f>'1'!I9+'2'!I7+'3'!I7+'4'!I7+'5'!I7+'6'!I7+'7'!I7+'8'!I7+'9'!I7+'10'!I7+'11'!I7+'12'!I7+'13'!I7+'14'!I7+'15'!I7+'16'!I7+'17'!I7+'18'!I7+'19'!I7+'20'!I7+'21'!I7+'22'!I7+'23'!I7+'24'!I7+'25'!I7+'26'!I7+'27'!I7+'28'!I7+'29'!I7+'30'!I7+'31'!I7</f>
        <v>48</v>
      </c>
      <c r="J7" s="21">
        <f>'1'!J9+'2'!J7+'3'!J7+'4'!J7+'5'!J7+'6'!J7+'7'!J7+'8'!J7+'9'!J7+'10'!J7+'11'!J7+'12'!J7+'13'!J7+'14'!J7+'15'!J7+'16'!J7+'17'!J7+'18'!J7+'19'!J7+'20'!J7+'21'!J7+'22'!J7+'23'!J7+'24'!J7+'25'!J7+'26'!J7+'27'!J7+'28'!J7+'29'!J7+'30'!J7+'31'!J7</f>
        <v>6</v>
      </c>
      <c r="K7" s="21">
        <f>'1'!K9+'2'!K7+'3'!K7+'4'!K7+'5'!K7+'6'!K7+'7'!K7+'8'!K7+'9'!K7+'10'!K7+'11'!K7+'12'!K7+'13'!K7+'14'!K7+'15'!K7+'16'!K7+'17'!K7+'18'!K7+'19'!K7+'20'!K7+'21'!K7+'22'!K7+'23'!K7+'24'!K7+'25'!K7+'26'!K7+'27'!K7+'28'!K7+'29'!K7+'30'!K7+'31'!K7</f>
        <v>27</v>
      </c>
      <c r="L7" s="21">
        <f>'1'!L9+'2'!L7+'3'!L7+'4'!L7+'5'!L7+'6'!L7+'7'!L7+'8'!L7+'9'!L7+'10'!L7+'11'!L7+'12'!L7+'13'!L7+'14'!L7+'15'!L7+'16'!L7+'17'!L7+'18'!L7+'19'!L7+'20'!L7+'21'!L7+'22'!L7+'23'!L7+'24'!L7+'25'!L7+'26'!L7+'27'!L7+'28'!L7+'29'!L7+'30'!L7+'31'!L7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351130</v>
      </c>
      <c r="N7" s="24">
        <f>D7+E7*20+F7*10+G7*9+H7*9+I7*191+J7*191+K7*182+L7*100</f>
        <v>366358</v>
      </c>
      <c r="O7" s="25">
        <f>M7*2.75%</f>
        <v>9656.0750000000007</v>
      </c>
      <c r="P7" s="26"/>
      <c r="Q7" s="26">
        <f>'1'!Q9+'2'!Q7+'3'!Q7+'4'!Q7+'5'!Q7+'6'!R7+'7'!Q7+'8'!Q7+'9'!Q7+'10'!Q7+'11'!Q7+'12'!Q7+'13'!Q7+'14'!Q7+'15'!Q7+'16'!Q7+'17'!Q7+'18'!Q7+'19'!Q7+'20'!Q7+'21'!Q7+'22'!Q7+'23'!Q7+'24'!Q7+'25'!Q7+'26'!Q7+'27'!Q7+'28'!Q7+'29'!Q7+'30'!Q7+'31'!Q7</f>
        <v>2216</v>
      </c>
      <c r="R7" s="24">
        <f>M7-(M7*2.75%)+I7*191+J7*191+K7*182+L7*100-Q7</f>
        <v>354485.92499999999</v>
      </c>
      <c r="S7" s="25">
        <f>M7*0.95%</f>
        <v>3335.7350000000001</v>
      </c>
      <c r="T7" s="116">
        <f>S7-Q7</f>
        <v>1119.7350000000001</v>
      </c>
    </row>
    <row r="8" spans="1:20" ht="17.100000000000001" customHeight="1" x14ac:dyDescent="0.25">
      <c r="A8" s="115">
        <v>2</v>
      </c>
      <c r="B8" s="94">
        <v>1908446135</v>
      </c>
      <c r="C8" s="83" t="s">
        <v>24</v>
      </c>
      <c r="D8" s="21">
        <f>'1'!D10+'2'!D8+'3'!D8+'4'!D8+'5'!D8+'6'!D8+'7'!D8+'8'!D8+'9'!D8+'10'!D8+'11'!D8+'12'!D8+'13'!D8+'14'!D8+'15'!D8+'16'!D8+'17'!D8+'18'!D8+'19'!D8+'20'!D8+'21'!D8+'22'!D8+'23'!D8+'24'!D8+'25'!D8+'26'!D8+'27'!D8+'28'!D8+'29'!D8+'30'!D8+'31'!D8</f>
        <v>160368</v>
      </c>
      <c r="E8" s="21">
        <f>'1'!E10+'2'!E8+'3'!E8+'4'!E8+'5'!E8+'6'!E8+'7'!E8+'8'!E8+'9'!E8+'10'!E8+'11'!E8+'12'!E8+'13'!E8+'14'!E8+'15'!E8+'16'!E8+'17'!E8+'18'!E8+'19'!E8+'20'!E8+'21'!E8+'22'!E8+'23'!E8+'24'!E8+'25'!E8+'26'!E8+'27'!E8+'28'!E8+'29'!E8+'30'!E8+'31'!E8</f>
        <v>100</v>
      </c>
      <c r="F8" s="21">
        <f>'1'!F10+'2'!F8+'3'!F8+'4'!F8+'5'!F8+'6'!F8+'7'!F8+'8'!F8+'9'!F8+'10'!F8+'11'!F8+'12'!F8+'13'!F8+'14'!F8+'15'!F8+'16'!F8+'17'!F8+'18'!F8+'19'!F8+'20'!F8+'21'!F8+'22'!F8+'23'!F8+'24'!F8+'25'!F8+'26'!F8+'27'!F8+'28'!F8+'29'!F8+'30'!F8+'31'!F8</f>
        <v>100</v>
      </c>
      <c r="G8" s="21">
        <f>'1'!G10+'2'!G8+'3'!G8+'4'!G8+'5'!G8+'6'!G8+'7'!G8+'8'!G8+'9'!G8+'10'!G8+'11'!G8+'12'!G8+'13'!G8+'14'!G8+'15'!G8+'16'!G8+'17'!G8+'18'!G8+'19'!G8+'20'!G8+'21'!G8+'22'!G8+'23'!G8+'24'!G8+'25'!G8+'26'!G8+'27'!G8+'28'!G8+'29'!G8+'30'!G8+'31'!G8</f>
        <v>150</v>
      </c>
      <c r="H8" s="21">
        <f>'1'!H10+'2'!H8+'3'!H8+'4'!H8+'5'!H8+'6'!H8+'7'!H8+'8'!H8+'9'!H8+'10'!H8+'11'!H8+'12'!H8+'13'!H8+'14'!H8+'15'!H8+'16'!H8+'17'!H8+'18'!H8+'19'!H8+'20'!H8+'21'!H8+'22'!H8+'23'!H8+'24'!H8+'25'!H8+'26'!H8+'27'!H8+'28'!H8+'29'!H8+'30'!H8+'31'!H8</f>
        <v>680</v>
      </c>
      <c r="I8" s="21">
        <f>'1'!I10+'2'!I8+'3'!I8+'4'!I8+'5'!I8+'6'!I8+'7'!I8+'8'!I8+'9'!I8+'10'!I8+'11'!I8+'12'!I8+'13'!I8+'14'!I8+'15'!I8+'16'!I8+'17'!I8+'18'!I8+'19'!I8+'20'!I8+'21'!I8+'22'!I8+'23'!I8+'24'!I8+'25'!I8+'26'!I8+'27'!I8+'28'!I8+'29'!I8+'30'!I8+'31'!I8</f>
        <v>26</v>
      </c>
      <c r="J8" s="21">
        <f>'1'!J10+'2'!J8+'3'!J8+'4'!J8+'5'!J8+'6'!J8+'7'!J8+'8'!J8+'9'!J8+'10'!J8+'11'!J8+'12'!J8+'13'!J8+'14'!J8+'15'!J8+'16'!J8+'17'!J8+'18'!J8+'19'!J8+'20'!J8+'21'!J8+'22'!J8+'23'!J8+'24'!J8+'25'!J8+'26'!J8+'27'!J8+'28'!J8+'29'!J8+'30'!J8+'31'!J8</f>
        <v>1</v>
      </c>
      <c r="K8" s="21">
        <f>'1'!K10+'2'!K8+'3'!K8+'4'!K8+'5'!K8+'6'!K8+'7'!K8+'8'!K8+'9'!K8+'10'!K8+'11'!K8+'12'!K8+'13'!K8+'14'!K8+'15'!K8+'16'!K8+'17'!K8+'18'!K8+'19'!K8+'20'!K8+'21'!K8+'22'!K8+'23'!K8+'24'!K8+'25'!K8+'26'!K8+'27'!K8+'28'!K8+'29'!K8+'30'!K8+'31'!K8</f>
        <v>12</v>
      </c>
      <c r="L8" s="21">
        <f>'1'!L10+'2'!L8+'3'!L8+'4'!L8+'5'!L8+'6'!L8+'7'!L8+'8'!L8+'9'!L8+'10'!L8+'11'!L8+'12'!L8+'13'!L8+'14'!L8+'15'!L8+'16'!L8+'17'!L8+'18'!L8+'19'!L8+'20'!L8+'21'!L8+'22'!L8+'23'!L8+'24'!L8+'25'!L8+'26'!L8+'27'!L8+'28'!L8+'29'!L8+'30'!L8+'31'!L8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170838</v>
      </c>
      <c r="N8" s="24">
        <f t="shared" ref="N8:N27" si="1">D8+E8*20+F8*10+G8*9+H8*9+I8*191+J8*191+K8*182+L8*100</f>
        <v>178179</v>
      </c>
      <c r="O8" s="25">
        <f t="shared" ref="O8:O27" si="2">M8*2.75%</f>
        <v>4698.0450000000001</v>
      </c>
      <c r="P8" s="26"/>
      <c r="Q8" s="26">
        <f>'1'!Q10+'2'!Q8+'3'!Q8+'4'!Q8+'5'!Q8+'6'!R8+'7'!Q8+'8'!Q8+'9'!Q8+'10'!Q8+'11'!Q8+'12'!Q8+'13'!Q8+'14'!Q8+'15'!Q8+'16'!Q8+'17'!Q8+'18'!Q8+'19'!Q8+'20'!Q8+'21'!Q8+'22'!Q8+'23'!Q8+'24'!Q8+'25'!Q8+'26'!Q8+'27'!Q8+'28'!Q8+'29'!Q8+'30'!Q8+'31'!Q8</f>
        <v>1581</v>
      </c>
      <c r="R8" s="24">
        <f t="shared" ref="R8:R27" si="3">M8-(M8*2.75%)+I8*191+J8*191+K8*182+L8*100-Q8</f>
        <v>171899.95499999999</v>
      </c>
      <c r="S8" s="25">
        <f t="shared" ref="S8:S27" si="4">M8*0.95%</f>
        <v>1622.961</v>
      </c>
      <c r="T8" s="116">
        <f t="shared" ref="T8:T27" si="5">S8-Q8</f>
        <v>41.961000000000013</v>
      </c>
    </row>
    <row r="9" spans="1:20" ht="17.100000000000001" customHeight="1" x14ac:dyDescent="0.25">
      <c r="A9" s="115">
        <v>3</v>
      </c>
      <c r="B9" s="94">
        <v>1908446136</v>
      </c>
      <c r="C9" s="82" t="s">
        <v>25</v>
      </c>
      <c r="D9" s="21">
        <f>'1'!D11+'2'!D9+'3'!D9+'4'!D9+'5'!D9+'6'!D9+'7'!D9+'8'!D9+'9'!D9+'10'!D9+'11'!D9+'12'!D9+'13'!D9+'14'!D9+'15'!D9+'16'!D9+'17'!D9+'18'!D9+'19'!D9+'20'!D9+'21'!D9+'22'!D9+'23'!D9+'24'!D9+'25'!D9+'26'!D9+'27'!D9+'28'!D9+'29'!D9+'30'!D9+'31'!D9</f>
        <v>531822</v>
      </c>
      <c r="E9" s="21">
        <f>'1'!E11+'2'!E9+'3'!E9+'4'!E9+'5'!E9+'6'!E9+'7'!E9+'8'!E9+'9'!E9+'10'!E9+'11'!E9+'12'!E9+'13'!E9+'14'!E9+'15'!E9+'16'!E9+'17'!E9+'18'!E9+'19'!E9+'20'!E9+'21'!E9+'22'!E9+'23'!E9+'24'!E9+'25'!E9+'26'!E9+'27'!E9+'28'!E9+'29'!E9+'30'!E9+'31'!E9</f>
        <v>250</v>
      </c>
      <c r="F9" s="21">
        <f>'1'!F11+'2'!F9+'3'!F9+'4'!F9+'5'!F9+'6'!F9+'7'!F9+'8'!F9+'9'!F9+'10'!F9+'11'!F9+'12'!F9+'13'!F9+'14'!F9+'15'!F9+'16'!F9+'17'!F9+'18'!F9+'19'!F9+'20'!F9+'21'!F9+'22'!F9+'23'!F9+'24'!F9+'25'!F9+'26'!F9+'27'!F9+'28'!F9+'29'!F9+'30'!F9+'31'!F9</f>
        <v>620</v>
      </c>
      <c r="G9" s="21">
        <f>'1'!G11+'2'!G9+'3'!G9+'4'!G9+'5'!G9+'6'!G9+'7'!G9+'8'!G9+'9'!G9+'10'!G9+'11'!G9+'12'!G9+'13'!G9+'14'!G9+'15'!G9+'16'!G9+'17'!G9+'18'!G9+'19'!G9+'20'!G9+'21'!G9+'22'!G9+'23'!G9+'24'!G9+'25'!G9+'26'!G9+'27'!G9+'28'!G9+'29'!G9+'30'!G9+'31'!G9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'1'!H11+'2'!H9+'3'!H9+'4'!H9+'5'!H9+'6'!H9+'7'!H9+'8'!H9+'9'!H9+'10'!H9+'11'!H9+'12'!H9+'13'!H9+'14'!H9+'15'!H9+'16'!H9+'17'!H9+'18'!H9+'19'!H9+'20'!H9+'21'!H9+'22'!H9+'23'!H9+'24'!H9+'25'!H9+'26'!H9+'27'!H9+'28'!H9+'29'!H9+'30'!H9+'31'!H9</f>
        <v>2780</v>
      </c>
      <c r="I9" s="21">
        <f>'1'!I11+'2'!I9+'3'!I9+'4'!I9+'5'!I9+'6'!I9+'7'!I9+'8'!I9+'9'!I9+'10'!I9+'11'!I9+'12'!I9+'13'!I9+'14'!I9+'15'!I9+'16'!I9+'17'!I9+'18'!I9+'19'!I9+'20'!I9+'21'!I9+'22'!I9+'23'!I9+'24'!I9+'25'!I9+'26'!I9+'27'!I9+'28'!I9+'29'!I9+'30'!I9+'31'!I9</f>
        <v>52</v>
      </c>
      <c r="J9" s="21">
        <f>'1'!J11+'2'!J9+'3'!J9+'4'!J9+'5'!J9+'6'!J9+'7'!J9+'8'!J9+'9'!J9+'10'!J9+'11'!J9+'12'!J9+'13'!J9+'14'!J9+'15'!J9+'16'!J9+'17'!J9+'18'!J9+'19'!J9+'20'!J9+'21'!J9+'22'!J9+'23'!J9+'24'!J9+'25'!J9+'26'!J9+'27'!J9+'28'!J9+'29'!J9+'30'!J9+'31'!J9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'1'!K11+'2'!K9+'3'!K9+'4'!K9+'5'!K9+'6'!K9+'7'!K9+'8'!K9+'9'!K9+'10'!K9+'11'!K9+'12'!K9+'13'!K9+'14'!K9+'15'!K9+'16'!K9+'17'!K9+'18'!K9+'19'!K9+'20'!K9+'21'!K9+'22'!K9+'23'!K9+'24'!K9+'25'!K9+'26'!K9+'27'!K9+'28'!K9+'29'!K9+'30'!K9+'31'!K9</f>
        <v>20</v>
      </c>
      <c r="L9" s="21">
        <f>'1'!L11+'2'!L9+'3'!L9+'4'!L9+'5'!L9+'6'!L9+'7'!L9+'8'!L9+'9'!L9+'10'!L9+'11'!L9+'12'!L9+'13'!L9+'14'!L9+'15'!L9+'16'!L9+'17'!L9+'18'!L9+'19'!L9+'20'!L9+'21'!L9+'22'!L9+'23'!L9+'24'!L9+'25'!L9+'26'!L9+'27'!L9+'28'!L9+'29'!L9+'30'!L9+'31'!L9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568042</v>
      </c>
      <c r="N9" s="24">
        <f t="shared" si="1"/>
        <v>581614</v>
      </c>
      <c r="O9" s="25">
        <f t="shared" si="2"/>
        <v>15621.155000000001</v>
      </c>
      <c r="P9" s="26"/>
      <c r="Q9" s="26">
        <f>'1'!Q11+'2'!Q9+'3'!Q9+'4'!Q9+'5'!Q9+'6'!R9+'7'!Q9+'8'!Q9+'9'!Q9+'10'!Q9+'11'!Q9+'12'!Q9+'13'!Q9+'14'!Q9+'15'!Q9+'16'!Q9+'17'!Q9+'18'!Q9+'19'!Q9+'20'!Q9+'21'!Q9+'22'!Q9+'23'!Q9+'24'!Q9+'25'!Q9+'26'!Q9+'27'!Q9+'28'!Q9+'29'!Q9+'30'!Q9+'31'!Q9</f>
        <v>3758</v>
      </c>
      <c r="R9" s="24">
        <f t="shared" si="3"/>
        <v>562234.84499999997</v>
      </c>
      <c r="S9" s="25">
        <f t="shared" si="4"/>
        <v>5396.3989999999994</v>
      </c>
      <c r="T9" s="116">
        <f t="shared" si="5"/>
        <v>1638.3989999999994</v>
      </c>
    </row>
    <row r="10" spans="1:20" ht="17.100000000000001" customHeight="1" x14ac:dyDescent="0.25">
      <c r="A10" s="115">
        <v>4</v>
      </c>
      <c r="B10" s="94">
        <v>1908446137</v>
      </c>
      <c r="C10" s="82" t="s">
        <v>26</v>
      </c>
      <c r="D10" s="21">
        <f>'1'!D12+'2'!D10+'3'!D10+'4'!D10+'5'!D10+'6'!D10+'7'!D10+'8'!D10+'9'!D10+'10'!D10+'11'!D10+'12'!D10+'13'!D10+'14'!D10+'15'!D10+'16'!D10+'17'!D10+'18'!D10+'19'!D10+'20'!D10+'21'!D10+'22'!D10+'23'!D10+'24'!D10+'25'!D10+'26'!D10+'27'!D10+'28'!D10+'29'!D10+'30'!D10+'31'!D10</f>
        <v>107101</v>
      </c>
      <c r="E10" s="21">
        <f>'1'!E12+'2'!E10+'3'!E10+'4'!E10+'5'!E10+'6'!E10+'7'!E10+'8'!E10+'9'!E10+'10'!E10+'11'!E10+'12'!E10+'13'!E10+'14'!E10+'15'!E10+'16'!E10+'17'!E10+'18'!E10+'19'!E10+'20'!E10+'21'!E10+'22'!E10+'23'!E10+'24'!E10+'25'!E10+'26'!E10+'27'!E10+'28'!E10+'29'!E10+'30'!E10+'31'!E10</f>
        <v>10</v>
      </c>
      <c r="F10" s="21">
        <f>'1'!F12+'2'!F10+'3'!F10+'4'!F10+'5'!F10+'6'!F10+'7'!F10+'8'!F10+'9'!F10+'10'!F10+'11'!F10+'12'!F10+'13'!F10+'14'!F10+'15'!F10+'16'!F10+'17'!F10+'18'!F10+'19'!F10+'20'!F10+'21'!F10+'22'!F10+'23'!F10+'24'!F10+'25'!F10+'26'!F10+'27'!F10+'28'!F10+'29'!F10+'30'!F10+'31'!F10</f>
        <v>30</v>
      </c>
      <c r="G10" s="21">
        <f>'1'!G12+'2'!G10+'3'!G10+'4'!G10+'5'!G10+'6'!G10+'7'!G10+'8'!G10+'9'!G10+'10'!G10+'11'!G10+'12'!G10+'13'!G10+'14'!G10+'15'!G10+'16'!G10+'17'!G10+'18'!G10+'19'!G10+'20'!G10+'21'!G10+'22'!G10+'23'!G10+'24'!G10+'25'!G10+'26'!G10+'27'!G10+'28'!G10+'29'!G10+'30'!G10+'31'!G10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'1'!H12+'2'!H10+'3'!H10+'4'!H10+'5'!H10+'6'!H10+'7'!H10+'8'!H10+'9'!H10+'10'!H10+'11'!H10+'12'!H10+'13'!H10+'14'!H10+'15'!H10+'16'!H10+'17'!H10+'18'!H10+'19'!H10+'20'!H10+'21'!H10+'22'!H10+'23'!H10+'24'!H10+'25'!H10+'26'!H10+'27'!H10+'28'!H10+'29'!H10+'30'!H10+'31'!H10</f>
        <v>150</v>
      </c>
      <c r="I10" s="21">
        <f>'1'!I12+'2'!I10+'3'!I10+'4'!I10+'5'!I10+'6'!I10+'7'!I10+'8'!I10+'9'!I10+'10'!I10+'11'!I10+'12'!I10+'13'!I10+'14'!I10+'15'!I10+'16'!I10+'17'!I10+'18'!I10+'19'!I10+'20'!I10+'21'!I10+'22'!I10+'23'!I10+'24'!I10+'25'!I10+'26'!I10+'27'!I10+'28'!I10+'29'!I10+'30'!I10+'31'!I10</f>
        <v>43</v>
      </c>
      <c r="J10" s="21">
        <f>'1'!J12+'2'!J10+'3'!J10+'4'!J10+'5'!J10+'6'!J10+'7'!J10+'8'!J10+'9'!J10+'10'!J10+'11'!J10+'12'!J10+'13'!J10+'14'!J10+'15'!J10+'16'!J10+'17'!J10+'18'!J10+'19'!J10+'20'!J10+'21'!J10+'22'!J10+'23'!J10+'24'!J10+'25'!J10+'26'!J10+'27'!J10+'28'!J10+'29'!J10+'30'!J10+'31'!J10</f>
        <v>8</v>
      </c>
      <c r="K10" s="21">
        <f>'1'!K12+'2'!K10+'3'!K10+'4'!K10+'5'!K10+'6'!K10+'7'!K10+'8'!K10+'9'!K10+'10'!K10+'11'!K10+'12'!K10+'13'!K10+'14'!K10+'15'!K10+'16'!K10+'17'!K10+'18'!K10+'19'!K10+'20'!K10+'21'!K10+'22'!K10+'23'!K10+'24'!K10+'25'!K10+'26'!K10+'27'!K10+'28'!K10+'29'!K10+'30'!K10+'31'!K10</f>
        <v>5</v>
      </c>
      <c r="L10" s="21">
        <f>'1'!L12+'2'!L10+'3'!L10+'4'!L10+'5'!L10+'6'!L10+'7'!L10+'8'!L10+'9'!L10+'10'!L10+'11'!L10+'12'!L10+'13'!L10+'14'!L10+'15'!L10+'16'!L10+'17'!L10+'18'!L10+'19'!L10+'20'!L10+'21'!L10+'22'!L10+'23'!L10+'24'!L10+'25'!L10+'26'!L10+'27'!L10+'28'!L10+'29'!L10+'30'!L10+'31'!L10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108951</v>
      </c>
      <c r="N10" s="24">
        <f t="shared" si="1"/>
        <v>119602</v>
      </c>
      <c r="O10" s="25">
        <f t="shared" si="2"/>
        <v>2996.1525000000001</v>
      </c>
      <c r="P10" s="26"/>
      <c r="Q10" s="26">
        <f>'1'!Q12+'2'!Q10+'3'!Q10+'4'!Q10+'5'!Q10+'6'!R10+'7'!Q10+'8'!Q10+'9'!Q10+'10'!Q10+'11'!Q10+'12'!Q10+'13'!Q10+'14'!Q10+'15'!Q10+'16'!Q10+'17'!Q10+'18'!Q10+'19'!Q10+'20'!Q10+'21'!Q10+'22'!Q10+'23'!Q10+'24'!Q10+'25'!Q10+'26'!Q10+'27'!Q10+'28'!Q10+'29'!Q10+'30'!Q10+'31'!Q10</f>
        <v>627</v>
      </c>
      <c r="R10" s="24">
        <f t="shared" si="3"/>
        <v>115978.8475</v>
      </c>
      <c r="S10" s="25">
        <f t="shared" si="4"/>
        <v>1035.0345</v>
      </c>
      <c r="T10" s="116">
        <f t="shared" si="5"/>
        <v>408.03449999999998</v>
      </c>
    </row>
    <row r="11" spans="1:20" ht="17.100000000000001" customHeight="1" x14ac:dyDescent="0.25">
      <c r="A11" s="115">
        <v>5</v>
      </c>
      <c r="B11" s="94">
        <v>1908446138</v>
      </c>
      <c r="C11" s="84" t="s">
        <v>27</v>
      </c>
      <c r="D11" s="21">
        <f>'1'!D13+'2'!D11+'3'!D11+'4'!D11+'5'!D11+'6'!D11+'7'!D11+'8'!D11+'9'!D11+'10'!D11+'11'!D11+'12'!D11+'13'!D11+'14'!D11+'15'!D11+'16'!D11+'17'!D11+'18'!D11+'19'!D11+'20'!D11+'21'!D11+'22'!D11+'23'!D11+'24'!D11+'25'!D11+'26'!D11+'27'!D11+'28'!D11+'29'!D11+'30'!D11+'31'!D11</f>
        <v>139335</v>
      </c>
      <c r="E11" s="21">
        <f>'1'!E13+'2'!E11+'3'!E11+'4'!E11+'5'!E11+'6'!E11+'7'!E11+'8'!E11+'9'!E11+'10'!E11+'11'!E11+'12'!E11+'13'!E11+'14'!E11+'15'!E11+'16'!E11+'17'!E11+'18'!E11+'19'!E11+'20'!E11+'21'!E11+'22'!E11+'23'!E11+'24'!E11+'25'!E11+'26'!E11+'27'!E11+'28'!E11+'29'!E11+'30'!E11+'31'!E11</f>
        <v>70</v>
      </c>
      <c r="F11" s="21">
        <f>'1'!F13+'2'!F11+'3'!F11+'4'!F11+'5'!F11+'6'!F11+'7'!F11+'8'!F11+'9'!F11+'10'!F11+'11'!F11+'12'!F11+'13'!F11+'14'!F11+'15'!F11+'16'!F11+'17'!F11+'18'!F11+'19'!F11+'20'!F11+'21'!F11+'22'!F11+'23'!F11+'24'!F11+'25'!F11+'26'!F11+'27'!F11+'28'!F11+'29'!F11+'30'!F11+'31'!F11</f>
        <v>400</v>
      </c>
      <c r="G11" s="21">
        <f>'1'!G13+'2'!G11+'3'!G11+'4'!G11+'5'!G11+'6'!G11+'7'!G11+'8'!G11+'9'!G11+'10'!G11+'11'!G11+'12'!G11+'13'!G11+'14'!G11+'15'!G11+'16'!G11+'17'!G11+'18'!G11+'19'!G11+'20'!G11+'21'!G11+'22'!G11+'23'!G11+'24'!G11+'25'!G11+'26'!G11+'27'!G11+'28'!G11+'29'!G11+'30'!G11+'31'!G11</f>
        <v>10</v>
      </c>
      <c r="H11" s="21">
        <f>'1'!H13+'2'!H11+'3'!H11+'4'!H11+'5'!H11+'6'!H11+'7'!H11+'8'!H11+'9'!H11+'10'!H11+'11'!H11+'12'!H11+'13'!H11+'14'!H11+'15'!H11+'16'!H11+'17'!H11+'18'!H11+'19'!H11+'20'!H11+'21'!H11+'22'!H11+'23'!H11+'24'!H11+'25'!H11+'26'!H11+'27'!H11+'28'!H11+'29'!H11+'30'!H11+'31'!H11</f>
        <v>1630</v>
      </c>
      <c r="I11" s="21">
        <f>'1'!I13+'2'!I11+'3'!I11+'4'!I11+'5'!I11+'6'!I11+'7'!I11+'8'!I11+'9'!I11+'10'!I11+'11'!I11+'12'!I11+'13'!I11+'14'!I11+'15'!I11+'16'!I11+'17'!I11+'18'!I11+'19'!I11+'20'!I11+'21'!I11+'22'!I11+'23'!I11+'24'!I11+'25'!I11+'26'!I11+'27'!I11+'28'!I11+'29'!I11+'30'!I11+'31'!I11</f>
        <v>40</v>
      </c>
      <c r="J11" s="21">
        <f>'1'!J13+'2'!J11+'3'!J11+'4'!J11+'5'!J11+'6'!J11+'7'!J11+'8'!J11+'9'!J11+'10'!J11+'11'!J11+'12'!J11+'13'!J11+'14'!J11+'15'!J11+'16'!J11+'17'!J11+'18'!J11+'19'!J11+'20'!J11+'21'!J11+'22'!J11+'23'!J11+'24'!J11+'25'!J11+'26'!J11+'27'!J11+'28'!J11+'29'!J11+'30'!J11+'31'!J11</f>
        <v>4</v>
      </c>
      <c r="K11" s="21">
        <f>'1'!K13+'2'!K11+'3'!K11+'4'!K11+'5'!K11+'6'!K11+'7'!K11+'8'!K11+'9'!K11+'10'!K11+'11'!K11+'12'!K11+'13'!K11+'14'!K11+'15'!K11+'16'!K11+'17'!K11+'18'!K11+'19'!K11+'20'!K11+'21'!K11+'22'!K11+'23'!K11+'24'!K11+'25'!K11+'26'!K11+'27'!K11+'28'!K11+'29'!K11+'30'!K11+'31'!K11</f>
        <v>10</v>
      </c>
      <c r="L11" s="21">
        <f>'1'!L13+'2'!L11+'3'!L11+'4'!L11+'5'!L11+'6'!L11+'7'!L11+'8'!L11+'9'!L11+'10'!L11+'11'!L11+'12'!L11+'13'!L11+'14'!L11+'15'!L11+'16'!L11+'17'!L11+'18'!L11+'19'!L11+'20'!L11+'21'!L11+'22'!L11+'23'!L11+'24'!L11+'25'!L11+'26'!L11+'27'!L11+'28'!L11+'29'!L11+'30'!L11+'31'!L11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159495</v>
      </c>
      <c r="N11" s="24">
        <f t="shared" si="1"/>
        <v>169719</v>
      </c>
      <c r="O11" s="25">
        <f t="shared" si="2"/>
        <v>4386.1125000000002</v>
      </c>
      <c r="P11" s="26"/>
      <c r="Q11" s="26">
        <f>'1'!Q13+'2'!Q11+'3'!Q11+'4'!Q11+'5'!Q11+'6'!R11+'7'!Q11+'8'!Q11+'9'!Q11+'10'!Q11+'11'!Q11+'12'!Q11+'13'!Q11+'14'!Q11+'15'!Q11+'16'!Q11+'17'!Q11+'18'!Q11+'19'!Q11+'20'!Q11+'21'!Q11+'22'!Q11+'23'!Q11+'24'!Q11+'25'!Q11+'26'!Q11+'27'!Q11+'28'!Q11+'29'!Q11+'30'!Q11+'31'!Q11</f>
        <v>553</v>
      </c>
      <c r="R11" s="24">
        <f t="shared" si="3"/>
        <v>164779.88750000001</v>
      </c>
      <c r="S11" s="25">
        <f t="shared" si="4"/>
        <v>1515.2024999999999</v>
      </c>
      <c r="T11" s="116">
        <f t="shared" si="5"/>
        <v>962.20249999999987</v>
      </c>
    </row>
    <row r="12" spans="1:20" ht="17.100000000000001" customHeight="1" x14ac:dyDescent="0.25">
      <c r="A12" s="115">
        <v>6</v>
      </c>
      <c r="B12" s="94">
        <v>1908446139</v>
      </c>
      <c r="C12" s="82" t="s">
        <v>28</v>
      </c>
      <c r="D12" s="21">
        <f>'1'!D14+'2'!D12+'3'!D12+'4'!D12+'5'!D12+'6'!D12+'7'!D12+'8'!D12+'9'!D12+'10'!D12+'11'!D12+'12'!D12+'13'!D12+'14'!D12+'15'!D12+'16'!D12+'17'!D12+'18'!D12+'19'!D12+'20'!D12+'21'!D12+'22'!D12+'23'!D12+'24'!D12+'25'!D12+'26'!D12+'27'!D12+'28'!D12+'29'!D12+'30'!D12+'31'!D12</f>
        <v>121776</v>
      </c>
      <c r="E12" s="21">
        <f>'1'!E14+'2'!E12+'3'!E12+'4'!E12+'5'!E12+'6'!E12+'7'!E12+'8'!E12+'9'!E12+'10'!E12+'11'!E12+'12'!E12+'13'!E12+'14'!E12+'15'!E12+'16'!E12+'17'!E12+'18'!E12+'19'!E12+'20'!E12+'21'!E12+'22'!E12+'23'!E12+'24'!E12+'25'!E12+'26'!E12+'27'!E12+'28'!E12+'29'!E12+'30'!E12+'31'!E12</f>
        <v>100</v>
      </c>
      <c r="F12" s="21">
        <f>'1'!F14+'2'!F12+'3'!F12+'4'!F12+'5'!F12+'6'!F12+'7'!F12+'8'!F12+'9'!F12+'10'!F12+'11'!F12+'12'!F12+'13'!F12+'14'!F12+'15'!F12+'16'!F12+'17'!F12+'18'!F12+'19'!F12+'20'!F12+'21'!F12+'22'!F12+'23'!F12+'24'!F12+'25'!F12+'26'!F12+'27'!F12+'28'!F12+'29'!F12+'30'!F12+'31'!F12</f>
        <v>100</v>
      </c>
      <c r="G12" s="21">
        <f>'1'!G14+'2'!G12+'3'!G12+'4'!G12+'5'!G12+'6'!G12+'7'!G12+'8'!G12+'9'!G12+'10'!G12+'11'!G12+'12'!G12+'13'!G12+'14'!G12+'15'!G12+'16'!G12+'17'!G12+'18'!G12+'19'!G12+'20'!G12+'21'!G12+'22'!G12+'23'!G12+'24'!G12+'25'!G12+'26'!G12+'27'!G12+'28'!G12+'29'!G12+'30'!G12+'31'!G12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'1'!H14+'2'!H12+'3'!H12+'4'!H12+'5'!H12+'6'!H12+'7'!H12+'8'!H12+'9'!H12+'10'!H12+'11'!H12+'12'!H12+'13'!H12+'14'!H12+'15'!H12+'16'!H12+'17'!H12+'18'!H12+'19'!H12+'20'!H12+'21'!H12+'22'!H12+'23'!H12+'24'!H12+'25'!H12+'26'!H12+'27'!H12+'28'!H12+'29'!H12+'30'!H12+'31'!H12</f>
        <v>100</v>
      </c>
      <c r="I12" s="21">
        <f>'1'!I14+'2'!I12+'3'!I12+'4'!I12+'5'!I12+'6'!I12+'7'!I12+'8'!I12+'9'!I12+'10'!I12+'11'!I12+'12'!I12+'13'!I12+'14'!I12+'15'!I12+'16'!I12+'17'!I12+'18'!I12+'19'!I12+'20'!I12+'21'!I12+'22'!I12+'23'!I12+'24'!I12+'25'!I12+'26'!I12+'27'!I12+'28'!I12+'29'!I12+'30'!I12+'31'!I12</f>
        <v>5</v>
      </c>
      <c r="J12" s="21">
        <f>'1'!J14+'2'!J12+'3'!J12+'4'!J12+'5'!J12+'6'!J12+'7'!J12+'8'!J12+'9'!J12+'10'!J12+'11'!J12+'12'!J12+'13'!J12+'14'!J12+'15'!J12+'16'!J12+'17'!J12+'18'!J12+'19'!J12+'20'!J12+'21'!J12+'22'!J12+'23'!J12+'24'!J12+'25'!J12+'26'!J12+'27'!J12+'28'!J12+'29'!J12+'30'!J12+'31'!J12</f>
        <v>331</v>
      </c>
      <c r="K12" s="21">
        <f>'1'!K14+'2'!K12+'3'!K12+'4'!K12+'5'!K12+'6'!K12+'7'!K12+'8'!K12+'9'!K12+'10'!K12+'11'!K12+'12'!K12+'13'!K12+'14'!K12+'15'!K12+'16'!K12+'17'!K12+'18'!K12+'19'!K12+'20'!K12+'21'!K12+'22'!K12+'23'!K12+'24'!K12+'25'!K12+'26'!K12+'27'!K12+'28'!K12+'29'!K12+'30'!K12+'31'!K12</f>
        <v>30</v>
      </c>
      <c r="L12" s="21">
        <f>'1'!L14+'2'!L12+'3'!L12+'4'!L12+'5'!L12+'6'!L12+'7'!L12+'8'!L12+'9'!L12+'10'!L12+'11'!L12+'12'!L12+'13'!L12+'14'!L12+'15'!L12+'16'!L12+'17'!L12+'18'!L12+'19'!L12+'20'!L12+'21'!L12+'22'!L12+'23'!L12+'24'!L12+'25'!L12+'26'!L12+'27'!L12+'28'!L12+'29'!L12+'30'!L12+'31'!L12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125676</v>
      </c>
      <c r="N12" s="24">
        <f t="shared" si="1"/>
        <v>195312</v>
      </c>
      <c r="O12" s="25">
        <f t="shared" si="2"/>
        <v>3456.09</v>
      </c>
      <c r="P12" s="26"/>
      <c r="Q12" s="26">
        <f>'1'!Q14+'2'!Q12+'3'!Q12+'4'!Q12+'5'!Q12+'6'!R12+'7'!Q12+'8'!Q12+'9'!Q12+'10'!Q12+'11'!Q12+'12'!Q12+'13'!Q12+'14'!Q12+'15'!Q12+'16'!Q12+'17'!Q12+'18'!Q12+'19'!Q12+'20'!Q12+'21'!Q12+'22'!Q12+'23'!Q12+'24'!Q12+'25'!Q12+'26'!Q12+'27'!Q12+'28'!Q12+'29'!Q12+'30'!Q12+'31'!Q12</f>
        <v>635</v>
      </c>
      <c r="R12" s="24">
        <f t="shared" si="3"/>
        <v>191220.91</v>
      </c>
      <c r="S12" s="25">
        <f t="shared" si="4"/>
        <v>1193.922</v>
      </c>
      <c r="T12" s="116">
        <f t="shared" si="5"/>
        <v>558.92200000000003</v>
      </c>
    </row>
    <row r="13" spans="1:20" ht="17.100000000000001" customHeight="1" x14ac:dyDescent="0.25">
      <c r="A13" s="115">
        <v>7</v>
      </c>
      <c r="B13" s="94">
        <v>1908446140</v>
      </c>
      <c r="C13" s="82" t="s">
        <v>29</v>
      </c>
      <c r="D13" s="21">
        <f>'1'!D15+'2'!D13+'3'!D13+'4'!D13+'5'!D13+'6'!D13+'7'!D13+'8'!D13+'9'!D13+'10'!D13+'11'!D13+'12'!D13+'13'!D13+'14'!D13+'15'!D13+'16'!D13+'17'!D13+'18'!D13+'19'!D13+'20'!D13+'21'!D13+'22'!D13+'23'!D13+'24'!D13+'25'!D13+'26'!D13+'27'!D13+'28'!D13+'29'!D13+'30'!D13+'31'!D13</f>
        <v>109476</v>
      </c>
      <c r="E13" s="21">
        <f>'1'!E15+'2'!E13+'3'!E13+'4'!E13+'5'!E13+'6'!E13+'7'!E13+'8'!E13+'9'!E13+'10'!E13+'11'!E13+'12'!E13+'13'!E13+'14'!E13+'15'!E13+'16'!E13+'17'!E13+'18'!E13+'19'!E13+'20'!E13+'21'!E13+'22'!E13+'23'!E13+'24'!E13+'25'!E13+'26'!E13+'27'!E13+'28'!E13+'29'!E13+'30'!E13+'31'!E13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'1'!F15+'2'!F13+'3'!F13+'4'!F13+'5'!F13+'6'!F13+'7'!F13+'8'!F13+'9'!F13+'10'!F13+'11'!F13+'12'!F13+'13'!F13+'14'!F13+'15'!F13+'16'!F13+'17'!F13+'18'!F13+'19'!F13+'20'!F13+'21'!F13+'22'!F13+'23'!F13+'24'!F13+'25'!F13+'26'!F13+'27'!F13+'28'!F13+'29'!F13+'30'!F13+'31'!F13</f>
        <v>60</v>
      </c>
      <c r="G13" s="21">
        <f>'1'!G15+'2'!G13+'3'!G13+'4'!G13+'5'!G13+'6'!G13+'7'!G13+'8'!G13+'9'!G13+'10'!G13+'11'!G13+'12'!G13+'13'!G13+'14'!G13+'15'!G13+'16'!G13+'17'!G13+'18'!G13+'19'!G13+'20'!G13+'21'!G13+'22'!G13+'23'!G13+'24'!G13+'25'!G13+'26'!G13+'27'!G13+'28'!G13+'29'!G13+'30'!G13+'31'!G13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'1'!H15+'2'!H13+'3'!H13+'4'!H13+'5'!H13+'6'!H13+'7'!H13+'8'!H13+'9'!H13+'10'!H13+'11'!H13+'12'!H13+'13'!H13+'14'!H13+'15'!H13+'16'!H13+'17'!H13+'18'!H13+'19'!H13+'20'!H13+'21'!H13+'22'!H13+'23'!H13+'24'!H13+'25'!H13+'26'!H13+'27'!H13+'28'!H13+'29'!H13+'30'!H13+'31'!H13</f>
        <v>480</v>
      </c>
      <c r="I13" s="21">
        <f>'1'!I15+'2'!I13+'3'!I13+'4'!I13+'5'!I13+'6'!I13+'7'!I13+'8'!I13+'9'!I13+'10'!I13+'11'!I13+'12'!I13+'13'!I13+'14'!I13+'15'!I13+'16'!I13+'17'!I13+'18'!I13+'19'!I13+'20'!I13+'21'!I13+'22'!I13+'23'!I13+'24'!I13+'25'!I13+'26'!I13+'27'!I13+'28'!I13+'29'!I13+'30'!I13+'31'!I13</f>
        <v>171</v>
      </c>
      <c r="J13" s="21">
        <f>'1'!J15+'2'!J13+'3'!J13+'4'!J13+'5'!J13+'6'!J13+'7'!J13+'8'!J13+'9'!J13+'10'!J13+'11'!J13+'12'!J13+'13'!J13+'14'!J13+'15'!J13+'16'!J13+'17'!J13+'18'!J13+'19'!J13+'20'!J13+'21'!J13+'22'!J13+'23'!J13+'24'!J13+'25'!J13+'26'!J13+'27'!J13+'28'!J13+'29'!J13+'30'!J13+'31'!J13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'1'!K15+'2'!K13+'3'!K13+'4'!K13+'5'!K13+'6'!K13+'7'!K13+'8'!K13+'9'!K13+'10'!K13+'11'!K13+'12'!K13+'13'!K13+'14'!K13+'15'!K13+'16'!K13+'17'!K13+'18'!K13+'19'!K13+'20'!K13+'21'!K13+'22'!K13+'23'!K13+'24'!K13+'25'!K13+'26'!K13+'27'!K13+'28'!K13+'29'!K13+'30'!K13+'31'!K13</f>
        <v>5</v>
      </c>
      <c r="L13" s="21">
        <f>'1'!L15+'2'!L13+'3'!L13+'4'!L13+'5'!L13+'6'!L13+'7'!L13+'8'!L13+'9'!L13+'10'!L13+'11'!L13+'12'!L13+'13'!L13+'14'!L13+'15'!L13+'16'!L13+'17'!L13+'18'!L13+'19'!L13+'20'!L13+'21'!L13+'22'!L13+'23'!L13+'24'!L13+'25'!L13+'26'!L13+'27'!L13+'28'!L13+'29'!L13+'30'!L13+'31'!L13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114396</v>
      </c>
      <c r="N13" s="24">
        <f t="shared" si="1"/>
        <v>147967</v>
      </c>
      <c r="O13" s="25">
        <f t="shared" si="2"/>
        <v>3145.89</v>
      </c>
      <c r="P13" s="26"/>
      <c r="Q13" s="26">
        <f>'1'!Q15+'2'!Q13+'3'!Q13+'4'!Q13+'5'!Q13+'6'!R13+'7'!Q13+'8'!Q13+'9'!Q13+'10'!Q13+'11'!Q13+'12'!Q13+'13'!Q13+'14'!Q13+'15'!Q13+'16'!Q13+'17'!Q13+'18'!Q13+'19'!Q13+'20'!Q13+'21'!Q13+'22'!Q13+'23'!Q13+'24'!Q13+'25'!Q13+'26'!Q13+'27'!Q13+'28'!Q13+'29'!Q13+'30'!Q13+'31'!Q13</f>
        <v>832</v>
      </c>
      <c r="R13" s="24">
        <f t="shared" si="3"/>
        <v>143989.10999999999</v>
      </c>
      <c r="S13" s="25">
        <f t="shared" si="4"/>
        <v>1086.7619999999999</v>
      </c>
      <c r="T13" s="116">
        <f t="shared" si="5"/>
        <v>254.76199999999994</v>
      </c>
    </row>
    <row r="14" spans="1:20" ht="17.100000000000001" customHeight="1" x14ac:dyDescent="0.25">
      <c r="A14" s="115">
        <v>8</v>
      </c>
      <c r="B14" s="94">
        <v>1908446141</v>
      </c>
      <c r="C14" s="82" t="s">
        <v>30</v>
      </c>
      <c r="D14" s="21">
        <f>'1'!D16+'2'!D14+'3'!D14+'4'!D14+'5'!D14+'6'!D14+'7'!D14+'8'!D14+'9'!D14+'10'!D14+'11'!D14+'12'!D14+'13'!D14+'14'!D14+'15'!D14+'16'!D14+'17'!D14+'18'!D14+'19'!D14+'20'!D14+'21'!D14+'22'!D14+'23'!D14+'24'!D14+'25'!D14+'26'!D14+'27'!D14+'28'!D14+'29'!D14+'30'!D14+'31'!D14</f>
        <v>451228</v>
      </c>
      <c r="E14" s="21">
        <f>'1'!E16+'2'!E14+'3'!E14+'4'!E14+'5'!E14+'6'!E14+'7'!E14+'8'!E14+'9'!E14+'10'!E14+'11'!E14+'12'!E14+'13'!E14+'14'!E14+'15'!E14+'16'!E14+'17'!E14+'18'!E14+'19'!E14+'20'!E14+'21'!E14+'22'!E14+'23'!E14+'24'!E14+'25'!E14+'26'!E14+'27'!E14+'28'!E14+'29'!E14+'30'!E14+'31'!E14</f>
        <v>80</v>
      </c>
      <c r="F14" s="21">
        <f>'1'!F16+'2'!F14+'3'!F14+'4'!F14+'5'!F14+'6'!F14+'7'!F14+'8'!F14+'9'!F14+'10'!F14+'11'!F14+'12'!F14+'13'!F14+'14'!F14+'15'!F14+'16'!F14+'17'!F14+'18'!F14+'19'!F14+'20'!F14+'21'!F14+'22'!F14+'23'!F14+'24'!F14+'25'!F14+'26'!F14+'27'!F14+'28'!F14+'29'!F14+'30'!F14+'31'!F14</f>
        <v>250</v>
      </c>
      <c r="G14" s="21">
        <f>'1'!G16+'2'!G14+'3'!G14+'4'!G14+'5'!G14+'6'!G14+'7'!G14+'8'!G14+'9'!G14+'10'!G14+'11'!G14+'12'!G14+'13'!G14+'14'!G14+'15'!G14+'16'!G14+'17'!G14+'18'!G14+'19'!G14+'20'!G14+'21'!G14+'22'!G14+'23'!G14+'24'!G14+'25'!G14+'26'!G14+'27'!G14+'28'!G14+'29'!G14+'30'!G14+'31'!G14</f>
        <v>310</v>
      </c>
      <c r="H14" s="21">
        <f>'1'!H16+'2'!H14+'3'!H14+'4'!H14+'5'!H14+'6'!H14+'7'!H14+'8'!H14+'9'!H14+'10'!H14+'11'!H14+'12'!H14+'13'!H14+'14'!H14+'15'!H14+'16'!H14+'17'!H14+'18'!H14+'19'!H14+'20'!H14+'21'!H14+'22'!H14+'23'!H14+'24'!H14+'25'!H14+'26'!H14+'27'!H14+'28'!H14+'29'!H14+'30'!H14+'31'!H14</f>
        <v>1980</v>
      </c>
      <c r="I14" s="21">
        <f>'1'!I16+'2'!I14+'3'!I14+'4'!I14+'5'!I14+'6'!I14+'7'!I14+'8'!I14+'9'!I14+'10'!I14+'11'!I14+'12'!I14+'13'!I14+'14'!I14+'15'!I14+'16'!I14+'17'!I14+'18'!I14+'19'!I14+'20'!I14+'21'!I14+'22'!I14+'23'!I14+'24'!I14+'25'!I14+'26'!I14+'27'!I14+'28'!I14+'29'!I14+'30'!I14+'31'!I14</f>
        <v>107</v>
      </c>
      <c r="J14" s="21">
        <f>'1'!J16+'2'!J14+'3'!J14+'4'!J14+'5'!J14+'6'!J14+'7'!J14+'8'!J14+'9'!J14+'10'!J14+'11'!J14+'12'!J14+'13'!J14+'14'!J14+'15'!J14+'16'!J14+'17'!J14+'18'!J14+'19'!J14+'20'!J14+'21'!J14+'22'!J14+'23'!J14+'24'!J14+'25'!J14+'26'!J14+'27'!J14+'28'!J14+'29'!J14+'30'!J14+'31'!J14</f>
        <v>6</v>
      </c>
      <c r="K14" s="21">
        <f>'1'!K16+'2'!K14+'3'!K14+'4'!K14+'5'!K14+'6'!K14+'7'!K14+'8'!K14+'9'!K14+'10'!K14+'11'!K14+'12'!K14+'13'!K14+'14'!K14+'15'!K14+'16'!K14+'17'!K14+'18'!K14+'19'!K14+'20'!K14+'21'!K14+'22'!K14+'23'!K14+'24'!K14+'25'!K14+'26'!K14+'27'!K14+'28'!K14+'29'!K14+'30'!K14+'31'!K14</f>
        <v>41</v>
      </c>
      <c r="L14" s="21">
        <f>'1'!L16+'2'!L14+'3'!L14+'4'!L14+'5'!L14+'6'!L14+'7'!L14+'8'!L14+'9'!L14+'10'!L14+'11'!L14+'12'!L14+'13'!L14+'14'!L14+'15'!L14+'16'!L14+'17'!L14+'18'!L14+'19'!L14+'20'!L14+'21'!L14+'22'!L14+'23'!L14+'24'!L14+'25'!L14+'26'!L14+'27'!L14+'28'!L14+'29'!L14+'30'!L14+'31'!L14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475938</v>
      </c>
      <c r="N14" s="24">
        <f t="shared" si="1"/>
        <v>504983</v>
      </c>
      <c r="O14" s="25">
        <f t="shared" si="2"/>
        <v>13088.295</v>
      </c>
      <c r="P14" s="26"/>
      <c r="Q14" s="26">
        <f>'1'!Q16+'2'!Q14+'3'!Q14+'4'!Q14+'5'!Q14+'6'!R14+'7'!Q14+'8'!Q14+'9'!Q14+'10'!Q14+'11'!Q14+'12'!Q14+'13'!Q14+'14'!Q14+'15'!Q14+'16'!Q14+'17'!Q14+'18'!Q14+'19'!Q14+'20'!Q14+'21'!Q14+'22'!Q14+'23'!Q14+'24'!Q14+'25'!Q14+'26'!Q14+'27'!Q14+'28'!Q14+'29'!Q14+'30'!Q14+'31'!Q14</f>
        <v>3394</v>
      </c>
      <c r="R14" s="24">
        <f t="shared" si="3"/>
        <v>488500.70500000002</v>
      </c>
      <c r="S14" s="25">
        <f t="shared" si="4"/>
        <v>4521.4110000000001</v>
      </c>
      <c r="T14" s="116">
        <f t="shared" si="5"/>
        <v>1127.4110000000001</v>
      </c>
    </row>
    <row r="15" spans="1:20" ht="17.100000000000001" customHeight="1" x14ac:dyDescent="0.25">
      <c r="A15" s="115">
        <v>9</v>
      </c>
      <c r="B15" s="94">
        <v>1908446142</v>
      </c>
      <c r="C15" s="85" t="s">
        <v>31</v>
      </c>
      <c r="D15" s="21">
        <f>'1'!D17+'2'!D15+'3'!D15+'4'!D15+'5'!D15+'6'!D15+'7'!D15+'8'!D15+'9'!D15+'10'!D15+'11'!D15+'12'!D15+'13'!D15+'14'!D15+'15'!D15+'16'!D15+'17'!D15+'18'!D15+'19'!D15+'20'!D15+'21'!D15+'22'!D15+'23'!D15+'24'!D15+'25'!D15+'26'!D15+'27'!D15+'28'!D15+'29'!D15+'30'!D15+'31'!D15</f>
        <v>485535</v>
      </c>
      <c r="E15" s="21">
        <f>'1'!E17+'2'!E15+'3'!E15+'4'!E15+'5'!E15+'6'!E15+'7'!E15+'8'!E15+'9'!E15+'10'!E15+'11'!E15+'12'!E15+'13'!E15+'14'!E15+'15'!E15+'16'!E15+'17'!E15+'18'!E15+'19'!E15+'20'!E15+'21'!E15+'22'!E15+'23'!E15+'24'!E15+'25'!E15+'26'!E15+'27'!E15+'28'!E15+'29'!E15+'30'!E15+'31'!E15</f>
        <v>320</v>
      </c>
      <c r="F15" s="21">
        <f>'1'!F17+'2'!F15+'3'!F15+'4'!F15+'5'!F15+'6'!F15+'7'!F15+'8'!F15+'9'!F15+'10'!F15+'11'!F15+'12'!F15+'13'!F15+'14'!F15+'15'!F15+'16'!F15+'17'!F15+'18'!F15+'19'!F15+'20'!F15+'21'!F15+'22'!F15+'23'!F15+'24'!F15+'25'!F15+'26'!F15+'27'!F15+'28'!F15+'29'!F15+'30'!F15+'31'!F15</f>
        <v>380</v>
      </c>
      <c r="G15" s="21">
        <f>'1'!G17+'2'!G15+'3'!G15+'4'!G15+'5'!G15+'6'!G15+'7'!G15+'8'!G15+'9'!G15+'10'!G15+'11'!G15+'12'!G15+'13'!G15+'14'!G15+'15'!G15+'16'!G15+'17'!G15+'18'!G15+'19'!G15+'20'!G15+'21'!G15+'22'!G15+'23'!G15+'24'!G15+'25'!G15+'26'!G15+'27'!G15+'28'!G15+'29'!G15+'30'!G15+'31'!G15</f>
        <v>60</v>
      </c>
      <c r="H15" s="21">
        <f>'1'!H17+'2'!H15+'3'!H15+'4'!H15+'5'!H15+'6'!H15+'7'!H15+'8'!H15+'9'!H15+'10'!H15+'11'!H15+'12'!H15+'13'!H15+'14'!H15+'15'!H15+'16'!H15+'17'!H15+'18'!H15+'19'!H15+'20'!H15+'21'!H15+'22'!H15+'23'!H15+'24'!H15+'25'!H15+'26'!H15+'27'!H15+'28'!H15+'29'!H15+'30'!H15+'31'!H15</f>
        <v>470</v>
      </c>
      <c r="I15" s="21">
        <f>'1'!I17+'2'!I15+'3'!I15+'4'!I15+'5'!I15+'6'!I15+'7'!I15+'8'!I15+'9'!I15+'10'!I15+'11'!I15+'12'!I15+'13'!I15+'14'!I15+'15'!I15+'16'!I15+'17'!I15+'18'!I15+'19'!I15+'20'!I15+'21'!I15+'22'!I15+'23'!I15+'24'!I15+'25'!I15+'26'!I15+'27'!I15+'28'!I15+'29'!I15+'30'!I15+'31'!I15</f>
        <v>86</v>
      </c>
      <c r="J15" s="21">
        <f>'1'!J17+'2'!J15+'3'!J15+'4'!J15+'5'!J15+'6'!J15+'7'!J15+'8'!J15+'9'!J15+'10'!J15+'11'!J15+'12'!J15+'13'!J15+'14'!J15+'15'!J15+'16'!J15+'17'!J15+'18'!J15+'19'!J15+'20'!J15+'21'!J15+'22'!J15+'23'!J15+'24'!J15+'25'!J15+'26'!J15+'27'!J15+'28'!J15+'29'!J15+'30'!J15+'31'!J15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'1'!K17+'2'!K15+'3'!K15+'4'!K15+'5'!K15+'6'!K15+'7'!K15+'8'!K15+'9'!K15+'10'!K15+'11'!K15+'12'!K15+'13'!K15+'14'!K15+'15'!K15+'16'!K15+'17'!K15+'18'!K15+'19'!K15+'20'!K15+'21'!K15+'22'!K15+'23'!K15+'24'!K15+'25'!K15+'26'!K15+'27'!K15+'28'!K15+'29'!K15+'30'!K15+'31'!K15</f>
        <v>38</v>
      </c>
      <c r="L15" s="21">
        <f>'1'!L17+'2'!L15+'3'!L15+'4'!L15+'5'!L15+'6'!L15+'7'!L15+'8'!L15+'9'!L15+'10'!L15+'11'!L15+'12'!L15+'13'!L15+'14'!L15+'15'!L15+'16'!L15+'17'!L15+'18'!L15+'19'!L15+'20'!L15+'21'!L15+'22'!L15+'23'!L15+'24'!L15+'25'!L15+'26'!L15+'27'!L15+'28'!L15+'29'!L15+'30'!L15+'31'!L15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500505</v>
      </c>
      <c r="N15" s="24">
        <f t="shared" si="1"/>
        <v>523847</v>
      </c>
      <c r="O15" s="25">
        <f t="shared" si="2"/>
        <v>13763.887500000001</v>
      </c>
      <c r="P15" s="26"/>
      <c r="Q15" s="26">
        <f>'1'!Q17+'2'!Q15+'3'!Q15+'4'!Q15+'5'!Q15+'6'!R15+'7'!Q15+'8'!Q15+'9'!Q15+'10'!Q15+'11'!Q15+'12'!Q15+'13'!Q15+'14'!Q15+'15'!Q15+'16'!Q15+'17'!Q15+'18'!Q15+'19'!Q15+'20'!Q15+'21'!Q15+'22'!Q15+'23'!Q15+'24'!Q15+'25'!Q15+'26'!Q15+'27'!Q15+'28'!Q15+'29'!Q15+'30'!Q15+'31'!Q15</f>
        <v>3711</v>
      </c>
      <c r="R15" s="24">
        <f t="shared" si="3"/>
        <v>506372.11249999999</v>
      </c>
      <c r="S15" s="25">
        <f t="shared" si="4"/>
        <v>4754.7974999999997</v>
      </c>
      <c r="T15" s="116">
        <f t="shared" si="5"/>
        <v>1043.7974999999997</v>
      </c>
    </row>
    <row r="16" spans="1:20" ht="17.100000000000001" customHeight="1" x14ac:dyDescent="0.25">
      <c r="A16" s="115">
        <v>10</v>
      </c>
      <c r="B16" s="94">
        <v>1908446143</v>
      </c>
      <c r="C16" s="82" t="s">
        <v>32</v>
      </c>
      <c r="D16" s="21">
        <f>'1'!D18+'2'!D16+'3'!D16+'4'!D16+'5'!D16+'6'!D16+'7'!D16+'8'!D16+'9'!D16+'10'!D16+'11'!D16+'12'!D16+'13'!D16+'14'!D16+'15'!D16+'16'!D16+'17'!D16+'18'!D16+'19'!D16+'20'!D16+'21'!D16+'22'!D16+'23'!D16+'24'!D16+'25'!D16+'26'!D16+'27'!D16+'28'!D16+'29'!D16+'30'!D16+'31'!D16</f>
        <v>417467</v>
      </c>
      <c r="E16" s="21">
        <f>'1'!E18+'2'!E16+'3'!E16+'4'!E16+'5'!E16+'6'!E16+'7'!E16+'8'!E16+'9'!E16+'10'!E16+'11'!E16+'12'!E16+'13'!E16+'14'!E16+'15'!E16+'16'!E16+'17'!E16+'18'!E16+'19'!E16+'20'!E16+'21'!E16+'22'!E16+'23'!E16+'24'!E16+'25'!E16+'26'!E16+'27'!E16+'28'!E16+'29'!E16+'30'!E16+'31'!E16</f>
        <v>290</v>
      </c>
      <c r="F16" s="21">
        <f>'1'!F18+'2'!F16+'3'!F16+'4'!F16+'5'!F16+'6'!F16+'7'!F16+'8'!F16+'9'!F16+'10'!F16+'11'!F16+'12'!F16+'13'!F16+'14'!F16+'15'!F16+'16'!F16+'17'!F16+'18'!F16+'19'!F16+'20'!F16+'21'!F16+'22'!F16+'23'!F16+'24'!F16+'25'!F16+'26'!F16+'27'!F16+'28'!F16+'29'!F16+'30'!F16+'31'!F16</f>
        <v>480</v>
      </c>
      <c r="G16" s="21">
        <f>'1'!G18+'2'!G16+'3'!G16+'4'!G16+'5'!G16+'6'!G16+'7'!G16+'8'!G16+'9'!G16+'10'!G16+'11'!G16+'12'!G16+'13'!G16+'14'!G16+'15'!G16+'16'!G16+'17'!G16+'18'!G16+'19'!G16+'20'!G16+'21'!G16+'22'!G16+'23'!G16+'24'!G16+'25'!G16+'26'!G16+'27'!G16+'28'!G16+'29'!G16+'30'!G16+'31'!G16</f>
        <v>400</v>
      </c>
      <c r="H16" s="21">
        <f>'1'!H18+'2'!H16+'3'!H16+'4'!H16+'5'!H16+'6'!H16+'7'!H16+'8'!H16+'9'!H16+'10'!H16+'11'!H16+'12'!H16+'13'!H16+'14'!H16+'15'!H16+'16'!H16+'17'!H16+'18'!H16+'19'!H16+'20'!H16+'21'!H16+'22'!H16+'23'!H16+'24'!H16+'25'!H16+'26'!H16+'27'!H16+'28'!H16+'29'!H16+'30'!H16+'31'!H16</f>
        <v>2140</v>
      </c>
      <c r="I16" s="21">
        <f>'1'!I18+'2'!I16+'3'!I16+'4'!I16+'5'!I16+'6'!I16+'7'!I16+'8'!I16+'9'!I16+'10'!I16+'11'!I16+'12'!I16+'13'!I16+'14'!I16+'15'!I16+'16'!I16+'17'!I16+'18'!I16+'19'!I16+'20'!I16+'21'!I16+'22'!I16+'23'!I16+'24'!I16+'25'!I16+'26'!I16+'27'!I16+'28'!I16+'29'!I16+'30'!I16+'31'!I16</f>
        <v>71</v>
      </c>
      <c r="J16" s="21">
        <f>'1'!J18+'2'!J16+'3'!J16+'4'!J16+'5'!J16+'6'!J16+'7'!J16+'8'!J16+'9'!J16+'10'!J16+'11'!J16+'12'!J16+'13'!J16+'14'!J16+'15'!J16+'16'!J16+'17'!J16+'18'!J16+'19'!J16+'20'!J16+'21'!J16+'22'!J16+'23'!J16+'24'!J16+'25'!J16+'26'!J16+'27'!J16+'28'!J16+'29'!J16+'30'!J16+'31'!J16</f>
        <v>32</v>
      </c>
      <c r="K16" s="21">
        <f>'1'!K18+'2'!K16+'3'!K16+'4'!K16+'5'!K16+'6'!K16+'7'!K16+'8'!K16+'9'!K16+'10'!K16+'11'!K16+'12'!K16+'13'!K16+'14'!K16+'15'!K16+'16'!K16+'17'!K16+'18'!K16+'19'!K16+'20'!K16+'21'!K16+'22'!K16+'23'!K16+'24'!K16+'25'!K16+'26'!K16+'27'!K16+'28'!K16+'29'!K16+'30'!K16+'31'!K16</f>
        <v>22</v>
      </c>
      <c r="L16" s="21">
        <f>'1'!L18+'2'!L16+'3'!L16+'4'!L16+'5'!L16+'6'!L16+'7'!L16+'8'!L16+'9'!L16+'10'!L16+'11'!L16+'12'!L16+'13'!L16+'14'!L16+'15'!L16+'16'!L16+'17'!L16+'18'!L16+'19'!L16+'20'!L16+'21'!L16+'22'!L16+'23'!L16+'24'!L16+'25'!L16+'26'!L16+'27'!L16+'28'!L16+'29'!L16+'30'!L16+'31'!L16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450927</v>
      </c>
      <c r="N16" s="24">
        <f t="shared" si="1"/>
        <v>474604</v>
      </c>
      <c r="O16" s="25">
        <f t="shared" si="2"/>
        <v>12400.4925</v>
      </c>
      <c r="P16" s="26"/>
      <c r="Q16" s="26">
        <f>'1'!Q18+'2'!Q16+'3'!Q16+'4'!Q16+'5'!Q16+'6'!R16+'7'!Q16+'8'!Q16+'9'!Q16+'10'!Q16+'11'!Q16+'12'!Q16+'13'!Q16+'14'!Q16+'15'!Q16+'16'!Q16+'17'!Q16+'18'!Q16+'19'!Q16+'20'!Q16+'21'!Q16+'22'!Q16+'23'!Q16+'24'!Q16+'25'!Q16+'26'!Q16+'27'!Q16+'28'!Q16+'29'!Q16+'30'!Q16+'31'!Q16</f>
        <v>2545</v>
      </c>
      <c r="R16" s="24">
        <f t="shared" si="3"/>
        <v>459658.50750000001</v>
      </c>
      <c r="S16" s="25">
        <f t="shared" si="4"/>
        <v>4283.8064999999997</v>
      </c>
      <c r="T16" s="116">
        <f t="shared" si="5"/>
        <v>1738.8064999999997</v>
      </c>
    </row>
    <row r="17" spans="1:20" ht="17.100000000000001" customHeight="1" x14ac:dyDescent="0.25">
      <c r="A17" s="115">
        <v>11</v>
      </c>
      <c r="B17" s="94">
        <v>1908446144</v>
      </c>
      <c r="C17" s="85" t="s">
        <v>33</v>
      </c>
      <c r="D17" s="21">
        <f>'1'!D19+'2'!D17+'3'!D17+'4'!D17+'5'!D17+'6'!D17+'7'!D17+'8'!D17+'9'!D17+'10'!D17+'11'!D17+'12'!D17+'13'!D17+'14'!D17+'15'!D17+'16'!D17+'17'!D17+'18'!D17+'19'!D17+'20'!D17+'21'!D17+'22'!D17+'23'!D17+'24'!D17+'25'!D17+'26'!D17+'27'!D17+'28'!D17+'29'!D17+'30'!D17+'31'!D17</f>
        <v>244459</v>
      </c>
      <c r="E17" s="21">
        <f>'1'!E19+'2'!E17+'3'!E17+'4'!E17+'5'!E17+'6'!E17+'7'!E17+'8'!E17+'9'!E17+'10'!E17+'11'!E17+'12'!E17+'13'!E17+'14'!E17+'15'!E17+'16'!E17+'17'!E17+'18'!E17+'19'!E17+'20'!E17+'21'!E17+'22'!E17+'23'!E17+'24'!E17+'25'!E17+'26'!E17+'27'!E17+'28'!E17+'29'!E17+'30'!E17+'31'!E17</f>
        <v>130</v>
      </c>
      <c r="F17" s="21">
        <f>'1'!F19+'2'!F17+'3'!F17+'4'!F17+'5'!F17+'6'!F17+'7'!F17+'8'!F17+'9'!F17+'10'!F17+'11'!F17+'12'!F17+'13'!F17+'14'!F17+'15'!F17+'16'!F17+'17'!F17+'18'!F17+'19'!F17+'20'!F17+'21'!F17+'22'!F17+'23'!F17+'24'!F17+'25'!F17+'26'!F17+'27'!F17+'28'!F17+'29'!F17+'30'!F17+'31'!F17</f>
        <v>490</v>
      </c>
      <c r="G17" s="21">
        <f>'1'!G19+'2'!G17+'3'!G17+'4'!G17+'5'!G17+'6'!G17+'7'!G17+'8'!G17+'9'!G17+'10'!G17+'11'!G17+'12'!G17+'13'!G17+'14'!G17+'15'!G17+'16'!G17+'17'!G17+'18'!G17+'19'!G17+'20'!G17+'21'!G17+'22'!G17+'23'!G17+'24'!G17+'25'!G17+'26'!G17+'27'!G17+'28'!G17+'29'!G17+'30'!G17+'31'!G17</f>
        <v>240</v>
      </c>
      <c r="H17" s="21">
        <f>'1'!H19+'2'!H17+'3'!H17+'4'!H17+'5'!H17+'6'!H17+'7'!H17+'8'!H17+'9'!H17+'10'!H17+'11'!H17+'12'!H17+'13'!H17+'14'!H17+'15'!H17+'16'!H17+'17'!H17+'18'!H17+'19'!H17+'20'!H17+'21'!H17+'22'!H17+'23'!H17+'24'!H17+'25'!H17+'26'!H17+'27'!H17+'28'!H17+'29'!H17+'30'!H17+'31'!H17</f>
        <v>770</v>
      </c>
      <c r="I17" s="21">
        <f>'1'!I19+'2'!I17+'3'!I17+'4'!I17+'5'!I17+'6'!I17+'7'!I17+'8'!I17+'9'!I17+'10'!I17+'11'!I17+'12'!I17+'13'!I17+'14'!I17+'15'!I17+'16'!I17+'17'!I17+'18'!I17+'19'!I17+'20'!I17+'21'!I17+'22'!I17+'23'!I17+'24'!I17+'25'!I17+'26'!I17+'27'!I17+'28'!I17+'29'!I17+'30'!I17+'31'!I17</f>
        <v>57</v>
      </c>
      <c r="J17" s="21">
        <f>'1'!J19+'2'!J17+'3'!J17+'4'!J17+'5'!J17+'6'!J17+'7'!J17+'8'!J17+'9'!J17+'10'!J17+'11'!J17+'12'!J17+'13'!J17+'14'!J17+'15'!J17+'16'!J17+'17'!J17+'18'!J17+'19'!J17+'20'!J17+'21'!J17+'22'!J17+'23'!J17+'24'!J17+'25'!J17+'26'!J17+'27'!J17+'28'!J17+'29'!J17+'30'!J17+'31'!J17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'1'!K19+'2'!K17+'3'!K17+'4'!K17+'5'!K17+'6'!K17+'7'!K17+'8'!K17+'9'!K17+'10'!K17+'11'!K17+'12'!K17+'13'!K17+'14'!K17+'15'!K17+'16'!K17+'17'!K17+'18'!K17+'19'!K17+'20'!K17+'21'!K17+'22'!K17+'23'!K17+'24'!K17+'25'!K17+'26'!K17+'27'!K17+'28'!K17+'29'!K17+'30'!K17+'31'!K17</f>
        <v>19</v>
      </c>
      <c r="L17" s="21">
        <f>'1'!L19+'2'!L17+'3'!L17+'4'!L17+'5'!L17+'6'!L17+'7'!L17+'8'!L17+'9'!L17+'10'!L17+'11'!L17+'12'!L17+'13'!L17+'14'!L17+'15'!L17+'16'!L17+'17'!L17+'18'!L17+'19'!L17+'20'!L17+'21'!L17+'22'!L17+'23'!L17+'24'!L17+'25'!L17+'26'!L17+'27'!L17+'28'!L17+'29'!L17+'30'!L17+'31'!L17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261049</v>
      </c>
      <c r="N17" s="24">
        <f t="shared" si="1"/>
        <v>275394</v>
      </c>
      <c r="O17" s="25">
        <f t="shared" si="2"/>
        <v>7178.8474999999999</v>
      </c>
      <c r="P17" s="26"/>
      <c r="Q17" s="26">
        <f>'1'!Q19+'2'!Q17+'3'!Q17+'4'!Q17+'5'!Q17+'6'!R17+'7'!Q17+'8'!Q17+'9'!Q17+'10'!Q17+'11'!Q17+'12'!Q17+'13'!Q17+'14'!Q17+'15'!Q17+'16'!Q17+'17'!Q17+'18'!Q17+'19'!Q17+'20'!Q17+'21'!Q17+'22'!Q17+'23'!Q17+'24'!Q17+'25'!Q17+'26'!Q17+'27'!Q17+'28'!Q17+'29'!Q17+'30'!Q17+'31'!Q17</f>
        <v>1743</v>
      </c>
      <c r="R17" s="24">
        <f t="shared" si="3"/>
        <v>266472.15249999997</v>
      </c>
      <c r="S17" s="25">
        <f t="shared" si="4"/>
        <v>2479.9654999999998</v>
      </c>
      <c r="T17" s="116">
        <f t="shared" si="5"/>
        <v>736.96549999999979</v>
      </c>
    </row>
    <row r="18" spans="1:20" ht="17.100000000000001" customHeight="1" x14ac:dyDescent="0.25">
      <c r="A18" s="115">
        <v>12</v>
      </c>
      <c r="B18" s="94">
        <v>1908446145</v>
      </c>
      <c r="C18" s="84" t="s">
        <v>34</v>
      </c>
      <c r="D18" s="21">
        <f>'1'!D20+'2'!D18+'3'!D18+'4'!D18+'5'!D18+'6'!D18+'7'!D18+'8'!D18+'9'!D18+'10'!D18+'11'!D18+'12'!D18+'13'!D18+'14'!D18+'15'!D18+'16'!D18+'17'!D18+'18'!D18+'19'!D18+'20'!D18+'21'!D18+'22'!D18+'23'!D18+'24'!D18+'25'!D18+'26'!D18+'27'!D18+'28'!D18+'29'!D18+'30'!D18+'31'!D18</f>
        <v>276777</v>
      </c>
      <c r="E18" s="21">
        <f>'1'!E20+'2'!E18+'3'!E18+'4'!E18+'5'!E18+'6'!E18+'7'!E18+'8'!E18+'9'!E18+'10'!E18+'11'!E18+'12'!E18+'13'!E18+'14'!E18+'15'!E18+'16'!E18+'17'!E18+'18'!E18+'19'!E18+'20'!E18+'21'!E18+'22'!E18+'23'!E18+'24'!E18+'25'!E18+'26'!E18+'27'!E18+'28'!E18+'29'!E18+'30'!E18+'31'!E18</f>
        <v>140</v>
      </c>
      <c r="F18" s="21">
        <f>'1'!F20+'2'!F18+'3'!F18+'4'!F18+'5'!F18+'6'!F18+'7'!F18+'8'!F18+'9'!F18+'10'!F18+'11'!F18+'12'!F18+'13'!F18+'14'!F18+'15'!F18+'16'!F18+'17'!F18+'18'!F18+'19'!F18+'20'!F18+'21'!F18+'22'!F18+'23'!F18+'24'!F18+'25'!F18+'26'!F18+'27'!F18+'28'!F18+'29'!F18+'30'!F18+'31'!F18</f>
        <v>330</v>
      </c>
      <c r="G18" s="21">
        <f>'1'!G20+'2'!G18+'3'!G18+'4'!G18+'5'!G18+'6'!G18+'7'!G18+'8'!G18+'9'!G18+'10'!G18+'11'!G18+'12'!G18+'13'!G18+'14'!G18+'15'!G18+'16'!G18+'17'!G18+'18'!G18+'19'!G18+'20'!G18+'21'!G18+'22'!G18+'23'!G18+'24'!G18+'25'!G18+'26'!G18+'27'!G18+'28'!G18+'29'!G18+'30'!G18+'31'!G18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'1'!H20+'2'!H18+'3'!H18+'4'!H18+'5'!H18+'6'!H18+'7'!H18+'8'!H18+'9'!H18+'10'!H18+'11'!H18+'12'!H18+'13'!H18+'14'!H18+'15'!H18+'16'!H18+'17'!H18+'18'!H18+'19'!H18+'20'!H18+'21'!H18+'22'!H18+'23'!H18+'24'!H18+'25'!H18+'26'!H18+'27'!H18+'28'!H18+'29'!H18+'30'!H18+'31'!H18</f>
        <v>510</v>
      </c>
      <c r="I18" s="21">
        <f>'1'!I20+'2'!I18+'3'!I18+'4'!I18+'5'!I18+'6'!I18+'7'!I18+'8'!I18+'9'!I18+'10'!I18+'11'!I18+'12'!I18+'13'!I18+'14'!I18+'15'!I18+'16'!I18+'17'!I18+'18'!I18+'19'!I18+'20'!I18+'21'!I18+'22'!I18+'23'!I18+'24'!I18+'25'!I18+'26'!I18+'27'!I18+'28'!I18+'29'!I18+'30'!I18+'31'!I18</f>
        <v>110</v>
      </c>
      <c r="J18" s="21">
        <f>'1'!J20+'2'!J18+'3'!J18+'4'!J18+'5'!J18+'6'!J18+'7'!J18+'8'!J18+'9'!J18+'10'!J18+'11'!J18+'12'!J18+'13'!J18+'14'!J18+'15'!J18+'16'!J18+'17'!J18+'18'!J18+'19'!J18+'20'!J18+'21'!J18+'22'!J18+'23'!J18+'24'!J18+'25'!J18+'26'!J18+'27'!J18+'28'!J18+'29'!J18+'30'!J18+'31'!J18</f>
        <v>5</v>
      </c>
      <c r="K18" s="21">
        <f>'1'!K20+'2'!K18+'3'!K18+'4'!K18+'5'!K18+'6'!K18+'7'!K18+'8'!K18+'9'!K18+'10'!K18+'11'!K18+'12'!K18+'13'!K18+'14'!K18+'15'!K18+'16'!K18+'17'!K18+'18'!K18+'19'!K18+'20'!K18+'21'!K18+'22'!K18+'23'!K18+'24'!K18+'25'!K18+'26'!K18+'27'!K18+'28'!K18+'29'!K18+'30'!K18+'31'!K18</f>
        <v>30</v>
      </c>
      <c r="L18" s="21">
        <f>'1'!L20+'2'!L18+'3'!L18+'4'!L18+'5'!L18+'6'!L18+'7'!L18+'8'!L18+'9'!L18+'10'!L18+'11'!L18+'12'!L18+'13'!L18+'14'!L18+'15'!L18+'16'!L18+'17'!L18+'18'!L18+'19'!L18+'20'!L18+'21'!L18+'22'!L18+'23'!L18+'24'!L18+'25'!L18+'26'!L18+'27'!L18+'28'!L18+'29'!L18+'30'!L18+'31'!L18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287467</v>
      </c>
      <c r="N18" s="24">
        <f t="shared" si="1"/>
        <v>314892</v>
      </c>
      <c r="O18" s="25">
        <f t="shared" si="2"/>
        <v>7905.3424999999997</v>
      </c>
      <c r="P18" s="26"/>
      <c r="Q18" s="26">
        <f>'1'!Q20+'2'!Q18+'3'!Q18+'4'!Q18+'5'!Q18+'6'!R18+'7'!Q18+'8'!Q18+'9'!Q18+'10'!Q18+'11'!Q18+'12'!Q18+'13'!Q18+'14'!Q18+'15'!Q18+'16'!Q18+'17'!Q18+'18'!Q18+'19'!Q18+'20'!Q18+'21'!Q18+'22'!Q18+'23'!Q18+'24'!Q18+'25'!Q18+'26'!Q18+'27'!Q18+'28'!Q18+'29'!Q18+'30'!Q18+'31'!Q18</f>
        <v>3308</v>
      </c>
      <c r="R18" s="24">
        <f t="shared" si="3"/>
        <v>303678.65749999997</v>
      </c>
      <c r="S18" s="25">
        <f t="shared" si="4"/>
        <v>2730.9364999999998</v>
      </c>
      <c r="T18" s="116">
        <f t="shared" si="5"/>
        <v>-577.0635000000002</v>
      </c>
    </row>
    <row r="19" spans="1:20" ht="17.100000000000001" customHeight="1" x14ac:dyDescent="0.25">
      <c r="A19" s="115">
        <v>13</v>
      </c>
      <c r="B19" s="94">
        <v>1908446146</v>
      </c>
      <c r="C19" s="82" t="s">
        <v>35</v>
      </c>
      <c r="D19" s="21">
        <f>'1'!D21+'2'!D19+'3'!D19+'4'!D19+'5'!D19+'6'!D19+'7'!D19+'8'!D19+'9'!D19+'10'!D19+'11'!D19+'12'!D19+'13'!D19+'14'!D19+'15'!D19+'16'!D19+'17'!D19+'18'!D19+'19'!D19+'20'!D19+'21'!D19+'22'!D19+'23'!D19+'24'!D19+'25'!D19+'26'!D19+'27'!D19+'28'!D19+'29'!D19+'30'!D19+'31'!D19</f>
        <v>314153</v>
      </c>
      <c r="E19" s="21">
        <f>'1'!E21+'2'!E19+'3'!E19+'4'!E19+'5'!E19+'6'!E19+'7'!E19+'8'!E19+'9'!E19+'10'!E19+'11'!E19+'12'!E19+'13'!E19+'14'!E19+'15'!E19+'16'!E19+'17'!E19+'18'!E19+'19'!E19+'20'!E19+'21'!E19+'22'!E19+'23'!E19+'24'!E19+'25'!E19+'26'!E19+'27'!E19+'28'!E19+'29'!E19+'30'!E19+'31'!E19</f>
        <v>150</v>
      </c>
      <c r="F19" s="21">
        <f>'1'!F21+'2'!F19+'3'!F19+'4'!F19+'5'!F19+'6'!F19+'7'!F19+'8'!F19+'9'!F19+'10'!F19+'11'!F19+'12'!F19+'13'!F19+'14'!F19+'15'!F19+'16'!F19+'17'!F19+'18'!F19+'19'!F19+'20'!F19+'21'!F19+'22'!F19+'23'!F19+'24'!F19+'25'!F19+'26'!F19+'27'!F19+'28'!F19+'29'!F19+'30'!F19+'31'!F19</f>
        <v>330</v>
      </c>
      <c r="G19" s="21">
        <f>'1'!G21+'2'!G19+'3'!G19+'4'!G19+'5'!G19+'6'!G19+'7'!G19+'8'!G19+'9'!G19+'10'!G19+'11'!G19+'12'!G19+'13'!G19+'14'!G19+'15'!G19+'16'!G19+'17'!G19+'18'!G19+'19'!G19+'20'!G19+'21'!G19+'22'!G19+'23'!G19+'24'!G19+'25'!G19+'26'!G19+'27'!G19+'28'!G19+'29'!G19+'30'!G19+'31'!G19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'1'!H21+'2'!H19+'3'!H19+'4'!H19+'5'!H19+'6'!H19+'7'!H19+'8'!H19+'9'!H19+'10'!H19+'11'!H19+'12'!H19+'13'!H19+'14'!H19+'15'!H19+'16'!H19+'17'!H19+'18'!H19+'19'!H19+'20'!H19+'21'!H19+'22'!H19+'23'!H19+'24'!H19+'25'!H19+'26'!H19+'27'!H19+'28'!H19+'29'!H19+'30'!H19+'31'!H19</f>
        <v>1260</v>
      </c>
      <c r="I19" s="21">
        <f>'1'!I21+'2'!I19+'3'!I19+'4'!I19+'5'!I19+'6'!I19+'7'!I19+'8'!I19+'9'!I19+'10'!I19+'11'!I19+'12'!I19+'13'!I19+'14'!I19+'15'!I19+'16'!I19+'17'!I19+'18'!I19+'19'!I19+'20'!I19+'21'!I19+'22'!I19+'23'!I19+'24'!I19+'25'!I19+'26'!I19+'27'!I19+'28'!I19+'29'!I19+'30'!I19+'31'!I19</f>
        <v>78</v>
      </c>
      <c r="J19" s="21">
        <f>'1'!J21+'2'!J19+'3'!J19+'4'!J19+'5'!J19+'6'!J19+'7'!J19+'8'!J19+'9'!J19+'10'!J19+'11'!J19+'12'!J19+'13'!J19+'14'!J19+'15'!J19+'16'!J19+'17'!J19+'18'!J19+'19'!J19+'20'!J19+'21'!J19+'22'!J19+'23'!J19+'24'!J19+'25'!J19+'26'!J19+'27'!J19+'28'!J19+'29'!J19+'30'!J19+'31'!J19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'1'!K21+'2'!K19+'3'!K19+'4'!K19+'5'!K19+'6'!K19+'7'!K19+'8'!K19+'9'!K19+'10'!K19+'11'!K19+'12'!K19+'13'!K19+'14'!K19+'15'!K19+'16'!K19+'17'!K19+'18'!K19+'19'!K19+'20'!K19+'21'!K19+'22'!K19+'23'!K19+'24'!K19+'25'!K19+'26'!K19+'27'!K19+'28'!K19+'29'!K19+'30'!K19+'31'!K19</f>
        <v>11</v>
      </c>
      <c r="L19" s="21">
        <f>'1'!L21+'2'!L19+'3'!L19+'4'!L19+'5'!L19+'6'!L19+'7'!L19+'8'!L19+'9'!L19+'10'!L19+'11'!L19+'12'!L19+'13'!L19+'14'!L19+'15'!L19+'16'!L19+'17'!L19+'18'!L19+'19'!L19+'20'!L19+'21'!L19+'22'!L19+'23'!L19+'24'!L19+'25'!L19+'26'!L19+'27'!L19+'28'!L19+'29'!L19+'30'!L19+'31'!L19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331793</v>
      </c>
      <c r="N19" s="24">
        <f t="shared" si="1"/>
        <v>348693</v>
      </c>
      <c r="O19" s="25">
        <f t="shared" si="2"/>
        <v>9124.3075000000008</v>
      </c>
      <c r="P19" s="26"/>
      <c r="Q19" s="26">
        <f>'1'!Q21+'2'!Q19+'3'!Q19+'4'!Q19+'5'!Q19+'6'!R19+'7'!Q19+'8'!Q19+'9'!Q19+'10'!Q19+'11'!Q19+'12'!Q19+'13'!Q19+'14'!Q19+'15'!Q19+'16'!Q19+'17'!Q19+'18'!Q19+'19'!Q19+'20'!Q19+'21'!Q19+'22'!Q19+'23'!Q19+'24'!Q19+'25'!Q19+'26'!Q19+'27'!Q19+'28'!Q19+'29'!Q19+'30'!Q19+'31'!Q19</f>
        <v>3620</v>
      </c>
      <c r="R19" s="24">
        <f t="shared" si="3"/>
        <v>335948.6925</v>
      </c>
      <c r="S19" s="25">
        <f t="shared" si="4"/>
        <v>3152.0335</v>
      </c>
      <c r="T19" s="116">
        <f t="shared" si="5"/>
        <v>-467.9665</v>
      </c>
    </row>
    <row r="20" spans="1:20" ht="17.100000000000001" customHeight="1" x14ac:dyDescent="0.25">
      <c r="A20" s="115">
        <v>14</v>
      </c>
      <c r="B20" s="94">
        <v>1908446147</v>
      </c>
      <c r="C20" s="82" t="s">
        <v>36</v>
      </c>
      <c r="D20" s="21">
        <f>'1'!D22+'2'!D20+'3'!D20+'4'!D20+'5'!D20+'6'!D20+'7'!D20+'8'!D20+'9'!D20+'10'!D20+'11'!D20+'12'!D20+'13'!D20+'14'!D20+'15'!D20+'16'!D20+'17'!D20+'18'!D20+'19'!D20+'20'!D20+'21'!D20+'22'!D20+'23'!D20+'24'!D20+'25'!D20+'26'!D20+'27'!D20+'28'!D20+'29'!D20+'30'!D20+'31'!D20</f>
        <v>141952</v>
      </c>
      <c r="E20" s="21">
        <f>'1'!E22+'2'!E20+'3'!E20+'4'!E20+'5'!E20+'6'!E20+'7'!E20+'8'!E20+'9'!E20+'10'!E20+'11'!E20+'12'!E20+'13'!E20+'14'!E20+'15'!E20+'16'!E20+'17'!E20+'18'!E20+'19'!E20+'20'!E20+'21'!E20+'22'!E20+'23'!E20+'24'!E20+'25'!E20+'26'!E20+'27'!E20+'28'!E20+'29'!E20+'30'!E20+'31'!E20</f>
        <v>60</v>
      </c>
      <c r="F20" s="21">
        <f>'1'!F22+'2'!F20+'3'!F20+'4'!F20+'5'!F20+'6'!F20+'7'!F20+'8'!F20+'9'!F20+'10'!F20+'11'!F20+'12'!F20+'13'!F20+'14'!F20+'15'!F20+'16'!F20+'17'!F20+'18'!F20+'19'!F20+'20'!F20+'21'!F20+'22'!F20+'23'!F20+'24'!F20+'25'!F20+'26'!F20+'27'!F20+'28'!F20+'29'!F20+'30'!F20+'31'!F20</f>
        <v>20</v>
      </c>
      <c r="G20" s="21">
        <f>'1'!G22+'2'!G20+'3'!G20+'4'!G20+'5'!G20+'6'!G20+'7'!G20+'8'!G20+'9'!G20+'10'!G20+'11'!G20+'12'!G20+'13'!G20+'14'!G20+'15'!G20+'16'!G20+'17'!G20+'18'!G20+'19'!G20+'20'!G20+'21'!G20+'22'!G20+'23'!G20+'24'!G20+'25'!G20+'26'!G20+'27'!G20+'28'!G20+'29'!G20+'30'!G20+'31'!G20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'1'!H22+'2'!H20+'3'!H20+'4'!H20+'5'!H20+'6'!H20+'7'!H20+'8'!H20+'9'!H20+'10'!H20+'11'!H20+'12'!H20+'13'!H20+'14'!H20+'15'!H20+'16'!H20+'17'!H20+'18'!H20+'19'!H20+'20'!H20+'21'!H20+'22'!H20+'23'!H20+'24'!H20+'25'!H20+'26'!H20+'27'!H20+'28'!H20+'29'!H20+'30'!H20+'31'!H20</f>
        <v>80</v>
      </c>
      <c r="I20" s="21">
        <f>'1'!I22+'2'!I20+'3'!I20+'4'!I20+'5'!I20+'6'!I20+'7'!I20+'8'!I20+'9'!I20+'10'!I20+'11'!I20+'12'!I20+'13'!I20+'14'!I20+'15'!I20+'16'!I20+'17'!I20+'18'!I20+'19'!I20+'20'!I20+'21'!I20+'22'!I20+'23'!I20+'24'!I20+'25'!I20+'26'!I20+'27'!I20+'28'!I20+'29'!I20+'30'!I20+'31'!I20</f>
        <v>19</v>
      </c>
      <c r="J20" s="21">
        <f>'1'!J22+'2'!J20+'3'!J20+'4'!J20+'5'!J20+'6'!J20+'7'!J20+'8'!J20+'9'!J20+'10'!J20+'11'!J20+'12'!J20+'13'!J20+'14'!J20+'15'!J20+'16'!J20+'17'!J20+'18'!J20+'19'!J20+'20'!J20+'21'!J20+'22'!J20+'23'!J20+'24'!J20+'25'!J20+'26'!J20+'27'!J20+'28'!J20+'29'!J20+'30'!J20+'31'!J20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'1'!K22+'2'!K20+'3'!K20+'4'!K20+'5'!K20+'6'!K20+'7'!K20+'8'!K20+'9'!K20+'10'!K20+'11'!K20+'12'!K20+'13'!K20+'14'!K20+'15'!K20+'16'!K20+'17'!K20+'18'!K20+'19'!K20+'20'!K20+'21'!K20+'22'!K20+'23'!K20+'24'!K20+'25'!K20+'26'!K20+'27'!K20+'28'!K20+'29'!K20+'30'!K20+'31'!K20</f>
        <v>16</v>
      </c>
      <c r="L20" s="21">
        <f>'1'!L22+'2'!L20+'3'!L20+'4'!L20+'5'!L20+'6'!L20+'7'!L20+'8'!L20+'9'!L20+'10'!L20+'11'!L20+'12'!L20+'13'!L20+'14'!L20+'15'!L20+'16'!L20+'17'!L20+'18'!L20+'19'!L20+'20'!L20+'21'!L20+'22'!L20+'23'!L20+'24'!L20+'25'!L20+'26'!L20+'27'!L20+'28'!L20+'29'!L20+'30'!L20+'31'!L20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144072</v>
      </c>
      <c r="N20" s="24">
        <f t="shared" si="1"/>
        <v>150613</v>
      </c>
      <c r="O20" s="25">
        <f t="shared" si="2"/>
        <v>3961.98</v>
      </c>
      <c r="P20" s="26"/>
      <c r="Q20" s="26">
        <f>'1'!Q22+'2'!Q20+'3'!Q20+'4'!Q20+'5'!Q20+'6'!R20+'7'!Q20+'8'!Q20+'9'!Q20+'10'!Q20+'11'!Q20+'12'!Q20+'13'!Q20+'14'!Q20+'15'!Q20+'16'!Q20+'17'!Q20+'18'!Q20+'19'!Q20+'20'!Q20+'21'!Q20+'22'!Q20+'23'!Q20+'24'!Q20+'25'!Q20+'26'!Q20+'27'!Q20+'28'!Q20+'29'!Q20+'30'!Q20+'31'!Q20</f>
        <v>2492</v>
      </c>
      <c r="R20" s="24">
        <f t="shared" si="3"/>
        <v>144159.01999999999</v>
      </c>
      <c r="S20" s="25">
        <f t="shared" si="4"/>
        <v>1368.684</v>
      </c>
      <c r="T20" s="116">
        <f t="shared" si="5"/>
        <v>-1123.316</v>
      </c>
    </row>
    <row r="21" spans="1:20" ht="17.100000000000001" customHeight="1" x14ac:dyDescent="0.25">
      <c r="A21" s="115">
        <v>15</v>
      </c>
      <c r="B21" s="94">
        <v>1908446148</v>
      </c>
      <c r="C21" s="82" t="s">
        <v>37</v>
      </c>
      <c r="D21" s="21">
        <f>'1'!D23+'2'!D21+'3'!D21+'4'!D21+'5'!D21+'6'!D21+'7'!D21+'8'!D21+'9'!D21+'10'!D21+'11'!D21+'12'!D21+'13'!D21+'14'!D21+'15'!D21+'16'!D21+'17'!D21+'18'!D21+'19'!D21+'20'!D21+'21'!D21+'22'!D21+'23'!D21+'24'!D21+'25'!D21+'26'!D21+'27'!D21+'28'!D21+'29'!D21+'30'!D21+'31'!D21</f>
        <v>127904</v>
      </c>
      <c r="E21" s="21">
        <f>'1'!E23+'2'!E21+'3'!E21+'4'!E21+'5'!E21+'6'!E21+'7'!E21+'8'!E21+'9'!E21+'10'!E21+'11'!E21+'12'!E21+'13'!E21+'14'!E21+'15'!E21+'16'!E21+'17'!E21+'18'!E21+'19'!E21+'20'!E21+'21'!E21+'22'!E21+'23'!E21+'24'!E21+'25'!E21+'26'!E21+'27'!E21+'28'!E21+'29'!E21+'30'!E21+'31'!E21</f>
        <v>100</v>
      </c>
      <c r="F21" s="21">
        <f>'1'!F23+'2'!F21+'3'!F21+'4'!F21+'5'!F21+'6'!F21+'7'!F21+'8'!F21+'9'!F21+'10'!F21+'11'!F21+'12'!F21+'13'!F21+'14'!F21+'15'!F21+'16'!F21+'17'!F21+'18'!F21+'19'!F21+'20'!F21+'21'!F21+'22'!F21+'23'!F21+'24'!F21+'25'!F21+'26'!F21+'27'!F21+'28'!F21+'29'!F21+'30'!F21+'31'!F21</f>
        <v>470</v>
      </c>
      <c r="G21" s="21">
        <f>'1'!G23+'2'!G21+'3'!G21+'4'!G21+'5'!G21+'6'!G21+'7'!G21+'8'!G21+'9'!G21+'10'!G21+'11'!G21+'12'!G21+'13'!G21+'14'!G21+'15'!G21+'16'!G21+'17'!G21+'18'!G21+'19'!G21+'20'!G21+'21'!G21+'22'!G21+'23'!G21+'24'!G21+'25'!G21+'26'!G21+'27'!G21+'28'!G21+'29'!G21+'30'!G21+'31'!G21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'1'!H23+'2'!H21+'3'!H21+'4'!H21+'5'!H21+'6'!H21+'7'!H21+'8'!H21+'9'!H21+'10'!H21+'11'!H21+'12'!H21+'13'!H21+'14'!H21+'15'!H21+'16'!H21+'17'!H21+'18'!H21+'19'!H21+'20'!H21+'21'!H21+'22'!H21+'23'!H21+'24'!H21+'25'!H21+'26'!H21+'27'!H21+'28'!H21+'29'!H21+'30'!H21+'31'!H21</f>
        <v>490</v>
      </c>
      <c r="I21" s="21">
        <f>'1'!I23+'2'!I21+'3'!I21+'4'!I21+'5'!I21+'6'!I21+'7'!I21+'8'!I21+'9'!I21+'10'!I21+'11'!I21+'12'!I21+'13'!I21+'14'!I21+'15'!I21+'16'!I21+'17'!I21+'18'!I21+'19'!I21+'20'!I21+'21'!I21+'22'!I21+'23'!I21+'24'!I21+'25'!I21+'26'!I21+'27'!I21+'28'!I21+'29'!I21+'30'!I21+'31'!I21</f>
        <v>47</v>
      </c>
      <c r="J21" s="21">
        <f>'1'!J23+'2'!J21+'3'!J21+'4'!J21+'5'!J21+'6'!J21+'7'!J21+'8'!J21+'9'!J21+'10'!J21+'11'!J21+'12'!J21+'13'!J21+'14'!J21+'15'!J21+'16'!J21+'17'!J21+'18'!J21+'19'!J21+'20'!J21+'21'!J21+'22'!J21+'23'!J21+'24'!J21+'25'!J21+'26'!J21+'27'!J21+'28'!J21+'29'!J21+'30'!J21+'31'!J21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'1'!K23+'2'!K21+'3'!K21+'4'!K21+'5'!K21+'6'!K21+'7'!K21+'8'!K21+'9'!K21+'10'!K21+'11'!K21+'12'!K21+'13'!K21+'14'!K21+'15'!K21+'16'!K21+'17'!K21+'18'!K21+'19'!K21+'20'!K21+'21'!K21+'22'!K21+'23'!K21+'24'!K21+'25'!K21+'26'!K21+'27'!K21+'28'!K21+'29'!K21+'30'!K21+'31'!K21</f>
        <v>6</v>
      </c>
      <c r="L21" s="21">
        <f>'1'!L23+'2'!L21+'3'!L21+'4'!L21+'5'!L21+'6'!L21+'7'!L21+'8'!L21+'9'!L21+'10'!L21+'11'!L21+'12'!L21+'13'!L21+'14'!L21+'15'!L21+'16'!L21+'17'!L21+'18'!L21+'19'!L21+'20'!L21+'21'!L21+'22'!L21+'23'!L21+'24'!L21+'25'!L21+'26'!L21+'27'!L21+'28'!L21+'29'!L21+'30'!L21+'31'!L21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139014</v>
      </c>
      <c r="N21" s="24">
        <f t="shared" si="1"/>
        <v>149083</v>
      </c>
      <c r="O21" s="25">
        <f t="shared" si="2"/>
        <v>3822.8850000000002</v>
      </c>
      <c r="P21" s="26"/>
      <c r="Q21" s="26">
        <f>'1'!Q23+'2'!Q21+'3'!Q21+'4'!Q21+'5'!Q21+'6'!R21+'7'!Q21+'8'!Q21+'9'!Q21+'10'!Q21+'11'!Q21+'12'!Q21+'13'!Q21+'14'!Q21+'15'!Q21+'16'!Q21+'17'!Q21+'18'!Q21+'19'!Q21+'20'!Q21+'21'!Q21+'22'!Q21+'23'!Q21+'24'!Q21+'25'!Q21+'26'!Q21+'27'!Q21+'28'!Q21+'29'!Q21+'30'!Q21+'31'!Q21</f>
        <v>466</v>
      </c>
      <c r="R21" s="24">
        <f t="shared" si="3"/>
        <v>144794.11499999999</v>
      </c>
      <c r="S21" s="25">
        <f t="shared" si="4"/>
        <v>1320.633</v>
      </c>
      <c r="T21" s="116">
        <f t="shared" si="5"/>
        <v>854.63300000000004</v>
      </c>
    </row>
    <row r="22" spans="1:20" ht="17.100000000000001" customHeight="1" x14ac:dyDescent="0.25">
      <c r="A22" s="115">
        <v>16</v>
      </c>
      <c r="B22" s="94">
        <v>1908446149</v>
      </c>
      <c r="C22" s="86" t="s">
        <v>38</v>
      </c>
      <c r="D22" s="21">
        <f>'1'!D24+'2'!D22+'3'!D22+'4'!D22+'5'!D22+'6'!D22+'7'!D22+'8'!D22+'9'!D22+'10'!D22+'11'!D22+'12'!D22+'13'!D22+'14'!D22+'15'!D22+'16'!D22+'17'!D22+'18'!D22+'19'!D22+'20'!D22+'21'!D22+'22'!D22+'23'!D22+'24'!D22+'25'!D22+'26'!D22+'27'!D22+'28'!D22+'29'!D22+'30'!D22+'31'!D22</f>
        <v>470562</v>
      </c>
      <c r="E22" s="21">
        <f>'1'!E24+'2'!E22+'3'!E22+'4'!E22+'5'!E22+'6'!E22+'7'!E22+'8'!E22+'9'!E22+'10'!E22+'11'!E22+'12'!E22+'13'!E22+'14'!E22+'15'!E22+'16'!E22+'17'!E22+'18'!E22+'19'!E22+'20'!E22+'21'!E22+'22'!E22+'23'!E22+'24'!E22+'25'!E22+'26'!E22+'27'!E22+'28'!E22+'29'!E22+'30'!E22+'31'!E22</f>
        <v>650</v>
      </c>
      <c r="F22" s="21">
        <f>'1'!F24+'2'!F22+'3'!F22+'4'!F22+'5'!F22+'6'!F22+'7'!F22+'8'!F22+'9'!F22+'10'!F22+'11'!F22+'12'!F22+'13'!F22+'14'!F22+'15'!F22+'16'!F22+'17'!F22+'18'!F22+'19'!F22+'20'!F22+'21'!F22+'22'!F22+'23'!F22+'24'!F22+'25'!F22+'26'!F22+'27'!F22+'28'!F22+'29'!F22+'30'!F22+'31'!F22</f>
        <v>600</v>
      </c>
      <c r="G22" s="21">
        <f>'1'!G24+'2'!G22+'3'!G22+'4'!G22+'5'!G22+'6'!G22+'7'!G22+'8'!G22+'9'!G22+'10'!G22+'11'!G22+'12'!G22+'13'!G22+'14'!G22+'15'!G22+'16'!G22+'17'!G22+'18'!G22+'19'!G22+'20'!G22+'21'!G22+'22'!G22+'23'!G22+'24'!G22+'25'!G22+'26'!G22+'27'!G22+'28'!G22+'29'!G22+'30'!G22+'31'!G22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'1'!H24+'2'!H22+'3'!H22+'4'!H22+'5'!H22+'6'!H22+'7'!H22+'8'!H22+'9'!H22+'10'!H22+'11'!H22+'12'!H22+'13'!H22+'14'!H22+'15'!H22+'16'!H22+'17'!H22+'18'!H22+'19'!H22+'20'!H22+'21'!H22+'22'!H22+'23'!H22+'24'!H22+'25'!H22+'26'!H22+'27'!H22+'28'!H22+'29'!H22+'30'!H22+'31'!H22</f>
        <v>450</v>
      </c>
      <c r="I22" s="21">
        <f>'1'!I24+'2'!I22+'3'!I22+'4'!I22+'5'!I22+'6'!I22+'7'!I22+'8'!I22+'9'!I22+'10'!I22+'11'!I22+'12'!I22+'13'!I22+'14'!I22+'15'!I22+'16'!I22+'17'!I22+'18'!I22+'19'!I22+'20'!I22+'21'!I22+'22'!I22+'23'!I22+'24'!I22+'25'!I22+'26'!I22+'27'!I22+'28'!I22+'29'!I22+'30'!I22+'31'!I22</f>
        <v>72</v>
      </c>
      <c r="J22" s="21">
        <f>'1'!J24+'2'!J22+'3'!J22+'4'!J22+'5'!J22+'6'!J22+'7'!J22+'8'!J22+'9'!J22+'10'!J22+'11'!J22+'12'!J22+'13'!J22+'14'!J22+'15'!J22+'16'!J22+'17'!J22+'18'!J22+'19'!J22+'20'!J22+'21'!J22+'22'!J22+'23'!J22+'24'!J22+'25'!J22+'26'!J22+'27'!J22+'28'!J22+'29'!J22+'30'!J22+'31'!J22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'1'!K24+'2'!K22+'3'!K22+'4'!K22+'5'!K22+'6'!K22+'7'!K22+'8'!K22+'9'!K22+'10'!K22+'11'!K22+'12'!K22+'13'!K22+'14'!K22+'15'!K22+'16'!K22+'17'!K22+'18'!K22+'19'!K22+'20'!K22+'21'!K22+'22'!K22+'23'!K22+'24'!K22+'25'!K22+'26'!K22+'27'!K22+'28'!K22+'29'!K22+'30'!K22+'31'!K22</f>
        <v>32</v>
      </c>
      <c r="L22" s="21">
        <f>'1'!L24+'2'!L22+'3'!L22+'4'!L22+'5'!L22+'6'!L22+'7'!L22+'8'!L22+'9'!L22+'10'!L22+'11'!L22+'12'!L22+'13'!L22+'14'!L22+'15'!L22+'16'!L22+'17'!L22+'18'!L22+'19'!L22+'20'!L22+'21'!L22+'22'!L22+'23'!L22+'24'!L22+'25'!L22+'26'!L22+'27'!L22+'28'!L22+'29'!L22+'30'!L22+'31'!L22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493612</v>
      </c>
      <c r="N22" s="24">
        <f t="shared" si="1"/>
        <v>513188</v>
      </c>
      <c r="O22" s="25">
        <f t="shared" si="2"/>
        <v>13574.33</v>
      </c>
      <c r="P22" s="26"/>
      <c r="Q22" s="26">
        <f>'1'!Q24+'2'!Q22+'3'!Q22+'4'!Q22+'5'!Q22+'6'!R22+'7'!Q22+'8'!Q22+'9'!Q22+'10'!Q22+'11'!Q22+'12'!Q22+'13'!Q22+'14'!Q22+'15'!Q22+'16'!Q22+'17'!Q22+'18'!Q22+'19'!Q22+'20'!Q22+'21'!Q22+'22'!Q22+'23'!Q22+'24'!Q22+'25'!Q22+'26'!Q22+'27'!Q22+'28'!Q22+'29'!Q22+'30'!Q22+'31'!Q22</f>
        <v>3513</v>
      </c>
      <c r="R22" s="24">
        <f t="shared" si="3"/>
        <v>496100.67</v>
      </c>
      <c r="S22" s="25">
        <f t="shared" si="4"/>
        <v>4689.3140000000003</v>
      </c>
      <c r="T22" s="116">
        <f t="shared" si="5"/>
        <v>1176.3140000000003</v>
      </c>
    </row>
    <row r="23" spans="1:20" ht="17.100000000000001" customHeight="1" x14ac:dyDescent="0.25">
      <c r="A23" s="115">
        <v>17</v>
      </c>
      <c r="B23" s="94">
        <v>1908446150</v>
      </c>
      <c r="C23" s="82" t="s">
        <v>39</v>
      </c>
      <c r="D23" s="21">
        <f>'1'!D25+'2'!D23+'3'!D23+'4'!D23+'5'!D23+'6'!D23+'7'!D23+'8'!D23+'9'!D23+'10'!D23+'11'!D23+'12'!D23+'13'!D23+'14'!D23+'15'!D23+'16'!D23+'17'!D23+'18'!D23+'19'!D23+'20'!D23+'21'!D23+'22'!D23+'23'!D23+'24'!D23+'25'!D23+'26'!D23+'27'!D23+'28'!D23+'29'!D23+'30'!D23+'31'!D23</f>
        <v>197909</v>
      </c>
      <c r="E23" s="21">
        <f>'1'!E25+'2'!E23+'3'!E23+'4'!E23+'5'!E23+'6'!E23+'7'!E23+'8'!E23+'9'!E23+'10'!E23+'11'!E23+'12'!E23+'13'!E23+'14'!E23+'15'!E23+'16'!E23+'17'!E23+'18'!E23+'19'!E23+'20'!E23+'21'!E23+'22'!E23+'23'!E23+'24'!E23+'25'!E23+'26'!E23+'27'!E23+'28'!E23+'29'!E23+'30'!E23+'31'!E23</f>
        <v>500</v>
      </c>
      <c r="F23" s="21">
        <f>'1'!F25+'2'!F23+'3'!F23+'4'!F23+'5'!F23+'6'!F23+'7'!F23+'8'!F23+'9'!F23+'10'!F23+'11'!F23+'12'!F23+'13'!F23+'14'!F23+'15'!F23+'16'!F23+'17'!F23+'18'!F23+'19'!F23+'20'!F23+'21'!F23+'22'!F23+'23'!F23+'24'!F23+'25'!F23+'26'!F23+'27'!F23+'28'!F23+'29'!F23+'30'!F23+'31'!F23</f>
        <v>500</v>
      </c>
      <c r="G23" s="21">
        <f>'1'!G25+'2'!G23+'3'!G23+'4'!G23+'5'!G23+'6'!G23+'7'!G23+'8'!G23+'9'!G23+'10'!G23+'11'!G23+'12'!G23+'13'!G23+'14'!G23+'15'!G23+'16'!G23+'17'!G23+'18'!G23+'19'!G23+'20'!G23+'21'!G23+'22'!G23+'23'!G23+'24'!G23+'25'!G23+'26'!G23+'27'!G23+'28'!G23+'29'!G23+'30'!G23+'31'!G23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'1'!H25+'2'!H23+'3'!H23+'4'!H23+'5'!H23+'6'!H23+'7'!H23+'8'!H23+'9'!H23+'10'!H23+'11'!H23+'12'!H23+'13'!H23+'14'!H23+'15'!H23+'16'!H23+'17'!H23+'18'!H23+'19'!H23+'20'!H23+'21'!H23+'22'!H23+'23'!H23+'24'!H23+'25'!H23+'26'!H23+'27'!H23+'28'!H23+'29'!H23+'30'!H23+'31'!H23</f>
        <v>500</v>
      </c>
      <c r="I23" s="21">
        <f>'1'!I25+'2'!I23+'3'!I23+'4'!I23+'5'!I23+'6'!I23+'7'!I23+'8'!I23+'9'!I23+'10'!I23+'11'!I23+'12'!I23+'13'!I23+'14'!I23+'15'!I23+'16'!I23+'17'!I23+'18'!I23+'19'!I23+'20'!I23+'21'!I23+'22'!I23+'23'!I23+'24'!I23+'25'!I23+'26'!I23+'27'!I23+'28'!I23+'29'!I23+'30'!I23+'31'!I23</f>
        <v>57</v>
      </c>
      <c r="J23" s="21">
        <f>'1'!J25+'2'!J23+'3'!J23+'4'!J23+'5'!J23+'6'!J23+'7'!J23+'8'!J23+'9'!J23+'10'!J23+'11'!J23+'12'!J23+'13'!J23+'14'!J23+'15'!J23+'16'!J23+'17'!J23+'18'!J23+'19'!J23+'20'!J23+'21'!J23+'22'!J23+'23'!J23+'24'!J23+'25'!J23+'26'!J23+'27'!J23+'28'!J23+'29'!J23+'30'!J23+'31'!J23</f>
        <v>10</v>
      </c>
      <c r="K23" s="21">
        <f>'1'!K25+'2'!K23+'3'!K23+'4'!K23+'5'!K23+'6'!K23+'7'!K23+'8'!K23+'9'!K23+'10'!K23+'11'!K23+'12'!K23+'13'!K23+'14'!K23+'15'!K23+'16'!K23+'17'!K23+'18'!K23+'19'!K23+'20'!K23+'21'!K23+'22'!K23+'23'!K23+'24'!K23+'25'!K23+'26'!K23+'27'!K23+'28'!K23+'29'!K23+'30'!K23+'31'!K23</f>
        <v>10</v>
      </c>
      <c r="L23" s="21">
        <f>'1'!L25+'2'!L23+'3'!L23+'4'!L23+'5'!L23+'6'!L23+'7'!L23+'8'!L23+'9'!L23+'10'!L23+'11'!L23+'12'!L23+'13'!L23+'14'!L23+'15'!L23+'16'!L23+'17'!L23+'18'!L23+'19'!L23+'20'!L23+'21'!L23+'22'!L23+'23'!L23+'24'!L23+'25'!L23+'26'!L23+'27'!L23+'28'!L23+'29'!L23+'30'!L23+'31'!L23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217409</v>
      </c>
      <c r="N23" s="24">
        <f t="shared" si="1"/>
        <v>232026</v>
      </c>
      <c r="O23" s="25">
        <f t="shared" si="2"/>
        <v>5978.7475000000004</v>
      </c>
      <c r="P23" s="26"/>
      <c r="Q23" s="26">
        <f>'1'!Q25+'2'!Q23+'3'!Q23+'4'!Q23+'5'!Q23+'6'!R23+'7'!Q23+'8'!Q23+'9'!Q23+'10'!Q23+'11'!Q23+'12'!Q23+'13'!Q23+'14'!Q23+'15'!Q23+'16'!Q23+'17'!Q23+'18'!Q23+'19'!Q23+'20'!Q23+'21'!Q23+'22'!Q23+'23'!Q23+'24'!Q23+'25'!Q23+'26'!Q23+'27'!Q23+'28'!Q23+'29'!Q23+'30'!Q23+'31'!Q23</f>
        <v>1800</v>
      </c>
      <c r="R23" s="24">
        <f t="shared" si="3"/>
        <v>224247.2525</v>
      </c>
      <c r="S23" s="25">
        <f t="shared" si="4"/>
        <v>2065.3854999999999</v>
      </c>
      <c r="T23" s="116">
        <f t="shared" si="5"/>
        <v>265.38549999999987</v>
      </c>
    </row>
    <row r="24" spans="1:20" ht="17.100000000000001" customHeight="1" x14ac:dyDescent="0.25">
      <c r="A24" s="115">
        <v>18</v>
      </c>
      <c r="B24" s="94">
        <v>1908446151</v>
      </c>
      <c r="C24" s="82" t="s">
        <v>40</v>
      </c>
      <c r="D24" s="21">
        <f>'1'!D26+'2'!D24+'3'!D24+'4'!D24+'5'!D24+'6'!D24+'7'!D24+'8'!D24+'9'!D24+'10'!D24+'11'!D24+'12'!D24+'13'!D24+'14'!D24+'15'!D24+'16'!D24+'17'!D24+'18'!D24+'19'!D24+'20'!D24+'21'!D24+'22'!D24+'23'!D24+'24'!D24+'25'!D24+'26'!D24+'27'!D24+'28'!D24+'29'!D24+'30'!D24+'31'!D24</f>
        <v>503435</v>
      </c>
      <c r="E24" s="21">
        <f>'1'!E26+'2'!E24+'3'!E24+'4'!E24+'5'!E24+'6'!E24+'7'!E24+'8'!E24+'9'!E24+'10'!E24+'11'!E24+'12'!E24+'13'!E24+'14'!E24+'15'!E24+'16'!E24+'17'!E24+'18'!E24+'19'!E24+'20'!E24+'21'!E24+'22'!E24+'23'!E24+'24'!E24+'25'!E24+'26'!E24+'27'!E24+'28'!E24+'29'!E24+'30'!E24+'31'!E24</f>
        <v>370</v>
      </c>
      <c r="F24" s="21">
        <f>'1'!F26+'2'!F24+'3'!F24+'4'!F24+'5'!F24+'6'!F24+'7'!F24+'8'!F24+'9'!F24+'10'!F24+'11'!F24+'12'!F24+'13'!F24+'14'!F24+'15'!F24+'16'!F24+'17'!F24+'18'!F24+'19'!F24+'20'!F24+'21'!F24+'22'!F24+'23'!F24+'24'!F24+'25'!F24+'26'!F24+'27'!F24+'28'!F24+'29'!F24+'30'!F24+'31'!F24</f>
        <v>800</v>
      </c>
      <c r="G24" s="21">
        <f>'1'!G26+'2'!G24+'3'!G24+'4'!G24+'5'!G24+'6'!G24+'7'!G24+'8'!G24+'9'!G24+'10'!G24+'11'!G24+'12'!G24+'13'!G24+'14'!G24+'15'!G24+'16'!G24+'17'!G24+'18'!G24+'19'!G24+'20'!G24+'21'!G24+'22'!G24+'23'!G24+'24'!G24+'25'!G24+'26'!G24+'27'!G24+'28'!G24+'29'!G24+'30'!G24+'31'!G24</f>
        <v>290</v>
      </c>
      <c r="H24" s="21">
        <f>'1'!H26+'2'!H24+'3'!H24+'4'!H24+'5'!H24+'6'!H24+'7'!H24+'8'!H24+'9'!H24+'10'!H24+'11'!H24+'12'!H24+'13'!H24+'14'!H24+'15'!H24+'16'!H24+'17'!H24+'18'!H24+'19'!H24+'20'!H24+'21'!H24+'22'!H24+'23'!H24+'24'!H24+'25'!H24+'26'!H24+'27'!H24+'28'!H24+'29'!H24+'30'!H24+'31'!H24</f>
        <v>1360</v>
      </c>
      <c r="I24" s="21">
        <f>'1'!I26+'2'!I24+'3'!I24+'4'!I24+'5'!I24+'6'!I24+'7'!I24+'8'!I24+'9'!I24+'10'!I24+'11'!I24+'12'!I24+'13'!I24+'14'!I24+'15'!I24+'16'!I24+'17'!I24+'18'!I24+'19'!I24+'20'!I24+'21'!I24+'22'!I24+'23'!I24+'24'!I24+'25'!I24+'26'!I24+'27'!I24+'28'!I24+'29'!I24+'30'!I24+'31'!I24</f>
        <v>61</v>
      </c>
      <c r="J24" s="21">
        <f>'1'!J26+'2'!J24+'3'!J24+'4'!J24+'5'!J24+'6'!J24+'7'!J24+'8'!J24+'9'!J24+'10'!J24+'11'!J24+'12'!J24+'13'!J24+'14'!J24+'15'!J24+'16'!J24+'17'!J24+'18'!J24+'19'!J24+'20'!J24+'21'!J24+'22'!J24+'23'!J24+'24'!J24+'25'!J24+'26'!J24+'27'!J24+'28'!J24+'29'!J24+'30'!J24+'31'!J24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'1'!K26+'2'!K24+'3'!K24+'4'!K24+'5'!K24+'6'!K24+'7'!K24+'8'!K24+'9'!K24+'10'!K24+'11'!K24+'12'!K24+'13'!K24+'14'!K24+'15'!K24+'16'!K24+'17'!K24+'18'!K24+'19'!K24+'20'!K24+'21'!K24+'22'!K24+'23'!K24+'24'!K24+'25'!K24+'26'!K24+'27'!K24+'28'!K24+'29'!K24+'30'!K24+'31'!K24</f>
        <v>26</v>
      </c>
      <c r="L24" s="21">
        <f>'1'!L26+'2'!L24+'3'!L24+'4'!L24+'5'!L24+'6'!L24+'7'!L24+'8'!L24+'9'!L24+'10'!L24+'11'!L24+'12'!L24+'13'!L24+'14'!L24+'15'!L24+'16'!L24+'17'!L24+'18'!L24+'19'!L24+'20'!L24+'21'!L24+'22'!L24+'23'!L24+'24'!L24+'25'!L24+'26'!L24+'27'!L24+'28'!L24+'29'!L24+'30'!L24+'31'!L24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533685</v>
      </c>
      <c r="N24" s="24">
        <f t="shared" si="1"/>
        <v>550068</v>
      </c>
      <c r="O24" s="25">
        <f t="shared" si="2"/>
        <v>14676.3375</v>
      </c>
      <c r="P24" s="26"/>
      <c r="Q24" s="26">
        <f>'1'!Q26+'2'!Q24+'3'!Q24+'4'!Q24+'5'!Q24+'6'!R24+'7'!Q24+'8'!Q24+'9'!Q24+'10'!Q24+'11'!Q24+'12'!Q24+'13'!Q24+'14'!Q24+'15'!Q24+'16'!Q24+'17'!Q24+'18'!Q24+'19'!Q24+'20'!Q24+'21'!Q24+'22'!Q24+'23'!Q24+'24'!Q24+'25'!Q24+'26'!Q24+'27'!Q24+'28'!Q24+'29'!Q24+'30'!Q24+'31'!Q24</f>
        <v>2680</v>
      </c>
      <c r="R24" s="24">
        <f t="shared" si="3"/>
        <v>532711.66249999998</v>
      </c>
      <c r="S24" s="25">
        <f t="shared" si="4"/>
        <v>5070.0074999999997</v>
      </c>
      <c r="T24" s="116">
        <f t="shared" si="5"/>
        <v>2390.0074999999997</v>
      </c>
    </row>
    <row r="25" spans="1:20" ht="17.100000000000001" customHeight="1" x14ac:dyDescent="0.25">
      <c r="A25" s="115">
        <v>19</v>
      </c>
      <c r="B25" s="94">
        <v>1908446152</v>
      </c>
      <c r="C25" s="82" t="s">
        <v>41</v>
      </c>
      <c r="D25" s="21">
        <f>'1'!D27+'2'!D25+'3'!D25+'4'!D25+'5'!D25+'6'!D25+'7'!D25+'8'!D25+'9'!D25+'10'!D25+'11'!D25+'12'!D25+'13'!D25+'14'!D25+'15'!D25+'16'!D25+'17'!D25+'18'!D25+'19'!D25+'20'!D25+'21'!D25+'22'!D25+'23'!D25+'24'!D25+'25'!D25+'26'!D25+'27'!D25+'28'!D25+'29'!D25+'30'!D25+'31'!D25</f>
        <v>226457</v>
      </c>
      <c r="E25" s="21">
        <f>'1'!E27+'2'!E25+'3'!E25+'4'!E25+'5'!E25+'6'!E25+'7'!E25+'8'!E25+'9'!E25+'10'!E25+'11'!E25+'12'!E25+'13'!E25+'14'!E25+'15'!E25+'16'!E25+'17'!E25+'18'!E25+'19'!E25+'20'!E25+'21'!E25+'22'!E25+'23'!E25+'24'!E25+'25'!E25+'26'!E25+'27'!E25+'28'!E25+'29'!E25+'30'!E25+'31'!E25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'1'!F27+'2'!F25+'3'!F25+'4'!F25+'5'!F25+'6'!F25+'7'!F25+'8'!F25+'9'!F25+'10'!F25+'11'!F25+'12'!F25+'13'!F25+'14'!F25+'15'!F25+'16'!F25+'17'!F25+'18'!F25+'19'!F25+'20'!F25+'21'!F25+'22'!F25+'23'!F25+'24'!F25+'25'!F25+'26'!F25+'27'!F25+'28'!F25+'29'!F25+'30'!F25+'31'!F25</f>
        <v>250</v>
      </c>
      <c r="G25" s="21">
        <f>'1'!G27+'2'!G25+'3'!G25+'4'!G25+'5'!G25+'6'!G25+'7'!G25+'8'!G25+'9'!G25+'10'!G25+'11'!G25+'12'!G25+'13'!G25+'14'!G25+'15'!G25+'16'!G25+'17'!G25+'18'!G25+'19'!G25+'20'!G25+'21'!G25+'22'!G25+'23'!G25+'24'!G25+'25'!G25+'26'!G25+'27'!G25+'28'!G25+'29'!G25+'30'!G25+'31'!G25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'1'!H27+'2'!H25+'3'!H25+'4'!H25+'5'!H25+'6'!H25+'7'!H25+'8'!H25+'9'!H25+'10'!H25+'11'!H25+'12'!H25+'13'!H25+'14'!H25+'15'!H25+'16'!H25+'17'!H25+'18'!H25+'19'!H25+'20'!H25+'21'!H25+'22'!H25+'23'!H25+'24'!H25+'25'!H25+'26'!H25+'27'!H25+'28'!H25+'29'!H25+'30'!H25+'31'!H25</f>
        <v>730</v>
      </c>
      <c r="I25" s="21">
        <f>'1'!I27+'2'!I25+'3'!I25+'4'!I25+'5'!I25+'6'!I25+'7'!I25+'8'!I25+'9'!I25+'10'!I25+'11'!I25+'12'!I25+'13'!I25+'14'!I25+'15'!I25+'16'!I25+'17'!I25+'18'!I25+'19'!I25+'20'!I25+'21'!I25+'22'!I25+'23'!I25+'24'!I25+'25'!I25+'26'!I25+'27'!I25+'28'!I25+'29'!I25+'30'!I25+'31'!I25</f>
        <v>24</v>
      </c>
      <c r="J25" s="21">
        <f>'1'!J27+'2'!J25+'3'!J25+'4'!J25+'5'!J25+'6'!J25+'7'!J25+'8'!J25+'9'!J25+'10'!J25+'11'!J25+'12'!J25+'13'!J25+'14'!J25+'15'!J25+'16'!J25+'17'!J25+'18'!J25+'19'!J25+'20'!J25+'21'!J25+'22'!J25+'23'!J25+'24'!J25+'25'!J25+'26'!J25+'27'!J25+'28'!J25+'29'!J25+'30'!J25+'31'!J25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'1'!K27+'2'!K25+'3'!K25+'4'!K25+'5'!K25+'6'!K25+'7'!K25+'8'!K25+'9'!K25+'10'!K25+'11'!K25+'12'!K25+'13'!K25+'14'!K25+'15'!K25+'16'!K25+'17'!K25+'18'!K25+'19'!K25+'20'!K25+'21'!K25+'22'!K25+'23'!K25+'24'!K25+'25'!K25+'26'!K25+'27'!K25+'28'!K25+'29'!K25+'30'!K25+'31'!K25</f>
        <v>12</v>
      </c>
      <c r="L25" s="21">
        <f>'1'!L27+'2'!L25+'3'!L25+'4'!L25+'5'!L25+'6'!L25+'7'!L25+'8'!L25+'9'!L25+'10'!L25+'11'!L25+'12'!L25+'13'!L25+'14'!L25+'15'!L25+'16'!L25+'17'!L25+'18'!L25+'19'!L25+'20'!L25+'21'!L25+'22'!L25+'23'!L25+'24'!L25+'25'!L25+'26'!L25+'27'!L25+'28'!L25+'29'!L25+'30'!L25+'31'!L25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235527</v>
      </c>
      <c r="N25" s="24">
        <f t="shared" si="1"/>
        <v>242295</v>
      </c>
      <c r="O25" s="25">
        <f t="shared" si="2"/>
        <v>6476.9925000000003</v>
      </c>
      <c r="P25" s="26"/>
      <c r="Q25" s="26">
        <f>'1'!Q27+'2'!Q25+'3'!Q25+'4'!Q25+'5'!Q25+'6'!R25+'7'!Q25+'8'!Q25+'9'!Q25+'10'!Q25+'11'!Q25+'12'!Q25+'13'!Q25+'14'!Q25+'15'!Q25+'16'!Q25+'17'!Q25+'18'!Q25+'19'!Q25+'20'!Q25+'21'!Q25+'22'!Q25+'23'!Q25+'24'!Q25+'25'!Q25+'26'!Q25+'27'!Q25+'28'!Q25+'29'!Q25+'30'!Q25+'31'!Q25</f>
        <v>2059</v>
      </c>
      <c r="R25" s="24">
        <f t="shared" si="3"/>
        <v>233759.00750000001</v>
      </c>
      <c r="S25" s="25">
        <f t="shared" si="4"/>
        <v>2237.5065</v>
      </c>
      <c r="T25" s="116">
        <f t="shared" si="5"/>
        <v>178.50649999999996</v>
      </c>
    </row>
    <row r="26" spans="1:20" ht="17.100000000000001" customHeight="1" x14ac:dyDescent="0.25">
      <c r="A26" s="115">
        <v>70</v>
      </c>
      <c r="B26" s="94">
        <v>1908446153</v>
      </c>
      <c r="C26" s="87" t="s">
        <v>42</v>
      </c>
      <c r="D26" s="21">
        <f>'1'!D28+'2'!D26+'3'!D26+'4'!D26+'5'!D26+'6'!D26+'7'!D26+'8'!D26+'9'!D26+'10'!D26+'11'!D26+'12'!D26+'13'!D26+'14'!D26+'15'!D26+'16'!D26+'17'!D26+'18'!D26+'19'!D26+'20'!D26+'21'!D26+'22'!D26+'23'!D26+'24'!D26+'25'!D26+'26'!D26+'27'!D26+'28'!D26+'29'!D26+'30'!D26+'31'!D26</f>
        <v>183321</v>
      </c>
      <c r="E26" s="21">
        <f>'1'!E28+'2'!E26+'3'!E26+'4'!E26+'5'!E26+'6'!E26+'7'!E26+'8'!E26+'9'!E26+'10'!E26+'11'!E26+'12'!E26+'13'!E26+'14'!E26+'15'!E26+'16'!E26+'17'!E26+'18'!E26+'19'!E26+'20'!E26+'21'!E26+'22'!E26+'23'!E26+'24'!E26+'25'!E26+'26'!E26+'27'!E26+'28'!E26+'29'!E26+'30'!E26+'31'!E26</f>
        <v>130</v>
      </c>
      <c r="F26" s="21">
        <f>'1'!F28+'2'!F26+'3'!F26+'4'!F26+'5'!F26+'6'!F26+'7'!F26+'8'!F26+'9'!F26+'10'!F26+'11'!F26+'12'!F26+'13'!F26+'14'!F26+'15'!F26+'16'!F26+'17'!F26+'18'!F26+'19'!F26+'20'!F26+'21'!F26+'22'!F26+'23'!F26+'24'!F26+'25'!F26+'26'!F26+'27'!F26+'28'!F26+'29'!F26+'30'!F26+'31'!F26</f>
        <v>190</v>
      </c>
      <c r="G26" s="21">
        <f>'1'!G28+'2'!G26+'3'!G26+'4'!G26+'5'!G26+'6'!G26+'7'!G26+'8'!G26+'9'!G26+'10'!G26+'11'!G26+'12'!G26+'13'!G26+'14'!G26+'15'!G26+'16'!G26+'17'!G26+'18'!G26+'19'!G26+'20'!G26+'21'!G26+'22'!G26+'23'!G26+'24'!G26+'25'!G26+'26'!G26+'27'!G26+'28'!G26+'29'!G26+'30'!G26+'31'!G26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'1'!H28+'2'!H26+'3'!H26+'4'!H26+'5'!H26+'6'!H26+'7'!H26+'8'!H26+'9'!H26+'10'!H26+'11'!H26+'12'!H26+'13'!H26+'14'!H26+'15'!H26+'16'!H26+'17'!H26+'18'!H26+'19'!H26+'20'!H26+'21'!H26+'22'!H26+'23'!H26+'24'!H26+'25'!H26+'26'!H26+'27'!H26+'28'!H26+'29'!H26+'30'!H26+'31'!H26</f>
        <v>100</v>
      </c>
      <c r="I26" s="21">
        <f>'1'!I28+'2'!I26+'3'!I26+'4'!I26+'5'!I26+'6'!I26+'7'!I26+'8'!I26+'9'!I26+'10'!I26+'11'!I26+'12'!I26+'13'!I26+'14'!I26+'15'!I26+'16'!I26+'17'!I26+'18'!I26+'19'!I26+'20'!I26+'21'!I26+'22'!I26+'23'!I26+'24'!I26+'25'!I26+'26'!I26+'27'!I26+'28'!I26+'29'!I26+'30'!I26+'31'!I26</f>
        <v>50</v>
      </c>
      <c r="J26" s="21">
        <f>'1'!J28+'2'!J26+'3'!J26+'4'!J26+'5'!J26+'6'!J26+'7'!J26+'8'!J26+'9'!J26+'10'!J26+'11'!J26+'12'!J26+'13'!J26+'14'!J26+'15'!J26+'16'!J26+'17'!J26+'18'!J26+'19'!J26+'20'!J26+'21'!J26+'22'!J26+'23'!J26+'24'!J26+'25'!J26+'26'!J26+'27'!J26+'28'!J26+'29'!J26+'30'!J26+'31'!J26</f>
        <v>5</v>
      </c>
      <c r="K26" s="21">
        <f>'1'!K28+'2'!K26+'3'!K26+'4'!K26+'5'!K26+'6'!K26+'7'!K26+'8'!K26+'9'!K26+'10'!K26+'11'!K26+'12'!K26+'13'!K26+'14'!K26+'15'!K26+'16'!K26+'17'!K26+'18'!K26+'19'!K26+'20'!K26+'21'!K26+'22'!K26+'23'!K26+'24'!K26+'25'!K26+'26'!K26+'27'!K26+'28'!K26+'29'!K26+'30'!K26+'31'!K26</f>
        <v>19</v>
      </c>
      <c r="L26" s="21">
        <f>'1'!L28+'2'!L26+'3'!L26+'4'!L26+'5'!L26+'6'!L26+'7'!L26+'8'!L26+'9'!L26+'10'!L26+'11'!L26+'12'!L26+'13'!L26+'14'!L26+'15'!L26+'16'!L26+'17'!L26+'18'!L26+'19'!L26+'20'!L26+'21'!L26+'22'!L26+'23'!L26+'24'!L26+'25'!L26+'26'!L26+'27'!L26+'28'!L26+'29'!L26+'30'!L26+'31'!L26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188721</v>
      </c>
      <c r="N26" s="24">
        <f t="shared" si="1"/>
        <v>202684</v>
      </c>
      <c r="O26" s="25">
        <f t="shared" si="2"/>
        <v>5189.8275000000003</v>
      </c>
      <c r="P26" s="26"/>
      <c r="Q26" s="26">
        <f>'1'!Q28+'2'!Q26+'3'!Q26+'4'!Q26+'5'!Q26+'6'!R26+'7'!Q26+'8'!Q26+'9'!Q26+'10'!Q26+'11'!Q26+'12'!Q26+'13'!Q26+'14'!Q26+'15'!Q26+'16'!Q26+'17'!Q26+'18'!Q26+'19'!Q26+'20'!Q26+'21'!Q26+'22'!Q26+'23'!Q26+'24'!Q26+'25'!Q26+'26'!Q26+'27'!Q26+'28'!Q26+'29'!Q26+'30'!Q26+'31'!Q26</f>
        <v>1545</v>
      </c>
      <c r="R26" s="24">
        <f t="shared" si="3"/>
        <v>195949.17249999999</v>
      </c>
      <c r="S26" s="25">
        <f t="shared" si="4"/>
        <v>1792.8495</v>
      </c>
      <c r="T26" s="116">
        <f t="shared" si="5"/>
        <v>247.84950000000003</v>
      </c>
    </row>
    <row r="27" spans="1:20" ht="17.100000000000001" customHeight="1" thickBot="1" x14ac:dyDescent="0.3">
      <c r="A27" s="115">
        <v>21</v>
      </c>
      <c r="B27" s="94">
        <v>1908446154</v>
      </c>
      <c r="C27" s="82" t="s">
        <v>43</v>
      </c>
      <c r="D27" s="21">
        <f>'1'!D29+'2'!D27+'3'!D27+'4'!D27+'5'!D27+'6'!D27+'7'!D27+'8'!D27+'9'!D27+'10'!D27+'11'!D27+'12'!D27+'13'!D27+'14'!D27+'15'!D27+'16'!D27+'17'!D27+'18'!D27+'19'!D27+'20'!D27+'21'!D27+'22'!D27+'23'!D27+'24'!D27+'25'!D27+'26'!D27+'27'!D27+'28'!D27+'29'!D27+'30'!D27+'31'!D27</f>
        <v>235672</v>
      </c>
      <c r="E27" s="21">
        <f>'1'!E29+'2'!E27+'3'!E27+'4'!E27+'5'!E27+'6'!E27+'7'!E27+'8'!E27+'9'!E27+'10'!E27+'11'!E27+'12'!E27+'13'!E27+'14'!E27+'15'!E27+'16'!E27+'17'!E27+'18'!E27+'19'!E27+'20'!E27+'21'!E27+'22'!E27+'23'!E27+'24'!E27+'25'!E27+'26'!E27+'27'!E27+'28'!E27+'29'!E27+'30'!E27+'31'!E27</f>
        <v>250</v>
      </c>
      <c r="F27" s="21">
        <f>'1'!F29+'2'!F27+'3'!F27+'4'!F27+'5'!F27+'6'!F27+'7'!F27+'8'!F27+'9'!F27+'10'!F27+'11'!F27+'12'!F27+'13'!F27+'14'!F27+'15'!F27+'16'!F27+'17'!F27+'18'!F27+'19'!F27+'20'!F27+'21'!F27+'22'!F27+'23'!F27+'24'!F27+'25'!F27+'26'!F27+'27'!F27+'28'!F27+'29'!F27+'30'!F27+'31'!F27</f>
        <v>250</v>
      </c>
      <c r="G27" s="21">
        <f>'1'!G29+'2'!G27+'3'!G27+'4'!G27+'5'!G27+'6'!G27+'7'!G27+'8'!G27+'9'!G27+'10'!G27+'11'!G27+'12'!G27+'13'!G27+'14'!G27+'15'!G27+'16'!G27+'17'!G27+'18'!G27+'19'!G27+'20'!G27+'21'!G27+'22'!G27+'23'!G27+'24'!G27+'25'!G27+'26'!G27+'27'!G27+'28'!G27+'29'!G27+'30'!G27+'31'!G27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'1'!H29+'2'!H27+'3'!H27+'4'!H27+'5'!H27+'6'!H27+'7'!H27+'8'!H27+'9'!H27+'10'!H27+'11'!H27+'12'!H27+'13'!H27+'14'!H27+'15'!H27+'16'!H27+'17'!H27+'18'!H27+'19'!H27+'20'!H27+'21'!H27+'22'!H27+'23'!H27+'24'!H27+'25'!H27+'26'!H27+'27'!H27+'28'!H27+'29'!H27+'30'!H27+'31'!H27</f>
        <v>350</v>
      </c>
      <c r="I27" s="21">
        <f>'1'!I29+'2'!I27+'3'!I27+'4'!I27+'5'!I27+'6'!I27+'7'!I27+'8'!I27+'9'!I27+'10'!I27+'11'!I27+'12'!I27+'13'!I27+'14'!I27+'15'!I27+'16'!I27+'17'!I27+'18'!I27+'19'!I27+'20'!I27+'21'!I27+'22'!I27+'23'!I27+'24'!I27+'25'!I27+'26'!I27+'27'!I27+'28'!I27+'29'!I27+'30'!I27+'31'!I27</f>
        <v>70</v>
      </c>
      <c r="J27" s="21">
        <f>'1'!J29+'2'!J27+'3'!J27+'4'!J27+'5'!J27+'6'!J27+'7'!J27+'8'!J27+'9'!J27+'10'!J27+'11'!J27+'12'!J27+'13'!J27+'14'!J27+'15'!J27+'16'!J27+'17'!J27+'18'!J27+'19'!J27+'20'!J27+'21'!J27+'22'!J27+'23'!J27+'24'!J27+'25'!J27+'26'!J27+'27'!J27+'28'!J27+'29'!J27+'30'!J27+'31'!J27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'1'!K29+'2'!K27+'3'!K27+'4'!K27+'5'!K27+'6'!K27+'7'!K27+'8'!K27+'9'!K27+'10'!K27+'11'!K27+'12'!K27+'13'!K27+'14'!K27+'15'!K27+'16'!K27+'17'!K27+'18'!K27+'19'!K27+'20'!K27+'21'!K27+'22'!K27+'23'!K27+'24'!K27+'25'!K27+'26'!K27+'27'!K27+'28'!K27+'29'!K27+'30'!K27+'31'!K27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'1'!L29+'2'!L27+'3'!L27+'4'!L27+'5'!L27+'6'!L27+'7'!L27+'8'!L27+'9'!L27+'10'!L27+'11'!L27+'12'!L27+'13'!L27+'14'!L27+'15'!L27+'16'!L27+'17'!L27+'18'!L27+'19'!L27+'20'!L27+'21'!L27+'22'!L27+'23'!L27+'24'!L27+'25'!L27+'26'!L27+'27'!L27+'28'!L27+'29'!L27+'30'!L27+'31'!L27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246322</v>
      </c>
      <c r="N27" s="40">
        <f t="shared" si="1"/>
        <v>259692</v>
      </c>
      <c r="O27" s="25">
        <f t="shared" si="2"/>
        <v>6773.8550000000005</v>
      </c>
      <c r="P27" s="41"/>
      <c r="Q27" s="26">
        <f>'1'!Q29+'2'!Q27+'3'!Q27+'4'!Q27+'5'!Q27+'6'!R27+'7'!Q27+'8'!Q27+'9'!Q27+'10'!Q27+'11'!Q27+'12'!Q27+'13'!Q27+'14'!Q27+'15'!Q27+'16'!Q27+'17'!Q27+'18'!Q27+'19'!Q27+'20'!Q27+'21'!Q27+'22'!Q27+'23'!Q27+'24'!Q27+'25'!Q27+'26'!Q27+'27'!Q27+'28'!Q27+'29'!Q27+'30'!Q27+'31'!Q27</f>
        <v>2600</v>
      </c>
      <c r="R27" s="24">
        <f t="shared" si="3"/>
        <v>250318.14499999999</v>
      </c>
      <c r="S27" s="42">
        <f t="shared" si="4"/>
        <v>2340.0589999999997</v>
      </c>
      <c r="T27" s="117">
        <f t="shared" si="5"/>
        <v>-259.94100000000026</v>
      </c>
    </row>
    <row r="28" spans="1:20" ht="17.100000000000001" customHeight="1" thickBot="1" x14ac:dyDescent="0.3">
      <c r="A28" s="269" t="s">
        <v>44</v>
      </c>
      <c r="B28" s="270"/>
      <c r="C28" s="271"/>
      <c r="D28" s="98">
        <f t="shared" ref="D28:E28" si="6">SUM(D7:D27)</f>
        <v>5755369</v>
      </c>
      <c r="E28" s="99">
        <f t="shared" si="6"/>
        <v>4605</v>
      </c>
      <c r="F28" s="99">
        <f t="shared" ref="F28:T28" si="7">SUM(F7:F27)</f>
        <v>8340</v>
      </c>
      <c r="G28" s="99">
        <f t="shared" si="7"/>
        <v>1460</v>
      </c>
      <c r="H28" s="99">
        <f t="shared" si="7"/>
        <v>17840</v>
      </c>
      <c r="I28" s="99">
        <f t="shared" si="7"/>
        <v>1294</v>
      </c>
      <c r="J28" s="99">
        <f t="shared" si="7"/>
        <v>408</v>
      </c>
      <c r="K28" s="99">
        <f t="shared" si="7"/>
        <v>391</v>
      </c>
      <c r="L28" s="99">
        <f t="shared" si="7"/>
        <v>0</v>
      </c>
      <c r="M28" s="99">
        <f t="shared" si="7"/>
        <v>6104569</v>
      </c>
      <c r="N28" s="99">
        <f t="shared" si="7"/>
        <v>6500813</v>
      </c>
      <c r="O28" s="100">
        <f t="shared" si="7"/>
        <v>167875.64750000002</v>
      </c>
      <c r="P28" s="99">
        <f t="shared" si="7"/>
        <v>0</v>
      </c>
      <c r="Q28" s="99">
        <f t="shared" si="7"/>
        <v>45678</v>
      </c>
      <c r="R28" s="99">
        <f t="shared" si="7"/>
        <v>6287259.3524999991</v>
      </c>
      <c r="S28" s="99">
        <f t="shared" si="7"/>
        <v>57993.405499999993</v>
      </c>
      <c r="T28" s="101">
        <f t="shared" si="7"/>
        <v>12315.405499999999</v>
      </c>
    </row>
    <row r="29" spans="1:20" ht="17.100000000000001" customHeight="1" thickBot="1" x14ac:dyDescent="0.3">
      <c r="A29" s="272" t="s">
        <v>45</v>
      </c>
      <c r="B29" s="273"/>
      <c r="C29" s="274"/>
      <c r="D29" s="102">
        <f>D4+D5-D28</f>
        <v>773882</v>
      </c>
      <c r="E29" s="102">
        <f t="shared" ref="E29:L29" si="8">E4+E5-E28</f>
        <v>8165</v>
      </c>
      <c r="F29" s="102">
        <f t="shared" si="8"/>
        <v>17270</v>
      </c>
      <c r="G29" s="102">
        <f t="shared" si="8"/>
        <v>580</v>
      </c>
      <c r="H29" s="102">
        <f t="shared" si="8"/>
        <v>35520</v>
      </c>
      <c r="I29" s="102">
        <f t="shared" si="8"/>
        <v>1005</v>
      </c>
      <c r="J29" s="102">
        <f t="shared" si="8"/>
        <v>595</v>
      </c>
      <c r="K29" s="102">
        <f t="shared" si="8"/>
        <v>625</v>
      </c>
      <c r="L29" s="102">
        <f t="shared" si="8"/>
        <v>0</v>
      </c>
      <c r="M29" s="275"/>
      <c r="N29" s="276"/>
      <c r="O29" s="276"/>
      <c r="P29" s="276"/>
      <c r="Q29" s="276"/>
      <c r="R29" s="276"/>
      <c r="S29" s="276"/>
      <c r="T29" s="27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:K29 E6:H6">
    <cfRule type="cellIs" dxfId="87" priority="45" operator="equal">
      <formula>212030016606640</formula>
    </cfRule>
  </conditionalFormatting>
  <conditionalFormatting sqref="D29:K29 E6">
    <cfRule type="cellIs" dxfId="86" priority="43" operator="equal">
      <formula>$E$4</formula>
    </cfRule>
    <cfRule type="cellIs" dxfId="85" priority="44" operator="equal">
      <formula>2120</formula>
    </cfRule>
  </conditionalFormatting>
  <conditionalFormatting sqref="D29:F29 F6">
    <cfRule type="cellIs" dxfId="84" priority="41" operator="equal">
      <formula>$F$4</formula>
    </cfRule>
    <cfRule type="cellIs" dxfId="83" priority="42" operator="equal">
      <formula>300</formula>
    </cfRule>
  </conditionalFormatting>
  <conditionalFormatting sqref="G29 G6">
    <cfRule type="cellIs" dxfId="82" priority="39" operator="equal">
      <formula>$G$4</formula>
    </cfRule>
    <cfRule type="cellIs" dxfId="81" priority="40" operator="equal">
      <formula>1660</formula>
    </cfRule>
  </conditionalFormatting>
  <conditionalFormatting sqref="H29 H6">
    <cfRule type="cellIs" dxfId="80" priority="37" operator="equal">
      <formula>$H$4</formula>
    </cfRule>
    <cfRule type="cellIs" dxfId="79" priority="38" operator="equal">
      <formula>6640</formula>
    </cfRule>
  </conditionalFormatting>
  <conditionalFormatting sqref="T6:T27">
    <cfRule type="cellIs" dxfId="78" priority="36" operator="lessThan">
      <formula>0</formula>
    </cfRule>
  </conditionalFormatting>
  <conditionalFormatting sqref="T7:T27">
    <cfRule type="cellIs" dxfId="77" priority="33" operator="lessThan">
      <formula>0</formula>
    </cfRule>
    <cfRule type="cellIs" dxfId="76" priority="34" operator="lessThan">
      <formula>0</formula>
    </cfRule>
    <cfRule type="cellIs" dxfId="75" priority="35" operator="lessThan">
      <formula>0</formula>
    </cfRule>
  </conditionalFormatting>
  <conditionalFormatting sqref="E6">
    <cfRule type="cellIs" dxfId="74" priority="32" operator="equal">
      <formula>$E$4</formula>
    </cfRule>
  </conditionalFormatting>
  <conditionalFormatting sqref="D29 D6 M4">
    <cfRule type="cellIs" dxfId="73" priority="31" operator="equal">
      <formula>$D$4</formula>
    </cfRule>
  </conditionalFormatting>
  <conditionalFormatting sqref="I29 I6">
    <cfRule type="cellIs" dxfId="72" priority="30" operator="equal">
      <formula>$I$4</formula>
    </cfRule>
  </conditionalFormatting>
  <conditionalFormatting sqref="J29 J6">
    <cfRule type="cellIs" dxfId="71" priority="29" operator="equal">
      <formula>$J$4</formula>
    </cfRule>
  </conditionalFormatting>
  <conditionalFormatting sqref="K29 K6">
    <cfRule type="cellIs" dxfId="70" priority="28" operator="equal">
      <formula>$K$4</formula>
    </cfRule>
  </conditionalFormatting>
  <conditionalFormatting sqref="M4:M6">
    <cfRule type="cellIs" dxfId="69" priority="27" operator="equal">
      <formula>$L$4</formula>
    </cfRule>
  </conditionalFormatting>
  <conditionalFormatting sqref="T7:T27">
    <cfRule type="cellIs" dxfId="68" priority="24" operator="lessThan">
      <formula>0</formula>
    </cfRule>
    <cfRule type="cellIs" dxfId="67" priority="25" operator="lessThan">
      <formula>0</formula>
    </cfRule>
    <cfRule type="cellIs" dxfId="66" priority="26" operator="lessThan">
      <formula>0</formula>
    </cfRule>
  </conditionalFormatting>
  <conditionalFormatting sqref="T6:T27">
    <cfRule type="cellIs" dxfId="65" priority="22" operator="lessThan">
      <formula>0</formula>
    </cfRule>
  </conditionalFormatting>
  <conditionalFormatting sqref="T7:T27">
    <cfRule type="cellIs" dxfId="64" priority="19" operator="lessThan">
      <formula>0</formula>
    </cfRule>
    <cfRule type="cellIs" dxfId="63" priority="20" operator="lessThan">
      <formula>0</formula>
    </cfRule>
    <cfRule type="cellIs" dxfId="62" priority="21" operator="lessThan">
      <formula>0</formula>
    </cfRule>
  </conditionalFormatting>
  <conditionalFormatting sqref="T7:T27">
    <cfRule type="cellIs" dxfId="61" priority="16" operator="lessThan">
      <formula>0</formula>
    </cfRule>
    <cfRule type="cellIs" dxfId="60" priority="17" operator="lessThan">
      <formula>0</formula>
    </cfRule>
    <cfRule type="cellIs" dxfId="59" priority="18" operator="lessThan">
      <formula>0</formula>
    </cfRule>
  </conditionalFormatting>
  <conditionalFormatting sqref="L6">
    <cfRule type="cellIs" dxfId="58" priority="14" operator="equal">
      <formula>$L$4</formula>
    </cfRule>
  </conditionalFormatting>
  <conditionalFormatting sqref="D7:S27">
    <cfRule type="expression" dxfId="57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I48"/>
  <sheetViews>
    <sheetView workbookViewId="0">
      <pane xSplit="2" ySplit="4" topLeftCell="C29" activePane="bottomRight" state="frozen"/>
      <selection pane="topRight" activeCell="C1" sqref="C1"/>
      <selection pane="bottomLeft" activeCell="A5" sqref="A5"/>
      <selection pane="bottomRight" activeCell="D47" sqref="D47"/>
    </sheetView>
  </sheetViews>
  <sheetFormatPr defaultRowHeight="15" x14ac:dyDescent="0.25"/>
  <cols>
    <col min="1" max="1" width="11.85546875" customWidth="1"/>
    <col min="2" max="2" width="18.28515625" customWidth="1"/>
    <col min="3" max="3" width="16.5703125" style="120" customWidth="1"/>
    <col min="4" max="4" width="16.85546875" customWidth="1"/>
    <col min="5" max="5" width="15.85546875" bestFit="1" customWidth="1"/>
    <col min="6" max="6" width="15.85546875" hidden="1" customWidth="1"/>
    <col min="7" max="7" width="13.85546875" hidden="1" customWidth="1"/>
    <col min="8" max="8" width="7.7109375" hidden="1" customWidth="1"/>
    <col min="9" max="9" width="14.42578125" hidden="1" customWidth="1"/>
    <col min="10" max="10" width="13.85546875" hidden="1" customWidth="1"/>
    <col min="11" max="11" width="9.7109375" hidden="1" customWidth="1"/>
    <col min="12" max="12" width="14.42578125" hidden="1" customWidth="1"/>
    <col min="13" max="13" width="13.85546875" hidden="1" customWidth="1"/>
    <col min="14" max="14" width="10.7109375" hidden="1" customWidth="1"/>
    <col min="15" max="15" width="14.42578125" hidden="1" customWidth="1"/>
    <col min="16" max="16" width="14.140625" hidden="1" customWidth="1"/>
    <col min="17" max="17" width="11.5703125" hidden="1" customWidth="1"/>
    <col min="18" max="18" width="14.42578125" hidden="1" customWidth="1"/>
    <col min="19" max="19" width="14.140625" hidden="1" customWidth="1"/>
    <col min="20" max="20" width="11.5703125" hidden="1" customWidth="1"/>
    <col min="21" max="21" width="9.42578125" hidden="1" customWidth="1"/>
    <col min="22" max="22" width="14.140625" hidden="1" customWidth="1"/>
    <col min="23" max="23" width="11.5703125" hidden="1" customWidth="1"/>
    <col min="24" max="24" width="7.5703125" hidden="1" customWidth="1"/>
    <col min="25" max="25" width="14.140625" hidden="1" customWidth="1"/>
    <col min="26" max="26" width="11.5703125" hidden="1" customWidth="1"/>
    <col min="27" max="27" width="7.5703125" customWidth="1"/>
    <col min="28" max="28" width="14" customWidth="1"/>
    <col min="29" max="29" width="11.5703125" customWidth="1"/>
    <col min="30" max="30" width="7.5703125" customWidth="1"/>
    <col min="31" max="31" width="13.85546875" customWidth="1"/>
    <col min="32" max="32" width="10.7109375" customWidth="1"/>
    <col min="33" max="33" width="7.5703125" customWidth="1"/>
    <col min="34" max="34" width="13.85546875" customWidth="1"/>
    <col min="35" max="35" width="10.7109375" customWidth="1"/>
    <col min="36" max="36" width="7.5703125" customWidth="1"/>
    <col min="37" max="37" width="14.140625" customWidth="1"/>
    <col min="38" max="38" width="11.5703125" customWidth="1"/>
    <col min="39" max="39" width="7.5703125" customWidth="1"/>
    <col min="40" max="40" width="14.140625" customWidth="1"/>
    <col min="41" max="41" width="11.5703125" customWidth="1"/>
    <col min="42" max="42" width="7.5703125" customWidth="1"/>
    <col min="43" max="43" width="14.140625" customWidth="1"/>
    <col min="44" max="44" width="11.5703125" customWidth="1"/>
    <col min="45" max="45" width="7.5703125" customWidth="1"/>
    <col min="46" max="46" width="14.140625" customWidth="1"/>
    <col min="47" max="47" width="11.5703125" customWidth="1"/>
    <col min="48" max="48" width="8" customWidth="1"/>
    <col min="49" max="49" width="14.140625" customWidth="1"/>
    <col min="50" max="50" width="11.5703125" customWidth="1"/>
    <col min="51" max="51" width="7.5703125" customWidth="1"/>
    <col min="52" max="52" width="14.140625" customWidth="1"/>
    <col min="53" max="53" width="11.5703125" customWidth="1"/>
    <col min="54" max="54" width="7.5703125" customWidth="1"/>
    <col min="55" max="55" width="14.140625" customWidth="1"/>
    <col min="56" max="56" width="11.5703125" customWidth="1"/>
    <col min="57" max="57" width="7.5703125" customWidth="1"/>
    <col min="58" max="58" width="14.140625" customWidth="1"/>
    <col min="59" max="59" width="11.5703125" customWidth="1"/>
    <col min="60" max="60" width="7.5703125" customWidth="1"/>
    <col min="61" max="61" width="13.140625" customWidth="1"/>
    <col min="62" max="62" width="11.5703125" customWidth="1"/>
    <col min="63" max="63" width="7.5703125" customWidth="1"/>
    <col min="64" max="64" width="13.140625" customWidth="1"/>
    <col min="65" max="65" width="11.5703125" customWidth="1"/>
    <col min="66" max="66" width="7.5703125" customWidth="1"/>
    <col min="67" max="67" width="13.140625" customWidth="1"/>
    <col min="68" max="68" width="11.5703125" customWidth="1"/>
    <col min="69" max="69" width="7.5703125" customWidth="1"/>
    <col min="70" max="70" width="13.140625" customWidth="1"/>
    <col min="71" max="71" width="11.5703125" customWidth="1"/>
    <col min="72" max="72" width="7.5703125" customWidth="1"/>
    <col min="73" max="73" width="13.140625" customWidth="1"/>
    <col min="74" max="74" width="11.5703125" customWidth="1"/>
    <col min="75" max="75" width="7.5703125" customWidth="1"/>
    <col min="76" max="76" width="13.28515625" bestFit="1" customWidth="1"/>
    <col min="77" max="77" width="11.5703125" bestFit="1" customWidth="1"/>
    <col min="78" max="78" width="9.85546875" bestFit="1" customWidth="1"/>
    <col min="79" max="79" width="13.28515625" bestFit="1" customWidth="1"/>
    <col min="80" max="80" width="14.140625" bestFit="1" customWidth="1"/>
    <col min="81" max="81" width="9.85546875" bestFit="1" customWidth="1"/>
    <col min="82" max="82" width="13.28515625" bestFit="1" customWidth="1"/>
    <col min="83" max="83" width="14.140625" bestFit="1" customWidth="1"/>
    <col min="84" max="84" width="9.85546875" bestFit="1" customWidth="1"/>
    <col min="85" max="85" width="13.28515625" bestFit="1" customWidth="1"/>
    <col min="86" max="86" width="14.140625" bestFit="1" customWidth="1"/>
    <col min="87" max="87" width="7.5703125" bestFit="1" customWidth="1"/>
  </cols>
  <sheetData>
    <row r="1" spans="1:87" ht="15.75" thickBot="1" x14ac:dyDescent="0.3">
      <c r="A1" s="119"/>
    </row>
    <row r="2" spans="1:87" s="124" customFormat="1" ht="27" customHeight="1" thickBot="1" x14ac:dyDescent="0.45">
      <c r="A2" s="306" t="s">
        <v>63</v>
      </c>
      <c r="B2" s="306"/>
      <c r="C2" s="307" t="s">
        <v>65</v>
      </c>
      <c r="D2" s="307"/>
      <c r="E2" s="307"/>
      <c r="F2" s="121"/>
      <c r="G2" s="121"/>
      <c r="H2" s="121"/>
      <c r="I2" s="121"/>
      <c r="J2" s="121"/>
      <c r="K2" s="122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123"/>
      <c r="AN2" s="123"/>
      <c r="AO2" s="123"/>
      <c r="AP2" s="123"/>
      <c r="AQ2" s="123"/>
      <c r="AR2" s="123"/>
      <c r="AS2" s="123"/>
      <c r="AT2" s="123"/>
      <c r="AU2" s="123"/>
      <c r="AV2" s="123"/>
      <c r="AW2" s="123"/>
      <c r="AX2" s="123"/>
      <c r="AY2" s="123"/>
      <c r="AZ2" s="123"/>
      <c r="BA2" s="123"/>
      <c r="BB2" s="123"/>
      <c r="BC2" s="123"/>
      <c r="BD2" s="123"/>
      <c r="BE2" s="123"/>
      <c r="BF2" s="123"/>
      <c r="BG2" s="123"/>
      <c r="BH2" s="123"/>
      <c r="BI2" s="123"/>
      <c r="BJ2" s="123"/>
      <c r="BK2" s="123"/>
      <c r="BL2" s="123"/>
      <c r="BM2" s="123"/>
      <c r="BN2" s="123"/>
      <c r="BO2" s="123"/>
      <c r="BP2" s="123"/>
      <c r="BQ2" s="123"/>
      <c r="BR2" s="123"/>
      <c r="BS2" s="123"/>
      <c r="BT2" s="123"/>
      <c r="BU2" s="123"/>
      <c r="BV2" s="123"/>
      <c r="BW2" s="123"/>
      <c r="BX2" s="123"/>
      <c r="BY2" s="123"/>
      <c r="BZ2" s="123"/>
      <c r="CA2" s="123"/>
      <c r="CB2" s="123"/>
      <c r="CC2" s="123"/>
      <c r="CD2" s="123"/>
      <c r="CE2" s="123"/>
      <c r="CF2" s="123"/>
      <c r="CG2" s="123"/>
      <c r="CH2" s="123"/>
    </row>
    <row r="3" spans="1:87" ht="22.5" x14ac:dyDescent="0.25">
      <c r="A3" s="308" t="s">
        <v>66</v>
      </c>
      <c r="B3" s="309" t="s">
        <v>5</v>
      </c>
      <c r="C3" s="310" t="s">
        <v>67</v>
      </c>
      <c r="D3" s="311" t="s">
        <v>68</v>
      </c>
      <c r="E3" s="312" t="s">
        <v>69</v>
      </c>
      <c r="F3" s="300" t="s">
        <v>70</v>
      </c>
      <c r="G3" s="296">
        <v>1</v>
      </c>
      <c r="H3" s="296"/>
      <c r="I3" s="313" t="s">
        <v>71</v>
      </c>
      <c r="J3" s="303">
        <v>153</v>
      </c>
      <c r="K3" s="304"/>
      <c r="L3" s="302" t="s">
        <v>72</v>
      </c>
      <c r="M3" s="303">
        <v>154</v>
      </c>
      <c r="N3" s="304"/>
      <c r="O3" s="302" t="s">
        <v>73</v>
      </c>
      <c r="P3" s="303">
        <v>155</v>
      </c>
      <c r="Q3" s="304"/>
      <c r="R3" s="305" t="s">
        <v>74</v>
      </c>
      <c r="S3" s="296">
        <v>157</v>
      </c>
      <c r="T3" s="296"/>
      <c r="U3" s="300" t="s">
        <v>75</v>
      </c>
      <c r="V3" s="296">
        <v>158</v>
      </c>
      <c r="W3" s="296"/>
      <c r="X3" s="300" t="s">
        <v>76</v>
      </c>
      <c r="Y3" s="296">
        <v>159</v>
      </c>
      <c r="Z3" s="296"/>
      <c r="AA3" s="300" t="s">
        <v>77</v>
      </c>
      <c r="AB3" s="296">
        <v>160</v>
      </c>
      <c r="AC3" s="296"/>
      <c r="AD3" s="300" t="s">
        <v>78</v>
      </c>
      <c r="AE3" s="296">
        <v>161</v>
      </c>
      <c r="AF3" s="296"/>
      <c r="AG3" s="300" t="s">
        <v>79</v>
      </c>
      <c r="AH3" s="296">
        <v>162</v>
      </c>
      <c r="AI3" s="301"/>
      <c r="AJ3" s="297" t="s">
        <v>80</v>
      </c>
      <c r="AK3" s="296">
        <v>164</v>
      </c>
      <c r="AL3" s="296"/>
      <c r="AM3" s="297" t="s">
        <v>81</v>
      </c>
      <c r="AN3" s="296">
        <v>165</v>
      </c>
      <c r="AO3" s="296"/>
      <c r="AP3" s="297" t="s">
        <v>82</v>
      </c>
      <c r="AQ3" s="296">
        <v>166</v>
      </c>
      <c r="AR3" s="296"/>
      <c r="AS3" s="297" t="s">
        <v>83</v>
      </c>
      <c r="AT3" s="296">
        <v>167</v>
      </c>
      <c r="AU3" s="296"/>
      <c r="AV3" s="297" t="s">
        <v>84</v>
      </c>
      <c r="AW3" s="296">
        <v>168</v>
      </c>
      <c r="AX3" s="296"/>
      <c r="AY3" s="297" t="s">
        <v>85</v>
      </c>
      <c r="AZ3" s="296">
        <v>169</v>
      </c>
      <c r="BA3" s="296"/>
      <c r="BB3" s="297" t="s">
        <v>86</v>
      </c>
      <c r="BC3" s="296">
        <v>171</v>
      </c>
      <c r="BD3" s="296"/>
      <c r="BE3" s="297" t="s">
        <v>87</v>
      </c>
      <c r="BF3" s="296">
        <v>172</v>
      </c>
      <c r="BG3" s="296"/>
      <c r="BH3" s="297" t="s">
        <v>88</v>
      </c>
      <c r="BI3" s="296">
        <v>173</v>
      </c>
      <c r="BJ3" s="296"/>
      <c r="BK3" s="297" t="s">
        <v>89</v>
      </c>
      <c r="BL3" s="296">
        <v>174</v>
      </c>
      <c r="BM3" s="296"/>
      <c r="BN3" s="297" t="s">
        <v>90</v>
      </c>
      <c r="BO3" s="296">
        <v>175</v>
      </c>
      <c r="BP3" s="296"/>
      <c r="BQ3" s="297" t="s">
        <v>91</v>
      </c>
      <c r="BR3" s="296">
        <v>176</v>
      </c>
      <c r="BS3" s="296"/>
      <c r="BT3" s="297" t="s">
        <v>92</v>
      </c>
      <c r="BU3" s="298">
        <v>178</v>
      </c>
      <c r="BV3" s="298"/>
      <c r="BW3" s="297" t="s">
        <v>93</v>
      </c>
      <c r="BX3" s="299">
        <v>179</v>
      </c>
      <c r="BY3" s="299"/>
      <c r="BZ3" s="297" t="s">
        <v>94</v>
      </c>
      <c r="CA3" s="296">
        <v>180</v>
      </c>
      <c r="CB3" s="296"/>
      <c r="CC3" s="297" t="s">
        <v>95</v>
      </c>
      <c r="CD3" s="296">
        <v>181</v>
      </c>
      <c r="CE3" s="296"/>
      <c r="CF3" s="297" t="s">
        <v>96</v>
      </c>
      <c r="CG3" s="296">
        <v>182</v>
      </c>
      <c r="CH3" s="296"/>
    </row>
    <row r="4" spans="1:87" ht="15.75" customHeight="1" thickBot="1" x14ac:dyDescent="0.3">
      <c r="A4" s="308"/>
      <c r="B4" s="309"/>
      <c r="C4" s="310"/>
      <c r="D4" s="311"/>
      <c r="E4" s="312"/>
      <c r="F4" s="300"/>
      <c r="G4" s="125" t="s">
        <v>97</v>
      </c>
      <c r="H4" s="126" t="s">
        <v>98</v>
      </c>
      <c r="I4" s="313"/>
      <c r="J4" s="127" t="s">
        <v>97</v>
      </c>
      <c r="K4" s="128" t="s">
        <v>98</v>
      </c>
      <c r="L4" s="302"/>
      <c r="M4" s="129" t="s">
        <v>97</v>
      </c>
      <c r="N4" s="130" t="s">
        <v>98</v>
      </c>
      <c r="O4" s="302"/>
      <c r="P4" s="129" t="s">
        <v>97</v>
      </c>
      <c r="Q4" s="130" t="s">
        <v>98</v>
      </c>
      <c r="R4" s="305"/>
      <c r="S4" s="125" t="s">
        <v>97</v>
      </c>
      <c r="T4" s="126" t="s">
        <v>98</v>
      </c>
      <c r="U4" s="300"/>
      <c r="V4" s="125" t="s">
        <v>97</v>
      </c>
      <c r="W4" s="126" t="s">
        <v>98</v>
      </c>
      <c r="X4" s="300"/>
      <c r="Y4" s="125" t="s">
        <v>97</v>
      </c>
      <c r="Z4" s="126" t="s">
        <v>98</v>
      </c>
      <c r="AA4" s="300"/>
      <c r="AB4" s="125" t="s">
        <v>97</v>
      </c>
      <c r="AC4" s="131" t="s">
        <v>98</v>
      </c>
      <c r="AD4" s="300"/>
      <c r="AE4" s="132" t="s">
        <v>97</v>
      </c>
      <c r="AF4" s="126" t="s">
        <v>98</v>
      </c>
      <c r="AG4" s="300"/>
      <c r="AH4" s="132" t="s">
        <v>97</v>
      </c>
      <c r="AI4" s="126" t="s">
        <v>98</v>
      </c>
      <c r="AJ4" s="297"/>
      <c r="AK4" s="125" t="s">
        <v>97</v>
      </c>
      <c r="AL4" s="126" t="s">
        <v>98</v>
      </c>
      <c r="AM4" s="297"/>
      <c r="AN4" s="125" t="s">
        <v>97</v>
      </c>
      <c r="AO4" s="126" t="s">
        <v>98</v>
      </c>
      <c r="AP4" s="297"/>
      <c r="AQ4" s="125" t="s">
        <v>97</v>
      </c>
      <c r="AR4" s="126" t="s">
        <v>98</v>
      </c>
      <c r="AS4" s="297"/>
      <c r="AT4" s="125" t="s">
        <v>97</v>
      </c>
      <c r="AU4" s="126" t="s">
        <v>98</v>
      </c>
      <c r="AV4" s="297"/>
      <c r="AW4" s="125" t="s">
        <v>97</v>
      </c>
      <c r="AX4" s="126" t="s">
        <v>98</v>
      </c>
      <c r="AY4" s="297"/>
      <c r="AZ4" s="125" t="s">
        <v>97</v>
      </c>
      <c r="BA4" s="126" t="s">
        <v>98</v>
      </c>
      <c r="BB4" s="297"/>
      <c r="BC4" s="125" t="s">
        <v>97</v>
      </c>
      <c r="BD4" s="126" t="s">
        <v>98</v>
      </c>
      <c r="BE4" s="297"/>
      <c r="BF4" s="125" t="s">
        <v>97</v>
      </c>
      <c r="BG4" s="126" t="s">
        <v>98</v>
      </c>
      <c r="BH4" s="297"/>
      <c r="BI4" s="125" t="s">
        <v>97</v>
      </c>
      <c r="BJ4" s="126" t="s">
        <v>98</v>
      </c>
      <c r="BK4" s="297"/>
      <c r="BL4" s="125" t="s">
        <v>97</v>
      </c>
      <c r="BM4" s="126" t="s">
        <v>98</v>
      </c>
      <c r="BN4" s="297"/>
      <c r="BO4" s="125" t="s">
        <v>97</v>
      </c>
      <c r="BP4" s="126" t="s">
        <v>98</v>
      </c>
      <c r="BQ4" s="297"/>
      <c r="BR4" s="125" t="s">
        <v>97</v>
      </c>
      <c r="BS4" s="126" t="s">
        <v>98</v>
      </c>
      <c r="BT4" s="297"/>
      <c r="BU4" s="125" t="s">
        <v>97</v>
      </c>
      <c r="BV4" s="126" t="s">
        <v>98</v>
      </c>
      <c r="BW4" s="297"/>
      <c r="BX4" s="133" t="s">
        <v>97</v>
      </c>
      <c r="BY4" s="134" t="s">
        <v>98</v>
      </c>
      <c r="BZ4" s="297"/>
      <c r="CA4" s="125" t="s">
        <v>97</v>
      </c>
      <c r="CB4" s="126" t="s">
        <v>98</v>
      </c>
      <c r="CC4" s="297"/>
      <c r="CD4" s="125" t="s">
        <v>97</v>
      </c>
      <c r="CE4" s="126" t="s">
        <v>98</v>
      </c>
      <c r="CF4" s="297"/>
      <c r="CG4" s="125" t="s">
        <v>97</v>
      </c>
      <c r="CH4" s="126" t="s">
        <v>98</v>
      </c>
    </row>
    <row r="5" spans="1:87" s="153" customFormat="1" ht="17.100000000000001" customHeight="1" thickBot="1" x14ac:dyDescent="0.3">
      <c r="A5" s="291" t="s">
        <v>0</v>
      </c>
      <c r="B5" s="293" t="s">
        <v>23</v>
      </c>
      <c r="C5" s="135" t="s">
        <v>99</v>
      </c>
      <c r="D5" s="136">
        <v>435750</v>
      </c>
      <c r="E5" s="137">
        <f>H5+K5+N5+Q5+T5+W5+Z5+AC5+AF5+AI5+AL5+AO5+AR5+AU5+AX5+BA5+BD5+BG5+BJ5+BM5+BP5+BS5+BV5+BY5+CB5+CE5+CH5</f>
        <v>51571</v>
      </c>
      <c r="F5" s="138">
        <f>D5</f>
        <v>435750</v>
      </c>
      <c r="G5" s="139">
        <f>F5/27</f>
        <v>16138.888888888889</v>
      </c>
      <c r="H5" s="140"/>
      <c r="I5" s="141">
        <f>F5-H5</f>
        <v>435750</v>
      </c>
      <c r="J5" s="142">
        <f>I5/26</f>
        <v>16759.615384615383</v>
      </c>
      <c r="K5" s="143">
        <v>5193</v>
      </c>
      <c r="L5" s="144">
        <f>I5-K5</f>
        <v>430557</v>
      </c>
      <c r="M5" s="145">
        <f>L5/25</f>
        <v>17222.28</v>
      </c>
      <c r="N5" s="146">
        <v>7204</v>
      </c>
      <c r="O5" s="144">
        <f>L5-N5</f>
        <v>423353</v>
      </c>
      <c r="P5" s="145">
        <f>O5/24</f>
        <v>17639.708333333332</v>
      </c>
      <c r="Q5" s="146">
        <v>9173</v>
      </c>
      <c r="R5" s="147">
        <f>O5-Q5</f>
        <v>414180</v>
      </c>
      <c r="S5" s="139">
        <f>R5/23</f>
        <v>18007.82608695652</v>
      </c>
      <c r="T5" s="140">
        <v>11001</v>
      </c>
      <c r="U5" s="138">
        <f>R5-T5</f>
        <v>403179</v>
      </c>
      <c r="V5" s="139">
        <f>U5/22</f>
        <v>18326.31818181818</v>
      </c>
      <c r="W5" s="140">
        <v>11000</v>
      </c>
      <c r="X5" s="138">
        <f>U5-W5</f>
        <v>392179</v>
      </c>
      <c r="Y5" s="139">
        <f>X5/21</f>
        <v>18675.190476190477</v>
      </c>
      <c r="Z5" s="140">
        <v>8000</v>
      </c>
      <c r="AA5" s="148">
        <f>D5-E5</f>
        <v>384179</v>
      </c>
      <c r="AB5" s="139">
        <f t="shared" ref="AB5:AB46" si="0">AA5/20</f>
        <v>19208.95</v>
      </c>
      <c r="AC5" s="149"/>
      <c r="AD5" s="148">
        <f t="shared" ref="AD5:AD46" si="1">AA5-AC5</f>
        <v>384179</v>
      </c>
      <c r="AE5" s="150">
        <f>AD5/19</f>
        <v>20219.947368421053</v>
      </c>
      <c r="AF5" s="151"/>
      <c r="AG5" s="148">
        <f>AD5-AF5</f>
        <v>384179</v>
      </c>
      <c r="AH5" s="150">
        <f>AG5/18</f>
        <v>21343.277777777777</v>
      </c>
      <c r="AI5" s="151"/>
      <c r="AJ5" s="148">
        <f>AG5-AI5</f>
        <v>384179</v>
      </c>
      <c r="AK5" s="139">
        <f>AJ5/17</f>
        <v>22598.764705882353</v>
      </c>
      <c r="AL5" s="151"/>
      <c r="AM5" s="138">
        <f>AJ5-AL5</f>
        <v>384179</v>
      </c>
      <c r="AN5" s="139">
        <f>AM5/16</f>
        <v>24011.1875</v>
      </c>
      <c r="AO5" s="140"/>
      <c r="AP5" s="138">
        <f>AM5-AO5</f>
        <v>384179</v>
      </c>
      <c r="AQ5" s="139">
        <f>AP5/15</f>
        <v>25611.933333333334</v>
      </c>
      <c r="AR5" s="140"/>
      <c r="AS5" s="138">
        <f>AP5-AR5</f>
        <v>384179</v>
      </c>
      <c r="AT5" s="139">
        <f>AS5/14</f>
        <v>27441.357142857141</v>
      </c>
      <c r="AU5" s="140"/>
      <c r="AV5" s="138">
        <f>AS5-AU5</f>
        <v>384179</v>
      </c>
      <c r="AW5" s="139">
        <f>AV5/13</f>
        <v>29552.23076923077</v>
      </c>
      <c r="AX5" s="140"/>
      <c r="AY5" s="138">
        <f>AV5-AX5</f>
        <v>384179</v>
      </c>
      <c r="AZ5" s="139">
        <f>AY5/12</f>
        <v>32014.916666666668</v>
      </c>
      <c r="BA5" s="140"/>
      <c r="BB5" s="138">
        <f>AY5-BA5</f>
        <v>384179</v>
      </c>
      <c r="BC5" s="139">
        <f>BB5/11</f>
        <v>34925.36363636364</v>
      </c>
      <c r="BD5" s="140"/>
      <c r="BE5" s="138">
        <f>BB5-BD5</f>
        <v>384179</v>
      </c>
      <c r="BF5" s="139">
        <f>BE5/10</f>
        <v>38417.9</v>
      </c>
      <c r="BG5" s="140"/>
      <c r="BH5" s="138">
        <f>BE5-BG5</f>
        <v>384179</v>
      </c>
      <c r="BI5" s="139">
        <f>BH5/9</f>
        <v>42686.555555555555</v>
      </c>
      <c r="BJ5" s="140"/>
      <c r="BK5" s="138">
        <f>BH5-BJ5</f>
        <v>384179</v>
      </c>
      <c r="BL5" s="139">
        <f>BK5/8</f>
        <v>48022.375</v>
      </c>
      <c r="BM5" s="140"/>
      <c r="BN5" s="138">
        <f>BK5-BM5</f>
        <v>384179</v>
      </c>
      <c r="BO5" s="139">
        <f>BN5/7</f>
        <v>54882.714285714283</v>
      </c>
      <c r="BP5" s="140"/>
      <c r="BQ5" s="138">
        <f>BN5-BP5</f>
        <v>384179</v>
      </c>
      <c r="BR5" s="139">
        <f>BQ5/6</f>
        <v>64029.833333333336</v>
      </c>
      <c r="BS5" s="140"/>
      <c r="BT5" s="138">
        <f>BQ5-BS5</f>
        <v>384179</v>
      </c>
      <c r="BU5" s="139">
        <f>BT5/5</f>
        <v>76835.8</v>
      </c>
      <c r="BV5" s="140"/>
      <c r="BW5" s="138">
        <f>BT5-BV5</f>
        <v>384179</v>
      </c>
      <c r="BX5" s="139">
        <f>BW5/4</f>
        <v>96044.75</v>
      </c>
      <c r="BY5" s="140"/>
      <c r="BZ5" s="138">
        <f>BW5-BY5</f>
        <v>384179</v>
      </c>
      <c r="CA5" s="139">
        <f>BZ5/3</f>
        <v>128059.66666666667</v>
      </c>
      <c r="CB5" s="140"/>
      <c r="CC5" s="138">
        <f>BZ5-CB5</f>
        <v>384179</v>
      </c>
      <c r="CD5" s="139">
        <f>CC5/2</f>
        <v>192089.5</v>
      </c>
      <c r="CE5" s="140"/>
      <c r="CF5" s="138">
        <f>CC5-CE5</f>
        <v>384179</v>
      </c>
      <c r="CG5" s="139">
        <f>CF5/1</f>
        <v>384179</v>
      </c>
      <c r="CH5" s="152"/>
    </row>
    <row r="6" spans="1:87" s="161" customFormat="1" ht="17.100000000000001" customHeight="1" thickBot="1" x14ac:dyDescent="0.3">
      <c r="A6" s="291"/>
      <c r="B6" s="294"/>
      <c r="C6" s="154" t="s">
        <v>100</v>
      </c>
      <c r="D6" s="155">
        <v>115</v>
      </c>
      <c r="E6" s="137">
        <f t="shared" ref="E6:E46" si="2">H6+K6+N6+Q6+T6+W6+Z6+AC6+AF6+AI6+AL6+AO6+AR6+AU6+AX6+BA6+BD6+BG6+BJ6+BM6+BP6+BS6+BV6+BY6+CB6+CE6+CH6</f>
        <v>35</v>
      </c>
      <c r="F6" s="138">
        <f t="shared" ref="F6:F46" si="3">D6</f>
        <v>115</v>
      </c>
      <c r="G6" s="139">
        <f t="shared" ref="G6:G46" si="4">F6/27</f>
        <v>4.2592592592592595</v>
      </c>
      <c r="H6" s="156"/>
      <c r="I6" s="141">
        <f t="shared" ref="I6:I46" si="5">F6-H6</f>
        <v>115</v>
      </c>
      <c r="J6" s="142">
        <f t="shared" ref="J6:J46" si="6">I6/26</f>
        <v>4.4230769230769234</v>
      </c>
      <c r="K6" s="143">
        <v>6</v>
      </c>
      <c r="L6" s="144">
        <f t="shared" ref="L6:L46" si="7">I6-K6</f>
        <v>109</v>
      </c>
      <c r="M6" s="145">
        <f t="shared" ref="M6:M46" si="8">L6/25</f>
        <v>4.3600000000000003</v>
      </c>
      <c r="N6" s="157"/>
      <c r="O6" s="144">
        <f t="shared" ref="O6:O46" si="9">L6-N6</f>
        <v>109</v>
      </c>
      <c r="P6" s="145">
        <f t="shared" ref="P6:P46" si="10">O6/24</f>
        <v>4.541666666666667</v>
      </c>
      <c r="Q6" s="157"/>
      <c r="R6" s="147">
        <f t="shared" ref="R6:R46" si="11">O6-Q6</f>
        <v>109</v>
      </c>
      <c r="S6" s="139">
        <f t="shared" ref="S6:S46" si="12">R6/23</f>
        <v>4.7391304347826084</v>
      </c>
      <c r="T6" s="156">
        <v>5</v>
      </c>
      <c r="U6" s="138">
        <f t="shared" ref="U6:U46" si="13">R6-T6</f>
        <v>104</v>
      </c>
      <c r="V6" s="139">
        <f t="shared" ref="V6:V46" si="14">U6/22</f>
        <v>4.7272727272727275</v>
      </c>
      <c r="W6" s="156">
        <v>4</v>
      </c>
      <c r="X6" s="138">
        <f t="shared" ref="X6:X46" si="15">U6-W6</f>
        <v>100</v>
      </c>
      <c r="Y6" s="139">
        <f t="shared" ref="Y6:Y46" si="16">X6/21</f>
        <v>4.7619047619047619</v>
      </c>
      <c r="Z6" s="156">
        <v>20</v>
      </c>
      <c r="AA6" s="148">
        <f t="shared" ref="AA6:AA46" si="17">D6-E6</f>
        <v>80</v>
      </c>
      <c r="AB6" s="139">
        <f t="shared" si="0"/>
        <v>4</v>
      </c>
      <c r="AC6" s="158"/>
      <c r="AD6" s="148">
        <f t="shared" si="1"/>
        <v>80</v>
      </c>
      <c r="AE6" s="150">
        <f t="shared" ref="AE6:AE46" si="18">AD6/19</f>
        <v>4.2105263157894735</v>
      </c>
      <c r="AF6" s="159"/>
      <c r="AG6" s="148">
        <f t="shared" ref="AG6:AG46" si="19">AD6-AF6</f>
        <v>80</v>
      </c>
      <c r="AH6" s="150">
        <f t="shared" ref="AH6:AH46" si="20">AG6/18</f>
        <v>4.4444444444444446</v>
      </c>
      <c r="AI6" s="159"/>
      <c r="AJ6" s="148">
        <f t="shared" ref="AJ6:AJ46" si="21">AG6-AI6</f>
        <v>80</v>
      </c>
      <c r="AK6" s="139">
        <f t="shared" ref="AK6:AK46" si="22">AJ6/17</f>
        <v>4.7058823529411766</v>
      </c>
      <c r="AL6" s="159"/>
      <c r="AM6" s="138">
        <f t="shared" ref="AM6:AM46" si="23">AJ6-AL6</f>
        <v>80</v>
      </c>
      <c r="AN6" s="139">
        <f t="shared" ref="AN6:AN45" si="24">AM6/16</f>
        <v>5</v>
      </c>
      <c r="AO6" s="156"/>
      <c r="AP6" s="138">
        <f t="shared" ref="AP6:AP46" si="25">AM6-AO6</f>
        <v>80</v>
      </c>
      <c r="AQ6" s="139">
        <f t="shared" ref="AQ6:AQ46" si="26">AP6/15</f>
        <v>5.333333333333333</v>
      </c>
      <c r="AR6" s="156"/>
      <c r="AS6" s="138">
        <f t="shared" ref="AS6:AS46" si="27">AP6-AR6</f>
        <v>80</v>
      </c>
      <c r="AT6" s="139">
        <f t="shared" ref="AT6:AT46" si="28">AS6/14</f>
        <v>5.7142857142857144</v>
      </c>
      <c r="AU6" s="156"/>
      <c r="AV6" s="138">
        <f t="shared" ref="AV6:AV46" si="29">AS6-AU6</f>
        <v>80</v>
      </c>
      <c r="AW6" s="139">
        <f t="shared" ref="AW6:AW46" si="30">AV6/13</f>
        <v>6.1538461538461542</v>
      </c>
      <c r="AX6" s="156"/>
      <c r="AY6" s="138">
        <f t="shared" ref="AY6:AY46" si="31">AV6-AX6</f>
        <v>80</v>
      </c>
      <c r="AZ6" s="139">
        <f t="shared" ref="AZ6:AZ46" si="32">AY6/12</f>
        <v>6.666666666666667</v>
      </c>
      <c r="BA6" s="156"/>
      <c r="BB6" s="138">
        <f t="shared" ref="BB6:BB46" si="33">AY6-BA6</f>
        <v>80</v>
      </c>
      <c r="BC6" s="139">
        <f t="shared" ref="BC6:BC46" si="34">BB6/11</f>
        <v>7.2727272727272725</v>
      </c>
      <c r="BD6" s="156"/>
      <c r="BE6" s="138">
        <f t="shared" ref="BE6:BE46" si="35">BB6-BD6</f>
        <v>80</v>
      </c>
      <c r="BF6" s="139">
        <f t="shared" ref="BF6:BF46" si="36">BE6/10</f>
        <v>8</v>
      </c>
      <c r="BG6" s="156"/>
      <c r="BH6" s="138">
        <f t="shared" ref="BH6:BH46" si="37">BE6-BG6</f>
        <v>80</v>
      </c>
      <c r="BI6" s="139">
        <f t="shared" ref="BI6:BI46" si="38">BH6/9</f>
        <v>8.8888888888888893</v>
      </c>
      <c r="BJ6" s="156"/>
      <c r="BK6" s="138">
        <f t="shared" ref="BK6:BK46" si="39">BH6-BJ6</f>
        <v>80</v>
      </c>
      <c r="BL6" s="139">
        <f t="shared" ref="BL6:BL46" si="40">BK6/8</f>
        <v>10</v>
      </c>
      <c r="BM6" s="156"/>
      <c r="BN6" s="138">
        <f t="shared" ref="BN6:BN46" si="41">BK6-BM6</f>
        <v>80</v>
      </c>
      <c r="BO6" s="139">
        <f t="shared" ref="BO6:BO46" si="42">BN6/7</f>
        <v>11.428571428571429</v>
      </c>
      <c r="BP6" s="156"/>
      <c r="BQ6" s="138">
        <f t="shared" ref="BQ6:BQ46" si="43">BN6-BP6</f>
        <v>80</v>
      </c>
      <c r="BR6" s="139">
        <f t="shared" ref="BR6:BR46" si="44">BQ6/6</f>
        <v>13.333333333333334</v>
      </c>
      <c r="BS6" s="156"/>
      <c r="BT6" s="138">
        <f t="shared" ref="BT6:BT46" si="45">BQ6-BS6</f>
        <v>80</v>
      </c>
      <c r="BU6" s="139">
        <f t="shared" ref="BU6:BU46" si="46">BT6/5</f>
        <v>16</v>
      </c>
      <c r="BV6" s="156"/>
      <c r="BW6" s="138">
        <f t="shared" ref="BW6:BW46" si="47">BT6-BV6</f>
        <v>80</v>
      </c>
      <c r="BX6" s="139">
        <f t="shared" ref="BX6:BX46" si="48">BW6/4</f>
        <v>20</v>
      </c>
      <c r="BY6" s="156"/>
      <c r="BZ6" s="138">
        <f t="shared" ref="BZ6:BZ46" si="49">BW6-BY6</f>
        <v>80</v>
      </c>
      <c r="CA6" s="139">
        <f t="shared" ref="CA6:CA46" si="50">BZ6/3</f>
        <v>26.666666666666668</v>
      </c>
      <c r="CB6" s="156"/>
      <c r="CC6" s="138">
        <f t="shared" ref="CC6:CC46" si="51">BZ6-CB6</f>
        <v>80</v>
      </c>
      <c r="CD6" s="139">
        <f t="shared" ref="CD6:CD46" si="52">CC6/2</f>
        <v>40</v>
      </c>
      <c r="CE6" s="156"/>
      <c r="CF6" s="138">
        <f t="shared" ref="CF6:CF46" si="53">CC6-CE6</f>
        <v>80</v>
      </c>
      <c r="CG6" s="139">
        <f t="shared" ref="CG6:CG46" si="54">CF6/1</f>
        <v>80</v>
      </c>
      <c r="CH6" s="160"/>
    </row>
    <row r="7" spans="1:87" s="171" customFormat="1" ht="17.100000000000001" customHeight="1" thickBot="1" x14ac:dyDescent="0.35">
      <c r="A7" s="291"/>
      <c r="B7" s="295" t="s">
        <v>101</v>
      </c>
      <c r="C7" s="162" t="s">
        <v>99</v>
      </c>
      <c r="D7" s="163">
        <v>246750</v>
      </c>
      <c r="E7" s="137">
        <f t="shared" si="2"/>
        <v>28091</v>
      </c>
      <c r="F7" s="164">
        <f t="shared" si="3"/>
        <v>246750</v>
      </c>
      <c r="G7" s="139">
        <f t="shared" si="4"/>
        <v>9138.8888888888887</v>
      </c>
      <c r="H7" s="165"/>
      <c r="I7" s="166">
        <f t="shared" si="5"/>
        <v>246750</v>
      </c>
      <c r="J7" s="142">
        <f t="shared" si="6"/>
        <v>9490.3846153846152</v>
      </c>
      <c r="K7" s="69">
        <v>2076</v>
      </c>
      <c r="L7" s="167">
        <f t="shared" si="7"/>
        <v>244674</v>
      </c>
      <c r="M7" s="145">
        <f t="shared" si="8"/>
        <v>9786.9599999999991</v>
      </c>
      <c r="N7" s="168">
        <v>3704</v>
      </c>
      <c r="O7" s="167">
        <f t="shared" si="9"/>
        <v>240970</v>
      </c>
      <c r="P7" s="145">
        <f t="shared" si="10"/>
        <v>10040.416666666666</v>
      </c>
      <c r="Q7" s="168">
        <v>6584</v>
      </c>
      <c r="R7" s="169">
        <f t="shared" si="11"/>
        <v>234386</v>
      </c>
      <c r="S7" s="139">
        <f t="shared" si="12"/>
        <v>10190.695652173914</v>
      </c>
      <c r="T7" s="165">
        <v>4992</v>
      </c>
      <c r="U7" s="164">
        <f t="shared" si="13"/>
        <v>229394</v>
      </c>
      <c r="V7" s="139">
        <f t="shared" si="14"/>
        <v>10427</v>
      </c>
      <c r="W7" s="165">
        <v>5128</v>
      </c>
      <c r="X7" s="164">
        <f t="shared" si="15"/>
        <v>224266</v>
      </c>
      <c r="Y7" s="139">
        <f t="shared" si="16"/>
        <v>10679.333333333334</v>
      </c>
      <c r="Z7" s="165">
        <v>5607</v>
      </c>
      <c r="AA7" s="148">
        <f t="shared" si="17"/>
        <v>218659</v>
      </c>
      <c r="AB7" s="139">
        <f t="shared" si="0"/>
        <v>10932.95</v>
      </c>
      <c r="AC7" s="165"/>
      <c r="AD7" s="148">
        <f t="shared" si="1"/>
        <v>218659</v>
      </c>
      <c r="AE7" s="150">
        <f t="shared" si="18"/>
        <v>11508.368421052632</v>
      </c>
      <c r="AF7" s="165"/>
      <c r="AG7" s="148">
        <f t="shared" si="19"/>
        <v>218659</v>
      </c>
      <c r="AH7" s="150">
        <f t="shared" si="20"/>
        <v>12147.722222222223</v>
      </c>
      <c r="AI7" s="165"/>
      <c r="AJ7" s="148">
        <f t="shared" si="21"/>
        <v>218659</v>
      </c>
      <c r="AK7" s="139">
        <f t="shared" si="22"/>
        <v>12862.294117647059</v>
      </c>
      <c r="AL7" s="165"/>
      <c r="AM7" s="164">
        <f t="shared" si="23"/>
        <v>218659</v>
      </c>
      <c r="AN7" s="139">
        <f t="shared" si="24"/>
        <v>13666.1875</v>
      </c>
      <c r="AO7" s="165"/>
      <c r="AP7" s="164">
        <f t="shared" si="25"/>
        <v>218659</v>
      </c>
      <c r="AQ7" s="139">
        <f t="shared" si="26"/>
        <v>14577.266666666666</v>
      </c>
      <c r="AR7" s="165"/>
      <c r="AS7" s="164">
        <f t="shared" si="27"/>
        <v>218659</v>
      </c>
      <c r="AT7" s="139">
        <f t="shared" si="28"/>
        <v>15618.5</v>
      </c>
      <c r="AU7" s="165"/>
      <c r="AV7" s="164">
        <f t="shared" si="29"/>
        <v>218659</v>
      </c>
      <c r="AW7" s="139">
        <f t="shared" si="30"/>
        <v>16819.923076923078</v>
      </c>
      <c r="AX7" s="165"/>
      <c r="AY7" s="164">
        <f t="shared" si="31"/>
        <v>218659</v>
      </c>
      <c r="AZ7" s="139">
        <f t="shared" si="32"/>
        <v>18221.583333333332</v>
      </c>
      <c r="BA7" s="165"/>
      <c r="BB7" s="164">
        <f t="shared" si="33"/>
        <v>218659</v>
      </c>
      <c r="BC7" s="139">
        <f t="shared" si="34"/>
        <v>19878.090909090908</v>
      </c>
      <c r="BD7" s="165"/>
      <c r="BE7" s="164">
        <f t="shared" si="35"/>
        <v>218659</v>
      </c>
      <c r="BF7" s="139">
        <f t="shared" si="36"/>
        <v>21865.9</v>
      </c>
      <c r="BG7" s="165"/>
      <c r="BH7" s="164">
        <f t="shared" si="37"/>
        <v>218659</v>
      </c>
      <c r="BI7" s="139">
        <f t="shared" si="38"/>
        <v>24295.444444444445</v>
      </c>
      <c r="BJ7" s="165"/>
      <c r="BK7" s="164">
        <f t="shared" si="39"/>
        <v>218659</v>
      </c>
      <c r="BL7" s="139">
        <f t="shared" si="40"/>
        <v>27332.375</v>
      </c>
      <c r="BM7" s="165"/>
      <c r="BN7" s="164">
        <f t="shared" si="41"/>
        <v>218659</v>
      </c>
      <c r="BO7" s="139">
        <f t="shared" si="42"/>
        <v>31237</v>
      </c>
      <c r="BP7" s="165"/>
      <c r="BQ7" s="164">
        <f t="shared" si="43"/>
        <v>218659</v>
      </c>
      <c r="BR7" s="139">
        <f t="shared" si="44"/>
        <v>36443.166666666664</v>
      </c>
      <c r="BS7" s="165"/>
      <c r="BT7" s="164">
        <f t="shared" si="45"/>
        <v>218659</v>
      </c>
      <c r="BU7" s="139">
        <f t="shared" si="46"/>
        <v>43731.8</v>
      </c>
      <c r="BV7" s="165"/>
      <c r="BW7" s="164">
        <f t="shared" si="47"/>
        <v>218659</v>
      </c>
      <c r="BX7" s="139">
        <f t="shared" si="48"/>
        <v>54664.75</v>
      </c>
      <c r="BY7" s="165"/>
      <c r="BZ7" s="164">
        <f t="shared" si="49"/>
        <v>218659</v>
      </c>
      <c r="CA7" s="139">
        <f t="shared" si="50"/>
        <v>72886.333333333328</v>
      </c>
      <c r="CB7" s="165"/>
      <c r="CC7" s="164">
        <f t="shared" si="51"/>
        <v>218659</v>
      </c>
      <c r="CD7" s="139">
        <f t="shared" si="52"/>
        <v>109329.5</v>
      </c>
      <c r="CE7" s="165"/>
      <c r="CF7" s="164">
        <f t="shared" si="53"/>
        <v>218659</v>
      </c>
      <c r="CG7" s="139">
        <f t="shared" si="54"/>
        <v>218659</v>
      </c>
      <c r="CH7" s="170"/>
    </row>
    <row r="8" spans="1:87" s="161" customFormat="1" ht="17.100000000000001" customHeight="1" thickBot="1" x14ac:dyDescent="0.3">
      <c r="A8" s="291"/>
      <c r="B8" s="294"/>
      <c r="C8" s="154" t="s">
        <v>100</v>
      </c>
      <c r="D8" s="155">
        <v>100</v>
      </c>
      <c r="E8" s="137">
        <f t="shared" si="2"/>
        <v>6</v>
      </c>
      <c r="F8" s="164">
        <f t="shared" si="3"/>
        <v>100</v>
      </c>
      <c r="G8" s="139">
        <f t="shared" si="4"/>
        <v>3.7037037037037037</v>
      </c>
      <c r="H8" s="172"/>
      <c r="I8" s="166">
        <f t="shared" si="5"/>
        <v>100</v>
      </c>
      <c r="J8" s="142">
        <f t="shared" si="6"/>
        <v>3.8461538461538463</v>
      </c>
      <c r="K8" s="69">
        <v>5</v>
      </c>
      <c r="L8" s="167">
        <f t="shared" si="7"/>
        <v>95</v>
      </c>
      <c r="M8" s="145">
        <f t="shared" si="8"/>
        <v>3.8</v>
      </c>
      <c r="N8" s="173"/>
      <c r="O8" s="167">
        <f t="shared" si="9"/>
        <v>95</v>
      </c>
      <c r="P8" s="145">
        <f t="shared" si="10"/>
        <v>3.9583333333333335</v>
      </c>
      <c r="Q8" s="173"/>
      <c r="R8" s="169">
        <f t="shared" si="11"/>
        <v>95</v>
      </c>
      <c r="S8" s="139">
        <f t="shared" si="12"/>
        <v>4.1304347826086953</v>
      </c>
      <c r="T8" s="172"/>
      <c r="U8" s="164">
        <f t="shared" si="13"/>
        <v>95</v>
      </c>
      <c r="V8" s="139">
        <f t="shared" si="14"/>
        <v>4.3181818181818183</v>
      </c>
      <c r="W8" s="172">
        <v>1</v>
      </c>
      <c r="X8" s="164">
        <f t="shared" si="15"/>
        <v>94</v>
      </c>
      <c r="Y8" s="139">
        <f t="shared" si="16"/>
        <v>4.4761904761904763</v>
      </c>
      <c r="Z8" s="172">
        <v>0</v>
      </c>
      <c r="AA8" s="148">
        <f t="shared" si="17"/>
        <v>94</v>
      </c>
      <c r="AB8" s="139">
        <f t="shared" si="0"/>
        <v>4.7</v>
      </c>
      <c r="AC8" s="158"/>
      <c r="AD8" s="148">
        <f t="shared" si="1"/>
        <v>94</v>
      </c>
      <c r="AE8" s="150">
        <f t="shared" si="18"/>
        <v>4.9473684210526319</v>
      </c>
      <c r="AF8" s="159"/>
      <c r="AG8" s="148">
        <f t="shared" si="19"/>
        <v>94</v>
      </c>
      <c r="AH8" s="150">
        <f t="shared" si="20"/>
        <v>5.2222222222222223</v>
      </c>
      <c r="AI8" s="159"/>
      <c r="AJ8" s="148">
        <f t="shared" si="21"/>
        <v>94</v>
      </c>
      <c r="AK8" s="139">
        <f t="shared" si="22"/>
        <v>5.5294117647058822</v>
      </c>
      <c r="AL8" s="159"/>
      <c r="AM8" s="164">
        <f t="shared" si="23"/>
        <v>94</v>
      </c>
      <c r="AN8" s="139">
        <f t="shared" si="24"/>
        <v>5.875</v>
      </c>
      <c r="AO8" s="172"/>
      <c r="AP8" s="164">
        <f t="shared" si="25"/>
        <v>94</v>
      </c>
      <c r="AQ8" s="139">
        <f t="shared" si="26"/>
        <v>6.2666666666666666</v>
      </c>
      <c r="AR8" s="172"/>
      <c r="AS8" s="164">
        <f t="shared" si="27"/>
        <v>94</v>
      </c>
      <c r="AT8" s="139">
        <f t="shared" si="28"/>
        <v>6.7142857142857144</v>
      </c>
      <c r="AU8" s="172"/>
      <c r="AV8" s="164">
        <f t="shared" si="29"/>
        <v>94</v>
      </c>
      <c r="AW8" s="139">
        <f t="shared" si="30"/>
        <v>7.2307692307692308</v>
      </c>
      <c r="AX8" s="172"/>
      <c r="AY8" s="164">
        <f t="shared" si="31"/>
        <v>94</v>
      </c>
      <c r="AZ8" s="139">
        <f t="shared" si="32"/>
        <v>7.833333333333333</v>
      </c>
      <c r="BA8" s="172"/>
      <c r="BB8" s="164">
        <f t="shared" si="33"/>
        <v>94</v>
      </c>
      <c r="BC8" s="139">
        <f t="shared" si="34"/>
        <v>8.545454545454545</v>
      </c>
      <c r="BD8" s="172"/>
      <c r="BE8" s="164">
        <f t="shared" si="35"/>
        <v>94</v>
      </c>
      <c r="BF8" s="139">
        <f t="shared" si="36"/>
        <v>9.4</v>
      </c>
      <c r="BG8" s="172"/>
      <c r="BH8" s="164">
        <f t="shared" si="37"/>
        <v>94</v>
      </c>
      <c r="BI8" s="139">
        <f t="shared" si="38"/>
        <v>10.444444444444445</v>
      </c>
      <c r="BJ8" s="172"/>
      <c r="BK8" s="164">
        <f t="shared" si="39"/>
        <v>94</v>
      </c>
      <c r="BL8" s="139">
        <f t="shared" si="40"/>
        <v>11.75</v>
      </c>
      <c r="BM8" s="172"/>
      <c r="BN8" s="164">
        <f t="shared" si="41"/>
        <v>94</v>
      </c>
      <c r="BO8" s="139">
        <f t="shared" si="42"/>
        <v>13.428571428571429</v>
      </c>
      <c r="BP8" s="172"/>
      <c r="BQ8" s="164">
        <f t="shared" si="43"/>
        <v>94</v>
      </c>
      <c r="BR8" s="139">
        <f t="shared" si="44"/>
        <v>15.666666666666666</v>
      </c>
      <c r="BS8" s="172"/>
      <c r="BT8" s="164">
        <f t="shared" si="45"/>
        <v>94</v>
      </c>
      <c r="BU8" s="139">
        <f t="shared" si="46"/>
        <v>18.8</v>
      </c>
      <c r="BV8" s="172"/>
      <c r="BW8" s="164">
        <f t="shared" si="47"/>
        <v>94</v>
      </c>
      <c r="BX8" s="139">
        <f t="shared" si="48"/>
        <v>23.5</v>
      </c>
      <c r="BY8" s="172"/>
      <c r="BZ8" s="164">
        <f t="shared" si="49"/>
        <v>94</v>
      </c>
      <c r="CA8" s="139">
        <f t="shared" si="50"/>
        <v>31.333333333333332</v>
      </c>
      <c r="CB8" s="172"/>
      <c r="CC8" s="164">
        <f t="shared" si="51"/>
        <v>94</v>
      </c>
      <c r="CD8" s="139">
        <f t="shared" si="52"/>
        <v>47</v>
      </c>
      <c r="CE8" s="172"/>
      <c r="CF8" s="164">
        <f t="shared" si="53"/>
        <v>94</v>
      </c>
      <c r="CG8" s="139">
        <f t="shared" si="54"/>
        <v>94</v>
      </c>
      <c r="CH8" s="160"/>
    </row>
    <row r="9" spans="1:87" s="174" customFormat="1" ht="17.100000000000001" customHeight="1" thickBot="1" x14ac:dyDescent="0.3">
      <c r="A9" s="291"/>
      <c r="B9" s="295" t="s">
        <v>102</v>
      </c>
      <c r="C9" s="135" t="s">
        <v>99</v>
      </c>
      <c r="D9" s="136">
        <v>593250</v>
      </c>
      <c r="E9" s="137">
        <f t="shared" si="2"/>
        <v>102493</v>
      </c>
      <c r="F9" s="138">
        <f t="shared" si="3"/>
        <v>593250</v>
      </c>
      <c r="G9" s="139">
        <f t="shared" si="4"/>
        <v>21972.222222222223</v>
      </c>
      <c r="H9" s="140"/>
      <c r="I9" s="141">
        <f t="shared" si="5"/>
        <v>593250</v>
      </c>
      <c r="J9" s="142">
        <f t="shared" si="6"/>
        <v>22817.307692307691</v>
      </c>
      <c r="K9" s="143">
        <v>5341</v>
      </c>
      <c r="L9" s="144">
        <f t="shared" si="7"/>
        <v>587909</v>
      </c>
      <c r="M9" s="145">
        <f t="shared" si="8"/>
        <v>23516.36</v>
      </c>
      <c r="N9" s="146">
        <v>18019</v>
      </c>
      <c r="O9" s="144">
        <f t="shared" si="9"/>
        <v>569890</v>
      </c>
      <c r="P9" s="145">
        <f t="shared" si="10"/>
        <v>23745.416666666668</v>
      </c>
      <c r="Q9" s="146">
        <v>23744</v>
      </c>
      <c r="R9" s="147">
        <f t="shared" si="11"/>
        <v>546146</v>
      </c>
      <c r="S9" s="139">
        <f t="shared" si="12"/>
        <v>23745.478260869564</v>
      </c>
      <c r="T9" s="140">
        <v>19162</v>
      </c>
      <c r="U9" s="138">
        <f t="shared" si="13"/>
        <v>526984</v>
      </c>
      <c r="V9" s="139">
        <f t="shared" si="14"/>
        <v>23953.81818181818</v>
      </c>
      <c r="W9" s="140">
        <v>21687</v>
      </c>
      <c r="X9" s="138">
        <f t="shared" si="15"/>
        <v>505297</v>
      </c>
      <c r="Y9" s="139">
        <f t="shared" si="16"/>
        <v>24061.761904761905</v>
      </c>
      <c r="Z9" s="140">
        <v>14540</v>
      </c>
      <c r="AA9" s="148">
        <f t="shared" si="17"/>
        <v>490757</v>
      </c>
      <c r="AB9" s="139">
        <f t="shared" si="0"/>
        <v>24537.85</v>
      </c>
      <c r="AC9" s="149"/>
      <c r="AD9" s="148">
        <f t="shared" si="1"/>
        <v>490757</v>
      </c>
      <c r="AE9" s="150">
        <f t="shared" si="18"/>
        <v>25829.315789473683</v>
      </c>
      <c r="AF9" s="151"/>
      <c r="AG9" s="148">
        <f t="shared" si="19"/>
        <v>490757</v>
      </c>
      <c r="AH9" s="150">
        <f t="shared" si="20"/>
        <v>27264.277777777777</v>
      </c>
      <c r="AI9" s="151"/>
      <c r="AJ9" s="148">
        <f t="shared" si="21"/>
        <v>490757</v>
      </c>
      <c r="AK9" s="139">
        <f t="shared" si="22"/>
        <v>28868.058823529413</v>
      </c>
      <c r="AL9" s="151"/>
      <c r="AM9" s="138">
        <f t="shared" si="23"/>
        <v>490757</v>
      </c>
      <c r="AN9" s="139">
        <f t="shared" si="24"/>
        <v>30672.3125</v>
      </c>
      <c r="AO9" s="140"/>
      <c r="AP9" s="138">
        <f t="shared" si="25"/>
        <v>490757</v>
      </c>
      <c r="AQ9" s="139">
        <f t="shared" si="26"/>
        <v>32717.133333333335</v>
      </c>
      <c r="AR9" s="140"/>
      <c r="AS9" s="138">
        <f t="shared" si="27"/>
        <v>490757</v>
      </c>
      <c r="AT9" s="139">
        <f t="shared" si="28"/>
        <v>35054.071428571428</v>
      </c>
      <c r="AU9" s="140"/>
      <c r="AV9" s="138">
        <f t="shared" si="29"/>
        <v>490757</v>
      </c>
      <c r="AW9" s="139">
        <f t="shared" si="30"/>
        <v>37750.538461538461</v>
      </c>
      <c r="AX9" s="140"/>
      <c r="AY9" s="138">
        <f t="shared" si="31"/>
        <v>490757</v>
      </c>
      <c r="AZ9" s="139">
        <f t="shared" si="32"/>
        <v>40896.416666666664</v>
      </c>
      <c r="BA9" s="140"/>
      <c r="BB9" s="138">
        <f t="shared" si="33"/>
        <v>490757</v>
      </c>
      <c r="BC9" s="139">
        <f t="shared" si="34"/>
        <v>44614.272727272728</v>
      </c>
      <c r="BD9" s="140"/>
      <c r="BE9" s="138">
        <f t="shared" si="35"/>
        <v>490757</v>
      </c>
      <c r="BF9" s="139">
        <f t="shared" si="36"/>
        <v>49075.7</v>
      </c>
      <c r="BG9" s="140"/>
      <c r="BH9" s="138">
        <f t="shared" si="37"/>
        <v>490757</v>
      </c>
      <c r="BI9" s="139">
        <f t="shared" si="38"/>
        <v>54528.555555555555</v>
      </c>
      <c r="BJ9" s="140"/>
      <c r="BK9" s="138">
        <f t="shared" si="39"/>
        <v>490757</v>
      </c>
      <c r="BL9" s="139">
        <f t="shared" si="40"/>
        <v>61344.625</v>
      </c>
      <c r="BM9" s="140"/>
      <c r="BN9" s="138">
        <f t="shared" si="41"/>
        <v>490757</v>
      </c>
      <c r="BO9" s="139">
        <f t="shared" si="42"/>
        <v>70108.142857142855</v>
      </c>
      <c r="BP9" s="140"/>
      <c r="BQ9" s="138">
        <f t="shared" si="43"/>
        <v>490757</v>
      </c>
      <c r="BR9" s="139">
        <f t="shared" si="44"/>
        <v>81792.833333333328</v>
      </c>
      <c r="BS9" s="140"/>
      <c r="BT9" s="138">
        <f t="shared" si="45"/>
        <v>490757</v>
      </c>
      <c r="BU9" s="139">
        <f t="shared" si="46"/>
        <v>98151.4</v>
      </c>
      <c r="BV9" s="140"/>
      <c r="BW9" s="138">
        <f t="shared" si="47"/>
        <v>490757</v>
      </c>
      <c r="BX9" s="139">
        <f t="shared" si="48"/>
        <v>122689.25</v>
      </c>
      <c r="BY9" s="140"/>
      <c r="BZ9" s="138">
        <f t="shared" si="49"/>
        <v>490757</v>
      </c>
      <c r="CA9" s="139">
        <f t="shared" si="50"/>
        <v>163585.66666666666</v>
      </c>
      <c r="CB9" s="140"/>
      <c r="CC9" s="138">
        <f t="shared" si="51"/>
        <v>490757</v>
      </c>
      <c r="CD9" s="139">
        <f t="shared" si="52"/>
        <v>245378.5</v>
      </c>
      <c r="CE9" s="140"/>
      <c r="CF9" s="138">
        <f t="shared" si="53"/>
        <v>490757</v>
      </c>
      <c r="CG9" s="139">
        <f t="shared" si="54"/>
        <v>490757</v>
      </c>
      <c r="CH9" s="152"/>
      <c r="CI9" s="174" t="s">
        <v>53</v>
      </c>
    </row>
    <row r="10" spans="1:87" s="161" customFormat="1" ht="17.100000000000001" customHeight="1" thickBot="1" x14ac:dyDescent="0.3">
      <c r="A10" s="291"/>
      <c r="B10" s="294"/>
      <c r="C10" s="175" t="s">
        <v>100</v>
      </c>
      <c r="D10" s="176">
        <v>110</v>
      </c>
      <c r="E10" s="137">
        <f t="shared" si="2"/>
        <v>24</v>
      </c>
      <c r="F10" s="138">
        <f t="shared" si="3"/>
        <v>110</v>
      </c>
      <c r="G10" s="139">
        <f t="shared" si="4"/>
        <v>4.0740740740740744</v>
      </c>
      <c r="H10" s="156"/>
      <c r="I10" s="141">
        <f t="shared" si="5"/>
        <v>110</v>
      </c>
      <c r="J10" s="142">
        <f t="shared" si="6"/>
        <v>4.2307692307692308</v>
      </c>
      <c r="K10" s="143">
        <v>15</v>
      </c>
      <c r="L10" s="144">
        <f t="shared" si="7"/>
        <v>95</v>
      </c>
      <c r="M10" s="145">
        <f t="shared" si="8"/>
        <v>3.8</v>
      </c>
      <c r="N10" s="157"/>
      <c r="O10" s="144">
        <f t="shared" si="9"/>
        <v>95</v>
      </c>
      <c r="P10" s="145">
        <f t="shared" si="10"/>
        <v>3.9583333333333335</v>
      </c>
      <c r="Q10" s="157"/>
      <c r="R10" s="147">
        <f t="shared" si="11"/>
        <v>95</v>
      </c>
      <c r="S10" s="139">
        <f t="shared" si="12"/>
        <v>4.1304347826086953</v>
      </c>
      <c r="T10" s="156"/>
      <c r="U10" s="138">
        <f t="shared" si="13"/>
        <v>95</v>
      </c>
      <c r="V10" s="139">
        <f t="shared" si="14"/>
        <v>4.3181818181818183</v>
      </c>
      <c r="W10" s="156">
        <v>7</v>
      </c>
      <c r="X10" s="138">
        <f t="shared" si="15"/>
        <v>88</v>
      </c>
      <c r="Y10" s="139">
        <f t="shared" si="16"/>
        <v>4.1904761904761907</v>
      </c>
      <c r="Z10" s="156">
        <v>2</v>
      </c>
      <c r="AA10" s="148">
        <f t="shared" si="17"/>
        <v>86</v>
      </c>
      <c r="AB10" s="139">
        <f t="shared" si="0"/>
        <v>4.3</v>
      </c>
      <c r="AC10" s="156"/>
      <c r="AD10" s="148">
        <f t="shared" si="1"/>
        <v>86</v>
      </c>
      <c r="AE10" s="150">
        <f t="shared" si="18"/>
        <v>4.5263157894736841</v>
      </c>
      <c r="AF10" s="156"/>
      <c r="AG10" s="148">
        <f t="shared" si="19"/>
        <v>86</v>
      </c>
      <c r="AH10" s="150">
        <f t="shared" si="20"/>
        <v>4.7777777777777777</v>
      </c>
      <c r="AI10" s="156"/>
      <c r="AJ10" s="148">
        <f t="shared" si="21"/>
        <v>86</v>
      </c>
      <c r="AK10" s="139">
        <f t="shared" si="22"/>
        <v>5.0588235294117645</v>
      </c>
      <c r="AL10" s="156"/>
      <c r="AM10" s="138">
        <f t="shared" si="23"/>
        <v>86</v>
      </c>
      <c r="AN10" s="139">
        <f t="shared" si="24"/>
        <v>5.375</v>
      </c>
      <c r="AO10" s="156"/>
      <c r="AP10" s="138">
        <f t="shared" si="25"/>
        <v>86</v>
      </c>
      <c r="AQ10" s="139">
        <f t="shared" si="26"/>
        <v>5.7333333333333334</v>
      </c>
      <c r="AR10" s="156"/>
      <c r="AS10" s="138">
        <f t="shared" si="27"/>
        <v>86</v>
      </c>
      <c r="AT10" s="139">
        <f t="shared" si="28"/>
        <v>6.1428571428571432</v>
      </c>
      <c r="AU10" s="156"/>
      <c r="AV10" s="138">
        <f t="shared" si="29"/>
        <v>86</v>
      </c>
      <c r="AW10" s="139">
        <f t="shared" si="30"/>
        <v>6.615384615384615</v>
      </c>
      <c r="AX10" s="156"/>
      <c r="AY10" s="138">
        <f t="shared" si="31"/>
        <v>86</v>
      </c>
      <c r="AZ10" s="139">
        <f t="shared" si="32"/>
        <v>7.166666666666667</v>
      </c>
      <c r="BA10" s="156"/>
      <c r="BB10" s="138">
        <f t="shared" si="33"/>
        <v>86</v>
      </c>
      <c r="BC10" s="139">
        <f t="shared" si="34"/>
        <v>7.8181818181818183</v>
      </c>
      <c r="BD10" s="156"/>
      <c r="BE10" s="138">
        <f t="shared" si="35"/>
        <v>86</v>
      </c>
      <c r="BF10" s="139">
        <f t="shared" si="36"/>
        <v>8.6</v>
      </c>
      <c r="BG10" s="156"/>
      <c r="BH10" s="138">
        <f t="shared" si="37"/>
        <v>86</v>
      </c>
      <c r="BI10" s="139">
        <f t="shared" si="38"/>
        <v>9.5555555555555554</v>
      </c>
      <c r="BJ10" s="156"/>
      <c r="BK10" s="138">
        <f t="shared" si="39"/>
        <v>86</v>
      </c>
      <c r="BL10" s="139">
        <f t="shared" si="40"/>
        <v>10.75</v>
      </c>
      <c r="BM10" s="156"/>
      <c r="BN10" s="138">
        <f t="shared" si="41"/>
        <v>86</v>
      </c>
      <c r="BO10" s="139">
        <f t="shared" si="42"/>
        <v>12.285714285714286</v>
      </c>
      <c r="BP10" s="156"/>
      <c r="BQ10" s="138">
        <f t="shared" si="43"/>
        <v>86</v>
      </c>
      <c r="BR10" s="139">
        <f t="shared" si="44"/>
        <v>14.333333333333334</v>
      </c>
      <c r="BS10" s="156"/>
      <c r="BT10" s="138">
        <f t="shared" si="45"/>
        <v>86</v>
      </c>
      <c r="BU10" s="139">
        <f t="shared" si="46"/>
        <v>17.2</v>
      </c>
      <c r="BV10" s="156"/>
      <c r="BW10" s="138">
        <f t="shared" si="47"/>
        <v>86</v>
      </c>
      <c r="BX10" s="139">
        <f t="shared" si="48"/>
        <v>21.5</v>
      </c>
      <c r="BY10" s="156"/>
      <c r="BZ10" s="138">
        <f t="shared" si="49"/>
        <v>86</v>
      </c>
      <c r="CA10" s="139">
        <f t="shared" si="50"/>
        <v>28.666666666666668</v>
      </c>
      <c r="CB10" s="156"/>
      <c r="CC10" s="138">
        <f t="shared" si="51"/>
        <v>86</v>
      </c>
      <c r="CD10" s="139">
        <f t="shared" si="52"/>
        <v>43</v>
      </c>
      <c r="CE10" s="156"/>
      <c r="CF10" s="138">
        <f t="shared" si="53"/>
        <v>86</v>
      </c>
      <c r="CG10" s="139">
        <f t="shared" si="54"/>
        <v>86</v>
      </c>
      <c r="CH10" s="160"/>
    </row>
    <row r="11" spans="1:87" s="177" customFormat="1" ht="17.100000000000001" customHeight="1" thickBot="1" x14ac:dyDescent="0.3">
      <c r="A11" s="291"/>
      <c r="B11" s="295" t="s">
        <v>26</v>
      </c>
      <c r="C11" s="135" t="s">
        <v>99</v>
      </c>
      <c r="D11" s="136">
        <v>183750</v>
      </c>
      <c r="E11" s="137">
        <f t="shared" si="2"/>
        <v>24697</v>
      </c>
      <c r="F11" s="138">
        <f t="shared" si="3"/>
        <v>183750</v>
      </c>
      <c r="G11" s="139">
        <f t="shared" si="4"/>
        <v>6805.5555555555557</v>
      </c>
      <c r="H11" s="140"/>
      <c r="I11" s="141">
        <f t="shared" si="5"/>
        <v>183750</v>
      </c>
      <c r="J11" s="142">
        <f t="shared" si="6"/>
        <v>7067.3076923076924</v>
      </c>
      <c r="K11" s="143">
        <v>2779</v>
      </c>
      <c r="L11" s="144">
        <f t="shared" si="7"/>
        <v>180971</v>
      </c>
      <c r="M11" s="145">
        <f t="shared" si="8"/>
        <v>7238.84</v>
      </c>
      <c r="N11" s="146">
        <v>2726</v>
      </c>
      <c r="O11" s="144">
        <f t="shared" si="9"/>
        <v>178245</v>
      </c>
      <c r="P11" s="145">
        <f t="shared" si="10"/>
        <v>7426.875</v>
      </c>
      <c r="Q11" s="146">
        <v>5146</v>
      </c>
      <c r="R11" s="147">
        <f t="shared" si="11"/>
        <v>173099</v>
      </c>
      <c r="S11" s="139">
        <f t="shared" si="12"/>
        <v>7526.04347826087</v>
      </c>
      <c r="T11" s="140">
        <v>3859</v>
      </c>
      <c r="U11" s="138">
        <f t="shared" si="13"/>
        <v>169240</v>
      </c>
      <c r="V11" s="139">
        <f t="shared" si="14"/>
        <v>7692.727272727273</v>
      </c>
      <c r="W11" s="140">
        <v>5248</v>
      </c>
      <c r="X11" s="138">
        <f t="shared" si="15"/>
        <v>163992</v>
      </c>
      <c r="Y11" s="139">
        <f t="shared" si="16"/>
        <v>7809.1428571428569</v>
      </c>
      <c r="Z11" s="140">
        <v>4939</v>
      </c>
      <c r="AA11" s="148">
        <f t="shared" si="17"/>
        <v>159053</v>
      </c>
      <c r="AB11" s="139">
        <f t="shared" si="0"/>
        <v>7952.65</v>
      </c>
      <c r="AC11" s="149"/>
      <c r="AD11" s="148">
        <f t="shared" si="1"/>
        <v>159053</v>
      </c>
      <c r="AE11" s="150">
        <f t="shared" si="18"/>
        <v>8371.21052631579</v>
      </c>
      <c r="AF11" s="151"/>
      <c r="AG11" s="148">
        <f t="shared" si="19"/>
        <v>159053</v>
      </c>
      <c r="AH11" s="150">
        <f t="shared" si="20"/>
        <v>8836.2777777777774</v>
      </c>
      <c r="AI11" s="151"/>
      <c r="AJ11" s="148">
        <f t="shared" si="21"/>
        <v>159053</v>
      </c>
      <c r="AK11" s="139">
        <f t="shared" si="22"/>
        <v>9356.0588235294126</v>
      </c>
      <c r="AL11" s="151"/>
      <c r="AM11" s="138">
        <f t="shared" si="23"/>
        <v>159053</v>
      </c>
      <c r="AN11" s="139">
        <f t="shared" si="24"/>
        <v>9940.8125</v>
      </c>
      <c r="AO11" s="140"/>
      <c r="AP11" s="138">
        <f t="shared" si="25"/>
        <v>159053</v>
      </c>
      <c r="AQ11" s="139">
        <f t="shared" si="26"/>
        <v>10603.533333333333</v>
      </c>
      <c r="AR11" s="140"/>
      <c r="AS11" s="138">
        <f t="shared" si="27"/>
        <v>159053</v>
      </c>
      <c r="AT11" s="139">
        <f t="shared" si="28"/>
        <v>11360.928571428571</v>
      </c>
      <c r="AU11" s="140"/>
      <c r="AV11" s="138">
        <f t="shared" si="29"/>
        <v>159053</v>
      </c>
      <c r="AW11" s="139">
        <f t="shared" si="30"/>
        <v>12234.846153846154</v>
      </c>
      <c r="AX11" s="140"/>
      <c r="AY11" s="138">
        <f t="shared" si="31"/>
        <v>159053</v>
      </c>
      <c r="AZ11" s="139">
        <f t="shared" si="32"/>
        <v>13254.416666666666</v>
      </c>
      <c r="BA11" s="140"/>
      <c r="BB11" s="138">
        <f t="shared" si="33"/>
        <v>159053</v>
      </c>
      <c r="BC11" s="139">
        <f t="shared" si="34"/>
        <v>14459.363636363636</v>
      </c>
      <c r="BD11" s="140"/>
      <c r="BE11" s="138">
        <f t="shared" si="35"/>
        <v>159053</v>
      </c>
      <c r="BF11" s="139">
        <f t="shared" si="36"/>
        <v>15905.3</v>
      </c>
      <c r="BG11" s="140"/>
      <c r="BH11" s="138">
        <f t="shared" si="37"/>
        <v>159053</v>
      </c>
      <c r="BI11" s="139">
        <f t="shared" si="38"/>
        <v>17672.555555555555</v>
      </c>
      <c r="BJ11" s="140"/>
      <c r="BK11" s="138">
        <f t="shared" si="39"/>
        <v>159053</v>
      </c>
      <c r="BL11" s="139">
        <f t="shared" si="40"/>
        <v>19881.625</v>
      </c>
      <c r="BM11" s="140"/>
      <c r="BN11" s="138">
        <f t="shared" si="41"/>
        <v>159053</v>
      </c>
      <c r="BO11" s="139">
        <f t="shared" si="42"/>
        <v>22721.857142857141</v>
      </c>
      <c r="BP11" s="140"/>
      <c r="BQ11" s="138">
        <f t="shared" si="43"/>
        <v>159053</v>
      </c>
      <c r="BR11" s="139">
        <f t="shared" si="44"/>
        <v>26508.833333333332</v>
      </c>
      <c r="BS11" s="140"/>
      <c r="BT11" s="138">
        <f t="shared" si="45"/>
        <v>159053</v>
      </c>
      <c r="BU11" s="139">
        <f t="shared" si="46"/>
        <v>31810.6</v>
      </c>
      <c r="BV11" s="140"/>
      <c r="BW11" s="138">
        <f t="shared" si="47"/>
        <v>159053</v>
      </c>
      <c r="BX11" s="139">
        <f t="shared" si="48"/>
        <v>39763.25</v>
      </c>
      <c r="BY11" s="140"/>
      <c r="BZ11" s="138">
        <f t="shared" si="49"/>
        <v>159053</v>
      </c>
      <c r="CA11" s="139">
        <f t="shared" si="50"/>
        <v>53017.666666666664</v>
      </c>
      <c r="CB11" s="140"/>
      <c r="CC11" s="138">
        <f t="shared" si="51"/>
        <v>159053</v>
      </c>
      <c r="CD11" s="139">
        <f t="shared" si="52"/>
        <v>79526.5</v>
      </c>
      <c r="CE11" s="140"/>
      <c r="CF11" s="138">
        <f t="shared" si="53"/>
        <v>159053</v>
      </c>
      <c r="CG11" s="139">
        <f t="shared" si="54"/>
        <v>159053</v>
      </c>
      <c r="CH11" s="152"/>
    </row>
    <row r="12" spans="1:87" s="161" customFormat="1" ht="15.75" customHeight="1" thickBot="1" x14ac:dyDescent="0.3">
      <c r="A12" s="291"/>
      <c r="B12" s="294"/>
      <c r="C12" s="154" t="s">
        <v>100</v>
      </c>
      <c r="D12" s="155">
        <v>85</v>
      </c>
      <c r="E12" s="137">
        <f t="shared" si="2"/>
        <v>11</v>
      </c>
      <c r="F12" s="138">
        <f t="shared" si="3"/>
        <v>85</v>
      </c>
      <c r="G12" s="139">
        <f t="shared" si="4"/>
        <v>3.1481481481481484</v>
      </c>
      <c r="H12" s="156"/>
      <c r="I12" s="141">
        <f t="shared" si="5"/>
        <v>85</v>
      </c>
      <c r="J12" s="142">
        <f t="shared" si="6"/>
        <v>3.2692307692307692</v>
      </c>
      <c r="K12" s="143">
        <v>11</v>
      </c>
      <c r="L12" s="144">
        <f t="shared" si="7"/>
        <v>74</v>
      </c>
      <c r="M12" s="145">
        <f t="shared" si="8"/>
        <v>2.96</v>
      </c>
      <c r="N12" s="157"/>
      <c r="O12" s="144">
        <f t="shared" si="9"/>
        <v>74</v>
      </c>
      <c r="P12" s="145">
        <f t="shared" si="10"/>
        <v>3.0833333333333335</v>
      </c>
      <c r="Q12" s="157"/>
      <c r="R12" s="147">
        <f t="shared" si="11"/>
        <v>74</v>
      </c>
      <c r="S12" s="139">
        <f t="shared" si="12"/>
        <v>3.2173913043478262</v>
      </c>
      <c r="T12" s="156"/>
      <c r="U12" s="138">
        <f t="shared" si="13"/>
        <v>74</v>
      </c>
      <c r="V12" s="139">
        <f t="shared" si="14"/>
        <v>3.3636363636363638</v>
      </c>
      <c r="W12" s="156">
        <v>0</v>
      </c>
      <c r="X12" s="138">
        <f t="shared" si="15"/>
        <v>74</v>
      </c>
      <c r="Y12" s="139">
        <f t="shared" si="16"/>
        <v>3.5238095238095237</v>
      </c>
      <c r="Z12" s="156">
        <v>0</v>
      </c>
      <c r="AA12" s="148">
        <f t="shared" si="17"/>
        <v>74</v>
      </c>
      <c r="AB12" s="139">
        <f t="shared" si="0"/>
        <v>3.7</v>
      </c>
      <c r="AC12" s="158"/>
      <c r="AD12" s="148">
        <f t="shared" si="1"/>
        <v>74</v>
      </c>
      <c r="AE12" s="150">
        <f t="shared" si="18"/>
        <v>3.8947368421052633</v>
      </c>
      <c r="AF12" s="159"/>
      <c r="AG12" s="148">
        <f t="shared" si="19"/>
        <v>74</v>
      </c>
      <c r="AH12" s="150">
        <f t="shared" si="20"/>
        <v>4.1111111111111107</v>
      </c>
      <c r="AI12" s="159"/>
      <c r="AJ12" s="148">
        <f t="shared" si="21"/>
        <v>74</v>
      </c>
      <c r="AK12" s="139">
        <f t="shared" si="22"/>
        <v>4.3529411764705879</v>
      </c>
      <c r="AL12" s="159"/>
      <c r="AM12" s="138">
        <f t="shared" si="23"/>
        <v>74</v>
      </c>
      <c r="AN12" s="139">
        <f t="shared" si="24"/>
        <v>4.625</v>
      </c>
      <c r="AO12" s="156"/>
      <c r="AP12" s="138">
        <f t="shared" si="25"/>
        <v>74</v>
      </c>
      <c r="AQ12" s="139">
        <f t="shared" si="26"/>
        <v>4.9333333333333336</v>
      </c>
      <c r="AR12" s="156"/>
      <c r="AS12" s="138">
        <f t="shared" si="27"/>
        <v>74</v>
      </c>
      <c r="AT12" s="139">
        <f t="shared" si="28"/>
        <v>5.2857142857142856</v>
      </c>
      <c r="AU12" s="156"/>
      <c r="AV12" s="138">
        <f t="shared" si="29"/>
        <v>74</v>
      </c>
      <c r="AW12" s="139">
        <f t="shared" si="30"/>
        <v>5.6923076923076925</v>
      </c>
      <c r="AX12" s="156"/>
      <c r="AY12" s="138">
        <f t="shared" si="31"/>
        <v>74</v>
      </c>
      <c r="AZ12" s="139">
        <f t="shared" si="32"/>
        <v>6.166666666666667</v>
      </c>
      <c r="BA12" s="156"/>
      <c r="BB12" s="138">
        <f t="shared" si="33"/>
        <v>74</v>
      </c>
      <c r="BC12" s="139">
        <f t="shared" si="34"/>
        <v>6.7272727272727275</v>
      </c>
      <c r="BD12" s="156"/>
      <c r="BE12" s="138">
        <f t="shared" si="35"/>
        <v>74</v>
      </c>
      <c r="BF12" s="139">
        <f t="shared" si="36"/>
        <v>7.4</v>
      </c>
      <c r="BG12" s="156"/>
      <c r="BH12" s="138">
        <f t="shared" si="37"/>
        <v>74</v>
      </c>
      <c r="BI12" s="139">
        <f t="shared" si="38"/>
        <v>8.2222222222222214</v>
      </c>
      <c r="BJ12" s="156"/>
      <c r="BK12" s="138">
        <f t="shared" si="39"/>
        <v>74</v>
      </c>
      <c r="BL12" s="139">
        <f t="shared" si="40"/>
        <v>9.25</v>
      </c>
      <c r="BM12" s="156"/>
      <c r="BN12" s="138">
        <f t="shared" si="41"/>
        <v>74</v>
      </c>
      <c r="BO12" s="139">
        <f t="shared" si="42"/>
        <v>10.571428571428571</v>
      </c>
      <c r="BP12" s="156"/>
      <c r="BQ12" s="138">
        <f t="shared" si="43"/>
        <v>74</v>
      </c>
      <c r="BR12" s="139">
        <f t="shared" si="44"/>
        <v>12.333333333333334</v>
      </c>
      <c r="BS12" s="156"/>
      <c r="BT12" s="138">
        <f t="shared" si="45"/>
        <v>74</v>
      </c>
      <c r="BU12" s="139">
        <f t="shared" si="46"/>
        <v>14.8</v>
      </c>
      <c r="BV12" s="156"/>
      <c r="BW12" s="138">
        <f t="shared" si="47"/>
        <v>74</v>
      </c>
      <c r="BX12" s="139">
        <f t="shared" si="48"/>
        <v>18.5</v>
      </c>
      <c r="BY12" s="156"/>
      <c r="BZ12" s="138">
        <f t="shared" si="49"/>
        <v>74</v>
      </c>
      <c r="CA12" s="139">
        <f t="shared" si="50"/>
        <v>24.666666666666668</v>
      </c>
      <c r="CB12" s="156"/>
      <c r="CC12" s="138">
        <f t="shared" si="51"/>
        <v>74</v>
      </c>
      <c r="CD12" s="139">
        <f t="shared" si="52"/>
        <v>37</v>
      </c>
      <c r="CE12" s="156"/>
      <c r="CF12" s="138">
        <f t="shared" si="53"/>
        <v>74</v>
      </c>
      <c r="CG12" s="139">
        <f t="shared" si="54"/>
        <v>74</v>
      </c>
      <c r="CH12" s="160"/>
    </row>
    <row r="13" spans="1:87" s="178" customFormat="1" ht="17.100000000000001" customHeight="1" thickBot="1" x14ac:dyDescent="0.35">
      <c r="A13" s="291"/>
      <c r="B13" s="295" t="s">
        <v>27</v>
      </c>
      <c r="C13" s="162" t="s">
        <v>99</v>
      </c>
      <c r="D13" s="163">
        <v>204750</v>
      </c>
      <c r="E13" s="137">
        <f t="shared" si="2"/>
        <v>28190</v>
      </c>
      <c r="F13" s="138">
        <f t="shared" si="3"/>
        <v>204750</v>
      </c>
      <c r="G13" s="139">
        <f t="shared" si="4"/>
        <v>7583.333333333333</v>
      </c>
      <c r="H13" s="140"/>
      <c r="I13" s="141">
        <f t="shared" si="5"/>
        <v>204750</v>
      </c>
      <c r="J13" s="142">
        <f t="shared" si="6"/>
        <v>7875</v>
      </c>
      <c r="K13" s="143">
        <v>5770</v>
      </c>
      <c r="L13" s="144">
        <f t="shared" si="7"/>
        <v>198980</v>
      </c>
      <c r="M13" s="145">
        <f t="shared" si="8"/>
        <v>7959.2</v>
      </c>
      <c r="N13" s="146">
        <v>3748</v>
      </c>
      <c r="O13" s="144">
        <f t="shared" si="9"/>
        <v>195232</v>
      </c>
      <c r="P13" s="145">
        <f t="shared" si="10"/>
        <v>8134.666666666667</v>
      </c>
      <c r="Q13" s="146">
        <v>4629</v>
      </c>
      <c r="R13" s="147">
        <f t="shared" si="11"/>
        <v>190603</v>
      </c>
      <c r="S13" s="139">
        <f t="shared" si="12"/>
        <v>8287.0869565217399</v>
      </c>
      <c r="T13" s="140">
        <v>4577</v>
      </c>
      <c r="U13" s="138">
        <f t="shared" si="13"/>
        <v>186026</v>
      </c>
      <c r="V13" s="139">
        <f t="shared" si="14"/>
        <v>8455.7272727272721</v>
      </c>
      <c r="W13" s="140">
        <v>4423</v>
      </c>
      <c r="X13" s="138">
        <f t="shared" si="15"/>
        <v>181603</v>
      </c>
      <c r="Y13" s="139">
        <f t="shared" si="16"/>
        <v>8647.7619047619046</v>
      </c>
      <c r="Z13" s="140">
        <v>5043</v>
      </c>
      <c r="AA13" s="148">
        <f t="shared" si="17"/>
        <v>176560</v>
      </c>
      <c r="AB13" s="139">
        <f t="shared" si="0"/>
        <v>8828</v>
      </c>
      <c r="AC13" s="140"/>
      <c r="AD13" s="148">
        <f t="shared" si="1"/>
        <v>176560</v>
      </c>
      <c r="AE13" s="150">
        <f t="shared" si="18"/>
        <v>9292.6315789473683</v>
      </c>
      <c r="AF13" s="140"/>
      <c r="AG13" s="148">
        <f t="shared" si="19"/>
        <v>176560</v>
      </c>
      <c r="AH13" s="150">
        <f t="shared" si="20"/>
        <v>9808.8888888888887</v>
      </c>
      <c r="AI13" s="140"/>
      <c r="AJ13" s="148">
        <f t="shared" si="21"/>
        <v>176560</v>
      </c>
      <c r="AK13" s="139">
        <f t="shared" si="22"/>
        <v>10385.882352941177</v>
      </c>
      <c r="AL13" s="140"/>
      <c r="AM13" s="138">
        <f t="shared" si="23"/>
        <v>176560</v>
      </c>
      <c r="AN13" s="139">
        <f t="shared" si="24"/>
        <v>11035</v>
      </c>
      <c r="AO13" s="140"/>
      <c r="AP13" s="138">
        <f t="shared" si="25"/>
        <v>176560</v>
      </c>
      <c r="AQ13" s="139">
        <f t="shared" si="26"/>
        <v>11770.666666666666</v>
      </c>
      <c r="AR13" s="140"/>
      <c r="AS13" s="138">
        <f t="shared" si="27"/>
        <v>176560</v>
      </c>
      <c r="AT13" s="139">
        <f t="shared" si="28"/>
        <v>12611.428571428571</v>
      </c>
      <c r="AU13" s="140"/>
      <c r="AV13" s="138">
        <f t="shared" si="29"/>
        <v>176560</v>
      </c>
      <c r="AW13" s="139">
        <f t="shared" si="30"/>
        <v>13581.538461538461</v>
      </c>
      <c r="AX13" s="140"/>
      <c r="AY13" s="138">
        <f t="shared" si="31"/>
        <v>176560</v>
      </c>
      <c r="AZ13" s="139">
        <f t="shared" si="32"/>
        <v>14713.333333333334</v>
      </c>
      <c r="BA13" s="140"/>
      <c r="BB13" s="138">
        <f t="shared" si="33"/>
        <v>176560</v>
      </c>
      <c r="BC13" s="139">
        <f t="shared" si="34"/>
        <v>16050.90909090909</v>
      </c>
      <c r="BD13" s="140"/>
      <c r="BE13" s="138">
        <f t="shared" si="35"/>
        <v>176560</v>
      </c>
      <c r="BF13" s="139">
        <f t="shared" si="36"/>
        <v>17656</v>
      </c>
      <c r="BG13" s="140"/>
      <c r="BH13" s="138">
        <f t="shared" si="37"/>
        <v>176560</v>
      </c>
      <c r="BI13" s="139">
        <f t="shared" si="38"/>
        <v>19617.777777777777</v>
      </c>
      <c r="BJ13" s="140"/>
      <c r="BK13" s="138">
        <f t="shared" si="39"/>
        <v>176560</v>
      </c>
      <c r="BL13" s="139">
        <f t="shared" si="40"/>
        <v>22070</v>
      </c>
      <c r="BM13" s="140"/>
      <c r="BN13" s="138">
        <f t="shared" si="41"/>
        <v>176560</v>
      </c>
      <c r="BO13" s="139">
        <f t="shared" si="42"/>
        <v>25222.857142857141</v>
      </c>
      <c r="BP13" s="140"/>
      <c r="BQ13" s="138">
        <f t="shared" si="43"/>
        <v>176560</v>
      </c>
      <c r="BR13" s="139">
        <f t="shared" si="44"/>
        <v>29426.666666666668</v>
      </c>
      <c r="BS13" s="140"/>
      <c r="BT13" s="138">
        <f t="shared" si="45"/>
        <v>176560</v>
      </c>
      <c r="BU13" s="139">
        <f t="shared" si="46"/>
        <v>35312</v>
      </c>
      <c r="BV13" s="140"/>
      <c r="BW13" s="138">
        <f t="shared" si="47"/>
        <v>176560</v>
      </c>
      <c r="BX13" s="139">
        <f t="shared" si="48"/>
        <v>44140</v>
      </c>
      <c r="BY13" s="140"/>
      <c r="BZ13" s="138">
        <f t="shared" si="49"/>
        <v>176560</v>
      </c>
      <c r="CA13" s="139">
        <f t="shared" si="50"/>
        <v>58853.333333333336</v>
      </c>
      <c r="CB13" s="140"/>
      <c r="CC13" s="138">
        <f t="shared" si="51"/>
        <v>176560</v>
      </c>
      <c r="CD13" s="139">
        <f t="shared" si="52"/>
        <v>88280</v>
      </c>
      <c r="CE13" s="140"/>
      <c r="CF13" s="138">
        <f t="shared" si="53"/>
        <v>176560</v>
      </c>
      <c r="CG13" s="139">
        <f t="shared" si="54"/>
        <v>176560</v>
      </c>
      <c r="CH13" s="170"/>
    </row>
    <row r="14" spans="1:87" s="161" customFormat="1" ht="17.100000000000001" customHeight="1" thickBot="1" x14ac:dyDescent="0.3">
      <c r="A14" s="291"/>
      <c r="B14" s="294"/>
      <c r="C14" s="154" t="s">
        <v>100</v>
      </c>
      <c r="D14" s="155">
        <v>90</v>
      </c>
      <c r="E14" s="137">
        <f t="shared" si="2"/>
        <v>13</v>
      </c>
      <c r="F14" s="138">
        <f t="shared" si="3"/>
        <v>90</v>
      </c>
      <c r="G14" s="139">
        <f t="shared" si="4"/>
        <v>3.3333333333333335</v>
      </c>
      <c r="H14" s="156"/>
      <c r="I14" s="141">
        <f t="shared" si="5"/>
        <v>90</v>
      </c>
      <c r="J14" s="142">
        <f t="shared" si="6"/>
        <v>3.4615384615384617</v>
      </c>
      <c r="K14" s="143"/>
      <c r="L14" s="144">
        <f t="shared" si="7"/>
        <v>90</v>
      </c>
      <c r="M14" s="145">
        <f t="shared" si="8"/>
        <v>3.6</v>
      </c>
      <c r="N14" s="157"/>
      <c r="O14" s="144">
        <f t="shared" si="9"/>
        <v>90</v>
      </c>
      <c r="P14" s="145">
        <f t="shared" si="10"/>
        <v>3.75</v>
      </c>
      <c r="Q14" s="157"/>
      <c r="R14" s="147">
        <f t="shared" si="11"/>
        <v>90</v>
      </c>
      <c r="S14" s="139">
        <f t="shared" si="12"/>
        <v>3.9130434782608696</v>
      </c>
      <c r="T14" s="156">
        <v>11</v>
      </c>
      <c r="U14" s="138">
        <f t="shared" si="13"/>
        <v>79</v>
      </c>
      <c r="V14" s="139">
        <f t="shared" si="14"/>
        <v>3.5909090909090908</v>
      </c>
      <c r="W14" s="156">
        <v>2</v>
      </c>
      <c r="X14" s="138">
        <f t="shared" si="15"/>
        <v>77</v>
      </c>
      <c r="Y14" s="139">
        <f t="shared" si="16"/>
        <v>3.6666666666666665</v>
      </c>
      <c r="Z14" s="156">
        <v>0</v>
      </c>
      <c r="AA14" s="148">
        <f t="shared" si="17"/>
        <v>77</v>
      </c>
      <c r="AB14" s="139">
        <f t="shared" si="0"/>
        <v>3.85</v>
      </c>
      <c r="AC14" s="158"/>
      <c r="AD14" s="148">
        <f t="shared" si="1"/>
        <v>77</v>
      </c>
      <c r="AE14" s="150">
        <f t="shared" si="18"/>
        <v>4.0526315789473681</v>
      </c>
      <c r="AF14" s="159"/>
      <c r="AG14" s="148">
        <f t="shared" si="19"/>
        <v>77</v>
      </c>
      <c r="AH14" s="150">
        <f t="shared" si="20"/>
        <v>4.2777777777777777</v>
      </c>
      <c r="AI14" s="159"/>
      <c r="AJ14" s="148">
        <f t="shared" si="21"/>
        <v>77</v>
      </c>
      <c r="AK14" s="139">
        <f t="shared" si="22"/>
        <v>4.5294117647058822</v>
      </c>
      <c r="AL14" s="159"/>
      <c r="AM14" s="138">
        <f t="shared" si="23"/>
        <v>77</v>
      </c>
      <c r="AN14" s="139">
        <f t="shared" si="24"/>
        <v>4.8125</v>
      </c>
      <c r="AO14" s="156"/>
      <c r="AP14" s="138">
        <f t="shared" si="25"/>
        <v>77</v>
      </c>
      <c r="AQ14" s="139">
        <f t="shared" si="26"/>
        <v>5.1333333333333337</v>
      </c>
      <c r="AR14" s="156"/>
      <c r="AS14" s="138">
        <f t="shared" si="27"/>
        <v>77</v>
      </c>
      <c r="AT14" s="139">
        <f t="shared" si="28"/>
        <v>5.5</v>
      </c>
      <c r="AU14" s="156"/>
      <c r="AV14" s="138">
        <f t="shared" si="29"/>
        <v>77</v>
      </c>
      <c r="AW14" s="139">
        <f t="shared" si="30"/>
        <v>5.9230769230769234</v>
      </c>
      <c r="AX14" s="156"/>
      <c r="AY14" s="138">
        <f t="shared" si="31"/>
        <v>77</v>
      </c>
      <c r="AZ14" s="139">
        <f t="shared" si="32"/>
        <v>6.416666666666667</v>
      </c>
      <c r="BA14" s="156"/>
      <c r="BB14" s="138">
        <f t="shared" si="33"/>
        <v>77</v>
      </c>
      <c r="BC14" s="139">
        <f t="shared" si="34"/>
        <v>7</v>
      </c>
      <c r="BD14" s="156"/>
      <c r="BE14" s="138">
        <f t="shared" si="35"/>
        <v>77</v>
      </c>
      <c r="BF14" s="139">
        <f t="shared" si="36"/>
        <v>7.7</v>
      </c>
      <c r="BG14" s="156"/>
      <c r="BH14" s="138">
        <f t="shared" si="37"/>
        <v>77</v>
      </c>
      <c r="BI14" s="139">
        <f t="shared" si="38"/>
        <v>8.5555555555555554</v>
      </c>
      <c r="BJ14" s="156"/>
      <c r="BK14" s="138">
        <f t="shared" si="39"/>
        <v>77</v>
      </c>
      <c r="BL14" s="139">
        <f t="shared" si="40"/>
        <v>9.625</v>
      </c>
      <c r="BM14" s="156"/>
      <c r="BN14" s="138">
        <f t="shared" si="41"/>
        <v>77</v>
      </c>
      <c r="BO14" s="139">
        <f t="shared" si="42"/>
        <v>11</v>
      </c>
      <c r="BP14" s="156"/>
      <c r="BQ14" s="138">
        <f t="shared" si="43"/>
        <v>77</v>
      </c>
      <c r="BR14" s="139">
        <f t="shared" si="44"/>
        <v>12.833333333333334</v>
      </c>
      <c r="BS14" s="156"/>
      <c r="BT14" s="138">
        <f t="shared" si="45"/>
        <v>77</v>
      </c>
      <c r="BU14" s="139">
        <f t="shared" si="46"/>
        <v>15.4</v>
      </c>
      <c r="BV14" s="156"/>
      <c r="BW14" s="138">
        <f t="shared" si="47"/>
        <v>77</v>
      </c>
      <c r="BX14" s="139">
        <f t="shared" si="48"/>
        <v>19.25</v>
      </c>
      <c r="BY14" s="156"/>
      <c r="BZ14" s="138">
        <f t="shared" si="49"/>
        <v>77</v>
      </c>
      <c r="CA14" s="139">
        <f t="shared" si="50"/>
        <v>25.666666666666668</v>
      </c>
      <c r="CB14" s="156"/>
      <c r="CC14" s="138">
        <f t="shared" si="51"/>
        <v>77</v>
      </c>
      <c r="CD14" s="139">
        <f t="shared" si="52"/>
        <v>38.5</v>
      </c>
      <c r="CE14" s="156"/>
      <c r="CF14" s="138">
        <f t="shared" si="53"/>
        <v>77</v>
      </c>
      <c r="CG14" s="139">
        <f t="shared" si="54"/>
        <v>77</v>
      </c>
      <c r="CH14" s="160"/>
    </row>
    <row r="15" spans="1:87" s="177" customFormat="1" ht="17.100000000000001" customHeight="1" thickBot="1" x14ac:dyDescent="0.3">
      <c r="A15" s="291"/>
      <c r="B15" s="295" t="s">
        <v>103</v>
      </c>
      <c r="C15" s="135" t="s">
        <v>99</v>
      </c>
      <c r="D15" s="136">
        <v>220500</v>
      </c>
      <c r="E15" s="137">
        <f t="shared" si="2"/>
        <v>31082</v>
      </c>
      <c r="F15" s="138">
        <f t="shared" si="3"/>
        <v>220500</v>
      </c>
      <c r="G15" s="139">
        <f t="shared" si="4"/>
        <v>8166.666666666667</v>
      </c>
      <c r="H15" s="140"/>
      <c r="I15" s="141">
        <f t="shared" si="5"/>
        <v>220500</v>
      </c>
      <c r="J15" s="142">
        <f t="shared" si="6"/>
        <v>8480.7692307692305</v>
      </c>
      <c r="K15" s="143">
        <v>3497</v>
      </c>
      <c r="L15" s="144">
        <f t="shared" si="7"/>
        <v>217003</v>
      </c>
      <c r="M15" s="145">
        <f t="shared" si="8"/>
        <v>8680.1200000000008</v>
      </c>
      <c r="N15" s="146">
        <v>5539</v>
      </c>
      <c r="O15" s="144">
        <f t="shared" si="9"/>
        <v>211464</v>
      </c>
      <c r="P15" s="145">
        <f t="shared" si="10"/>
        <v>8811</v>
      </c>
      <c r="Q15" s="146">
        <v>6267</v>
      </c>
      <c r="R15" s="147">
        <f t="shared" si="11"/>
        <v>205197</v>
      </c>
      <c r="S15" s="139">
        <f t="shared" si="12"/>
        <v>8921.608695652174</v>
      </c>
      <c r="T15" s="140">
        <v>4265</v>
      </c>
      <c r="U15" s="138">
        <f t="shared" si="13"/>
        <v>200932</v>
      </c>
      <c r="V15" s="139">
        <f t="shared" si="14"/>
        <v>9133.2727272727279</v>
      </c>
      <c r="W15" s="140">
        <v>5035</v>
      </c>
      <c r="X15" s="138">
        <f t="shared" si="15"/>
        <v>195897</v>
      </c>
      <c r="Y15" s="139">
        <f t="shared" si="16"/>
        <v>9328.4285714285706</v>
      </c>
      <c r="Z15" s="140">
        <v>6479</v>
      </c>
      <c r="AA15" s="148">
        <f t="shared" si="17"/>
        <v>189418</v>
      </c>
      <c r="AB15" s="139">
        <f t="shared" si="0"/>
        <v>9470.9</v>
      </c>
      <c r="AC15" s="149"/>
      <c r="AD15" s="148">
        <f t="shared" si="1"/>
        <v>189418</v>
      </c>
      <c r="AE15" s="150">
        <f t="shared" si="18"/>
        <v>9969.3684210526317</v>
      </c>
      <c r="AF15" s="151"/>
      <c r="AG15" s="148">
        <f t="shared" si="19"/>
        <v>189418</v>
      </c>
      <c r="AH15" s="150">
        <f t="shared" si="20"/>
        <v>10523.222222222223</v>
      </c>
      <c r="AI15" s="151"/>
      <c r="AJ15" s="148">
        <f t="shared" si="21"/>
        <v>189418</v>
      </c>
      <c r="AK15" s="139">
        <f t="shared" si="22"/>
        <v>11142.235294117647</v>
      </c>
      <c r="AL15" s="151"/>
      <c r="AM15" s="138">
        <f t="shared" si="23"/>
        <v>189418</v>
      </c>
      <c r="AN15" s="139">
        <f t="shared" si="24"/>
        <v>11838.625</v>
      </c>
      <c r="AO15" s="140"/>
      <c r="AP15" s="138">
        <f t="shared" si="25"/>
        <v>189418</v>
      </c>
      <c r="AQ15" s="139">
        <f t="shared" si="26"/>
        <v>12627.866666666667</v>
      </c>
      <c r="AR15" s="140"/>
      <c r="AS15" s="138">
        <f t="shared" si="27"/>
        <v>189418</v>
      </c>
      <c r="AT15" s="139">
        <f t="shared" si="28"/>
        <v>13529.857142857143</v>
      </c>
      <c r="AU15" s="140"/>
      <c r="AV15" s="138">
        <f t="shared" si="29"/>
        <v>189418</v>
      </c>
      <c r="AW15" s="139">
        <f t="shared" si="30"/>
        <v>14570.615384615385</v>
      </c>
      <c r="AX15" s="140"/>
      <c r="AY15" s="138">
        <f t="shared" si="31"/>
        <v>189418</v>
      </c>
      <c r="AZ15" s="139">
        <f t="shared" si="32"/>
        <v>15784.833333333334</v>
      </c>
      <c r="BA15" s="140"/>
      <c r="BB15" s="138">
        <f t="shared" si="33"/>
        <v>189418</v>
      </c>
      <c r="BC15" s="139">
        <f t="shared" si="34"/>
        <v>17219.81818181818</v>
      </c>
      <c r="BD15" s="140"/>
      <c r="BE15" s="138">
        <f t="shared" si="35"/>
        <v>189418</v>
      </c>
      <c r="BF15" s="139">
        <f t="shared" si="36"/>
        <v>18941.8</v>
      </c>
      <c r="BG15" s="140"/>
      <c r="BH15" s="138">
        <f t="shared" si="37"/>
        <v>189418</v>
      </c>
      <c r="BI15" s="139">
        <f t="shared" si="38"/>
        <v>21046.444444444445</v>
      </c>
      <c r="BJ15" s="140"/>
      <c r="BK15" s="138">
        <f t="shared" si="39"/>
        <v>189418</v>
      </c>
      <c r="BL15" s="139">
        <f t="shared" si="40"/>
        <v>23677.25</v>
      </c>
      <c r="BM15" s="140"/>
      <c r="BN15" s="138">
        <f t="shared" si="41"/>
        <v>189418</v>
      </c>
      <c r="BO15" s="139">
        <f t="shared" si="42"/>
        <v>27059.714285714286</v>
      </c>
      <c r="BP15" s="140"/>
      <c r="BQ15" s="138">
        <f t="shared" si="43"/>
        <v>189418</v>
      </c>
      <c r="BR15" s="139">
        <f t="shared" si="44"/>
        <v>31569.666666666668</v>
      </c>
      <c r="BS15" s="140"/>
      <c r="BT15" s="138">
        <f t="shared" si="45"/>
        <v>189418</v>
      </c>
      <c r="BU15" s="139">
        <f t="shared" si="46"/>
        <v>37883.599999999999</v>
      </c>
      <c r="BV15" s="140"/>
      <c r="BW15" s="138">
        <f t="shared" si="47"/>
        <v>189418</v>
      </c>
      <c r="BX15" s="139">
        <f t="shared" si="48"/>
        <v>47354.5</v>
      </c>
      <c r="BY15" s="140"/>
      <c r="BZ15" s="138">
        <f t="shared" si="49"/>
        <v>189418</v>
      </c>
      <c r="CA15" s="139">
        <f t="shared" si="50"/>
        <v>63139.333333333336</v>
      </c>
      <c r="CB15" s="140"/>
      <c r="CC15" s="138">
        <f t="shared" si="51"/>
        <v>189418</v>
      </c>
      <c r="CD15" s="139">
        <f t="shared" si="52"/>
        <v>94709</v>
      </c>
      <c r="CE15" s="140"/>
      <c r="CF15" s="138">
        <f t="shared" si="53"/>
        <v>189418</v>
      </c>
      <c r="CG15" s="139">
        <f t="shared" si="54"/>
        <v>189418</v>
      </c>
      <c r="CH15" s="152"/>
    </row>
    <row r="16" spans="1:87" s="161" customFormat="1" ht="17.100000000000001" customHeight="1" thickBot="1" x14ac:dyDescent="0.3">
      <c r="A16" s="291"/>
      <c r="B16" s="294"/>
      <c r="C16" s="175" t="s">
        <v>100</v>
      </c>
      <c r="D16" s="176">
        <v>400</v>
      </c>
      <c r="E16" s="137">
        <f t="shared" si="2"/>
        <v>127</v>
      </c>
      <c r="F16" s="138">
        <f t="shared" si="3"/>
        <v>400</v>
      </c>
      <c r="G16" s="139">
        <f t="shared" si="4"/>
        <v>14.814814814814815</v>
      </c>
      <c r="H16" s="156"/>
      <c r="I16" s="141">
        <f t="shared" si="5"/>
        <v>400</v>
      </c>
      <c r="J16" s="142">
        <f t="shared" si="6"/>
        <v>15.384615384615385</v>
      </c>
      <c r="K16" s="143"/>
      <c r="L16" s="144">
        <f t="shared" si="7"/>
        <v>400</v>
      </c>
      <c r="M16" s="145">
        <f t="shared" si="8"/>
        <v>16</v>
      </c>
      <c r="N16" s="157"/>
      <c r="O16" s="144">
        <f t="shared" si="9"/>
        <v>400</v>
      </c>
      <c r="P16" s="145">
        <f t="shared" si="10"/>
        <v>16.666666666666668</v>
      </c>
      <c r="Q16" s="157"/>
      <c r="R16" s="147">
        <f t="shared" si="11"/>
        <v>400</v>
      </c>
      <c r="S16" s="139">
        <f t="shared" si="12"/>
        <v>17.391304347826086</v>
      </c>
      <c r="T16" s="156">
        <v>91</v>
      </c>
      <c r="U16" s="138">
        <f t="shared" si="13"/>
        <v>309</v>
      </c>
      <c r="V16" s="139">
        <f t="shared" si="14"/>
        <v>14.045454545454545</v>
      </c>
      <c r="W16" s="156">
        <v>17</v>
      </c>
      <c r="X16" s="138">
        <f t="shared" si="15"/>
        <v>292</v>
      </c>
      <c r="Y16" s="139">
        <f t="shared" si="16"/>
        <v>13.904761904761905</v>
      </c>
      <c r="Z16" s="156">
        <v>19</v>
      </c>
      <c r="AA16" s="148">
        <f t="shared" si="17"/>
        <v>273</v>
      </c>
      <c r="AB16" s="139">
        <f t="shared" si="0"/>
        <v>13.65</v>
      </c>
      <c r="AC16" s="156"/>
      <c r="AD16" s="148">
        <f t="shared" si="1"/>
        <v>273</v>
      </c>
      <c r="AE16" s="150">
        <f t="shared" si="18"/>
        <v>14.368421052631579</v>
      </c>
      <c r="AF16" s="156"/>
      <c r="AG16" s="148">
        <f t="shared" si="19"/>
        <v>273</v>
      </c>
      <c r="AH16" s="150">
        <f t="shared" si="20"/>
        <v>15.166666666666666</v>
      </c>
      <c r="AI16" s="156"/>
      <c r="AJ16" s="148">
        <f t="shared" si="21"/>
        <v>273</v>
      </c>
      <c r="AK16" s="139">
        <f t="shared" si="22"/>
        <v>16.058823529411764</v>
      </c>
      <c r="AL16" s="156"/>
      <c r="AM16" s="138">
        <f t="shared" si="23"/>
        <v>273</v>
      </c>
      <c r="AN16" s="139">
        <f t="shared" si="24"/>
        <v>17.0625</v>
      </c>
      <c r="AO16" s="156"/>
      <c r="AP16" s="138">
        <f t="shared" si="25"/>
        <v>273</v>
      </c>
      <c r="AQ16" s="139">
        <f t="shared" si="26"/>
        <v>18.2</v>
      </c>
      <c r="AR16" s="156"/>
      <c r="AS16" s="138">
        <f t="shared" si="27"/>
        <v>273</v>
      </c>
      <c r="AT16" s="139">
        <f t="shared" si="28"/>
        <v>19.5</v>
      </c>
      <c r="AU16" s="156"/>
      <c r="AV16" s="138">
        <f t="shared" si="29"/>
        <v>273</v>
      </c>
      <c r="AW16" s="139">
        <f t="shared" si="30"/>
        <v>21</v>
      </c>
      <c r="AX16" s="156"/>
      <c r="AY16" s="138">
        <f t="shared" si="31"/>
        <v>273</v>
      </c>
      <c r="AZ16" s="139">
        <f t="shared" si="32"/>
        <v>22.75</v>
      </c>
      <c r="BA16" s="156"/>
      <c r="BB16" s="138">
        <f t="shared" si="33"/>
        <v>273</v>
      </c>
      <c r="BC16" s="139">
        <f t="shared" si="34"/>
        <v>24.818181818181817</v>
      </c>
      <c r="BD16" s="156"/>
      <c r="BE16" s="138">
        <f t="shared" si="35"/>
        <v>273</v>
      </c>
      <c r="BF16" s="139">
        <f t="shared" si="36"/>
        <v>27.3</v>
      </c>
      <c r="BG16" s="156"/>
      <c r="BH16" s="138">
        <f t="shared" si="37"/>
        <v>273</v>
      </c>
      <c r="BI16" s="139">
        <f t="shared" si="38"/>
        <v>30.333333333333332</v>
      </c>
      <c r="BJ16" s="156"/>
      <c r="BK16" s="138">
        <f t="shared" si="39"/>
        <v>273</v>
      </c>
      <c r="BL16" s="139">
        <f t="shared" si="40"/>
        <v>34.125</v>
      </c>
      <c r="BM16" s="156"/>
      <c r="BN16" s="138">
        <f t="shared" si="41"/>
        <v>273</v>
      </c>
      <c r="BO16" s="139">
        <f t="shared" si="42"/>
        <v>39</v>
      </c>
      <c r="BP16" s="156"/>
      <c r="BQ16" s="138">
        <f t="shared" si="43"/>
        <v>273</v>
      </c>
      <c r="BR16" s="139">
        <f t="shared" si="44"/>
        <v>45.5</v>
      </c>
      <c r="BS16" s="156"/>
      <c r="BT16" s="138">
        <f t="shared" si="45"/>
        <v>273</v>
      </c>
      <c r="BU16" s="139">
        <f t="shared" si="46"/>
        <v>54.6</v>
      </c>
      <c r="BV16" s="156"/>
      <c r="BW16" s="138">
        <f t="shared" si="47"/>
        <v>273</v>
      </c>
      <c r="BX16" s="139">
        <f t="shared" si="48"/>
        <v>68.25</v>
      </c>
      <c r="BY16" s="156"/>
      <c r="BZ16" s="138">
        <f t="shared" si="49"/>
        <v>273</v>
      </c>
      <c r="CA16" s="139">
        <f t="shared" si="50"/>
        <v>91</v>
      </c>
      <c r="CB16" s="156"/>
      <c r="CC16" s="138">
        <f t="shared" si="51"/>
        <v>273</v>
      </c>
      <c r="CD16" s="139">
        <f t="shared" si="52"/>
        <v>136.5</v>
      </c>
      <c r="CE16" s="156"/>
      <c r="CF16" s="138">
        <f t="shared" si="53"/>
        <v>273</v>
      </c>
      <c r="CG16" s="139">
        <f t="shared" si="54"/>
        <v>273</v>
      </c>
      <c r="CH16" s="160"/>
    </row>
    <row r="17" spans="1:86" s="174" customFormat="1" ht="20.25" thickBot="1" x14ac:dyDescent="0.3">
      <c r="A17" s="291"/>
      <c r="B17" s="288" t="s">
        <v>29</v>
      </c>
      <c r="C17" s="179" t="s">
        <v>99</v>
      </c>
      <c r="D17" s="163">
        <v>183750</v>
      </c>
      <c r="E17" s="137">
        <f t="shared" si="2"/>
        <v>32964</v>
      </c>
      <c r="F17" s="138">
        <f t="shared" si="3"/>
        <v>183750</v>
      </c>
      <c r="G17" s="139">
        <f t="shared" si="4"/>
        <v>6805.5555555555557</v>
      </c>
      <c r="H17" s="140"/>
      <c r="I17" s="141">
        <f t="shared" si="5"/>
        <v>183750</v>
      </c>
      <c r="J17" s="142">
        <f t="shared" si="6"/>
        <v>7067.3076923076924</v>
      </c>
      <c r="K17" s="143">
        <v>2684</v>
      </c>
      <c r="L17" s="144">
        <f t="shared" si="7"/>
        <v>181066</v>
      </c>
      <c r="M17" s="145">
        <f t="shared" si="8"/>
        <v>7242.64</v>
      </c>
      <c r="N17" s="146">
        <v>5346</v>
      </c>
      <c r="O17" s="144">
        <f t="shared" si="9"/>
        <v>175720</v>
      </c>
      <c r="P17" s="145">
        <f t="shared" si="10"/>
        <v>7321.666666666667</v>
      </c>
      <c r="Q17" s="146">
        <v>5818</v>
      </c>
      <c r="R17" s="147">
        <f t="shared" si="11"/>
        <v>169902</v>
      </c>
      <c r="S17" s="139">
        <f t="shared" si="12"/>
        <v>7387.04347826087</v>
      </c>
      <c r="T17" s="140">
        <v>6217</v>
      </c>
      <c r="U17" s="138">
        <f t="shared" si="13"/>
        <v>163685</v>
      </c>
      <c r="V17" s="139">
        <f t="shared" si="14"/>
        <v>7440.227272727273</v>
      </c>
      <c r="W17" s="140">
        <v>7038</v>
      </c>
      <c r="X17" s="138">
        <f t="shared" si="15"/>
        <v>156647</v>
      </c>
      <c r="Y17" s="139">
        <f t="shared" si="16"/>
        <v>7459.3809523809523</v>
      </c>
      <c r="Z17" s="140">
        <v>5861</v>
      </c>
      <c r="AA17" s="148">
        <f t="shared" si="17"/>
        <v>150786</v>
      </c>
      <c r="AB17" s="139">
        <f t="shared" si="0"/>
        <v>7539.3</v>
      </c>
      <c r="AC17" s="140"/>
      <c r="AD17" s="148">
        <f t="shared" si="1"/>
        <v>150786</v>
      </c>
      <c r="AE17" s="150">
        <f t="shared" si="18"/>
        <v>7936.105263157895</v>
      </c>
      <c r="AF17" s="140"/>
      <c r="AG17" s="148">
        <f t="shared" si="19"/>
        <v>150786</v>
      </c>
      <c r="AH17" s="150">
        <f t="shared" si="20"/>
        <v>8377</v>
      </c>
      <c r="AI17" s="140"/>
      <c r="AJ17" s="148">
        <f t="shared" si="21"/>
        <v>150786</v>
      </c>
      <c r="AK17" s="139">
        <f t="shared" si="22"/>
        <v>8869.7647058823532</v>
      </c>
      <c r="AL17" s="140"/>
      <c r="AM17" s="138">
        <f t="shared" si="23"/>
        <v>150786</v>
      </c>
      <c r="AN17" s="139">
        <f t="shared" si="24"/>
        <v>9424.125</v>
      </c>
      <c r="AO17" s="140"/>
      <c r="AP17" s="138">
        <f t="shared" si="25"/>
        <v>150786</v>
      </c>
      <c r="AQ17" s="139">
        <f t="shared" si="26"/>
        <v>10052.4</v>
      </c>
      <c r="AR17" s="140"/>
      <c r="AS17" s="138">
        <f t="shared" si="27"/>
        <v>150786</v>
      </c>
      <c r="AT17" s="139">
        <f t="shared" si="28"/>
        <v>10770.428571428571</v>
      </c>
      <c r="AU17" s="140"/>
      <c r="AV17" s="138">
        <f t="shared" si="29"/>
        <v>150786</v>
      </c>
      <c r="AW17" s="139">
        <f t="shared" si="30"/>
        <v>11598.923076923076</v>
      </c>
      <c r="AX17" s="140"/>
      <c r="AY17" s="138">
        <f t="shared" si="31"/>
        <v>150786</v>
      </c>
      <c r="AZ17" s="139">
        <f t="shared" si="32"/>
        <v>12565.5</v>
      </c>
      <c r="BA17" s="140"/>
      <c r="BB17" s="138">
        <f t="shared" si="33"/>
        <v>150786</v>
      </c>
      <c r="BC17" s="139">
        <f t="shared" si="34"/>
        <v>13707.818181818182</v>
      </c>
      <c r="BD17" s="140"/>
      <c r="BE17" s="138">
        <f t="shared" si="35"/>
        <v>150786</v>
      </c>
      <c r="BF17" s="139">
        <f t="shared" si="36"/>
        <v>15078.6</v>
      </c>
      <c r="BG17" s="140"/>
      <c r="BH17" s="138">
        <f t="shared" si="37"/>
        <v>150786</v>
      </c>
      <c r="BI17" s="139">
        <f t="shared" si="38"/>
        <v>16754</v>
      </c>
      <c r="BJ17" s="140"/>
      <c r="BK17" s="138">
        <f t="shared" si="39"/>
        <v>150786</v>
      </c>
      <c r="BL17" s="139">
        <f t="shared" si="40"/>
        <v>18848.25</v>
      </c>
      <c r="BM17" s="140"/>
      <c r="BN17" s="138">
        <f t="shared" si="41"/>
        <v>150786</v>
      </c>
      <c r="BO17" s="139">
        <f t="shared" si="42"/>
        <v>21540.857142857141</v>
      </c>
      <c r="BP17" s="140"/>
      <c r="BQ17" s="138">
        <f t="shared" si="43"/>
        <v>150786</v>
      </c>
      <c r="BR17" s="139">
        <f t="shared" si="44"/>
        <v>25131</v>
      </c>
      <c r="BS17" s="140"/>
      <c r="BT17" s="138">
        <f t="shared" si="45"/>
        <v>150786</v>
      </c>
      <c r="BU17" s="139">
        <f t="shared" si="46"/>
        <v>30157.200000000001</v>
      </c>
      <c r="BV17" s="140"/>
      <c r="BW17" s="138">
        <f t="shared" si="47"/>
        <v>150786</v>
      </c>
      <c r="BX17" s="139">
        <f t="shared" si="48"/>
        <v>37696.5</v>
      </c>
      <c r="BY17" s="140"/>
      <c r="BZ17" s="138">
        <f t="shared" si="49"/>
        <v>150786</v>
      </c>
      <c r="CA17" s="139">
        <f t="shared" si="50"/>
        <v>50262</v>
      </c>
      <c r="CB17" s="140"/>
      <c r="CC17" s="138">
        <f t="shared" si="51"/>
        <v>150786</v>
      </c>
      <c r="CD17" s="139">
        <f t="shared" si="52"/>
        <v>75393</v>
      </c>
      <c r="CE17" s="140"/>
      <c r="CF17" s="138">
        <f t="shared" si="53"/>
        <v>150786</v>
      </c>
      <c r="CG17" s="139">
        <f t="shared" si="54"/>
        <v>150786</v>
      </c>
      <c r="CH17" s="152"/>
    </row>
    <row r="18" spans="1:86" s="161" customFormat="1" ht="20.25" thickBot="1" x14ac:dyDescent="0.3">
      <c r="A18" s="291"/>
      <c r="B18" s="289"/>
      <c r="C18" s="175" t="s">
        <v>100</v>
      </c>
      <c r="D18" s="176">
        <v>175</v>
      </c>
      <c r="E18" s="137">
        <f t="shared" si="2"/>
        <v>61</v>
      </c>
      <c r="F18" s="138">
        <f t="shared" si="3"/>
        <v>175</v>
      </c>
      <c r="G18" s="139">
        <f t="shared" si="4"/>
        <v>6.4814814814814818</v>
      </c>
      <c r="H18" s="156"/>
      <c r="I18" s="141">
        <f t="shared" si="5"/>
        <v>175</v>
      </c>
      <c r="J18" s="142">
        <f t="shared" si="6"/>
        <v>6.7307692307692308</v>
      </c>
      <c r="K18" s="143"/>
      <c r="L18" s="144">
        <f t="shared" si="7"/>
        <v>175</v>
      </c>
      <c r="M18" s="145">
        <f t="shared" si="8"/>
        <v>7</v>
      </c>
      <c r="N18" s="157"/>
      <c r="O18" s="144">
        <f t="shared" si="9"/>
        <v>175</v>
      </c>
      <c r="P18" s="145">
        <f t="shared" si="10"/>
        <v>7.291666666666667</v>
      </c>
      <c r="Q18" s="157"/>
      <c r="R18" s="147">
        <f t="shared" si="11"/>
        <v>175</v>
      </c>
      <c r="S18" s="139">
        <f t="shared" si="12"/>
        <v>7.6086956521739131</v>
      </c>
      <c r="T18" s="156">
        <v>35</v>
      </c>
      <c r="U18" s="138">
        <f t="shared" si="13"/>
        <v>140</v>
      </c>
      <c r="V18" s="139">
        <f t="shared" si="14"/>
        <v>6.3636363636363633</v>
      </c>
      <c r="W18" s="156">
        <v>16</v>
      </c>
      <c r="X18" s="138">
        <f t="shared" si="15"/>
        <v>124</v>
      </c>
      <c r="Y18" s="139">
        <f t="shared" si="16"/>
        <v>5.9047619047619051</v>
      </c>
      <c r="Z18" s="156">
        <v>10</v>
      </c>
      <c r="AA18" s="148">
        <f t="shared" si="17"/>
        <v>114</v>
      </c>
      <c r="AB18" s="139">
        <f t="shared" si="0"/>
        <v>5.7</v>
      </c>
      <c r="AC18" s="156"/>
      <c r="AD18" s="148">
        <f t="shared" si="1"/>
        <v>114</v>
      </c>
      <c r="AE18" s="150">
        <f t="shared" si="18"/>
        <v>6</v>
      </c>
      <c r="AF18" s="156"/>
      <c r="AG18" s="148">
        <f t="shared" si="19"/>
        <v>114</v>
      </c>
      <c r="AH18" s="150">
        <f t="shared" si="20"/>
        <v>6.333333333333333</v>
      </c>
      <c r="AI18" s="156"/>
      <c r="AJ18" s="148">
        <f t="shared" si="21"/>
        <v>114</v>
      </c>
      <c r="AK18" s="139">
        <f t="shared" si="22"/>
        <v>6.7058823529411766</v>
      </c>
      <c r="AL18" s="156"/>
      <c r="AM18" s="138">
        <f t="shared" si="23"/>
        <v>114</v>
      </c>
      <c r="AN18" s="139">
        <f t="shared" si="24"/>
        <v>7.125</v>
      </c>
      <c r="AO18" s="156"/>
      <c r="AP18" s="138">
        <f t="shared" si="25"/>
        <v>114</v>
      </c>
      <c r="AQ18" s="139">
        <f t="shared" si="26"/>
        <v>7.6</v>
      </c>
      <c r="AR18" s="156"/>
      <c r="AS18" s="138">
        <f t="shared" si="27"/>
        <v>114</v>
      </c>
      <c r="AT18" s="139">
        <f t="shared" si="28"/>
        <v>8.1428571428571423</v>
      </c>
      <c r="AU18" s="156"/>
      <c r="AV18" s="138">
        <f t="shared" si="29"/>
        <v>114</v>
      </c>
      <c r="AW18" s="139">
        <f t="shared" si="30"/>
        <v>8.7692307692307701</v>
      </c>
      <c r="AX18" s="156"/>
      <c r="AY18" s="138">
        <f t="shared" si="31"/>
        <v>114</v>
      </c>
      <c r="AZ18" s="139">
        <f t="shared" si="32"/>
        <v>9.5</v>
      </c>
      <c r="BA18" s="156"/>
      <c r="BB18" s="138">
        <f t="shared" si="33"/>
        <v>114</v>
      </c>
      <c r="BC18" s="139">
        <f t="shared" si="34"/>
        <v>10.363636363636363</v>
      </c>
      <c r="BD18" s="156"/>
      <c r="BE18" s="138">
        <f t="shared" si="35"/>
        <v>114</v>
      </c>
      <c r="BF18" s="139">
        <f t="shared" si="36"/>
        <v>11.4</v>
      </c>
      <c r="BG18" s="156"/>
      <c r="BH18" s="138">
        <f t="shared" si="37"/>
        <v>114</v>
      </c>
      <c r="BI18" s="139">
        <f t="shared" si="38"/>
        <v>12.666666666666666</v>
      </c>
      <c r="BJ18" s="156"/>
      <c r="BK18" s="138">
        <f t="shared" si="39"/>
        <v>114</v>
      </c>
      <c r="BL18" s="139">
        <f t="shared" si="40"/>
        <v>14.25</v>
      </c>
      <c r="BM18" s="156"/>
      <c r="BN18" s="138">
        <f t="shared" si="41"/>
        <v>114</v>
      </c>
      <c r="BO18" s="139">
        <f t="shared" si="42"/>
        <v>16.285714285714285</v>
      </c>
      <c r="BP18" s="156"/>
      <c r="BQ18" s="138">
        <f t="shared" si="43"/>
        <v>114</v>
      </c>
      <c r="BR18" s="139">
        <f t="shared" si="44"/>
        <v>19</v>
      </c>
      <c r="BS18" s="156"/>
      <c r="BT18" s="138">
        <f t="shared" si="45"/>
        <v>114</v>
      </c>
      <c r="BU18" s="139">
        <f t="shared" si="46"/>
        <v>22.8</v>
      </c>
      <c r="BV18" s="156"/>
      <c r="BW18" s="138">
        <f t="shared" si="47"/>
        <v>114</v>
      </c>
      <c r="BX18" s="139">
        <f t="shared" si="48"/>
        <v>28.5</v>
      </c>
      <c r="BY18" s="156"/>
      <c r="BZ18" s="138">
        <f t="shared" si="49"/>
        <v>114</v>
      </c>
      <c r="CA18" s="139">
        <f t="shared" si="50"/>
        <v>38</v>
      </c>
      <c r="CB18" s="156"/>
      <c r="CC18" s="138">
        <f t="shared" si="51"/>
        <v>114</v>
      </c>
      <c r="CD18" s="139">
        <f t="shared" si="52"/>
        <v>57</v>
      </c>
      <c r="CE18" s="156"/>
      <c r="CF18" s="138">
        <f t="shared" si="53"/>
        <v>114</v>
      </c>
      <c r="CG18" s="139">
        <f t="shared" si="54"/>
        <v>114</v>
      </c>
      <c r="CH18" s="160"/>
    </row>
    <row r="19" spans="1:86" s="177" customFormat="1" ht="20.25" thickBot="1" x14ac:dyDescent="0.3">
      <c r="A19" s="291"/>
      <c r="B19" s="288" t="s">
        <v>30</v>
      </c>
      <c r="C19" s="179" t="s">
        <v>99</v>
      </c>
      <c r="D19" s="163">
        <v>577500</v>
      </c>
      <c r="E19" s="137">
        <f t="shared" si="2"/>
        <v>51681</v>
      </c>
      <c r="F19" s="138">
        <f t="shared" si="3"/>
        <v>577500</v>
      </c>
      <c r="G19" s="139">
        <f t="shared" si="4"/>
        <v>21388.888888888891</v>
      </c>
      <c r="H19" s="140"/>
      <c r="I19" s="141">
        <f t="shared" si="5"/>
        <v>577500</v>
      </c>
      <c r="J19" s="142">
        <f t="shared" si="6"/>
        <v>22211.538461538461</v>
      </c>
      <c r="K19" s="143">
        <v>6378</v>
      </c>
      <c r="L19" s="144">
        <f t="shared" si="7"/>
        <v>571122</v>
      </c>
      <c r="M19" s="145">
        <f t="shared" si="8"/>
        <v>22844.880000000001</v>
      </c>
      <c r="N19" s="146">
        <v>6295</v>
      </c>
      <c r="O19" s="144">
        <f t="shared" si="9"/>
        <v>564827</v>
      </c>
      <c r="P19" s="145">
        <f t="shared" si="10"/>
        <v>23534.458333333332</v>
      </c>
      <c r="Q19" s="146">
        <v>7250</v>
      </c>
      <c r="R19" s="147">
        <f t="shared" si="11"/>
        <v>557577</v>
      </c>
      <c r="S19" s="139">
        <f t="shared" si="12"/>
        <v>24242.478260869564</v>
      </c>
      <c r="T19" s="140">
        <v>11015</v>
      </c>
      <c r="U19" s="138">
        <f t="shared" si="13"/>
        <v>546562</v>
      </c>
      <c r="V19" s="139">
        <f t="shared" si="14"/>
        <v>24843.727272727272</v>
      </c>
      <c r="W19" s="140">
        <v>10078</v>
      </c>
      <c r="X19" s="138">
        <f t="shared" si="15"/>
        <v>536484</v>
      </c>
      <c r="Y19" s="139">
        <f t="shared" si="16"/>
        <v>25546.857142857141</v>
      </c>
      <c r="Z19" s="140">
        <v>10665</v>
      </c>
      <c r="AA19" s="148">
        <f t="shared" si="17"/>
        <v>525819</v>
      </c>
      <c r="AB19" s="139">
        <f t="shared" si="0"/>
        <v>26290.95</v>
      </c>
      <c r="AC19" s="140"/>
      <c r="AD19" s="148">
        <f t="shared" si="1"/>
        <v>525819</v>
      </c>
      <c r="AE19" s="150">
        <f t="shared" si="18"/>
        <v>27674.684210526317</v>
      </c>
      <c r="AF19" s="140"/>
      <c r="AG19" s="148">
        <f t="shared" si="19"/>
        <v>525819</v>
      </c>
      <c r="AH19" s="150">
        <f t="shared" si="20"/>
        <v>29212.166666666668</v>
      </c>
      <c r="AI19" s="140"/>
      <c r="AJ19" s="148">
        <f t="shared" si="21"/>
        <v>525819</v>
      </c>
      <c r="AK19" s="139">
        <f t="shared" si="22"/>
        <v>30930.529411764706</v>
      </c>
      <c r="AL19" s="140"/>
      <c r="AM19" s="138">
        <f t="shared" si="23"/>
        <v>525819</v>
      </c>
      <c r="AN19" s="139">
        <f t="shared" si="24"/>
        <v>32863.6875</v>
      </c>
      <c r="AO19" s="140"/>
      <c r="AP19" s="138">
        <f t="shared" si="25"/>
        <v>525819</v>
      </c>
      <c r="AQ19" s="139">
        <f t="shared" si="26"/>
        <v>35054.6</v>
      </c>
      <c r="AR19" s="140"/>
      <c r="AS19" s="138">
        <f t="shared" si="27"/>
        <v>525819</v>
      </c>
      <c r="AT19" s="139">
        <f t="shared" si="28"/>
        <v>37558.5</v>
      </c>
      <c r="AU19" s="140"/>
      <c r="AV19" s="138">
        <f t="shared" si="29"/>
        <v>525819</v>
      </c>
      <c r="AW19" s="139">
        <f t="shared" si="30"/>
        <v>40447.615384615383</v>
      </c>
      <c r="AX19" s="140"/>
      <c r="AY19" s="138">
        <f t="shared" si="31"/>
        <v>525819</v>
      </c>
      <c r="AZ19" s="139">
        <f t="shared" si="32"/>
        <v>43818.25</v>
      </c>
      <c r="BA19" s="140"/>
      <c r="BB19" s="138">
        <f t="shared" si="33"/>
        <v>525819</v>
      </c>
      <c r="BC19" s="139">
        <f t="shared" si="34"/>
        <v>47801.727272727272</v>
      </c>
      <c r="BD19" s="140"/>
      <c r="BE19" s="138">
        <f t="shared" si="35"/>
        <v>525819</v>
      </c>
      <c r="BF19" s="139">
        <f t="shared" si="36"/>
        <v>52581.9</v>
      </c>
      <c r="BG19" s="140"/>
      <c r="BH19" s="138">
        <f t="shared" si="37"/>
        <v>525819</v>
      </c>
      <c r="BI19" s="139">
        <f t="shared" si="38"/>
        <v>58424.333333333336</v>
      </c>
      <c r="BJ19" s="140"/>
      <c r="BK19" s="138">
        <f t="shared" si="39"/>
        <v>525819</v>
      </c>
      <c r="BL19" s="139">
        <f t="shared" si="40"/>
        <v>65727.375</v>
      </c>
      <c r="BM19" s="140"/>
      <c r="BN19" s="138">
        <f t="shared" si="41"/>
        <v>525819</v>
      </c>
      <c r="BO19" s="139">
        <f t="shared" si="42"/>
        <v>75117</v>
      </c>
      <c r="BP19" s="140"/>
      <c r="BQ19" s="138">
        <f t="shared" si="43"/>
        <v>525819</v>
      </c>
      <c r="BR19" s="139">
        <f t="shared" si="44"/>
        <v>87636.5</v>
      </c>
      <c r="BS19" s="140"/>
      <c r="BT19" s="138">
        <f t="shared" si="45"/>
        <v>525819</v>
      </c>
      <c r="BU19" s="139">
        <f t="shared" si="46"/>
        <v>105163.8</v>
      </c>
      <c r="BV19" s="140"/>
      <c r="BW19" s="138">
        <f t="shared" si="47"/>
        <v>525819</v>
      </c>
      <c r="BX19" s="139">
        <f t="shared" si="48"/>
        <v>131454.75</v>
      </c>
      <c r="BY19" s="140"/>
      <c r="BZ19" s="138">
        <f t="shared" si="49"/>
        <v>525819</v>
      </c>
      <c r="CA19" s="139">
        <f t="shared" si="50"/>
        <v>175273</v>
      </c>
      <c r="CB19" s="140"/>
      <c r="CC19" s="138">
        <f t="shared" si="51"/>
        <v>525819</v>
      </c>
      <c r="CD19" s="139">
        <f t="shared" si="52"/>
        <v>262909.5</v>
      </c>
      <c r="CE19" s="140"/>
      <c r="CF19" s="138">
        <f t="shared" si="53"/>
        <v>525819</v>
      </c>
      <c r="CG19" s="139">
        <f t="shared" si="54"/>
        <v>525819</v>
      </c>
      <c r="CH19" s="152"/>
    </row>
    <row r="20" spans="1:86" s="161" customFormat="1" ht="20.25" thickBot="1" x14ac:dyDescent="0.3">
      <c r="A20" s="291"/>
      <c r="B20" s="289"/>
      <c r="C20" s="175" t="s">
        <v>100</v>
      </c>
      <c r="D20" s="176">
        <v>90</v>
      </c>
      <c r="E20" s="137">
        <f t="shared" si="2"/>
        <v>27</v>
      </c>
      <c r="F20" s="138">
        <f t="shared" si="3"/>
        <v>90</v>
      </c>
      <c r="G20" s="139">
        <f t="shared" si="4"/>
        <v>3.3333333333333335</v>
      </c>
      <c r="H20" s="156"/>
      <c r="I20" s="141">
        <f t="shared" si="5"/>
        <v>90</v>
      </c>
      <c r="J20" s="142">
        <f t="shared" si="6"/>
        <v>3.4615384615384617</v>
      </c>
      <c r="K20" s="143"/>
      <c r="L20" s="144">
        <f t="shared" si="7"/>
        <v>90</v>
      </c>
      <c r="M20" s="145">
        <f t="shared" si="8"/>
        <v>3.6</v>
      </c>
      <c r="N20" s="157"/>
      <c r="O20" s="144">
        <f t="shared" si="9"/>
        <v>90</v>
      </c>
      <c r="P20" s="145">
        <f t="shared" si="10"/>
        <v>3.75</v>
      </c>
      <c r="Q20" s="157"/>
      <c r="R20" s="147">
        <f t="shared" si="11"/>
        <v>90</v>
      </c>
      <c r="S20" s="139">
        <f t="shared" si="12"/>
        <v>3.9130434782608696</v>
      </c>
      <c r="T20" s="156">
        <v>18</v>
      </c>
      <c r="U20" s="138">
        <f t="shared" si="13"/>
        <v>72</v>
      </c>
      <c r="V20" s="139">
        <f t="shared" si="14"/>
        <v>3.2727272727272729</v>
      </c>
      <c r="W20" s="156">
        <v>5</v>
      </c>
      <c r="X20" s="138">
        <f t="shared" si="15"/>
        <v>67</v>
      </c>
      <c r="Y20" s="139">
        <f t="shared" si="16"/>
        <v>3.1904761904761907</v>
      </c>
      <c r="Z20" s="156">
        <v>4</v>
      </c>
      <c r="AA20" s="148">
        <f t="shared" si="17"/>
        <v>63</v>
      </c>
      <c r="AB20" s="139">
        <f t="shared" si="0"/>
        <v>3.15</v>
      </c>
      <c r="AC20" s="156"/>
      <c r="AD20" s="148">
        <f t="shared" si="1"/>
        <v>63</v>
      </c>
      <c r="AE20" s="150">
        <f t="shared" si="18"/>
        <v>3.3157894736842106</v>
      </c>
      <c r="AF20" s="156"/>
      <c r="AG20" s="148">
        <f t="shared" si="19"/>
        <v>63</v>
      </c>
      <c r="AH20" s="150">
        <f t="shared" si="20"/>
        <v>3.5</v>
      </c>
      <c r="AI20" s="156"/>
      <c r="AJ20" s="148">
        <f t="shared" si="21"/>
        <v>63</v>
      </c>
      <c r="AK20" s="139">
        <f t="shared" si="22"/>
        <v>3.7058823529411766</v>
      </c>
      <c r="AL20" s="156"/>
      <c r="AM20" s="138">
        <f t="shared" si="23"/>
        <v>63</v>
      </c>
      <c r="AN20" s="139">
        <f t="shared" si="24"/>
        <v>3.9375</v>
      </c>
      <c r="AO20" s="156"/>
      <c r="AP20" s="138">
        <f t="shared" si="25"/>
        <v>63</v>
      </c>
      <c r="AQ20" s="139">
        <f t="shared" si="26"/>
        <v>4.2</v>
      </c>
      <c r="AR20" s="156"/>
      <c r="AS20" s="138">
        <f t="shared" si="27"/>
        <v>63</v>
      </c>
      <c r="AT20" s="139">
        <f t="shared" si="28"/>
        <v>4.5</v>
      </c>
      <c r="AU20" s="156"/>
      <c r="AV20" s="138">
        <f t="shared" si="29"/>
        <v>63</v>
      </c>
      <c r="AW20" s="139">
        <f t="shared" si="30"/>
        <v>4.8461538461538458</v>
      </c>
      <c r="AX20" s="156"/>
      <c r="AY20" s="138">
        <f t="shared" si="31"/>
        <v>63</v>
      </c>
      <c r="AZ20" s="139">
        <f t="shared" si="32"/>
        <v>5.25</v>
      </c>
      <c r="BA20" s="156"/>
      <c r="BB20" s="138">
        <f t="shared" si="33"/>
        <v>63</v>
      </c>
      <c r="BC20" s="139">
        <f t="shared" si="34"/>
        <v>5.7272727272727275</v>
      </c>
      <c r="BD20" s="156"/>
      <c r="BE20" s="138">
        <f t="shared" si="35"/>
        <v>63</v>
      </c>
      <c r="BF20" s="139">
        <f t="shared" si="36"/>
        <v>6.3</v>
      </c>
      <c r="BG20" s="156"/>
      <c r="BH20" s="138">
        <f t="shared" si="37"/>
        <v>63</v>
      </c>
      <c r="BI20" s="139">
        <f t="shared" si="38"/>
        <v>7</v>
      </c>
      <c r="BJ20" s="156"/>
      <c r="BK20" s="138">
        <f t="shared" si="39"/>
        <v>63</v>
      </c>
      <c r="BL20" s="139">
        <f t="shared" si="40"/>
        <v>7.875</v>
      </c>
      <c r="BM20" s="156"/>
      <c r="BN20" s="138">
        <f t="shared" si="41"/>
        <v>63</v>
      </c>
      <c r="BO20" s="139">
        <f t="shared" si="42"/>
        <v>9</v>
      </c>
      <c r="BP20" s="156"/>
      <c r="BQ20" s="138">
        <f t="shared" si="43"/>
        <v>63</v>
      </c>
      <c r="BR20" s="139">
        <f t="shared" si="44"/>
        <v>10.5</v>
      </c>
      <c r="BS20" s="156"/>
      <c r="BT20" s="138">
        <f t="shared" si="45"/>
        <v>63</v>
      </c>
      <c r="BU20" s="139">
        <f t="shared" si="46"/>
        <v>12.6</v>
      </c>
      <c r="BV20" s="156"/>
      <c r="BW20" s="138">
        <f t="shared" si="47"/>
        <v>63</v>
      </c>
      <c r="BX20" s="139">
        <f t="shared" si="48"/>
        <v>15.75</v>
      </c>
      <c r="BY20" s="156"/>
      <c r="BZ20" s="138">
        <f t="shared" si="49"/>
        <v>63</v>
      </c>
      <c r="CA20" s="139">
        <f t="shared" si="50"/>
        <v>21</v>
      </c>
      <c r="CB20" s="156"/>
      <c r="CC20" s="138">
        <f t="shared" si="51"/>
        <v>63</v>
      </c>
      <c r="CD20" s="139">
        <f t="shared" si="52"/>
        <v>31.5</v>
      </c>
      <c r="CE20" s="156"/>
      <c r="CF20" s="138">
        <f t="shared" si="53"/>
        <v>63</v>
      </c>
      <c r="CG20" s="139">
        <f t="shared" si="54"/>
        <v>63</v>
      </c>
      <c r="CH20" s="160"/>
    </row>
    <row r="21" spans="1:86" s="174" customFormat="1" ht="20.25" thickBot="1" x14ac:dyDescent="0.3">
      <c r="A21" s="291"/>
      <c r="B21" s="288" t="s">
        <v>31</v>
      </c>
      <c r="C21" s="179" t="s">
        <v>99</v>
      </c>
      <c r="D21" s="163">
        <v>588000</v>
      </c>
      <c r="E21" s="137">
        <f t="shared" si="2"/>
        <v>111305</v>
      </c>
      <c r="F21" s="138">
        <f t="shared" si="3"/>
        <v>588000</v>
      </c>
      <c r="G21" s="139">
        <f t="shared" si="4"/>
        <v>21777.777777777777</v>
      </c>
      <c r="H21" s="140"/>
      <c r="I21" s="141">
        <f t="shared" si="5"/>
        <v>588000</v>
      </c>
      <c r="J21" s="142">
        <f t="shared" si="6"/>
        <v>22615.384615384617</v>
      </c>
      <c r="K21" s="143">
        <v>5360</v>
      </c>
      <c r="L21" s="144">
        <f t="shared" si="7"/>
        <v>582640</v>
      </c>
      <c r="M21" s="145">
        <f t="shared" si="8"/>
        <v>23305.599999999999</v>
      </c>
      <c r="N21" s="146">
        <v>17404</v>
      </c>
      <c r="O21" s="144">
        <f t="shared" si="9"/>
        <v>565236</v>
      </c>
      <c r="P21" s="145">
        <f t="shared" si="10"/>
        <v>23551.5</v>
      </c>
      <c r="Q21" s="146">
        <v>14129</v>
      </c>
      <c r="R21" s="147">
        <f t="shared" si="11"/>
        <v>551107</v>
      </c>
      <c r="S21" s="139">
        <f t="shared" si="12"/>
        <v>23961.17391304348</v>
      </c>
      <c r="T21" s="140">
        <v>35120</v>
      </c>
      <c r="U21" s="138">
        <f t="shared" si="13"/>
        <v>515987</v>
      </c>
      <c r="V21" s="139">
        <f t="shared" si="14"/>
        <v>23453.954545454544</v>
      </c>
      <c r="W21" s="140">
        <v>20316</v>
      </c>
      <c r="X21" s="138">
        <f t="shared" si="15"/>
        <v>495671</v>
      </c>
      <c r="Y21" s="139">
        <f t="shared" si="16"/>
        <v>23603.380952380954</v>
      </c>
      <c r="Z21" s="140">
        <v>18976</v>
      </c>
      <c r="AA21" s="148">
        <f t="shared" si="17"/>
        <v>476695</v>
      </c>
      <c r="AB21" s="139">
        <f t="shared" si="0"/>
        <v>23834.75</v>
      </c>
      <c r="AC21" s="140"/>
      <c r="AD21" s="148">
        <f t="shared" si="1"/>
        <v>476695</v>
      </c>
      <c r="AE21" s="150">
        <f t="shared" si="18"/>
        <v>25089.21052631579</v>
      </c>
      <c r="AF21" s="140"/>
      <c r="AG21" s="148">
        <f t="shared" si="19"/>
        <v>476695</v>
      </c>
      <c r="AH21" s="150">
        <f t="shared" si="20"/>
        <v>26483.055555555555</v>
      </c>
      <c r="AI21" s="140"/>
      <c r="AJ21" s="148">
        <f t="shared" si="21"/>
        <v>476695</v>
      </c>
      <c r="AK21" s="139">
        <f t="shared" si="22"/>
        <v>28040.882352941175</v>
      </c>
      <c r="AL21" s="140"/>
      <c r="AM21" s="138">
        <f t="shared" si="23"/>
        <v>476695</v>
      </c>
      <c r="AN21" s="139">
        <f t="shared" si="24"/>
        <v>29793.4375</v>
      </c>
      <c r="AO21" s="140"/>
      <c r="AP21" s="138">
        <f t="shared" si="25"/>
        <v>476695</v>
      </c>
      <c r="AQ21" s="139">
        <f t="shared" si="26"/>
        <v>31779.666666666668</v>
      </c>
      <c r="AR21" s="140"/>
      <c r="AS21" s="138">
        <f t="shared" si="27"/>
        <v>476695</v>
      </c>
      <c r="AT21" s="139">
        <f t="shared" si="28"/>
        <v>34049.642857142855</v>
      </c>
      <c r="AU21" s="140"/>
      <c r="AV21" s="138">
        <f t="shared" si="29"/>
        <v>476695</v>
      </c>
      <c r="AW21" s="139">
        <f t="shared" si="30"/>
        <v>36668.846153846156</v>
      </c>
      <c r="AX21" s="140"/>
      <c r="AY21" s="138">
        <f t="shared" si="31"/>
        <v>476695</v>
      </c>
      <c r="AZ21" s="139">
        <f t="shared" si="32"/>
        <v>39724.583333333336</v>
      </c>
      <c r="BA21" s="140"/>
      <c r="BB21" s="138">
        <f t="shared" si="33"/>
        <v>476695</v>
      </c>
      <c r="BC21" s="139">
        <f t="shared" si="34"/>
        <v>43335.909090909088</v>
      </c>
      <c r="BD21" s="140"/>
      <c r="BE21" s="138">
        <f t="shared" si="35"/>
        <v>476695</v>
      </c>
      <c r="BF21" s="139">
        <f t="shared" si="36"/>
        <v>47669.5</v>
      </c>
      <c r="BG21" s="140"/>
      <c r="BH21" s="138">
        <f t="shared" si="37"/>
        <v>476695</v>
      </c>
      <c r="BI21" s="139">
        <f t="shared" si="38"/>
        <v>52966.111111111109</v>
      </c>
      <c r="BJ21" s="140"/>
      <c r="BK21" s="138">
        <f t="shared" si="39"/>
        <v>476695</v>
      </c>
      <c r="BL21" s="139">
        <f t="shared" si="40"/>
        <v>59586.875</v>
      </c>
      <c r="BM21" s="140"/>
      <c r="BN21" s="138">
        <f t="shared" si="41"/>
        <v>476695</v>
      </c>
      <c r="BO21" s="139">
        <f t="shared" si="42"/>
        <v>68099.28571428571</v>
      </c>
      <c r="BP21" s="140"/>
      <c r="BQ21" s="138">
        <f t="shared" si="43"/>
        <v>476695</v>
      </c>
      <c r="BR21" s="139">
        <f t="shared" si="44"/>
        <v>79449.166666666672</v>
      </c>
      <c r="BS21" s="140"/>
      <c r="BT21" s="138">
        <f t="shared" si="45"/>
        <v>476695</v>
      </c>
      <c r="BU21" s="139">
        <f t="shared" si="46"/>
        <v>95339</v>
      </c>
      <c r="BV21" s="140"/>
      <c r="BW21" s="138">
        <f t="shared" si="47"/>
        <v>476695</v>
      </c>
      <c r="BX21" s="139">
        <f t="shared" si="48"/>
        <v>119173.75</v>
      </c>
      <c r="BY21" s="140"/>
      <c r="BZ21" s="138">
        <f t="shared" si="49"/>
        <v>476695</v>
      </c>
      <c r="CA21" s="139">
        <f t="shared" si="50"/>
        <v>158898.33333333334</v>
      </c>
      <c r="CB21" s="140"/>
      <c r="CC21" s="138">
        <f t="shared" si="51"/>
        <v>476695</v>
      </c>
      <c r="CD21" s="139">
        <f t="shared" si="52"/>
        <v>238347.5</v>
      </c>
      <c r="CE21" s="140"/>
      <c r="CF21" s="138">
        <f t="shared" si="53"/>
        <v>476695</v>
      </c>
      <c r="CG21" s="139">
        <f t="shared" si="54"/>
        <v>476695</v>
      </c>
      <c r="CH21" s="152"/>
    </row>
    <row r="22" spans="1:86" s="161" customFormat="1" ht="20.25" thickBot="1" x14ac:dyDescent="0.3">
      <c r="A22" s="291"/>
      <c r="B22" s="289"/>
      <c r="C22" s="175" t="s">
        <v>100</v>
      </c>
      <c r="D22" s="176">
        <v>120</v>
      </c>
      <c r="E22" s="137">
        <f t="shared" si="2"/>
        <v>24</v>
      </c>
      <c r="F22" s="138">
        <f t="shared" si="3"/>
        <v>120</v>
      </c>
      <c r="G22" s="139">
        <f t="shared" si="4"/>
        <v>4.4444444444444446</v>
      </c>
      <c r="H22" s="156"/>
      <c r="I22" s="141">
        <f t="shared" si="5"/>
        <v>120</v>
      </c>
      <c r="J22" s="142">
        <f t="shared" si="6"/>
        <v>4.615384615384615</v>
      </c>
      <c r="K22" s="143"/>
      <c r="L22" s="144">
        <f t="shared" si="7"/>
        <v>120</v>
      </c>
      <c r="M22" s="145">
        <f t="shared" si="8"/>
        <v>4.8</v>
      </c>
      <c r="N22" s="157"/>
      <c r="O22" s="144">
        <f t="shared" si="9"/>
        <v>120</v>
      </c>
      <c r="P22" s="145">
        <f t="shared" si="10"/>
        <v>5</v>
      </c>
      <c r="Q22" s="157"/>
      <c r="R22" s="147">
        <f t="shared" si="11"/>
        <v>120</v>
      </c>
      <c r="S22" s="139">
        <f t="shared" si="12"/>
        <v>5.2173913043478262</v>
      </c>
      <c r="T22" s="156">
        <v>17</v>
      </c>
      <c r="U22" s="138">
        <f t="shared" si="13"/>
        <v>103</v>
      </c>
      <c r="V22" s="139">
        <f t="shared" si="14"/>
        <v>4.6818181818181817</v>
      </c>
      <c r="W22" s="156">
        <v>3</v>
      </c>
      <c r="X22" s="138">
        <f t="shared" si="15"/>
        <v>100</v>
      </c>
      <c r="Y22" s="139">
        <f t="shared" si="16"/>
        <v>4.7619047619047619</v>
      </c>
      <c r="Z22" s="156">
        <v>4</v>
      </c>
      <c r="AA22" s="148">
        <f t="shared" si="17"/>
        <v>96</v>
      </c>
      <c r="AB22" s="139">
        <f t="shared" si="0"/>
        <v>4.8</v>
      </c>
      <c r="AC22" s="156"/>
      <c r="AD22" s="148">
        <f t="shared" si="1"/>
        <v>96</v>
      </c>
      <c r="AE22" s="150">
        <f t="shared" si="18"/>
        <v>5.0526315789473681</v>
      </c>
      <c r="AF22" s="156"/>
      <c r="AG22" s="148">
        <f t="shared" si="19"/>
        <v>96</v>
      </c>
      <c r="AH22" s="150">
        <f t="shared" si="20"/>
        <v>5.333333333333333</v>
      </c>
      <c r="AI22" s="156"/>
      <c r="AJ22" s="148">
        <f t="shared" si="21"/>
        <v>96</v>
      </c>
      <c r="AK22" s="139">
        <f t="shared" si="22"/>
        <v>5.6470588235294121</v>
      </c>
      <c r="AL22" s="156"/>
      <c r="AM22" s="138">
        <f t="shared" si="23"/>
        <v>96</v>
      </c>
      <c r="AN22" s="139">
        <f t="shared" si="24"/>
        <v>6</v>
      </c>
      <c r="AO22" s="156"/>
      <c r="AP22" s="138">
        <f t="shared" si="25"/>
        <v>96</v>
      </c>
      <c r="AQ22" s="139">
        <f t="shared" si="26"/>
        <v>6.4</v>
      </c>
      <c r="AR22" s="156"/>
      <c r="AS22" s="138">
        <f t="shared" si="27"/>
        <v>96</v>
      </c>
      <c r="AT22" s="139">
        <f t="shared" si="28"/>
        <v>6.8571428571428568</v>
      </c>
      <c r="AU22" s="156"/>
      <c r="AV22" s="138">
        <f t="shared" si="29"/>
        <v>96</v>
      </c>
      <c r="AW22" s="139">
        <f t="shared" si="30"/>
        <v>7.384615384615385</v>
      </c>
      <c r="AX22" s="156"/>
      <c r="AY22" s="138">
        <f t="shared" si="31"/>
        <v>96</v>
      </c>
      <c r="AZ22" s="139">
        <f t="shared" si="32"/>
        <v>8</v>
      </c>
      <c r="BA22" s="156"/>
      <c r="BB22" s="138">
        <f t="shared" si="33"/>
        <v>96</v>
      </c>
      <c r="BC22" s="139">
        <f t="shared" si="34"/>
        <v>8.7272727272727266</v>
      </c>
      <c r="BD22" s="156"/>
      <c r="BE22" s="138">
        <f t="shared" si="35"/>
        <v>96</v>
      </c>
      <c r="BF22" s="139">
        <f t="shared" si="36"/>
        <v>9.6</v>
      </c>
      <c r="BG22" s="156"/>
      <c r="BH22" s="138">
        <f t="shared" si="37"/>
        <v>96</v>
      </c>
      <c r="BI22" s="139">
        <f t="shared" si="38"/>
        <v>10.666666666666666</v>
      </c>
      <c r="BJ22" s="156"/>
      <c r="BK22" s="138">
        <f t="shared" si="39"/>
        <v>96</v>
      </c>
      <c r="BL22" s="139">
        <f t="shared" si="40"/>
        <v>12</v>
      </c>
      <c r="BM22" s="156"/>
      <c r="BN22" s="138">
        <f t="shared" si="41"/>
        <v>96</v>
      </c>
      <c r="BO22" s="139">
        <f t="shared" si="42"/>
        <v>13.714285714285714</v>
      </c>
      <c r="BP22" s="156"/>
      <c r="BQ22" s="138">
        <f t="shared" si="43"/>
        <v>96</v>
      </c>
      <c r="BR22" s="139">
        <f t="shared" si="44"/>
        <v>16</v>
      </c>
      <c r="BS22" s="156"/>
      <c r="BT22" s="138">
        <f t="shared" si="45"/>
        <v>96</v>
      </c>
      <c r="BU22" s="139">
        <f t="shared" si="46"/>
        <v>19.2</v>
      </c>
      <c r="BV22" s="156"/>
      <c r="BW22" s="138">
        <f t="shared" si="47"/>
        <v>96</v>
      </c>
      <c r="BX22" s="139">
        <f t="shared" si="48"/>
        <v>24</v>
      </c>
      <c r="BY22" s="156"/>
      <c r="BZ22" s="138">
        <f t="shared" si="49"/>
        <v>96</v>
      </c>
      <c r="CA22" s="139">
        <f t="shared" si="50"/>
        <v>32</v>
      </c>
      <c r="CB22" s="156"/>
      <c r="CC22" s="138">
        <f t="shared" si="51"/>
        <v>96</v>
      </c>
      <c r="CD22" s="139">
        <f t="shared" si="52"/>
        <v>48</v>
      </c>
      <c r="CE22" s="156"/>
      <c r="CF22" s="138">
        <f t="shared" si="53"/>
        <v>96</v>
      </c>
      <c r="CG22" s="139">
        <f t="shared" si="54"/>
        <v>96</v>
      </c>
      <c r="CH22" s="160"/>
    </row>
    <row r="23" spans="1:86" s="177" customFormat="1" ht="20.25" thickBot="1" x14ac:dyDescent="0.3">
      <c r="A23" s="291"/>
      <c r="B23" s="288" t="s">
        <v>32</v>
      </c>
      <c r="C23" s="180" t="s">
        <v>99</v>
      </c>
      <c r="D23" s="163">
        <v>582750</v>
      </c>
      <c r="E23" s="137">
        <f t="shared" si="2"/>
        <v>65105</v>
      </c>
      <c r="F23" s="138">
        <f t="shared" si="3"/>
        <v>582750</v>
      </c>
      <c r="G23" s="139">
        <f t="shared" si="4"/>
        <v>21583.333333333332</v>
      </c>
      <c r="H23" s="140"/>
      <c r="I23" s="141">
        <f t="shared" si="5"/>
        <v>582750</v>
      </c>
      <c r="J23" s="142">
        <f t="shared" si="6"/>
        <v>22413.461538461539</v>
      </c>
      <c r="K23" s="143">
        <v>9503</v>
      </c>
      <c r="L23" s="144">
        <f t="shared" si="7"/>
        <v>573247</v>
      </c>
      <c r="M23" s="145">
        <f t="shared" si="8"/>
        <v>22929.88</v>
      </c>
      <c r="N23" s="146">
        <v>10992</v>
      </c>
      <c r="O23" s="144">
        <f t="shared" si="9"/>
        <v>562255</v>
      </c>
      <c r="P23" s="145">
        <f t="shared" si="10"/>
        <v>23427.291666666668</v>
      </c>
      <c r="Q23" s="146">
        <v>13669</v>
      </c>
      <c r="R23" s="147">
        <f t="shared" si="11"/>
        <v>548586</v>
      </c>
      <c r="S23" s="139">
        <f t="shared" si="12"/>
        <v>23851.565217391304</v>
      </c>
      <c r="T23" s="140">
        <v>9358</v>
      </c>
      <c r="U23" s="138">
        <f t="shared" si="13"/>
        <v>539228</v>
      </c>
      <c r="V23" s="139">
        <f t="shared" si="14"/>
        <v>24510.363636363636</v>
      </c>
      <c r="W23" s="140">
        <v>9047</v>
      </c>
      <c r="X23" s="138">
        <f t="shared" si="15"/>
        <v>530181</v>
      </c>
      <c r="Y23" s="139">
        <f t="shared" si="16"/>
        <v>25246.714285714286</v>
      </c>
      <c r="Z23" s="140">
        <v>12536</v>
      </c>
      <c r="AA23" s="148">
        <f t="shared" si="17"/>
        <v>517645</v>
      </c>
      <c r="AB23" s="139">
        <f t="shared" si="0"/>
        <v>25882.25</v>
      </c>
      <c r="AC23" s="140"/>
      <c r="AD23" s="148">
        <f t="shared" si="1"/>
        <v>517645</v>
      </c>
      <c r="AE23" s="150">
        <f t="shared" si="18"/>
        <v>27244.473684210527</v>
      </c>
      <c r="AF23" s="140"/>
      <c r="AG23" s="148">
        <f t="shared" si="19"/>
        <v>517645</v>
      </c>
      <c r="AH23" s="150">
        <f t="shared" si="20"/>
        <v>28758.055555555555</v>
      </c>
      <c r="AI23" s="140"/>
      <c r="AJ23" s="148">
        <f t="shared" si="21"/>
        <v>517645</v>
      </c>
      <c r="AK23" s="139">
        <f t="shared" si="22"/>
        <v>30449.705882352941</v>
      </c>
      <c r="AL23" s="140"/>
      <c r="AM23" s="138">
        <f t="shared" si="23"/>
        <v>517645</v>
      </c>
      <c r="AN23" s="139">
        <f t="shared" si="24"/>
        <v>32352.8125</v>
      </c>
      <c r="AO23" s="140"/>
      <c r="AP23" s="138">
        <f t="shared" si="25"/>
        <v>517645</v>
      </c>
      <c r="AQ23" s="139">
        <f t="shared" si="26"/>
        <v>34509.666666666664</v>
      </c>
      <c r="AR23" s="140"/>
      <c r="AS23" s="138">
        <f t="shared" si="27"/>
        <v>517645</v>
      </c>
      <c r="AT23" s="139">
        <f t="shared" si="28"/>
        <v>36974.642857142855</v>
      </c>
      <c r="AU23" s="140"/>
      <c r="AV23" s="138">
        <f t="shared" si="29"/>
        <v>517645</v>
      </c>
      <c r="AW23" s="139">
        <f t="shared" si="30"/>
        <v>39818.846153846156</v>
      </c>
      <c r="AX23" s="140"/>
      <c r="AY23" s="138">
        <f t="shared" si="31"/>
        <v>517645</v>
      </c>
      <c r="AZ23" s="139">
        <f t="shared" si="32"/>
        <v>43137.083333333336</v>
      </c>
      <c r="BA23" s="140"/>
      <c r="BB23" s="138">
        <f t="shared" si="33"/>
        <v>517645</v>
      </c>
      <c r="BC23" s="139">
        <f t="shared" si="34"/>
        <v>47058.63636363636</v>
      </c>
      <c r="BD23" s="140"/>
      <c r="BE23" s="138">
        <f t="shared" si="35"/>
        <v>517645</v>
      </c>
      <c r="BF23" s="139">
        <f t="shared" si="36"/>
        <v>51764.5</v>
      </c>
      <c r="BG23" s="140"/>
      <c r="BH23" s="138">
        <f t="shared" si="37"/>
        <v>517645</v>
      </c>
      <c r="BI23" s="139">
        <f t="shared" si="38"/>
        <v>57516.111111111109</v>
      </c>
      <c r="BJ23" s="140"/>
      <c r="BK23" s="138">
        <f t="shared" si="39"/>
        <v>517645</v>
      </c>
      <c r="BL23" s="139">
        <f t="shared" si="40"/>
        <v>64705.625</v>
      </c>
      <c r="BM23" s="140"/>
      <c r="BN23" s="138">
        <f t="shared" si="41"/>
        <v>517645</v>
      </c>
      <c r="BO23" s="139">
        <f t="shared" si="42"/>
        <v>73949.28571428571</v>
      </c>
      <c r="BP23" s="140"/>
      <c r="BQ23" s="138">
        <f t="shared" si="43"/>
        <v>517645</v>
      </c>
      <c r="BR23" s="139">
        <f t="shared" si="44"/>
        <v>86274.166666666672</v>
      </c>
      <c r="BS23" s="140"/>
      <c r="BT23" s="138">
        <f t="shared" si="45"/>
        <v>517645</v>
      </c>
      <c r="BU23" s="139">
        <f t="shared" si="46"/>
        <v>103529</v>
      </c>
      <c r="BV23" s="140"/>
      <c r="BW23" s="138">
        <f t="shared" si="47"/>
        <v>517645</v>
      </c>
      <c r="BX23" s="139">
        <f t="shared" si="48"/>
        <v>129411.25</v>
      </c>
      <c r="BY23" s="140"/>
      <c r="BZ23" s="138">
        <f t="shared" si="49"/>
        <v>517645</v>
      </c>
      <c r="CA23" s="139">
        <f t="shared" si="50"/>
        <v>172548.33333333334</v>
      </c>
      <c r="CB23" s="140"/>
      <c r="CC23" s="138">
        <f t="shared" si="51"/>
        <v>517645</v>
      </c>
      <c r="CD23" s="139">
        <f t="shared" si="52"/>
        <v>258822.5</v>
      </c>
      <c r="CE23" s="140"/>
      <c r="CF23" s="138">
        <f t="shared" si="53"/>
        <v>517645</v>
      </c>
      <c r="CG23" s="139">
        <f t="shared" si="54"/>
        <v>517645</v>
      </c>
      <c r="CH23" s="152"/>
    </row>
    <row r="24" spans="1:86" s="161" customFormat="1" ht="20.25" thickBot="1" x14ac:dyDescent="0.3">
      <c r="A24" s="291"/>
      <c r="B24" s="289"/>
      <c r="C24" s="175" t="s">
        <v>100</v>
      </c>
      <c r="D24" s="176">
        <v>110</v>
      </c>
      <c r="E24" s="137">
        <f t="shared" si="2"/>
        <v>25</v>
      </c>
      <c r="F24" s="138">
        <f t="shared" si="3"/>
        <v>110</v>
      </c>
      <c r="G24" s="139">
        <f t="shared" si="4"/>
        <v>4.0740740740740744</v>
      </c>
      <c r="H24" s="156"/>
      <c r="I24" s="141">
        <f t="shared" si="5"/>
        <v>110</v>
      </c>
      <c r="J24" s="142">
        <f t="shared" si="6"/>
        <v>4.2307692307692308</v>
      </c>
      <c r="K24" s="143"/>
      <c r="L24" s="144">
        <f t="shared" si="7"/>
        <v>110</v>
      </c>
      <c r="M24" s="145">
        <f t="shared" si="8"/>
        <v>4.4000000000000004</v>
      </c>
      <c r="N24" s="157"/>
      <c r="O24" s="144">
        <f t="shared" si="9"/>
        <v>110</v>
      </c>
      <c r="P24" s="145">
        <f t="shared" si="10"/>
        <v>4.583333333333333</v>
      </c>
      <c r="Q24" s="157"/>
      <c r="R24" s="147">
        <f t="shared" si="11"/>
        <v>110</v>
      </c>
      <c r="S24" s="139">
        <f t="shared" si="12"/>
        <v>4.7826086956521738</v>
      </c>
      <c r="T24" s="156">
        <v>19</v>
      </c>
      <c r="U24" s="138">
        <f t="shared" si="13"/>
        <v>91</v>
      </c>
      <c r="V24" s="139">
        <f t="shared" si="14"/>
        <v>4.1363636363636367</v>
      </c>
      <c r="W24" s="156">
        <v>1</v>
      </c>
      <c r="X24" s="138">
        <f t="shared" si="15"/>
        <v>90</v>
      </c>
      <c r="Y24" s="139">
        <f t="shared" si="16"/>
        <v>4.2857142857142856</v>
      </c>
      <c r="Z24" s="156">
        <v>5</v>
      </c>
      <c r="AA24" s="148">
        <f t="shared" si="17"/>
        <v>85</v>
      </c>
      <c r="AB24" s="139">
        <f t="shared" si="0"/>
        <v>4.25</v>
      </c>
      <c r="AC24" s="156"/>
      <c r="AD24" s="148">
        <f t="shared" si="1"/>
        <v>85</v>
      </c>
      <c r="AE24" s="150">
        <f t="shared" si="18"/>
        <v>4.4736842105263159</v>
      </c>
      <c r="AF24" s="156"/>
      <c r="AG24" s="148">
        <f t="shared" si="19"/>
        <v>85</v>
      </c>
      <c r="AH24" s="150">
        <f t="shared" si="20"/>
        <v>4.7222222222222223</v>
      </c>
      <c r="AI24" s="156"/>
      <c r="AJ24" s="148">
        <f t="shared" si="21"/>
        <v>85</v>
      </c>
      <c r="AK24" s="139">
        <f t="shared" si="22"/>
        <v>5</v>
      </c>
      <c r="AL24" s="156"/>
      <c r="AM24" s="138">
        <f t="shared" si="23"/>
        <v>85</v>
      </c>
      <c r="AN24" s="139">
        <f t="shared" si="24"/>
        <v>5.3125</v>
      </c>
      <c r="AO24" s="156"/>
      <c r="AP24" s="138">
        <f t="shared" si="25"/>
        <v>85</v>
      </c>
      <c r="AQ24" s="139">
        <f t="shared" si="26"/>
        <v>5.666666666666667</v>
      </c>
      <c r="AR24" s="156"/>
      <c r="AS24" s="138">
        <f t="shared" si="27"/>
        <v>85</v>
      </c>
      <c r="AT24" s="139">
        <f t="shared" si="28"/>
        <v>6.0714285714285712</v>
      </c>
      <c r="AU24" s="156"/>
      <c r="AV24" s="138">
        <f t="shared" si="29"/>
        <v>85</v>
      </c>
      <c r="AW24" s="139">
        <f t="shared" si="30"/>
        <v>6.5384615384615383</v>
      </c>
      <c r="AX24" s="156"/>
      <c r="AY24" s="138">
        <f t="shared" si="31"/>
        <v>85</v>
      </c>
      <c r="AZ24" s="139">
        <f t="shared" si="32"/>
        <v>7.083333333333333</v>
      </c>
      <c r="BA24" s="156"/>
      <c r="BB24" s="138">
        <f t="shared" si="33"/>
        <v>85</v>
      </c>
      <c r="BC24" s="139">
        <f t="shared" si="34"/>
        <v>7.7272727272727275</v>
      </c>
      <c r="BD24" s="156"/>
      <c r="BE24" s="138">
        <f t="shared" si="35"/>
        <v>85</v>
      </c>
      <c r="BF24" s="139">
        <f t="shared" si="36"/>
        <v>8.5</v>
      </c>
      <c r="BG24" s="156"/>
      <c r="BH24" s="138">
        <f t="shared" si="37"/>
        <v>85</v>
      </c>
      <c r="BI24" s="139">
        <f t="shared" si="38"/>
        <v>9.4444444444444446</v>
      </c>
      <c r="BJ24" s="156"/>
      <c r="BK24" s="138">
        <f t="shared" si="39"/>
        <v>85</v>
      </c>
      <c r="BL24" s="139">
        <f t="shared" si="40"/>
        <v>10.625</v>
      </c>
      <c r="BM24" s="156"/>
      <c r="BN24" s="138">
        <f t="shared" si="41"/>
        <v>85</v>
      </c>
      <c r="BO24" s="139">
        <f t="shared" si="42"/>
        <v>12.142857142857142</v>
      </c>
      <c r="BP24" s="156"/>
      <c r="BQ24" s="138">
        <f t="shared" si="43"/>
        <v>85</v>
      </c>
      <c r="BR24" s="139">
        <f t="shared" si="44"/>
        <v>14.166666666666666</v>
      </c>
      <c r="BS24" s="156"/>
      <c r="BT24" s="138">
        <f t="shared" si="45"/>
        <v>85</v>
      </c>
      <c r="BU24" s="139">
        <f t="shared" si="46"/>
        <v>17</v>
      </c>
      <c r="BV24" s="156"/>
      <c r="BW24" s="138">
        <f t="shared" si="47"/>
        <v>85</v>
      </c>
      <c r="BX24" s="139">
        <f t="shared" si="48"/>
        <v>21.25</v>
      </c>
      <c r="BY24" s="156"/>
      <c r="BZ24" s="138">
        <f t="shared" si="49"/>
        <v>85</v>
      </c>
      <c r="CA24" s="139">
        <f t="shared" si="50"/>
        <v>28.333333333333332</v>
      </c>
      <c r="CB24" s="156"/>
      <c r="CC24" s="138">
        <f t="shared" si="51"/>
        <v>85</v>
      </c>
      <c r="CD24" s="139">
        <f t="shared" si="52"/>
        <v>42.5</v>
      </c>
      <c r="CE24" s="156"/>
      <c r="CF24" s="138">
        <f t="shared" si="53"/>
        <v>85</v>
      </c>
      <c r="CG24" s="139">
        <f t="shared" si="54"/>
        <v>85</v>
      </c>
      <c r="CH24" s="160"/>
    </row>
    <row r="25" spans="1:86" s="174" customFormat="1" ht="20.25" thickBot="1" x14ac:dyDescent="0.3">
      <c r="A25" s="291"/>
      <c r="B25" s="288" t="s">
        <v>33</v>
      </c>
      <c r="C25" s="179" t="s">
        <v>99</v>
      </c>
      <c r="D25" s="163">
        <v>351750</v>
      </c>
      <c r="E25" s="137">
        <f t="shared" si="2"/>
        <v>35503</v>
      </c>
      <c r="F25" s="138">
        <f t="shared" si="3"/>
        <v>351750</v>
      </c>
      <c r="G25" s="139">
        <f t="shared" si="4"/>
        <v>13027.777777777777</v>
      </c>
      <c r="H25" s="140"/>
      <c r="I25" s="141">
        <f t="shared" si="5"/>
        <v>351750</v>
      </c>
      <c r="J25" s="142">
        <f t="shared" si="6"/>
        <v>13528.846153846154</v>
      </c>
      <c r="K25" s="143">
        <v>3843</v>
      </c>
      <c r="L25" s="144">
        <f t="shared" si="7"/>
        <v>347907</v>
      </c>
      <c r="M25" s="145">
        <f t="shared" si="8"/>
        <v>13916.28</v>
      </c>
      <c r="N25" s="146">
        <v>5334</v>
      </c>
      <c r="O25" s="144">
        <f t="shared" si="9"/>
        <v>342573</v>
      </c>
      <c r="P25" s="145">
        <f t="shared" si="10"/>
        <v>14273.875</v>
      </c>
      <c r="Q25" s="146">
        <v>6173</v>
      </c>
      <c r="R25" s="147">
        <f t="shared" si="11"/>
        <v>336400</v>
      </c>
      <c r="S25" s="139">
        <f t="shared" si="12"/>
        <v>14626.08695652174</v>
      </c>
      <c r="T25" s="140">
        <v>5956</v>
      </c>
      <c r="U25" s="138">
        <f t="shared" si="13"/>
        <v>330444</v>
      </c>
      <c r="V25" s="139">
        <f t="shared" si="14"/>
        <v>15020.181818181818</v>
      </c>
      <c r="W25" s="140">
        <v>8141</v>
      </c>
      <c r="X25" s="138">
        <f t="shared" si="15"/>
        <v>322303</v>
      </c>
      <c r="Y25" s="139">
        <f t="shared" si="16"/>
        <v>15347.761904761905</v>
      </c>
      <c r="Z25" s="140">
        <v>6056</v>
      </c>
      <c r="AA25" s="148">
        <f t="shared" si="17"/>
        <v>316247</v>
      </c>
      <c r="AB25" s="139">
        <f t="shared" si="0"/>
        <v>15812.35</v>
      </c>
      <c r="AC25" s="140"/>
      <c r="AD25" s="148">
        <f t="shared" si="1"/>
        <v>316247</v>
      </c>
      <c r="AE25" s="150">
        <f t="shared" si="18"/>
        <v>16644.57894736842</v>
      </c>
      <c r="AF25" s="140"/>
      <c r="AG25" s="148">
        <f t="shared" si="19"/>
        <v>316247</v>
      </c>
      <c r="AH25" s="150">
        <f t="shared" si="20"/>
        <v>17569.277777777777</v>
      </c>
      <c r="AI25" s="140"/>
      <c r="AJ25" s="148">
        <f t="shared" si="21"/>
        <v>316247</v>
      </c>
      <c r="AK25" s="139">
        <f t="shared" si="22"/>
        <v>18602.764705882353</v>
      </c>
      <c r="AL25" s="140"/>
      <c r="AM25" s="138">
        <f t="shared" si="23"/>
        <v>316247</v>
      </c>
      <c r="AN25" s="139">
        <f t="shared" si="24"/>
        <v>19765.4375</v>
      </c>
      <c r="AO25" s="140"/>
      <c r="AP25" s="138">
        <f t="shared" si="25"/>
        <v>316247</v>
      </c>
      <c r="AQ25" s="139">
        <f t="shared" si="26"/>
        <v>21083.133333333335</v>
      </c>
      <c r="AR25" s="140"/>
      <c r="AS25" s="138">
        <f t="shared" si="27"/>
        <v>316247</v>
      </c>
      <c r="AT25" s="139">
        <f t="shared" si="28"/>
        <v>22589.071428571428</v>
      </c>
      <c r="AU25" s="140"/>
      <c r="AV25" s="138">
        <f t="shared" si="29"/>
        <v>316247</v>
      </c>
      <c r="AW25" s="139">
        <f t="shared" si="30"/>
        <v>24326.692307692309</v>
      </c>
      <c r="AX25" s="140"/>
      <c r="AY25" s="138">
        <f t="shared" si="31"/>
        <v>316247</v>
      </c>
      <c r="AZ25" s="139">
        <f t="shared" si="32"/>
        <v>26353.916666666668</v>
      </c>
      <c r="BA25" s="140"/>
      <c r="BB25" s="138">
        <f t="shared" si="33"/>
        <v>316247</v>
      </c>
      <c r="BC25" s="139">
        <f t="shared" si="34"/>
        <v>28749.727272727272</v>
      </c>
      <c r="BD25" s="140"/>
      <c r="BE25" s="138">
        <f t="shared" si="35"/>
        <v>316247</v>
      </c>
      <c r="BF25" s="139">
        <f t="shared" si="36"/>
        <v>31624.7</v>
      </c>
      <c r="BG25" s="140"/>
      <c r="BH25" s="138">
        <f t="shared" si="37"/>
        <v>316247</v>
      </c>
      <c r="BI25" s="139">
        <f t="shared" si="38"/>
        <v>35138.555555555555</v>
      </c>
      <c r="BJ25" s="140"/>
      <c r="BK25" s="138">
        <f t="shared" si="39"/>
        <v>316247</v>
      </c>
      <c r="BL25" s="139">
        <f t="shared" si="40"/>
        <v>39530.875</v>
      </c>
      <c r="BM25" s="140"/>
      <c r="BN25" s="138">
        <f t="shared" si="41"/>
        <v>316247</v>
      </c>
      <c r="BO25" s="139">
        <f t="shared" si="42"/>
        <v>45178.142857142855</v>
      </c>
      <c r="BP25" s="140"/>
      <c r="BQ25" s="138">
        <f t="shared" si="43"/>
        <v>316247</v>
      </c>
      <c r="BR25" s="139">
        <f t="shared" si="44"/>
        <v>52707.833333333336</v>
      </c>
      <c r="BS25" s="140"/>
      <c r="BT25" s="138">
        <f t="shared" si="45"/>
        <v>316247</v>
      </c>
      <c r="BU25" s="139">
        <f t="shared" si="46"/>
        <v>63249.4</v>
      </c>
      <c r="BV25" s="140"/>
      <c r="BW25" s="138">
        <f t="shared" si="47"/>
        <v>316247</v>
      </c>
      <c r="BX25" s="139">
        <f t="shared" si="48"/>
        <v>79061.75</v>
      </c>
      <c r="BY25" s="140"/>
      <c r="BZ25" s="138">
        <f t="shared" si="49"/>
        <v>316247</v>
      </c>
      <c r="CA25" s="139">
        <f t="shared" si="50"/>
        <v>105415.66666666667</v>
      </c>
      <c r="CB25" s="140"/>
      <c r="CC25" s="138">
        <f t="shared" si="51"/>
        <v>316247</v>
      </c>
      <c r="CD25" s="139">
        <f t="shared" si="52"/>
        <v>158123.5</v>
      </c>
      <c r="CE25" s="140"/>
      <c r="CF25" s="138">
        <f t="shared" si="53"/>
        <v>316247</v>
      </c>
      <c r="CG25" s="139">
        <f t="shared" si="54"/>
        <v>316247</v>
      </c>
      <c r="CH25" s="152"/>
    </row>
    <row r="26" spans="1:86" s="161" customFormat="1" ht="20.25" thickBot="1" x14ac:dyDescent="0.3">
      <c r="A26" s="291"/>
      <c r="B26" s="289"/>
      <c r="C26" s="175" t="s">
        <v>100</v>
      </c>
      <c r="D26" s="176">
        <v>110</v>
      </c>
      <c r="E26" s="137">
        <f t="shared" si="2"/>
        <v>22</v>
      </c>
      <c r="F26" s="138">
        <f t="shared" si="3"/>
        <v>110</v>
      </c>
      <c r="G26" s="139">
        <f t="shared" si="4"/>
        <v>4.0740740740740744</v>
      </c>
      <c r="H26" s="156"/>
      <c r="I26" s="141">
        <f t="shared" si="5"/>
        <v>110</v>
      </c>
      <c r="J26" s="142">
        <f t="shared" si="6"/>
        <v>4.2307692307692308</v>
      </c>
      <c r="K26" s="143"/>
      <c r="L26" s="144">
        <f t="shared" si="7"/>
        <v>110</v>
      </c>
      <c r="M26" s="145">
        <f t="shared" si="8"/>
        <v>4.4000000000000004</v>
      </c>
      <c r="N26" s="157"/>
      <c r="O26" s="144">
        <f t="shared" si="9"/>
        <v>110</v>
      </c>
      <c r="P26" s="145">
        <f t="shared" si="10"/>
        <v>4.583333333333333</v>
      </c>
      <c r="Q26" s="157"/>
      <c r="R26" s="147">
        <f t="shared" si="11"/>
        <v>110</v>
      </c>
      <c r="S26" s="139">
        <f t="shared" si="12"/>
        <v>4.7826086956521738</v>
      </c>
      <c r="T26" s="156">
        <v>12</v>
      </c>
      <c r="U26" s="138">
        <f t="shared" si="13"/>
        <v>98</v>
      </c>
      <c r="V26" s="139">
        <f t="shared" si="14"/>
        <v>4.4545454545454541</v>
      </c>
      <c r="W26" s="156">
        <v>4</v>
      </c>
      <c r="X26" s="138">
        <f t="shared" si="15"/>
        <v>94</v>
      </c>
      <c r="Y26" s="139">
        <f t="shared" si="16"/>
        <v>4.4761904761904763</v>
      </c>
      <c r="Z26" s="156">
        <v>6</v>
      </c>
      <c r="AA26" s="148">
        <f t="shared" si="17"/>
        <v>88</v>
      </c>
      <c r="AB26" s="139">
        <f t="shared" si="0"/>
        <v>4.4000000000000004</v>
      </c>
      <c r="AC26" s="156"/>
      <c r="AD26" s="148">
        <f t="shared" si="1"/>
        <v>88</v>
      </c>
      <c r="AE26" s="150">
        <f t="shared" si="18"/>
        <v>4.6315789473684212</v>
      </c>
      <c r="AF26" s="156"/>
      <c r="AG26" s="148">
        <f t="shared" si="19"/>
        <v>88</v>
      </c>
      <c r="AH26" s="150">
        <f t="shared" si="20"/>
        <v>4.8888888888888893</v>
      </c>
      <c r="AI26" s="156"/>
      <c r="AJ26" s="148">
        <f t="shared" si="21"/>
        <v>88</v>
      </c>
      <c r="AK26" s="139">
        <f t="shared" si="22"/>
        <v>5.1764705882352944</v>
      </c>
      <c r="AL26" s="156"/>
      <c r="AM26" s="138">
        <f t="shared" si="23"/>
        <v>88</v>
      </c>
      <c r="AN26" s="139">
        <f t="shared" si="24"/>
        <v>5.5</v>
      </c>
      <c r="AO26" s="156"/>
      <c r="AP26" s="138">
        <f t="shared" si="25"/>
        <v>88</v>
      </c>
      <c r="AQ26" s="139">
        <f t="shared" si="26"/>
        <v>5.8666666666666663</v>
      </c>
      <c r="AR26" s="156"/>
      <c r="AS26" s="138">
        <f t="shared" si="27"/>
        <v>88</v>
      </c>
      <c r="AT26" s="139">
        <f t="shared" si="28"/>
        <v>6.2857142857142856</v>
      </c>
      <c r="AU26" s="156"/>
      <c r="AV26" s="138">
        <f t="shared" si="29"/>
        <v>88</v>
      </c>
      <c r="AW26" s="139">
        <f t="shared" si="30"/>
        <v>6.7692307692307692</v>
      </c>
      <c r="AX26" s="156"/>
      <c r="AY26" s="138">
        <f t="shared" si="31"/>
        <v>88</v>
      </c>
      <c r="AZ26" s="139">
        <f t="shared" si="32"/>
        <v>7.333333333333333</v>
      </c>
      <c r="BA26" s="156"/>
      <c r="BB26" s="138">
        <f t="shared" si="33"/>
        <v>88</v>
      </c>
      <c r="BC26" s="139">
        <f t="shared" si="34"/>
        <v>8</v>
      </c>
      <c r="BD26" s="156"/>
      <c r="BE26" s="138">
        <f t="shared" si="35"/>
        <v>88</v>
      </c>
      <c r="BF26" s="139">
        <f t="shared" si="36"/>
        <v>8.8000000000000007</v>
      </c>
      <c r="BG26" s="156"/>
      <c r="BH26" s="138">
        <f t="shared" si="37"/>
        <v>88</v>
      </c>
      <c r="BI26" s="139">
        <f t="shared" si="38"/>
        <v>9.7777777777777786</v>
      </c>
      <c r="BJ26" s="156"/>
      <c r="BK26" s="138">
        <f t="shared" si="39"/>
        <v>88</v>
      </c>
      <c r="BL26" s="139">
        <f t="shared" si="40"/>
        <v>11</v>
      </c>
      <c r="BM26" s="156"/>
      <c r="BN26" s="138">
        <f t="shared" si="41"/>
        <v>88</v>
      </c>
      <c r="BO26" s="139">
        <f t="shared" si="42"/>
        <v>12.571428571428571</v>
      </c>
      <c r="BP26" s="156"/>
      <c r="BQ26" s="138">
        <f t="shared" si="43"/>
        <v>88</v>
      </c>
      <c r="BR26" s="139">
        <f t="shared" si="44"/>
        <v>14.666666666666666</v>
      </c>
      <c r="BS26" s="156"/>
      <c r="BT26" s="138">
        <f t="shared" si="45"/>
        <v>88</v>
      </c>
      <c r="BU26" s="139">
        <f t="shared" si="46"/>
        <v>17.600000000000001</v>
      </c>
      <c r="BV26" s="156"/>
      <c r="BW26" s="138">
        <f t="shared" si="47"/>
        <v>88</v>
      </c>
      <c r="BX26" s="139">
        <f t="shared" si="48"/>
        <v>22</v>
      </c>
      <c r="BY26" s="156"/>
      <c r="BZ26" s="138">
        <f t="shared" si="49"/>
        <v>88</v>
      </c>
      <c r="CA26" s="139">
        <f t="shared" si="50"/>
        <v>29.333333333333332</v>
      </c>
      <c r="CB26" s="156"/>
      <c r="CC26" s="138">
        <f t="shared" si="51"/>
        <v>88</v>
      </c>
      <c r="CD26" s="139">
        <f t="shared" si="52"/>
        <v>44</v>
      </c>
      <c r="CE26" s="156"/>
      <c r="CF26" s="138">
        <f t="shared" si="53"/>
        <v>88</v>
      </c>
      <c r="CG26" s="139">
        <f t="shared" si="54"/>
        <v>88</v>
      </c>
      <c r="CH26" s="160"/>
    </row>
    <row r="27" spans="1:86" s="177" customFormat="1" ht="20.25" thickBot="1" x14ac:dyDescent="0.3">
      <c r="A27" s="291"/>
      <c r="B27" s="288" t="s">
        <v>52</v>
      </c>
      <c r="C27" s="179" t="s">
        <v>99</v>
      </c>
      <c r="D27" s="163">
        <v>341250</v>
      </c>
      <c r="E27" s="137">
        <f t="shared" si="2"/>
        <v>44028</v>
      </c>
      <c r="F27" s="138">
        <f t="shared" si="3"/>
        <v>341250</v>
      </c>
      <c r="G27" s="139">
        <f t="shared" si="4"/>
        <v>12638.888888888889</v>
      </c>
      <c r="H27" s="140"/>
      <c r="I27" s="141">
        <f t="shared" si="5"/>
        <v>341250</v>
      </c>
      <c r="J27" s="142">
        <f t="shared" si="6"/>
        <v>13125</v>
      </c>
      <c r="K27" s="143">
        <v>1234</v>
      </c>
      <c r="L27" s="144">
        <f t="shared" si="7"/>
        <v>340016</v>
      </c>
      <c r="M27" s="145">
        <f t="shared" si="8"/>
        <v>13600.64</v>
      </c>
      <c r="N27" s="146">
        <v>3290</v>
      </c>
      <c r="O27" s="144">
        <f t="shared" si="9"/>
        <v>336726</v>
      </c>
      <c r="P27" s="145">
        <f t="shared" si="10"/>
        <v>14030.25</v>
      </c>
      <c r="Q27" s="146">
        <v>4626</v>
      </c>
      <c r="R27" s="147">
        <f t="shared" si="11"/>
        <v>332100</v>
      </c>
      <c r="S27" s="139">
        <f t="shared" si="12"/>
        <v>14439.130434782608</v>
      </c>
      <c r="T27" s="140">
        <v>16553</v>
      </c>
      <c r="U27" s="138">
        <f t="shared" si="13"/>
        <v>315547</v>
      </c>
      <c r="V27" s="139">
        <f t="shared" si="14"/>
        <v>14343.045454545454</v>
      </c>
      <c r="W27" s="140">
        <v>12258</v>
      </c>
      <c r="X27" s="138">
        <f t="shared" si="15"/>
        <v>303289</v>
      </c>
      <c r="Y27" s="139">
        <f t="shared" si="16"/>
        <v>14442.333333333334</v>
      </c>
      <c r="Z27" s="140">
        <v>6067</v>
      </c>
      <c r="AA27" s="148">
        <f t="shared" si="17"/>
        <v>297222</v>
      </c>
      <c r="AB27" s="139">
        <f t="shared" si="0"/>
        <v>14861.1</v>
      </c>
      <c r="AC27" s="140"/>
      <c r="AD27" s="148">
        <f t="shared" si="1"/>
        <v>297222</v>
      </c>
      <c r="AE27" s="150">
        <f t="shared" si="18"/>
        <v>15643.263157894737</v>
      </c>
      <c r="AF27" s="140"/>
      <c r="AG27" s="148">
        <f t="shared" si="19"/>
        <v>297222</v>
      </c>
      <c r="AH27" s="150">
        <f t="shared" si="20"/>
        <v>16512.333333333332</v>
      </c>
      <c r="AI27" s="140"/>
      <c r="AJ27" s="148">
        <f t="shared" si="21"/>
        <v>297222</v>
      </c>
      <c r="AK27" s="139">
        <f t="shared" si="22"/>
        <v>17483.647058823528</v>
      </c>
      <c r="AL27" s="140"/>
      <c r="AM27" s="138">
        <f t="shared" si="23"/>
        <v>297222</v>
      </c>
      <c r="AN27" s="139">
        <f t="shared" si="24"/>
        <v>18576.375</v>
      </c>
      <c r="AO27" s="140"/>
      <c r="AP27" s="138">
        <f t="shared" si="25"/>
        <v>297222</v>
      </c>
      <c r="AQ27" s="139">
        <f t="shared" si="26"/>
        <v>19814.8</v>
      </c>
      <c r="AR27" s="140"/>
      <c r="AS27" s="138">
        <f t="shared" si="27"/>
        <v>297222</v>
      </c>
      <c r="AT27" s="139">
        <f t="shared" si="28"/>
        <v>21230.142857142859</v>
      </c>
      <c r="AU27" s="140"/>
      <c r="AV27" s="138">
        <f t="shared" si="29"/>
        <v>297222</v>
      </c>
      <c r="AW27" s="139">
        <f t="shared" si="30"/>
        <v>22863.23076923077</v>
      </c>
      <c r="AX27" s="140"/>
      <c r="AY27" s="138">
        <f t="shared" si="31"/>
        <v>297222</v>
      </c>
      <c r="AZ27" s="139">
        <f t="shared" si="32"/>
        <v>24768.5</v>
      </c>
      <c r="BA27" s="140"/>
      <c r="BB27" s="138">
        <f t="shared" si="33"/>
        <v>297222</v>
      </c>
      <c r="BC27" s="139">
        <f t="shared" si="34"/>
        <v>27020.18181818182</v>
      </c>
      <c r="BD27" s="140"/>
      <c r="BE27" s="138">
        <f t="shared" si="35"/>
        <v>297222</v>
      </c>
      <c r="BF27" s="139">
        <f t="shared" si="36"/>
        <v>29722.2</v>
      </c>
      <c r="BG27" s="140"/>
      <c r="BH27" s="138">
        <f t="shared" si="37"/>
        <v>297222</v>
      </c>
      <c r="BI27" s="139">
        <f t="shared" si="38"/>
        <v>33024.666666666664</v>
      </c>
      <c r="BJ27" s="140"/>
      <c r="BK27" s="138">
        <f t="shared" si="39"/>
        <v>297222</v>
      </c>
      <c r="BL27" s="139">
        <f t="shared" si="40"/>
        <v>37152.75</v>
      </c>
      <c r="BM27" s="140"/>
      <c r="BN27" s="138">
        <f t="shared" si="41"/>
        <v>297222</v>
      </c>
      <c r="BO27" s="139">
        <f t="shared" si="42"/>
        <v>42460.285714285717</v>
      </c>
      <c r="BP27" s="140"/>
      <c r="BQ27" s="138">
        <f t="shared" si="43"/>
        <v>297222</v>
      </c>
      <c r="BR27" s="139">
        <f t="shared" si="44"/>
        <v>49537</v>
      </c>
      <c r="BS27" s="140"/>
      <c r="BT27" s="138">
        <f t="shared" si="45"/>
        <v>297222</v>
      </c>
      <c r="BU27" s="139">
        <f t="shared" si="46"/>
        <v>59444.4</v>
      </c>
      <c r="BV27" s="140"/>
      <c r="BW27" s="138">
        <f t="shared" si="47"/>
        <v>297222</v>
      </c>
      <c r="BX27" s="139">
        <f t="shared" si="48"/>
        <v>74305.5</v>
      </c>
      <c r="BY27" s="140"/>
      <c r="BZ27" s="138">
        <f t="shared" si="49"/>
        <v>297222</v>
      </c>
      <c r="CA27" s="139">
        <f t="shared" si="50"/>
        <v>99074</v>
      </c>
      <c r="CB27" s="140"/>
      <c r="CC27" s="138">
        <f t="shared" si="51"/>
        <v>297222</v>
      </c>
      <c r="CD27" s="139">
        <f t="shared" si="52"/>
        <v>148611</v>
      </c>
      <c r="CE27" s="140"/>
      <c r="CF27" s="138">
        <f t="shared" si="53"/>
        <v>297222</v>
      </c>
      <c r="CG27" s="139">
        <f t="shared" si="54"/>
        <v>297222</v>
      </c>
      <c r="CH27" s="152"/>
    </row>
    <row r="28" spans="1:86" s="161" customFormat="1" ht="20.25" thickBot="1" x14ac:dyDescent="0.3">
      <c r="A28" s="291"/>
      <c r="B28" s="289"/>
      <c r="C28" s="175" t="s">
        <v>100</v>
      </c>
      <c r="D28" s="176">
        <v>90</v>
      </c>
      <c r="E28" s="137">
        <f t="shared" si="2"/>
        <v>11</v>
      </c>
      <c r="F28" s="138">
        <f t="shared" si="3"/>
        <v>90</v>
      </c>
      <c r="G28" s="139">
        <f t="shared" si="4"/>
        <v>3.3333333333333335</v>
      </c>
      <c r="H28" s="156"/>
      <c r="I28" s="141">
        <f t="shared" si="5"/>
        <v>90</v>
      </c>
      <c r="J28" s="142">
        <f t="shared" si="6"/>
        <v>3.4615384615384617</v>
      </c>
      <c r="K28" s="143"/>
      <c r="L28" s="144">
        <f t="shared" si="7"/>
        <v>90</v>
      </c>
      <c r="M28" s="145">
        <f t="shared" si="8"/>
        <v>3.6</v>
      </c>
      <c r="N28" s="157"/>
      <c r="O28" s="144">
        <f t="shared" si="9"/>
        <v>90</v>
      </c>
      <c r="P28" s="145">
        <f t="shared" si="10"/>
        <v>3.75</v>
      </c>
      <c r="Q28" s="157"/>
      <c r="R28" s="147">
        <f t="shared" si="11"/>
        <v>90</v>
      </c>
      <c r="S28" s="139">
        <f t="shared" si="12"/>
        <v>3.9130434782608696</v>
      </c>
      <c r="T28" s="156">
        <v>9</v>
      </c>
      <c r="U28" s="138">
        <f t="shared" si="13"/>
        <v>81</v>
      </c>
      <c r="V28" s="139">
        <f t="shared" si="14"/>
        <v>3.6818181818181817</v>
      </c>
      <c r="W28" s="156">
        <v>0</v>
      </c>
      <c r="X28" s="138">
        <f t="shared" si="15"/>
        <v>81</v>
      </c>
      <c r="Y28" s="139">
        <f t="shared" si="16"/>
        <v>3.8571428571428572</v>
      </c>
      <c r="Z28" s="156">
        <v>2</v>
      </c>
      <c r="AA28" s="148">
        <f t="shared" si="17"/>
        <v>79</v>
      </c>
      <c r="AB28" s="139">
        <f t="shared" si="0"/>
        <v>3.95</v>
      </c>
      <c r="AC28" s="156"/>
      <c r="AD28" s="148">
        <f t="shared" si="1"/>
        <v>79</v>
      </c>
      <c r="AE28" s="150">
        <f t="shared" si="18"/>
        <v>4.1578947368421053</v>
      </c>
      <c r="AF28" s="156"/>
      <c r="AG28" s="148">
        <f t="shared" si="19"/>
        <v>79</v>
      </c>
      <c r="AH28" s="150">
        <f t="shared" si="20"/>
        <v>4.3888888888888893</v>
      </c>
      <c r="AI28" s="156"/>
      <c r="AJ28" s="148">
        <f t="shared" si="21"/>
        <v>79</v>
      </c>
      <c r="AK28" s="139">
        <f t="shared" si="22"/>
        <v>4.6470588235294121</v>
      </c>
      <c r="AL28" s="156"/>
      <c r="AM28" s="138">
        <f t="shared" si="23"/>
        <v>79</v>
      </c>
      <c r="AN28" s="139">
        <f t="shared" si="24"/>
        <v>4.9375</v>
      </c>
      <c r="AO28" s="156"/>
      <c r="AP28" s="138">
        <f t="shared" si="25"/>
        <v>79</v>
      </c>
      <c r="AQ28" s="139">
        <f t="shared" si="26"/>
        <v>5.2666666666666666</v>
      </c>
      <c r="AR28" s="156"/>
      <c r="AS28" s="138">
        <f t="shared" si="27"/>
        <v>79</v>
      </c>
      <c r="AT28" s="139">
        <f t="shared" si="28"/>
        <v>5.6428571428571432</v>
      </c>
      <c r="AU28" s="156"/>
      <c r="AV28" s="138">
        <f t="shared" si="29"/>
        <v>79</v>
      </c>
      <c r="AW28" s="139">
        <f t="shared" si="30"/>
        <v>6.0769230769230766</v>
      </c>
      <c r="AX28" s="156"/>
      <c r="AY28" s="138">
        <f t="shared" si="31"/>
        <v>79</v>
      </c>
      <c r="AZ28" s="139">
        <f t="shared" si="32"/>
        <v>6.583333333333333</v>
      </c>
      <c r="BA28" s="156"/>
      <c r="BB28" s="138">
        <f t="shared" si="33"/>
        <v>79</v>
      </c>
      <c r="BC28" s="139">
        <f t="shared" si="34"/>
        <v>7.1818181818181817</v>
      </c>
      <c r="BD28" s="156"/>
      <c r="BE28" s="138">
        <f t="shared" si="35"/>
        <v>79</v>
      </c>
      <c r="BF28" s="139">
        <f t="shared" si="36"/>
        <v>7.9</v>
      </c>
      <c r="BG28" s="156"/>
      <c r="BH28" s="138">
        <f t="shared" si="37"/>
        <v>79</v>
      </c>
      <c r="BI28" s="139">
        <f t="shared" si="38"/>
        <v>8.7777777777777786</v>
      </c>
      <c r="BJ28" s="156"/>
      <c r="BK28" s="138">
        <f t="shared" si="39"/>
        <v>79</v>
      </c>
      <c r="BL28" s="139">
        <f t="shared" si="40"/>
        <v>9.875</v>
      </c>
      <c r="BM28" s="156"/>
      <c r="BN28" s="138">
        <f t="shared" si="41"/>
        <v>79</v>
      </c>
      <c r="BO28" s="139">
        <f t="shared" si="42"/>
        <v>11.285714285714286</v>
      </c>
      <c r="BP28" s="156"/>
      <c r="BQ28" s="138">
        <f t="shared" si="43"/>
        <v>79</v>
      </c>
      <c r="BR28" s="139">
        <f t="shared" si="44"/>
        <v>13.166666666666666</v>
      </c>
      <c r="BS28" s="156"/>
      <c r="BT28" s="138">
        <f t="shared" si="45"/>
        <v>79</v>
      </c>
      <c r="BU28" s="139">
        <f t="shared" si="46"/>
        <v>15.8</v>
      </c>
      <c r="BV28" s="156"/>
      <c r="BW28" s="138">
        <f t="shared" si="47"/>
        <v>79</v>
      </c>
      <c r="BX28" s="139">
        <f t="shared" si="48"/>
        <v>19.75</v>
      </c>
      <c r="BY28" s="156"/>
      <c r="BZ28" s="138">
        <f t="shared" si="49"/>
        <v>79</v>
      </c>
      <c r="CA28" s="139">
        <f t="shared" si="50"/>
        <v>26.333333333333332</v>
      </c>
      <c r="CB28" s="156"/>
      <c r="CC28" s="138">
        <f t="shared" si="51"/>
        <v>79</v>
      </c>
      <c r="CD28" s="139">
        <f t="shared" si="52"/>
        <v>39.5</v>
      </c>
      <c r="CE28" s="156"/>
      <c r="CF28" s="138">
        <f t="shared" si="53"/>
        <v>79</v>
      </c>
      <c r="CG28" s="139">
        <f t="shared" si="54"/>
        <v>79</v>
      </c>
      <c r="CH28" s="160"/>
    </row>
    <row r="29" spans="1:86" s="174" customFormat="1" ht="20.25" thickBot="1" x14ac:dyDescent="0.3">
      <c r="A29" s="291"/>
      <c r="B29" s="288" t="s">
        <v>35</v>
      </c>
      <c r="C29" s="179" t="s">
        <v>99</v>
      </c>
      <c r="D29" s="163">
        <v>462000</v>
      </c>
      <c r="E29" s="137">
        <f t="shared" si="2"/>
        <v>53651</v>
      </c>
      <c r="F29" s="138">
        <f t="shared" si="3"/>
        <v>462000</v>
      </c>
      <c r="G29" s="139">
        <f t="shared" si="4"/>
        <v>17111.111111111109</v>
      </c>
      <c r="H29" s="140"/>
      <c r="I29" s="141">
        <f t="shared" si="5"/>
        <v>462000</v>
      </c>
      <c r="J29" s="142">
        <f t="shared" si="6"/>
        <v>17769.23076923077</v>
      </c>
      <c r="K29" s="143">
        <v>10435</v>
      </c>
      <c r="L29" s="144">
        <f t="shared" si="7"/>
        <v>451565</v>
      </c>
      <c r="M29" s="145">
        <f t="shared" si="8"/>
        <v>18062.599999999999</v>
      </c>
      <c r="N29" s="146">
        <v>5965</v>
      </c>
      <c r="O29" s="144">
        <f t="shared" si="9"/>
        <v>445600</v>
      </c>
      <c r="P29" s="145">
        <f t="shared" si="10"/>
        <v>18566.666666666668</v>
      </c>
      <c r="Q29" s="146">
        <v>4424</v>
      </c>
      <c r="R29" s="147">
        <f t="shared" si="11"/>
        <v>441176</v>
      </c>
      <c r="S29" s="139">
        <f t="shared" si="12"/>
        <v>19181.565217391304</v>
      </c>
      <c r="T29" s="140">
        <v>9817</v>
      </c>
      <c r="U29" s="138">
        <f t="shared" si="13"/>
        <v>431359</v>
      </c>
      <c r="V29" s="139">
        <f t="shared" si="14"/>
        <v>19607.227272727272</v>
      </c>
      <c r="W29" s="140">
        <v>15610</v>
      </c>
      <c r="X29" s="138">
        <f t="shared" si="15"/>
        <v>415749</v>
      </c>
      <c r="Y29" s="139">
        <f t="shared" si="16"/>
        <v>19797.571428571428</v>
      </c>
      <c r="Z29" s="140">
        <v>7400</v>
      </c>
      <c r="AA29" s="148">
        <f t="shared" si="17"/>
        <v>408349</v>
      </c>
      <c r="AB29" s="139">
        <f t="shared" si="0"/>
        <v>20417.45</v>
      </c>
      <c r="AC29" s="140"/>
      <c r="AD29" s="148">
        <f t="shared" si="1"/>
        <v>408349</v>
      </c>
      <c r="AE29" s="150">
        <f t="shared" si="18"/>
        <v>21492.052631578947</v>
      </c>
      <c r="AF29" s="140"/>
      <c r="AG29" s="148">
        <f t="shared" si="19"/>
        <v>408349</v>
      </c>
      <c r="AH29" s="150">
        <f t="shared" si="20"/>
        <v>22686.055555555555</v>
      </c>
      <c r="AI29" s="140"/>
      <c r="AJ29" s="148">
        <f t="shared" si="21"/>
        <v>408349</v>
      </c>
      <c r="AK29" s="139">
        <f t="shared" si="22"/>
        <v>24020.529411764706</v>
      </c>
      <c r="AL29" s="140"/>
      <c r="AM29" s="138">
        <f t="shared" si="23"/>
        <v>408349</v>
      </c>
      <c r="AN29" s="139">
        <f t="shared" si="24"/>
        <v>25521.8125</v>
      </c>
      <c r="AO29" s="140"/>
      <c r="AP29" s="138">
        <f t="shared" si="25"/>
        <v>408349</v>
      </c>
      <c r="AQ29" s="139">
        <f t="shared" si="26"/>
        <v>27223.266666666666</v>
      </c>
      <c r="AR29" s="140"/>
      <c r="AS29" s="138">
        <f t="shared" si="27"/>
        <v>408349</v>
      </c>
      <c r="AT29" s="139">
        <f t="shared" si="28"/>
        <v>29167.785714285714</v>
      </c>
      <c r="AU29" s="140"/>
      <c r="AV29" s="138">
        <f t="shared" si="29"/>
        <v>408349</v>
      </c>
      <c r="AW29" s="139">
        <f t="shared" si="30"/>
        <v>31411.461538461539</v>
      </c>
      <c r="AX29" s="140"/>
      <c r="AY29" s="138">
        <f t="shared" si="31"/>
        <v>408349</v>
      </c>
      <c r="AZ29" s="139">
        <f t="shared" si="32"/>
        <v>34029.083333333336</v>
      </c>
      <c r="BA29" s="140"/>
      <c r="BB29" s="138">
        <f t="shared" si="33"/>
        <v>408349</v>
      </c>
      <c r="BC29" s="139">
        <f t="shared" si="34"/>
        <v>37122.63636363636</v>
      </c>
      <c r="BD29" s="140"/>
      <c r="BE29" s="138">
        <f t="shared" si="35"/>
        <v>408349</v>
      </c>
      <c r="BF29" s="139">
        <f t="shared" si="36"/>
        <v>40834.9</v>
      </c>
      <c r="BG29" s="140"/>
      <c r="BH29" s="138">
        <f t="shared" si="37"/>
        <v>408349</v>
      </c>
      <c r="BI29" s="139">
        <f t="shared" si="38"/>
        <v>45372.111111111109</v>
      </c>
      <c r="BJ29" s="140"/>
      <c r="BK29" s="138">
        <f t="shared" si="39"/>
        <v>408349</v>
      </c>
      <c r="BL29" s="139">
        <f t="shared" si="40"/>
        <v>51043.625</v>
      </c>
      <c r="BM29" s="140"/>
      <c r="BN29" s="138">
        <f t="shared" si="41"/>
        <v>408349</v>
      </c>
      <c r="BO29" s="139">
        <f t="shared" si="42"/>
        <v>58335.571428571428</v>
      </c>
      <c r="BP29" s="140"/>
      <c r="BQ29" s="138">
        <f t="shared" si="43"/>
        <v>408349</v>
      </c>
      <c r="BR29" s="139">
        <f t="shared" si="44"/>
        <v>68058.166666666672</v>
      </c>
      <c r="BS29" s="140"/>
      <c r="BT29" s="138">
        <f t="shared" si="45"/>
        <v>408349</v>
      </c>
      <c r="BU29" s="139">
        <f t="shared" si="46"/>
        <v>81669.8</v>
      </c>
      <c r="BV29" s="140"/>
      <c r="BW29" s="138">
        <f t="shared" si="47"/>
        <v>408349</v>
      </c>
      <c r="BX29" s="139">
        <f t="shared" si="48"/>
        <v>102087.25</v>
      </c>
      <c r="BY29" s="140"/>
      <c r="BZ29" s="138">
        <f t="shared" si="49"/>
        <v>408349</v>
      </c>
      <c r="CA29" s="139">
        <f t="shared" si="50"/>
        <v>136116.33333333334</v>
      </c>
      <c r="CB29" s="140"/>
      <c r="CC29" s="138">
        <f t="shared" si="51"/>
        <v>408349</v>
      </c>
      <c r="CD29" s="139">
        <f t="shared" si="52"/>
        <v>204174.5</v>
      </c>
      <c r="CE29" s="140"/>
      <c r="CF29" s="138">
        <f t="shared" si="53"/>
        <v>408349</v>
      </c>
      <c r="CG29" s="139">
        <f t="shared" si="54"/>
        <v>408349</v>
      </c>
      <c r="CH29" s="152"/>
    </row>
    <row r="30" spans="1:86" s="161" customFormat="1" ht="20.25" thickBot="1" x14ac:dyDescent="0.3">
      <c r="A30" s="291"/>
      <c r="B30" s="289"/>
      <c r="C30" s="175" t="s">
        <v>100</v>
      </c>
      <c r="D30" s="176">
        <v>110</v>
      </c>
      <c r="E30" s="137">
        <f t="shared" si="2"/>
        <v>31</v>
      </c>
      <c r="F30" s="138">
        <f t="shared" si="3"/>
        <v>110</v>
      </c>
      <c r="G30" s="139">
        <f t="shared" si="4"/>
        <v>4.0740740740740744</v>
      </c>
      <c r="H30" s="156"/>
      <c r="I30" s="141">
        <f t="shared" si="5"/>
        <v>110</v>
      </c>
      <c r="J30" s="142">
        <f t="shared" si="6"/>
        <v>4.2307692307692308</v>
      </c>
      <c r="K30" s="143"/>
      <c r="L30" s="144">
        <f t="shared" si="7"/>
        <v>110</v>
      </c>
      <c r="M30" s="145">
        <f t="shared" si="8"/>
        <v>4.4000000000000004</v>
      </c>
      <c r="N30" s="157"/>
      <c r="O30" s="144">
        <f t="shared" si="9"/>
        <v>110</v>
      </c>
      <c r="P30" s="145">
        <f t="shared" si="10"/>
        <v>4.583333333333333</v>
      </c>
      <c r="Q30" s="157"/>
      <c r="R30" s="147">
        <f t="shared" si="11"/>
        <v>110</v>
      </c>
      <c r="S30" s="139">
        <f t="shared" si="12"/>
        <v>4.7826086956521738</v>
      </c>
      <c r="T30" s="156">
        <v>24</v>
      </c>
      <c r="U30" s="138">
        <f t="shared" si="13"/>
        <v>86</v>
      </c>
      <c r="V30" s="139">
        <f t="shared" si="14"/>
        <v>3.9090909090909092</v>
      </c>
      <c r="W30" s="156">
        <v>4</v>
      </c>
      <c r="X30" s="138">
        <f t="shared" si="15"/>
        <v>82</v>
      </c>
      <c r="Y30" s="139">
        <f t="shared" si="16"/>
        <v>3.9047619047619047</v>
      </c>
      <c r="Z30" s="156">
        <v>3</v>
      </c>
      <c r="AA30" s="148">
        <f t="shared" si="17"/>
        <v>79</v>
      </c>
      <c r="AB30" s="139">
        <f t="shared" si="0"/>
        <v>3.95</v>
      </c>
      <c r="AC30" s="156"/>
      <c r="AD30" s="148">
        <f t="shared" si="1"/>
        <v>79</v>
      </c>
      <c r="AE30" s="150">
        <f t="shared" si="18"/>
        <v>4.1578947368421053</v>
      </c>
      <c r="AF30" s="156"/>
      <c r="AG30" s="148">
        <f t="shared" si="19"/>
        <v>79</v>
      </c>
      <c r="AH30" s="150">
        <f t="shared" si="20"/>
        <v>4.3888888888888893</v>
      </c>
      <c r="AI30" s="156"/>
      <c r="AJ30" s="148">
        <f t="shared" si="21"/>
        <v>79</v>
      </c>
      <c r="AK30" s="139">
        <f t="shared" si="22"/>
        <v>4.6470588235294121</v>
      </c>
      <c r="AL30" s="156"/>
      <c r="AM30" s="138">
        <f t="shared" si="23"/>
        <v>79</v>
      </c>
      <c r="AN30" s="139">
        <f t="shared" si="24"/>
        <v>4.9375</v>
      </c>
      <c r="AO30" s="156"/>
      <c r="AP30" s="138">
        <f t="shared" si="25"/>
        <v>79</v>
      </c>
      <c r="AQ30" s="139">
        <f t="shared" si="26"/>
        <v>5.2666666666666666</v>
      </c>
      <c r="AR30" s="156"/>
      <c r="AS30" s="138">
        <f t="shared" si="27"/>
        <v>79</v>
      </c>
      <c r="AT30" s="139">
        <f t="shared" si="28"/>
        <v>5.6428571428571432</v>
      </c>
      <c r="AU30" s="156"/>
      <c r="AV30" s="138">
        <f t="shared" si="29"/>
        <v>79</v>
      </c>
      <c r="AW30" s="139">
        <f t="shared" si="30"/>
        <v>6.0769230769230766</v>
      </c>
      <c r="AX30" s="156"/>
      <c r="AY30" s="138">
        <f t="shared" si="31"/>
        <v>79</v>
      </c>
      <c r="AZ30" s="139">
        <f t="shared" si="32"/>
        <v>6.583333333333333</v>
      </c>
      <c r="BA30" s="156"/>
      <c r="BB30" s="138">
        <f t="shared" si="33"/>
        <v>79</v>
      </c>
      <c r="BC30" s="139">
        <f t="shared" si="34"/>
        <v>7.1818181818181817</v>
      </c>
      <c r="BD30" s="156"/>
      <c r="BE30" s="138">
        <f t="shared" si="35"/>
        <v>79</v>
      </c>
      <c r="BF30" s="139">
        <f t="shared" si="36"/>
        <v>7.9</v>
      </c>
      <c r="BG30" s="156"/>
      <c r="BH30" s="138">
        <f t="shared" si="37"/>
        <v>79</v>
      </c>
      <c r="BI30" s="139">
        <f t="shared" si="38"/>
        <v>8.7777777777777786</v>
      </c>
      <c r="BJ30" s="156"/>
      <c r="BK30" s="138">
        <f t="shared" si="39"/>
        <v>79</v>
      </c>
      <c r="BL30" s="139">
        <f t="shared" si="40"/>
        <v>9.875</v>
      </c>
      <c r="BM30" s="156"/>
      <c r="BN30" s="138">
        <f t="shared" si="41"/>
        <v>79</v>
      </c>
      <c r="BO30" s="139">
        <f t="shared" si="42"/>
        <v>11.285714285714286</v>
      </c>
      <c r="BP30" s="156"/>
      <c r="BQ30" s="138">
        <f t="shared" si="43"/>
        <v>79</v>
      </c>
      <c r="BR30" s="139">
        <f t="shared" si="44"/>
        <v>13.166666666666666</v>
      </c>
      <c r="BS30" s="156"/>
      <c r="BT30" s="138">
        <f t="shared" si="45"/>
        <v>79</v>
      </c>
      <c r="BU30" s="139">
        <f t="shared" si="46"/>
        <v>15.8</v>
      </c>
      <c r="BV30" s="156"/>
      <c r="BW30" s="138">
        <f t="shared" si="47"/>
        <v>79</v>
      </c>
      <c r="BX30" s="139">
        <f t="shared" si="48"/>
        <v>19.75</v>
      </c>
      <c r="BY30" s="156"/>
      <c r="BZ30" s="138">
        <f t="shared" si="49"/>
        <v>79</v>
      </c>
      <c r="CA30" s="139">
        <f t="shared" si="50"/>
        <v>26.333333333333332</v>
      </c>
      <c r="CB30" s="156"/>
      <c r="CC30" s="138">
        <f t="shared" si="51"/>
        <v>79</v>
      </c>
      <c r="CD30" s="139">
        <f t="shared" si="52"/>
        <v>39.5</v>
      </c>
      <c r="CE30" s="156"/>
      <c r="CF30" s="138">
        <f t="shared" si="53"/>
        <v>79</v>
      </c>
      <c r="CG30" s="139">
        <f t="shared" si="54"/>
        <v>79</v>
      </c>
      <c r="CH30" s="160"/>
    </row>
    <row r="31" spans="1:86" s="177" customFormat="1" ht="20.25" thickBot="1" x14ac:dyDescent="0.3">
      <c r="A31" s="291"/>
      <c r="B31" s="288" t="s">
        <v>51</v>
      </c>
      <c r="C31" s="179" t="s">
        <v>99</v>
      </c>
      <c r="D31" s="163">
        <v>241500</v>
      </c>
      <c r="E31" s="137">
        <f t="shared" si="2"/>
        <v>31161</v>
      </c>
      <c r="F31" s="138">
        <f t="shared" si="3"/>
        <v>241500</v>
      </c>
      <c r="G31" s="139">
        <f t="shared" si="4"/>
        <v>8944.4444444444453</v>
      </c>
      <c r="H31" s="140"/>
      <c r="I31" s="141">
        <f t="shared" si="5"/>
        <v>241500</v>
      </c>
      <c r="J31" s="142">
        <f t="shared" si="6"/>
        <v>9288.461538461539</v>
      </c>
      <c r="K31" s="143">
        <v>2275</v>
      </c>
      <c r="L31" s="144">
        <f t="shared" si="7"/>
        <v>239225</v>
      </c>
      <c r="M31" s="145">
        <f t="shared" si="8"/>
        <v>9569</v>
      </c>
      <c r="N31" s="146">
        <v>7787</v>
      </c>
      <c r="O31" s="144">
        <f t="shared" si="9"/>
        <v>231438</v>
      </c>
      <c r="P31" s="145">
        <f t="shared" si="10"/>
        <v>9643.25</v>
      </c>
      <c r="Q31" s="146">
        <v>5669</v>
      </c>
      <c r="R31" s="147">
        <f t="shared" si="11"/>
        <v>225769</v>
      </c>
      <c r="S31" s="139">
        <f t="shared" si="12"/>
        <v>9816.04347826087</v>
      </c>
      <c r="T31" s="140">
        <v>5605</v>
      </c>
      <c r="U31" s="138">
        <f t="shared" si="13"/>
        <v>220164</v>
      </c>
      <c r="V31" s="139">
        <f t="shared" si="14"/>
        <v>10007.454545454546</v>
      </c>
      <c r="W31" s="140">
        <v>2882</v>
      </c>
      <c r="X31" s="138">
        <f t="shared" si="15"/>
        <v>217282</v>
      </c>
      <c r="Y31" s="139">
        <f t="shared" si="16"/>
        <v>10346.761904761905</v>
      </c>
      <c r="Z31" s="140">
        <v>6943</v>
      </c>
      <c r="AA31" s="148">
        <f t="shared" si="17"/>
        <v>210339</v>
      </c>
      <c r="AB31" s="139">
        <f t="shared" si="0"/>
        <v>10516.95</v>
      </c>
      <c r="AC31" s="140"/>
      <c r="AD31" s="148">
        <f t="shared" si="1"/>
        <v>210339</v>
      </c>
      <c r="AE31" s="150">
        <f t="shared" si="18"/>
        <v>11070.473684210527</v>
      </c>
      <c r="AF31" s="140"/>
      <c r="AG31" s="148">
        <f t="shared" si="19"/>
        <v>210339</v>
      </c>
      <c r="AH31" s="150">
        <f t="shared" si="20"/>
        <v>11685.5</v>
      </c>
      <c r="AI31" s="140"/>
      <c r="AJ31" s="148">
        <f t="shared" si="21"/>
        <v>210339</v>
      </c>
      <c r="AK31" s="139">
        <f t="shared" si="22"/>
        <v>12372.882352941177</v>
      </c>
      <c r="AL31" s="140"/>
      <c r="AM31" s="138">
        <f t="shared" si="23"/>
        <v>210339</v>
      </c>
      <c r="AN31" s="139">
        <f t="shared" si="24"/>
        <v>13146.1875</v>
      </c>
      <c r="AO31" s="140"/>
      <c r="AP31" s="138">
        <f t="shared" si="25"/>
        <v>210339</v>
      </c>
      <c r="AQ31" s="139">
        <f t="shared" si="26"/>
        <v>14022.6</v>
      </c>
      <c r="AR31" s="140"/>
      <c r="AS31" s="138">
        <f t="shared" si="27"/>
        <v>210339</v>
      </c>
      <c r="AT31" s="139">
        <f t="shared" si="28"/>
        <v>15024.214285714286</v>
      </c>
      <c r="AU31" s="140"/>
      <c r="AV31" s="138">
        <f t="shared" si="29"/>
        <v>210339</v>
      </c>
      <c r="AW31" s="139">
        <f t="shared" si="30"/>
        <v>16179.923076923076</v>
      </c>
      <c r="AX31" s="140"/>
      <c r="AY31" s="138">
        <f t="shared" si="31"/>
        <v>210339</v>
      </c>
      <c r="AZ31" s="139">
        <f t="shared" si="32"/>
        <v>17528.25</v>
      </c>
      <c r="BA31" s="140"/>
      <c r="BB31" s="138">
        <f t="shared" si="33"/>
        <v>210339</v>
      </c>
      <c r="BC31" s="139">
        <f t="shared" si="34"/>
        <v>19121.727272727272</v>
      </c>
      <c r="BD31" s="140"/>
      <c r="BE31" s="138">
        <f t="shared" si="35"/>
        <v>210339</v>
      </c>
      <c r="BF31" s="139">
        <f t="shared" si="36"/>
        <v>21033.9</v>
      </c>
      <c r="BG31" s="140"/>
      <c r="BH31" s="138">
        <f t="shared" si="37"/>
        <v>210339</v>
      </c>
      <c r="BI31" s="139">
        <f t="shared" si="38"/>
        <v>23371</v>
      </c>
      <c r="BJ31" s="140"/>
      <c r="BK31" s="138">
        <f t="shared" si="39"/>
        <v>210339</v>
      </c>
      <c r="BL31" s="139">
        <f t="shared" si="40"/>
        <v>26292.375</v>
      </c>
      <c r="BM31" s="140"/>
      <c r="BN31" s="138">
        <f t="shared" si="41"/>
        <v>210339</v>
      </c>
      <c r="BO31" s="139">
        <f t="shared" si="42"/>
        <v>30048.428571428572</v>
      </c>
      <c r="BP31" s="140"/>
      <c r="BQ31" s="138">
        <f t="shared" si="43"/>
        <v>210339</v>
      </c>
      <c r="BR31" s="139">
        <f t="shared" si="44"/>
        <v>35056.5</v>
      </c>
      <c r="BS31" s="140"/>
      <c r="BT31" s="138">
        <f t="shared" si="45"/>
        <v>210339</v>
      </c>
      <c r="BU31" s="139">
        <f t="shared" si="46"/>
        <v>42067.8</v>
      </c>
      <c r="BV31" s="140"/>
      <c r="BW31" s="138">
        <f t="shared" si="47"/>
        <v>210339</v>
      </c>
      <c r="BX31" s="139">
        <f t="shared" si="48"/>
        <v>52584.75</v>
      </c>
      <c r="BY31" s="140"/>
      <c r="BZ31" s="138">
        <f t="shared" si="49"/>
        <v>210339</v>
      </c>
      <c r="CA31" s="139">
        <f t="shared" si="50"/>
        <v>70113</v>
      </c>
      <c r="CB31" s="140"/>
      <c r="CC31" s="138">
        <f t="shared" si="51"/>
        <v>210339</v>
      </c>
      <c r="CD31" s="139">
        <f t="shared" si="52"/>
        <v>105169.5</v>
      </c>
      <c r="CE31" s="140"/>
      <c r="CF31" s="138">
        <f t="shared" si="53"/>
        <v>210339</v>
      </c>
      <c r="CG31" s="139">
        <f t="shared" si="54"/>
        <v>210339</v>
      </c>
      <c r="CH31" s="152"/>
    </row>
    <row r="32" spans="1:86" s="161" customFormat="1" ht="20.25" thickBot="1" x14ac:dyDescent="0.3">
      <c r="A32" s="291"/>
      <c r="B32" s="289"/>
      <c r="C32" s="175" t="s">
        <v>100</v>
      </c>
      <c r="D32" s="176">
        <v>80</v>
      </c>
      <c r="E32" s="137">
        <f t="shared" si="2"/>
        <v>15</v>
      </c>
      <c r="F32" s="138">
        <f t="shared" si="3"/>
        <v>80</v>
      </c>
      <c r="G32" s="139">
        <f t="shared" si="4"/>
        <v>2.9629629629629628</v>
      </c>
      <c r="H32" s="156"/>
      <c r="I32" s="141">
        <f t="shared" si="5"/>
        <v>80</v>
      </c>
      <c r="J32" s="142">
        <f t="shared" si="6"/>
        <v>3.0769230769230771</v>
      </c>
      <c r="K32" s="143"/>
      <c r="L32" s="144">
        <f t="shared" si="7"/>
        <v>80</v>
      </c>
      <c r="M32" s="145">
        <f t="shared" si="8"/>
        <v>3.2</v>
      </c>
      <c r="N32" s="157"/>
      <c r="O32" s="144">
        <f t="shared" si="9"/>
        <v>80</v>
      </c>
      <c r="P32" s="145">
        <f t="shared" si="10"/>
        <v>3.3333333333333335</v>
      </c>
      <c r="Q32" s="157"/>
      <c r="R32" s="147">
        <f t="shared" si="11"/>
        <v>80</v>
      </c>
      <c r="S32" s="139">
        <f t="shared" si="12"/>
        <v>3.4782608695652173</v>
      </c>
      <c r="T32" s="156">
        <v>9</v>
      </c>
      <c r="U32" s="138">
        <f t="shared" si="13"/>
        <v>71</v>
      </c>
      <c r="V32" s="139">
        <f t="shared" si="14"/>
        <v>3.2272727272727271</v>
      </c>
      <c r="W32" s="156">
        <v>3</v>
      </c>
      <c r="X32" s="138">
        <f t="shared" si="15"/>
        <v>68</v>
      </c>
      <c r="Y32" s="139">
        <f t="shared" si="16"/>
        <v>3.2380952380952381</v>
      </c>
      <c r="Z32" s="156">
        <v>3</v>
      </c>
      <c r="AA32" s="148">
        <f t="shared" si="17"/>
        <v>65</v>
      </c>
      <c r="AB32" s="139">
        <f t="shared" si="0"/>
        <v>3.25</v>
      </c>
      <c r="AC32" s="156"/>
      <c r="AD32" s="148">
        <f t="shared" si="1"/>
        <v>65</v>
      </c>
      <c r="AE32" s="150">
        <f t="shared" si="18"/>
        <v>3.4210526315789473</v>
      </c>
      <c r="AF32" s="156"/>
      <c r="AG32" s="148">
        <f t="shared" si="19"/>
        <v>65</v>
      </c>
      <c r="AH32" s="150">
        <f t="shared" si="20"/>
        <v>3.6111111111111112</v>
      </c>
      <c r="AI32" s="156"/>
      <c r="AJ32" s="148">
        <f t="shared" si="21"/>
        <v>65</v>
      </c>
      <c r="AK32" s="139">
        <f t="shared" si="22"/>
        <v>3.8235294117647061</v>
      </c>
      <c r="AL32" s="156"/>
      <c r="AM32" s="138">
        <f t="shared" si="23"/>
        <v>65</v>
      </c>
      <c r="AN32" s="139">
        <f t="shared" si="24"/>
        <v>4.0625</v>
      </c>
      <c r="AO32" s="156"/>
      <c r="AP32" s="138">
        <f t="shared" si="25"/>
        <v>65</v>
      </c>
      <c r="AQ32" s="139">
        <f t="shared" si="26"/>
        <v>4.333333333333333</v>
      </c>
      <c r="AR32" s="156"/>
      <c r="AS32" s="138">
        <f t="shared" si="27"/>
        <v>65</v>
      </c>
      <c r="AT32" s="139">
        <f t="shared" si="28"/>
        <v>4.6428571428571432</v>
      </c>
      <c r="AU32" s="156"/>
      <c r="AV32" s="138">
        <f t="shared" si="29"/>
        <v>65</v>
      </c>
      <c r="AW32" s="139">
        <f t="shared" si="30"/>
        <v>5</v>
      </c>
      <c r="AX32" s="156"/>
      <c r="AY32" s="138">
        <f t="shared" si="31"/>
        <v>65</v>
      </c>
      <c r="AZ32" s="139">
        <f t="shared" si="32"/>
        <v>5.416666666666667</v>
      </c>
      <c r="BA32" s="156"/>
      <c r="BB32" s="138">
        <f t="shared" si="33"/>
        <v>65</v>
      </c>
      <c r="BC32" s="139">
        <f t="shared" si="34"/>
        <v>5.9090909090909092</v>
      </c>
      <c r="BD32" s="156"/>
      <c r="BE32" s="138">
        <f t="shared" si="35"/>
        <v>65</v>
      </c>
      <c r="BF32" s="139">
        <f t="shared" si="36"/>
        <v>6.5</v>
      </c>
      <c r="BG32" s="156"/>
      <c r="BH32" s="138">
        <f t="shared" si="37"/>
        <v>65</v>
      </c>
      <c r="BI32" s="139">
        <f t="shared" si="38"/>
        <v>7.2222222222222223</v>
      </c>
      <c r="BJ32" s="156"/>
      <c r="BK32" s="138">
        <f t="shared" si="39"/>
        <v>65</v>
      </c>
      <c r="BL32" s="139">
        <f t="shared" si="40"/>
        <v>8.125</v>
      </c>
      <c r="BM32" s="156"/>
      <c r="BN32" s="138">
        <f t="shared" si="41"/>
        <v>65</v>
      </c>
      <c r="BO32" s="139">
        <f t="shared" si="42"/>
        <v>9.2857142857142865</v>
      </c>
      <c r="BP32" s="156"/>
      <c r="BQ32" s="138">
        <f t="shared" si="43"/>
        <v>65</v>
      </c>
      <c r="BR32" s="139">
        <f t="shared" si="44"/>
        <v>10.833333333333334</v>
      </c>
      <c r="BS32" s="156"/>
      <c r="BT32" s="138">
        <f t="shared" si="45"/>
        <v>65</v>
      </c>
      <c r="BU32" s="139">
        <f t="shared" si="46"/>
        <v>13</v>
      </c>
      <c r="BV32" s="156"/>
      <c r="BW32" s="138">
        <f t="shared" si="47"/>
        <v>65</v>
      </c>
      <c r="BX32" s="139">
        <f t="shared" si="48"/>
        <v>16.25</v>
      </c>
      <c r="BY32" s="156"/>
      <c r="BZ32" s="138">
        <f t="shared" si="49"/>
        <v>65</v>
      </c>
      <c r="CA32" s="139">
        <f t="shared" si="50"/>
        <v>21.666666666666668</v>
      </c>
      <c r="CB32" s="156"/>
      <c r="CC32" s="138">
        <f t="shared" si="51"/>
        <v>65</v>
      </c>
      <c r="CD32" s="139">
        <f t="shared" si="52"/>
        <v>32.5</v>
      </c>
      <c r="CE32" s="156"/>
      <c r="CF32" s="138">
        <f t="shared" si="53"/>
        <v>65</v>
      </c>
      <c r="CG32" s="139">
        <f t="shared" si="54"/>
        <v>65</v>
      </c>
      <c r="CH32" s="160"/>
    </row>
    <row r="33" spans="1:86" s="174" customFormat="1" ht="20.25" thickBot="1" x14ac:dyDescent="0.3">
      <c r="A33" s="291"/>
      <c r="B33" s="288" t="s">
        <v>50</v>
      </c>
      <c r="C33" s="179" t="s">
        <v>99</v>
      </c>
      <c r="D33" s="163">
        <v>215250</v>
      </c>
      <c r="E33" s="137">
        <f t="shared" si="2"/>
        <v>26574</v>
      </c>
      <c r="F33" s="138">
        <f t="shared" si="3"/>
        <v>215250</v>
      </c>
      <c r="G33" s="139">
        <f t="shared" si="4"/>
        <v>7972.2222222222226</v>
      </c>
      <c r="H33" s="140"/>
      <c r="I33" s="141">
        <f t="shared" si="5"/>
        <v>215250</v>
      </c>
      <c r="J33" s="142">
        <f t="shared" si="6"/>
        <v>8278.8461538461543</v>
      </c>
      <c r="K33" s="143">
        <v>2687</v>
      </c>
      <c r="L33" s="144">
        <f t="shared" si="7"/>
        <v>212563</v>
      </c>
      <c r="M33" s="145">
        <f t="shared" si="8"/>
        <v>8502.52</v>
      </c>
      <c r="N33" s="146">
        <v>4221</v>
      </c>
      <c r="O33" s="144">
        <f t="shared" si="9"/>
        <v>208342</v>
      </c>
      <c r="P33" s="145">
        <f t="shared" si="10"/>
        <v>8680.9166666666661</v>
      </c>
      <c r="Q33" s="146">
        <v>5253</v>
      </c>
      <c r="R33" s="147">
        <f t="shared" si="11"/>
        <v>203089</v>
      </c>
      <c r="S33" s="139">
        <f t="shared" si="12"/>
        <v>8829.95652173913</v>
      </c>
      <c r="T33" s="140">
        <v>5558</v>
      </c>
      <c r="U33" s="138">
        <f t="shared" si="13"/>
        <v>197531</v>
      </c>
      <c r="V33" s="139">
        <f t="shared" si="14"/>
        <v>8978.681818181818</v>
      </c>
      <c r="W33" s="140">
        <v>6331</v>
      </c>
      <c r="X33" s="138">
        <f t="shared" si="15"/>
        <v>191200</v>
      </c>
      <c r="Y33" s="139">
        <f t="shared" si="16"/>
        <v>9104.7619047619046</v>
      </c>
      <c r="Z33" s="140">
        <v>2524</v>
      </c>
      <c r="AA33" s="148">
        <f t="shared" si="17"/>
        <v>188676</v>
      </c>
      <c r="AB33" s="139">
        <f t="shared" si="0"/>
        <v>9433.7999999999993</v>
      </c>
      <c r="AC33" s="140"/>
      <c r="AD33" s="148">
        <f t="shared" si="1"/>
        <v>188676</v>
      </c>
      <c r="AE33" s="150">
        <f t="shared" si="18"/>
        <v>9930.3157894736851</v>
      </c>
      <c r="AF33" s="140"/>
      <c r="AG33" s="148">
        <f t="shared" si="19"/>
        <v>188676</v>
      </c>
      <c r="AH33" s="150">
        <f t="shared" si="20"/>
        <v>10482</v>
      </c>
      <c r="AI33" s="140"/>
      <c r="AJ33" s="148">
        <f t="shared" si="21"/>
        <v>188676</v>
      </c>
      <c r="AK33" s="139">
        <f t="shared" si="22"/>
        <v>11098.588235294117</v>
      </c>
      <c r="AL33" s="140"/>
      <c r="AM33" s="138">
        <f t="shared" si="23"/>
        <v>188676</v>
      </c>
      <c r="AN33" s="139">
        <f t="shared" si="24"/>
        <v>11792.25</v>
      </c>
      <c r="AO33" s="140"/>
      <c r="AP33" s="138">
        <f t="shared" si="25"/>
        <v>188676</v>
      </c>
      <c r="AQ33" s="139">
        <f t="shared" si="26"/>
        <v>12578.4</v>
      </c>
      <c r="AR33" s="140"/>
      <c r="AS33" s="138">
        <f t="shared" si="27"/>
        <v>188676</v>
      </c>
      <c r="AT33" s="139">
        <f t="shared" si="28"/>
        <v>13476.857142857143</v>
      </c>
      <c r="AU33" s="140"/>
      <c r="AV33" s="138">
        <f t="shared" si="29"/>
        <v>188676</v>
      </c>
      <c r="AW33" s="139">
        <f t="shared" si="30"/>
        <v>14513.538461538461</v>
      </c>
      <c r="AX33" s="140"/>
      <c r="AY33" s="138">
        <f t="shared" si="31"/>
        <v>188676</v>
      </c>
      <c r="AZ33" s="139">
        <f t="shared" si="32"/>
        <v>15723</v>
      </c>
      <c r="BA33" s="140"/>
      <c r="BB33" s="138">
        <f t="shared" si="33"/>
        <v>188676</v>
      </c>
      <c r="BC33" s="139">
        <f t="shared" si="34"/>
        <v>17152.363636363636</v>
      </c>
      <c r="BD33" s="140"/>
      <c r="BE33" s="138">
        <f t="shared" si="35"/>
        <v>188676</v>
      </c>
      <c r="BF33" s="139">
        <f t="shared" si="36"/>
        <v>18867.599999999999</v>
      </c>
      <c r="BG33" s="140"/>
      <c r="BH33" s="138">
        <f t="shared" si="37"/>
        <v>188676</v>
      </c>
      <c r="BI33" s="139">
        <f t="shared" si="38"/>
        <v>20964</v>
      </c>
      <c r="BJ33" s="140"/>
      <c r="BK33" s="138">
        <f t="shared" si="39"/>
        <v>188676</v>
      </c>
      <c r="BL33" s="139">
        <f t="shared" si="40"/>
        <v>23584.5</v>
      </c>
      <c r="BM33" s="140"/>
      <c r="BN33" s="138">
        <f t="shared" si="41"/>
        <v>188676</v>
      </c>
      <c r="BO33" s="139">
        <f t="shared" si="42"/>
        <v>26953.714285714286</v>
      </c>
      <c r="BP33" s="140"/>
      <c r="BQ33" s="138">
        <f t="shared" si="43"/>
        <v>188676</v>
      </c>
      <c r="BR33" s="139">
        <f t="shared" si="44"/>
        <v>31446</v>
      </c>
      <c r="BS33" s="140"/>
      <c r="BT33" s="138">
        <f t="shared" si="45"/>
        <v>188676</v>
      </c>
      <c r="BU33" s="139">
        <f t="shared" si="46"/>
        <v>37735.199999999997</v>
      </c>
      <c r="BV33" s="140"/>
      <c r="BW33" s="138">
        <f t="shared" si="47"/>
        <v>188676</v>
      </c>
      <c r="BX33" s="139">
        <f t="shared" si="48"/>
        <v>47169</v>
      </c>
      <c r="BY33" s="140"/>
      <c r="BZ33" s="138">
        <f t="shared" si="49"/>
        <v>188676</v>
      </c>
      <c r="CA33" s="139">
        <f t="shared" si="50"/>
        <v>62892</v>
      </c>
      <c r="CB33" s="140"/>
      <c r="CC33" s="138">
        <f t="shared" si="51"/>
        <v>188676</v>
      </c>
      <c r="CD33" s="139">
        <f t="shared" si="52"/>
        <v>94338</v>
      </c>
      <c r="CE33" s="140"/>
      <c r="CF33" s="138">
        <f t="shared" si="53"/>
        <v>188676</v>
      </c>
      <c r="CG33" s="139">
        <f t="shared" si="54"/>
        <v>188676</v>
      </c>
      <c r="CH33" s="152"/>
    </row>
    <row r="34" spans="1:86" s="161" customFormat="1" ht="20.25" thickBot="1" x14ac:dyDescent="0.3">
      <c r="A34" s="291"/>
      <c r="B34" s="289"/>
      <c r="C34" s="175" t="s">
        <v>100</v>
      </c>
      <c r="D34" s="176">
        <v>80</v>
      </c>
      <c r="E34" s="137">
        <f t="shared" si="2"/>
        <v>26</v>
      </c>
      <c r="F34" s="138">
        <f t="shared" si="3"/>
        <v>80</v>
      </c>
      <c r="G34" s="139">
        <f t="shared" si="4"/>
        <v>2.9629629629629628</v>
      </c>
      <c r="H34" s="156"/>
      <c r="I34" s="141">
        <f t="shared" si="5"/>
        <v>80</v>
      </c>
      <c r="J34" s="142">
        <f t="shared" si="6"/>
        <v>3.0769230769230771</v>
      </c>
      <c r="K34" s="143"/>
      <c r="L34" s="144">
        <f t="shared" si="7"/>
        <v>80</v>
      </c>
      <c r="M34" s="145">
        <f t="shared" si="8"/>
        <v>3.2</v>
      </c>
      <c r="N34" s="157"/>
      <c r="O34" s="144">
        <f t="shared" si="9"/>
        <v>80</v>
      </c>
      <c r="P34" s="145">
        <f t="shared" si="10"/>
        <v>3.3333333333333335</v>
      </c>
      <c r="Q34" s="157"/>
      <c r="R34" s="147">
        <f t="shared" si="11"/>
        <v>80</v>
      </c>
      <c r="S34" s="139">
        <f t="shared" si="12"/>
        <v>3.4782608695652173</v>
      </c>
      <c r="T34" s="156">
        <v>19</v>
      </c>
      <c r="U34" s="138">
        <f t="shared" si="13"/>
        <v>61</v>
      </c>
      <c r="V34" s="139">
        <f t="shared" si="14"/>
        <v>2.7727272727272729</v>
      </c>
      <c r="W34" s="156">
        <v>2</v>
      </c>
      <c r="X34" s="138">
        <f t="shared" si="15"/>
        <v>59</v>
      </c>
      <c r="Y34" s="139">
        <f t="shared" si="16"/>
        <v>2.8095238095238093</v>
      </c>
      <c r="Z34" s="156">
        <v>5</v>
      </c>
      <c r="AA34" s="148">
        <f t="shared" si="17"/>
        <v>54</v>
      </c>
      <c r="AB34" s="139">
        <f t="shared" si="0"/>
        <v>2.7</v>
      </c>
      <c r="AC34" s="156"/>
      <c r="AD34" s="148">
        <f t="shared" si="1"/>
        <v>54</v>
      </c>
      <c r="AE34" s="150">
        <f t="shared" si="18"/>
        <v>2.8421052631578947</v>
      </c>
      <c r="AF34" s="156"/>
      <c r="AG34" s="148">
        <f t="shared" si="19"/>
        <v>54</v>
      </c>
      <c r="AH34" s="150">
        <f t="shared" si="20"/>
        <v>3</v>
      </c>
      <c r="AI34" s="156"/>
      <c r="AJ34" s="148">
        <f t="shared" si="21"/>
        <v>54</v>
      </c>
      <c r="AK34" s="139">
        <f t="shared" si="22"/>
        <v>3.1764705882352939</v>
      </c>
      <c r="AL34" s="156"/>
      <c r="AM34" s="138">
        <f t="shared" si="23"/>
        <v>54</v>
      </c>
      <c r="AN34" s="139">
        <f t="shared" si="24"/>
        <v>3.375</v>
      </c>
      <c r="AO34" s="156"/>
      <c r="AP34" s="138">
        <f t="shared" si="25"/>
        <v>54</v>
      </c>
      <c r="AQ34" s="139">
        <f t="shared" si="26"/>
        <v>3.6</v>
      </c>
      <c r="AR34" s="156"/>
      <c r="AS34" s="138">
        <f t="shared" si="27"/>
        <v>54</v>
      </c>
      <c r="AT34" s="139">
        <f t="shared" si="28"/>
        <v>3.8571428571428572</v>
      </c>
      <c r="AU34" s="156"/>
      <c r="AV34" s="138">
        <f t="shared" si="29"/>
        <v>54</v>
      </c>
      <c r="AW34" s="139">
        <f t="shared" si="30"/>
        <v>4.1538461538461542</v>
      </c>
      <c r="AX34" s="156"/>
      <c r="AY34" s="138">
        <f t="shared" si="31"/>
        <v>54</v>
      </c>
      <c r="AZ34" s="139">
        <f t="shared" si="32"/>
        <v>4.5</v>
      </c>
      <c r="BA34" s="156"/>
      <c r="BB34" s="138">
        <f t="shared" si="33"/>
        <v>54</v>
      </c>
      <c r="BC34" s="139">
        <f t="shared" si="34"/>
        <v>4.9090909090909092</v>
      </c>
      <c r="BD34" s="156"/>
      <c r="BE34" s="138">
        <f t="shared" si="35"/>
        <v>54</v>
      </c>
      <c r="BF34" s="139">
        <f t="shared" si="36"/>
        <v>5.4</v>
      </c>
      <c r="BG34" s="156"/>
      <c r="BH34" s="138">
        <f t="shared" si="37"/>
        <v>54</v>
      </c>
      <c r="BI34" s="139">
        <f t="shared" si="38"/>
        <v>6</v>
      </c>
      <c r="BJ34" s="156"/>
      <c r="BK34" s="138">
        <f t="shared" si="39"/>
        <v>54</v>
      </c>
      <c r="BL34" s="139">
        <f t="shared" si="40"/>
        <v>6.75</v>
      </c>
      <c r="BM34" s="156"/>
      <c r="BN34" s="138">
        <f t="shared" si="41"/>
        <v>54</v>
      </c>
      <c r="BO34" s="139">
        <f t="shared" si="42"/>
        <v>7.7142857142857144</v>
      </c>
      <c r="BP34" s="156"/>
      <c r="BQ34" s="138">
        <f t="shared" si="43"/>
        <v>54</v>
      </c>
      <c r="BR34" s="139">
        <f t="shared" si="44"/>
        <v>9</v>
      </c>
      <c r="BS34" s="156"/>
      <c r="BT34" s="138">
        <f t="shared" si="45"/>
        <v>54</v>
      </c>
      <c r="BU34" s="139">
        <f t="shared" si="46"/>
        <v>10.8</v>
      </c>
      <c r="BV34" s="156"/>
      <c r="BW34" s="138">
        <f t="shared" si="47"/>
        <v>54</v>
      </c>
      <c r="BX34" s="139">
        <f t="shared" si="48"/>
        <v>13.5</v>
      </c>
      <c r="BY34" s="156"/>
      <c r="BZ34" s="138">
        <f t="shared" si="49"/>
        <v>54</v>
      </c>
      <c r="CA34" s="139">
        <f t="shared" si="50"/>
        <v>18</v>
      </c>
      <c r="CB34" s="156"/>
      <c r="CC34" s="138">
        <f t="shared" si="51"/>
        <v>54</v>
      </c>
      <c r="CD34" s="139">
        <f t="shared" si="52"/>
        <v>27</v>
      </c>
      <c r="CE34" s="156"/>
      <c r="CF34" s="138">
        <f t="shared" si="53"/>
        <v>54</v>
      </c>
      <c r="CG34" s="139">
        <f t="shared" si="54"/>
        <v>54</v>
      </c>
      <c r="CH34" s="160"/>
    </row>
    <row r="35" spans="1:86" s="177" customFormat="1" ht="20.25" thickBot="1" x14ac:dyDescent="0.3">
      <c r="A35" s="291"/>
      <c r="B35" s="288" t="s">
        <v>38</v>
      </c>
      <c r="C35" s="179" t="s">
        <v>99</v>
      </c>
      <c r="D35" s="163">
        <v>651000</v>
      </c>
      <c r="E35" s="137">
        <f t="shared" si="2"/>
        <v>87137</v>
      </c>
      <c r="F35" s="138">
        <f t="shared" si="3"/>
        <v>651000</v>
      </c>
      <c r="G35" s="139">
        <f t="shared" si="4"/>
        <v>24111.111111111109</v>
      </c>
      <c r="H35" s="140"/>
      <c r="I35" s="141">
        <f t="shared" si="5"/>
        <v>651000</v>
      </c>
      <c r="J35" s="142">
        <f t="shared" si="6"/>
        <v>25038.461538461539</v>
      </c>
      <c r="K35" s="143">
        <v>17109</v>
      </c>
      <c r="L35" s="144">
        <f t="shared" si="7"/>
        <v>633891</v>
      </c>
      <c r="M35" s="145">
        <f t="shared" si="8"/>
        <v>25355.64</v>
      </c>
      <c r="N35" s="146">
        <v>9594</v>
      </c>
      <c r="O35" s="144">
        <f t="shared" si="9"/>
        <v>624297</v>
      </c>
      <c r="P35" s="145">
        <f t="shared" si="10"/>
        <v>26012.375</v>
      </c>
      <c r="Q35" s="146">
        <v>16884</v>
      </c>
      <c r="R35" s="147">
        <f t="shared" si="11"/>
        <v>607413</v>
      </c>
      <c r="S35" s="139">
        <f t="shared" si="12"/>
        <v>26409.260869565216</v>
      </c>
      <c r="T35" s="140">
        <v>13216</v>
      </c>
      <c r="U35" s="138">
        <f t="shared" si="13"/>
        <v>594197</v>
      </c>
      <c r="V35" s="139">
        <f t="shared" si="14"/>
        <v>27008.954545454544</v>
      </c>
      <c r="W35" s="140">
        <v>19022</v>
      </c>
      <c r="X35" s="138">
        <f t="shared" si="15"/>
        <v>575175</v>
      </c>
      <c r="Y35" s="139">
        <f t="shared" si="16"/>
        <v>27389.285714285714</v>
      </c>
      <c r="Z35" s="140">
        <v>11312</v>
      </c>
      <c r="AA35" s="148">
        <f t="shared" si="17"/>
        <v>563863</v>
      </c>
      <c r="AB35" s="139">
        <f t="shared" si="0"/>
        <v>28193.15</v>
      </c>
      <c r="AC35" s="140"/>
      <c r="AD35" s="148">
        <f t="shared" si="1"/>
        <v>563863</v>
      </c>
      <c r="AE35" s="150">
        <f t="shared" si="18"/>
        <v>29677</v>
      </c>
      <c r="AF35" s="140"/>
      <c r="AG35" s="148">
        <f t="shared" si="19"/>
        <v>563863</v>
      </c>
      <c r="AH35" s="150">
        <f t="shared" si="20"/>
        <v>31325.722222222223</v>
      </c>
      <c r="AI35" s="140"/>
      <c r="AJ35" s="148">
        <f t="shared" si="21"/>
        <v>563863</v>
      </c>
      <c r="AK35" s="139">
        <f t="shared" si="22"/>
        <v>33168.411764705881</v>
      </c>
      <c r="AL35" s="140"/>
      <c r="AM35" s="138">
        <f t="shared" si="23"/>
        <v>563863</v>
      </c>
      <c r="AN35" s="139">
        <f t="shared" si="24"/>
        <v>35241.4375</v>
      </c>
      <c r="AO35" s="140"/>
      <c r="AP35" s="138">
        <f t="shared" si="25"/>
        <v>563863</v>
      </c>
      <c r="AQ35" s="139">
        <f t="shared" si="26"/>
        <v>37590.866666666669</v>
      </c>
      <c r="AR35" s="140"/>
      <c r="AS35" s="138">
        <f t="shared" si="27"/>
        <v>563863</v>
      </c>
      <c r="AT35" s="139">
        <f t="shared" si="28"/>
        <v>40275.928571428572</v>
      </c>
      <c r="AU35" s="140"/>
      <c r="AV35" s="138">
        <f t="shared" si="29"/>
        <v>563863</v>
      </c>
      <c r="AW35" s="139">
        <f t="shared" si="30"/>
        <v>43374.076923076922</v>
      </c>
      <c r="AX35" s="140"/>
      <c r="AY35" s="138">
        <f t="shared" si="31"/>
        <v>563863</v>
      </c>
      <c r="AZ35" s="139">
        <f t="shared" si="32"/>
        <v>46988.583333333336</v>
      </c>
      <c r="BA35" s="140"/>
      <c r="BB35" s="138">
        <f t="shared" si="33"/>
        <v>563863</v>
      </c>
      <c r="BC35" s="139">
        <f t="shared" si="34"/>
        <v>51260.272727272728</v>
      </c>
      <c r="BD35" s="140"/>
      <c r="BE35" s="138">
        <f t="shared" si="35"/>
        <v>563863</v>
      </c>
      <c r="BF35" s="139">
        <f t="shared" si="36"/>
        <v>56386.3</v>
      </c>
      <c r="BG35" s="140"/>
      <c r="BH35" s="138">
        <f t="shared" si="37"/>
        <v>563863</v>
      </c>
      <c r="BI35" s="139">
        <f t="shared" si="38"/>
        <v>62651.444444444445</v>
      </c>
      <c r="BJ35" s="140"/>
      <c r="BK35" s="138">
        <f t="shared" si="39"/>
        <v>563863</v>
      </c>
      <c r="BL35" s="139">
        <f t="shared" si="40"/>
        <v>70482.875</v>
      </c>
      <c r="BM35" s="140"/>
      <c r="BN35" s="138">
        <f t="shared" si="41"/>
        <v>563863</v>
      </c>
      <c r="BO35" s="139">
        <f t="shared" si="42"/>
        <v>80551.857142857145</v>
      </c>
      <c r="BP35" s="140"/>
      <c r="BQ35" s="138">
        <f t="shared" si="43"/>
        <v>563863</v>
      </c>
      <c r="BR35" s="139">
        <f t="shared" si="44"/>
        <v>93977.166666666672</v>
      </c>
      <c r="BS35" s="140"/>
      <c r="BT35" s="138">
        <f t="shared" si="45"/>
        <v>563863</v>
      </c>
      <c r="BU35" s="139">
        <f t="shared" si="46"/>
        <v>112772.6</v>
      </c>
      <c r="BV35" s="140"/>
      <c r="BW35" s="138">
        <f t="shared" si="47"/>
        <v>563863</v>
      </c>
      <c r="BX35" s="139">
        <f t="shared" si="48"/>
        <v>140965.75</v>
      </c>
      <c r="BY35" s="140"/>
      <c r="BZ35" s="138">
        <f t="shared" si="49"/>
        <v>563863</v>
      </c>
      <c r="CA35" s="139">
        <f t="shared" si="50"/>
        <v>187954.33333333334</v>
      </c>
      <c r="CB35" s="140"/>
      <c r="CC35" s="138">
        <f t="shared" si="51"/>
        <v>563863</v>
      </c>
      <c r="CD35" s="139">
        <f t="shared" si="52"/>
        <v>281931.5</v>
      </c>
      <c r="CE35" s="140"/>
      <c r="CF35" s="138">
        <f t="shared" si="53"/>
        <v>563863</v>
      </c>
      <c r="CG35" s="139">
        <f t="shared" si="54"/>
        <v>563863</v>
      </c>
      <c r="CH35" s="152"/>
    </row>
    <row r="36" spans="1:86" s="161" customFormat="1" ht="20.25" thickBot="1" x14ac:dyDescent="0.3">
      <c r="A36" s="291"/>
      <c r="B36" s="289"/>
      <c r="C36" s="175" t="s">
        <v>100</v>
      </c>
      <c r="D36" s="176">
        <v>120</v>
      </c>
      <c r="E36" s="137">
        <f t="shared" si="2"/>
        <v>46</v>
      </c>
      <c r="F36" s="138">
        <f t="shared" si="3"/>
        <v>120</v>
      </c>
      <c r="G36" s="139">
        <f t="shared" si="4"/>
        <v>4.4444444444444446</v>
      </c>
      <c r="H36" s="156"/>
      <c r="I36" s="141">
        <f t="shared" si="5"/>
        <v>120</v>
      </c>
      <c r="J36" s="142">
        <f t="shared" si="6"/>
        <v>4.615384615384615</v>
      </c>
      <c r="K36" s="143"/>
      <c r="L36" s="144">
        <f t="shared" si="7"/>
        <v>120</v>
      </c>
      <c r="M36" s="145">
        <f t="shared" si="8"/>
        <v>4.8</v>
      </c>
      <c r="N36" s="157"/>
      <c r="O36" s="144">
        <f t="shared" si="9"/>
        <v>120</v>
      </c>
      <c r="P36" s="145">
        <f t="shared" si="10"/>
        <v>5</v>
      </c>
      <c r="Q36" s="157"/>
      <c r="R36" s="147">
        <f t="shared" si="11"/>
        <v>120</v>
      </c>
      <c r="S36" s="139">
        <f t="shared" si="12"/>
        <v>5.2173913043478262</v>
      </c>
      <c r="T36" s="156">
        <v>29</v>
      </c>
      <c r="U36" s="138">
        <f t="shared" si="13"/>
        <v>91</v>
      </c>
      <c r="V36" s="139">
        <f t="shared" si="14"/>
        <v>4.1363636363636367</v>
      </c>
      <c r="W36" s="156">
        <v>10</v>
      </c>
      <c r="X36" s="138">
        <f t="shared" si="15"/>
        <v>81</v>
      </c>
      <c r="Y36" s="139">
        <f t="shared" si="16"/>
        <v>3.8571428571428572</v>
      </c>
      <c r="Z36" s="156">
        <v>7</v>
      </c>
      <c r="AA36" s="148">
        <f t="shared" si="17"/>
        <v>74</v>
      </c>
      <c r="AB36" s="139">
        <f t="shared" si="0"/>
        <v>3.7</v>
      </c>
      <c r="AC36" s="156"/>
      <c r="AD36" s="148">
        <f t="shared" si="1"/>
        <v>74</v>
      </c>
      <c r="AE36" s="150">
        <f t="shared" si="18"/>
        <v>3.8947368421052633</v>
      </c>
      <c r="AF36" s="156"/>
      <c r="AG36" s="148">
        <f t="shared" si="19"/>
        <v>74</v>
      </c>
      <c r="AH36" s="150">
        <f t="shared" si="20"/>
        <v>4.1111111111111107</v>
      </c>
      <c r="AI36" s="156"/>
      <c r="AJ36" s="148">
        <f t="shared" si="21"/>
        <v>74</v>
      </c>
      <c r="AK36" s="139">
        <f t="shared" si="22"/>
        <v>4.3529411764705879</v>
      </c>
      <c r="AL36" s="156"/>
      <c r="AM36" s="138">
        <f t="shared" si="23"/>
        <v>74</v>
      </c>
      <c r="AN36" s="139">
        <f t="shared" si="24"/>
        <v>4.625</v>
      </c>
      <c r="AO36" s="156"/>
      <c r="AP36" s="138">
        <f t="shared" si="25"/>
        <v>74</v>
      </c>
      <c r="AQ36" s="139">
        <f t="shared" si="26"/>
        <v>4.9333333333333336</v>
      </c>
      <c r="AR36" s="156"/>
      <c r="AS36" s="138">
        <f t="shared" si="27"/>
        <v>74</v>
      </c>
      <c r="AT36" s="139">
        <f t="shared" si="28"/>
        <v>5.2857142857142856</v>
      </c>
      <c r="AU36" s="156"/>
      <c r="AV36" s="138">
        <f t="shared" si="29"/>
        <v>74</v>
      </c>
      <c r="AW36" s="139">
        <f t="shared" si="30"/>
        <v>5.6923076923076925</v>
      </c>
      <c r="AX36" s="156"/>
      <c r="AY36" s="138">
        <f t="shared" si="31"/>
        <v>74</v>
      </c>
      <c r="AZ36" s="139">
        <f t="shared" si="32"/>
        <v>6.166666666666667</v>
      </c>
      <c r="BA36" s="156"/>
      <c r="BB36" s="138">
        <f t="shared" si="33"/>
        <v>74</v>
      </c>
      <c r="BC36" s="139">
        <f t="shared" si="34"/>
        <v>6.7272727272727275</v>
      </c>
      <c r="BD36" s="156"/>
      <c r="BE36" s="138">
        <f t="shared" si="35"/>
        <v>74</v>
      </c>
      <c r="BF36" s="139">
        <f t="shared" si="36"/>
        <v>7.4</v>
      </c>
      <c r="BG36" s="156"/>
      <c r="BH36" s="138">
        <f t="shared" si="37"/>
        <v>74</v>
      </c>
      <c r="BI36" s="139">
        <f t="shared" si="38"/>
        <v>8.2222222222222214</v>
      </c>
      <c r="BJ36" s="156"/>
      <c r="BK36" s="138">
        <f t="shared" si="39"/>
        <v>74</v>
      </c>
      <c r="BL36" s="139">
        <f t="shared" si="40"/>
        <v>9.25</v>
      </c>
      <c r="BM36" s="156"/>
      <c r="BN36" s="138">
        <f t="shared" si="41"/>
        <v>74</v>
      </c>
      <c r="BO36" s="139">
        <f t="shared" si="42"/>
        <v>10.571428571428571</v>
      </c>
      <c r="BP36" s="156"/>
      <c r="BQ36" s="138">
        <f t="shared" si="43"/>
        <v>74</v>
      </c>
      <c r="BR36" s="139">
        <f t="shared" si="44"/>
        <v>12.333333333333334</v>
      </c>
      <c r="BS36" s="156"/>
      <c r="BT36" s="138">
        <f t="shared" si="45"/>
        <v>74</v>
      </c>
      <c r="BU36" s="139">
        <f t="shared" si="46"/>
        <v>14.8</v>
      </c>
      <c r="BV36" s="156"/>
      <c r="BW36" s="138">
        <f t="shared" si="47"/>
        <v>74</v>
      </c>
      <c r="BX36" s="139">
        <f t="shared" si="48"/>
        <v>18.5</v>
      </c>
      <c r="BY36" s="156"/>
      <c r="BZ36" s="138">
        <f t="shared" si="49"/>
        <v>74</v>
      </c>
      <c r="CA36" s="139">
        <f t="shared" si="50"/>
        <v>24.666666666666668</v>
      </c>
      <c r="CB36" s="156"/>
      <c r="CC36" s="138">
        <f t="shared" si="51"/>
        <v>74</v>
      </c>
      <c r="CD36" s="139">
        <f t="shared" si="52"/>
        <v>37</v>
      </c>
      <c r="CE36" s="156"/>
      <c r="CF36" s="138">
        <f t="shared" si="53"/>
        <v>74</v>
      </c>
      <c r="CG36" s="139">
        <f t="shared" si="54"/>
        <v>74</v>
      </c>
      <c r="CH36" s="160"/>
    </row>
    <row r="37" spans="1:86" s="186" customFormat="1" ht="20.25" thickBot="1" x14ac:dyDescent="0.3">
      <c r="A37" s="291"/>
      <c r="B37" s="290" t="s">
        <v>39</v>
      </c>
      <c r="C37" s="181" t="s">
        <v>99</v>
      </c>
      <c r="D37" s="182">
        <v>309750</v>
      </c>
      <c r="E37" s="137">
        <f t="shared" si="2"/>
        <v>37632</v>
      </c>
      <c r="F37" s="138">
        <f t="shared" si="3"/>
        <v>309750</v>
      </c>
      <c r="G37" s="139">
        <f t="shared" si="4"/>
        <v>11472.222222222223</v>
      </c>
      <c r="H37" s="183"/>
      <c r="I37" s="141">
        <f t="shared" si="5"/>
        <v>309750</v>
      </c>
      <c r="J37" s="142">
        <f t="shared" si="6"/>
        <v>11913.461538461539</v>
      </c>
      <c r="K37" s="143">
        <v>5292</v>
      </c>
      <c r="L37" s="144">
        <f t="shared" si="7"/>
        <v>304458</v>
      </c>
      <c r="M37" s="145">
        <f t="shared" si="8"/>
        <v>12178.32</v>
      </c>
      <c r="N37" s="184">
        <v>6633</v>
      </c>
      <c r="O37" s="144">
        <f t="shared" si="9"/>
        <v>297825</v>
      </c>
      <c r="P37" s="145">
        <f t="shared" si="10"/>
        <v>12409.375</v>
      </c>
      <c r="Q37" s="184">
        <v>8084</v>
      </c>
      <c r="R37" s="147">
        <f t="shared" si="11"/>
        <v>289741</v>
      </c>
      <c r="S37" s="139">
        <f t="shared" si="12"/>
        <v>12597.434782608696</v>
      </c>
      <c r="T37" s="183">
        <v>5540</v>
      </c>
      <c r="U37" s="138">
        <f t="shared" si="13"/>
        <v>284201</v>
      </c>
      <c r="V37" s="139">
        <f t="shared" si="14"/>
        <v>12918.227272727272</v>
      </c>
      <c r="W37" s="183">
        <v>6016</v>
      </c>
      <c r="X37" s="138">
        <f t="shared" si="15"/>
        <v>278185</v>
      </c>
      <c r="Y37" s="139">
        <f t="shared" si="16"/>
        <v>13246.904761904761</v>
      </c>
      <c r="Z37" s="183">
        <v>6067</v>
      </c>
      <c r="AA37" s="148">
        <f t="shared" si="17"/>
        <v>272118</v>
      </c>
      <c r="AB37" s="139">
        <f t="shared" si="0"/>
        <v>13605.9</v>
      </c>
      <c r="AC37" s="183"/>
      <c r="AD37" s="148">
        <f t="shared" si="1"/>
        <v>272118</v>
      </c>
      <c r="AE37" s="150">
        <f t="shared" si="18"/>
        <v>14322</v>
      </c>
      <c r="AF37" s="183"/>
      <c r="AG37" s="148">
        <f t="shared" si="19"/>
        <v>272118</v>
      </c>
      <c r="AH37" s="150">
        <f t="shared" si="20"/>
        <v>15117.666666666666</v>
      </c>
      <c r="AI37" s="183"/>
      <c r="AJ37" s="148">
        <f t="shared" si="21"/>
        <v>272118</v>
      </c>
      <c r="AK37" s="139">
        <f t="shared" si="22"/>
        <v>16006.941176470587</v>
      </c>
      <c r="AL37" s="183"/>
      <c r="AM37" s="138">
        <f t="shared" si="23"/>
        <v>272118</v>
      </c>
      <c r="AN37" s="139">
        <f t="shared" si="24"/>
        <v>17007.375</v>
      </c>
      <c r="AO37" s="183"/>
      <c r="AP37" s="138">
        <f t="shared" si="25"/>
        <v>272118</v>
      </c>
      <c r="AQ37" s="139">
        <f t="shared" si="26"/>
        <v>18141.2</v>
      </c>
      <c r="AR37" s="183"/>
      <c r="AS37" s="138">
        <f t="shared" si="27"/>
        <v>272118</v>
      </c>
      <c r="AT37" s="139">
        <f t="shared" si="28"/>
        <v>19437</v>
      </c>
      <c r="AU37" s="183"/>
      <c r="AV37" s="138">
        <f t="shared" si="29"/>
        <v>272118</v>
      </c>
      <c r="AW37" s="139">
        <f t="shared" si="30"/>
        <v>20932.153846153848</v>
      </c>
      <c r="AX37" s="183"/>
      <c r="AY37" s="138">
        <f t="shared" si="31"/>
        <v>272118</v>
      </c>
      <c r="AZ37" s="139">
        <f t="shared" si="32"/>
        <v>22676.5</v>
      </c>
      <c r="BA37" s="183"/>
      <c r="BB37" s="138">
        <f t="shared" si="33"/>
        <v>272118</v>
      </c>
      <c r="BC37" s="139">
        <f t="shared" si="34"/>
        <v>24738</v>
      </c>
      <c r="BD37" s="183"/>
      <c r="BE37" s="138">
        <f t="shared" si="35"/>
        <v>272118</v>
      </c>
      <c r="BF37" s="139">
        <f t="shared" si="36"/>
        <v>27211.8</v>
      </c>
      <c r="BG37" s="183"/>
      <c r="BH37" s="138">
        <f t="shared" si="37"/>
        <v>272118</v>
      </c>
      <c r="BI37" s="139">
        <f t="shared" si="38"/>
        <v>30235.333333333332</v>
      </c>
      <c r="BJ37" s="183"/>
      <c r="BK37" s="138">
        <f t="shared" si="39"/>
        <v>272118</v>
      </c>
      <c r="BL37" s="139">
        <f t="shared" si="40"/>
        <v>34014.75</v>
      </c>
      <c r="BM37" s="183"/>
      <c r="BN37" s="138">
        <f t="shared" si="41"/>
        <v>272118</v>
      </c>
      <c r="BO37" s="139">
        <f t="shared" si="42"/>
        <v>38874</v>
      </c>
      <c r="BP37" s="183"/>
      <c r="BQ37" s="138">
        <f t="shared" si="43"/>
        <v>272118</v>
      </c>
      <c r="BR37" s="139">
        <f t="shared" si="44"/>
        <v>45353</v>
      </c>
      <c r="BS37" s="183"/>
      <c r="BT37" s="138">
        <f t="shared" si="45"/>
        <v>272118</v>
      </c>
      <c r="BU37" s="139">
        <f t="shared" si="46"/>
        <v>54423.6</v>
      </c>
      <c r="BV37" s="183"/>
      <c r="BW37" s="138">
        <f t="shared" si="47"/>
        <v>272118</v>
      </c>
      <c r="BX37" s="139">
        <f t="shared" si="48"/>
        <v>68029.5</v>
      </c>
      <c r="BY37" s="183"/>
      <c r="BZ37" s="138">
        <f t="shared" si="49"/>
        <v>272118</v>
      </c>
      <c r="CA37" s="139">
        <f t="shared" si="50"/>
        <v>90706</v>
      </c>
      <c r="CB37" s="183"/>
      <c r="CC37" s="138">
        <f t="shared" si="51"/>
        <v>272118</v>
      </c>
      <c r="CD37" s="139">
        <f t="shared" si="52"/>
        <v>136059</v>
      </c>
      <c r="CE37" s="183"/>
      <c r="CF37" s="138">
        <f t="shared" si="53"/>
        <v>272118</v>
      </c>
      <c r="CG37" s="139">
        <f t="shared" si="54"/>
        <v>272118</v>
      </c>
      <c r="CH37" s="185"/>
    </row>
    <row r="38" spans="1:86" s="93" customFormat="1" ht="20.25" thickBot="1" x14ac:dyDescent="0.3">
      <c r="A38" s="291"/>
      <c r="B38" s="290"/>
      <c r="C38" s="187" t="s">
        <v>100</v>
      </c>
      <c r="D38" s="188">
        <v>100</v>
      </c>
      <c r="E38" s="137">
        <f t="shared" si="2"/>
        <v>26</v>
      </c>
      <c r="F38" s="138">
        <f t="shared" si="3"/>
        <v>100</v>
      </c>
      <c r="G38" s="139">
        <f t="shared" si="4"/>
        <v>3.7037037037037037</v>
      </c>
      <c r="H38" s="189"/>
      <c r="I38" s="141">
        <f t="shared" si="5"/>
        <v>100</v>
      </c>
      <c r="J38" s="142">
        <f t="shared" si="6"/>
        <v>3.8461538461538463</v>
      </c>
      <c r="K38" s="143"/>
      <c r="L38" s="144">
        <f t="shared" si="7"/>
        <v>100</v>
      </c>
      <c r="M38" s="145">
        <f t="shared" si="8"/>
        <v>4</v>
      </c>
      <c r="N38" s="190"/>
      <c r="O38" s="144">
        <f t="shared" si="9"/>
        <v>100</v>
      </c>
      <c r="P38" s="145">
        <f t="shared" si="10"/>
        <v>4.166666666666667</v>
      </c>
      <c r="Q38" s="190"/>
      <c r="R38" s="147">
        <f t="shared" si="11"/>
        <v>100</v>
      </c>
      <c r="S38" s="139">
        <f t="shared" si="12"/>
        <v>4.3478260869565215</v>
      </c>
      <c r="T38" s="189">
        <v>19</v>
      </c>
      <c r="U38" s="138">
        <f t="shared" si="13"/>
        <v>81</v>
      </c>
      <c r="V38" s="139">
        <f t="shared" si="14"/>
        <v>3.6818181818181817</v>
      </c>
      <c r="W38" s="189">
        <v>3</v>
      </c>
      <c r="X38" s="138">
        <f t="shared" si="15"/>
        <v>78</v>
      </c>
      <c r="Y38" s="139">
        <f t="shared" si="16"/>
        <v>3.7142857142857144</v>
      </c>
      <c r="Z38" s="189">
        <v>4</v>
      </c>
      <c r="AA38" s="148">
        <f t="shared" si="17"/>
        <v>74</v>
      </c>
      <c r="AB38" s="139">
        <f t="shared" si="0"/>
        <v>3.7</v>
      </c>
      <c r="AC38" s="189"/>
      <c r="AD38" s="148">
        <f t="shared" si="1"/>
        <v>74</v>
      </c>
      <c r="AE38" s="150">
        <f t="shared" si="18"/>
        <v>3.8947368421052633</v>
      </c>
      <c r="AF38" s="189"/>
      <c r="AG38" s="148">
        <f t="shared" si="19"/>
        <v>74</v>
      </c>
      <c r="AH38" s="150">
        <f t="shared" si="20"/>
        <v>4.1111111111111107</v>
      </c>
      <c r="AI38" s="189"/>
      <c r="AJ38" s="148">
        <f t="shared" si="21"/>
        <v>74</v>
      </c>
      <c r="AK38" s="139">
        <f t="shared" si="22"/>
        <v>4.3529411764705879</v>
      </c>
      <c r="AL38" s="189"/>
      <c r="AM38" s="138">
        <f t="shared" si="23"/>
        <v>74</v>
      </c>
      <c r="AN38" s="139">
        <f t="shared" si="24"/>
        <v>4.625</v>
      </c>
      <c r="AO38" s="189"/>
      <c r="AP38" s="138">
        <f t="shared" si="25"/>
        <v>74</v>
      </c>
      <c r="AQ38" s="139">
        <f t="shared" si="26"/>
        <v>4.9333333333333336</v>
      </c>
      <c r="AR38" s="189"/>
      <c r="AS38" s="138">
        <f t="shared" si="27"/>
        <v>74</v>
      </c>
      <c r="AT38" s="139">
        <f t="shared" si="28"/>
        <v>5.2857142857142856</v>
      </c>
      <c r="AU38" s="189"/>
      <c r="AV38" s="138">
        <f t="shared" si="29"/>
        <v>74</v>
      </c>
      <c r="AW38" s="139">
        <f t="shared" si="30"/>
        <v>5.6923076923076925</v>
      </c>
      <c r="AX38" s="189"/>
      <c r="AY38" s="138">
        <f t="shared" si="31"/>
        <v>74</v>
      </c>
      <c r="AZ38" s="139">
        <f t="shared" si="32"/>
        <v>6.166666666666667</v>
      </c>
      <c r="BA38" s="189"/>
      <c r="BB38" s="138">
        <f t="shared" si="33"/>
        <v>74</v>
      </c>
      <c r="BC38" s="139">
        <f t="shared" si="34"/>
        <v>6.7272727272727275</v>
      </c>
      <c r="BD38" s="189"/>
      <c r="BE38" s="138">
        <f t="shared" si="35"/>
        <v>74</v>
      </c>
      <c r="BF38" s="139">
        <f t="shared" si="36"/>
        <v>7.4</v>
      </c>
      <c r="BG38" s="189"/>
      <c r="BH38" s="138">
        <f t="shared" si="37"/>
        <v>74</v>
      </c>
      <c r="BI38" s="139">
        <f t="shared" si="38"/>
        <v>8.2222222222222214</v>
      </c>
      <c r="BJ38" s="189"/>
      <c r="BK38" s="138">
        <f t="shared" si="39"/>
        <v>74</v>
      </c>
      <c r="BL38" s="139">
        <f t="shared" si="40"/>
        <v>9.25</v>
      </c>
      <c r="BM38" s="189"/>
      <c r="BN38" s="138">
        <f t="shared" si="41"/>
        <v>74</v>
      </c>
      <c r="BO38" s="139">
        <f t="shared" si="42"/>
        <v>10.571428571428571</v>
      </c>
      <c r="BP38" s="189"/>
      <c r="BQ38" s="138">
        <f t="shared" si="43"/>
        <v>74</v>
      </c>
      <c r="BR38" s="139">
        <f t="shared" si="44"/>
        <v>12.333333333333334</v>
      </c>
      <c r="BS38" s="189"/>
      <c r="BT38" s="138">
        <f t="shared" si="45"/>
        <v>74</v>
      </c>
      <c r="BU38" s="139">
        <f t="shared" si="46"/>
        <v>14.8</v>
      </c>
      <c r="BV38" s="189"/>
      <c r="BW38" s="138">
        <f t="shared" si="47"/>
        <v>74</v>
      </c>
      <c r="BX38" s="139">
        <f t="shared" si="48"/>
        <v>18.5</v>
      </c>
      <c r="BY38" s="189"/>
      <c r="BZ38" s="138">
        <f t="shared" si="49"/>
        <v>74</v>
      </c>
      <c r="CA38" s="139">
        <f t="shared" si="50"/>
        <v>24.666666666666668</v>
      </c>
      <c r="CB38" s="189"/>
      <c r="CC38" s="138">
        <f t="shared" si="51"/>
        <v>74</v>
      </c>
      <c r="CD38" s="139">
        <f t="shared" si="52"/>
        <v>37</v>
      </c>
      <c r="CE38" s="189"/>
      <c r="CF38" s="138">
        <f t="shared" si="53"/>
        <v>74</v>
      </c>
      <c r="CG38" s="139">
        <f t="shared" si="54"/>
        <v>74</v>
      </c>
      <c r="CH38" s="191"/>
    </row>
    <row r="39" spans="1:86" s="177" customFormat="1" ht="20.25" thickBot="1" x14ac:dyDescent="0.3">
      <c r="A39" s="291"/>
      <c r="B39" s="288" t="s">
        <v>40</v>
      </c>
      <c r="C39" s="179" t="s">
        <v>99</v>
      </c>
      <c r="D39" s="163">
        <v>714000</v>
      </c>
      <c r="E39" s="137">
        <f t="shared" si="2"/>
        <v>105442</v>
      </c>
      <c r="F39" s="138">
        <f t="shared" si="3"/>
        <v>714000</v>
      </c>
      <c r="G39" s="139">
        <f t="shared" si="4"/>
        <v>26444.444444444445</v>
      </c>
      <c r="H39" s="140"/>
      <c r="I39" s="141">
        <f t="shared" si="5"/>
        <v>714000</v>
      </c>
      <c r="J39" s="142">
        <f t="shared" si="6"/>
        <v>27461.538461538461</v>
      </c>
      <c r="K39" s="143">
        <v>18554</v>
      </c>
      <c r="L39" s="144">
        <f t="shared" si="7"/>
        <v>695446</v>
      </c>
      <c r="M39" s="145">
        <f t="shared" si="8"/>
        <v>27817.84</v>
      </c>
      <c r="N39" s="146">
        <v>14870</v>
      </c>
      <c r="O39" s="144">
        <f t="shared" si="9"/>
        <v>680576</v>
      </c>
      <c r="P39" s="145">
        <f t="shared" si="10"/>
        <v>28357.333333333332</v>
      </c>
      <c r="Q39" s="146">
        <v>20571</v>
      </c>
      <c r="R39" s="147">
        <f t="shared" si="11"/>
        <v>660005</v>
      </c>
      <c r="S39" s="139">
        <f t="shared" si="12"/>
        <v>28695.869565217392</v>
      </c>
      <c r="T39" s="140">
        <v>14289</v>
      </c>
      <c r="U39" s="138">
        <f t="shared" si="13"/>
        <v>645716</v>
      </c>
      <c r="V39" s="139">
        <f t="shared" si="14"/>
        <v>29350.727272727272</v>
      </c>
      <c r="W39" s="140">
        <v>25000</v>
      </c>
      <c r="X39" s="138">
        <f t="shared" si="15"/>
        <v>620716</v>
      </c>
      <c r="Y39" s="139">
        <f t="shared" si="16"/>
        <v>29557.904761904763</v>
      </c>
      <c r="Z39" s="140">
        <v>12158</v>
      </c>
      <c r="AA39" s="148">
        <f t="shared" si="17"/>
        <v>608558</v>
      </c>
      <c r="AB39" s="139">
        <f t="shared" si="0"/>
        <v>30427.9</v>
      </c>
      <c r="AC39" s="140"/>
      <c r="AD39" s="148">
        <f t="shared" si="1"/>
        <v>608558</v>
      </c>
      <c r="AE39" s="150">
        <f t="shared" si="18"/>
        <v>32029.36842105263</v>
      </c>
      <c r="AF39" s="140"/>
      <c r="AG39" s="148">
        <f t="shared" si="19"/>
        <v>608558</v>
      </c>
      <c r="AH39" s="150">
        <f t="shared" si="20"/>
        <v>33808.777777777781</v>
      </c>
      <c r="AI39" s="140"/>
      <c r="AJ39" s="148">
        <f t="shared" si="21"/>
        <v>608558</v>
      </c>
      <c r="AK39" s="139">
        <f t="shared" si="22"/>
        <v>35797.529411764706</v>
      </c>
      <c r="AL39" s="140"/>
      <c r="AM39" s="138">
        <f t="shared" si="23"/>
        <v>608558</v>
      </c>
      <c r="AN39" s="139">
        <f t="shared" si="24"/>
        <v>38034.875</v>
      </c>
      <c r="AO39" s="140"/>
      <c r="AP39" s="138">
        <f t="shared" si="25"/>
        <v>608558</v>
      </c>
      <c r="AQ39" s="139">
        <f t="shared" si="26"/>
        <v>40570.533333333333</v>
      </c>
      <c r="AR39" s="140"/>
      <c r="AS39" s="138">
        <f t="shared" si="27"/>
        <v>608558</v>
      </c>
      <c r="AT39" s="139">
        <f t="shared" si="28"/>
        <v>43468.428571428572</v>
      </c>
      <c r="AU39" s="140"/>
      <c r="AV39" s="138">
        <f t="shared" si="29"/>
        <v>608558</v>
      </c>
      <c r="AW39" s="139">
        <f t="shared" si="30"/>
        <v>46812.153846153844</v>
      </c>
      <c r="AX39" s="140"/>
      <c r="AY39" s="138">
        <f t="shared" si="31"/>
        <v>608558</v>
      </c>
      <c r="AZ39" s="139">
        <f t="shared" si="32"/>
        <v>50713.166666666664</v>
      </c>
      <c r="BA39" s="140"/>
      <c r="BB39" s="138">
        <f t="shared" si="33"/>
        <v>608558</v>
      </c>
      <c r="BC39" s="139">
        <f t="shared" si="34"/>
        <v>55323.454545454544</v>
      </c>
      <c r="BD39" s="140"/>
      <c r="BE39" s="138">
        <f t="shared" si="35"/>
        <v>608558</v>
      </c>
      <c r="BF39" s="139">
        <f t="shared" si="36"/>
        <v>60855.8</v>
      </c>
      <c r="BG39" s="140"/>
      <c r="BH39" s="138">
        <f t="shared" si="37"/>
        <v>608558</v>
      </c>
      <c r="BI39" s="139">
        <f t="shared" si="38"/>
        <v>67617.555555555562</v>
      </c>
      <c r="BJ39" s="140"/>
      <c r="BK39" s="138">
        <f t="shared" si="39"/>
        <v>608558</v>
      </c>
      <c r="BL39" s="139">
        <f t="shared" si="40"/>
        <v>76069.75</v>
      </c>
      <c r="BM39" s="140"/>
      <c r="BN39" s="138">
        <f t="shared" si="41"/>
        <v>608558</v>
      </c>
      <c r="BO39" s="139">
        <f t="shared" si="42"/>
        <v>86936.857142857145</v>
      </c>
      <c r="BP39" s="140"/>
      <c r="BQ39" s="138">
        <f t="shared" si="43"/>
        <v>608558</v>
      </c>
      <c r="BR39" s="139">
        <f t="shared" si="44"/>
        <v>101426.33333333333</v>
      </c>
      <c r="BS39" s="140"/>
      <c r="BT39" s="138">
        <f t="shared" si="45"/>
        <v>608558</v>
      </c>
      <c r="BU39" s="139">
        <f t="shared" si="46"/>
        <v>121711.6</v>
      </c>
      <c r="BV39" s="140"/>
      <c r="BW39" s="138">
        <f t="shared" si="47"/>
        <v>608558</v>
      </c>
      <c r="BX39" s="139">
        <f t="shared" si="48"/>
        <v>152139.5</v>
      </c>
      <c r="BY39" s="140"/>
      <c r="BZ39" s="138">
        <f t="shared" si="49"/>
        <v>608558</v>
      </c>
      <c r="CA39" s="139">
        <f t="shared" si="50"/>
        <v>202852.66666666666</v>
      </c>
      <c r="CB39" s="140"/>
      <c r="CC39" s="138">
        <f t="shared" si="51"/>
        <v>608558</v>
      </c>
      <c r="CD39" s="139">
        <f t="shared" si="52"/>
        <v>304279</v>
      </c>
      <c r="CE39" s="140"/>
      <c r="CF39" s="138">
        <f t="shared" si="53"/>
        <v>608558</v>
      </c>
      <c r="CG39" s="139">
        <f t="shared" si="54"/>
        <v>608558</v>
      </c>
      <c r="CH39" s="152"/>
    </row>
    <row r="40" spans="1:86" s="161" customFormat="1" ht="20.25" thickBot="1" x14ac:dyDescent="0.3">
      <c r="A40" s="291"/>
      <c r="B40" s="289"/>
      <c r="C40" s="175" t="s">
        <v>100</v>
      </c>
      <c r="D40" s="176">
        <v>125</v>
      </c>
      <c r="E40" s="137">
        <f t="shared" si="2"/>
        <v>24</v>
      </c>
      <c r="F40" s="138">
        <f t="shared" si="3"/>
        <v>125</v>
      </c>
      <c r="G40" s="139">
        <f t="shared" si="4"/>
        <v>4.6296296296296298</v>
      </c>
      <c r="H40" s="156"/>
      <c r="I40" s="141">
        <f t="shared" si="5"/>
        <v>125</v>
      </c>
      <c r="J40" s="142">
        <f t="shared" si="6"/>
        <v>4.8076923076923075</v>
      </c>
      <c r="K40" s="143"/>
      <c r="L40" s="144">
        <f t="shared" si="7"/>
        <v>125</v>
      </c>
      <c r="M40" s="145">
        <f t="shared" si="8"/>
        <v>5</v>
      </c>
      <c r="N40" s="157"/>
      <c r="O40" s="144">
        <f t="shared" si="9"/>
        <v>125</v>
      </c>
      <c r="P40" s="145">
        <f t="shared" si="10"/>
        <v>5.208333333333333</v>
      </c>
      <c r="Q40" s="157"/>
      <c r="R40" s="147">
        <f t="shared" si="11"/>
        <v>125</v>
      </c>
      <c r="S40" s="139">
        <f t="shared" si="12"/>
        <v>5.4347826086956523</v>
      </c>
      <c r="T40" s="156">
        <v>16</v>
      </c>
      <c r="U40" s="138">
        <f t="shared" si="13"/>
        <v>109</v>
      </c>
      <c r="V40" s="139">
        <f t="shared" si="14"/>
        <v>4.9545454545454541</v>
      </c>
      <c r="W40" s="156">
        <v>4</v>
      </c>
      <c r="X40" s="138">
        <f t="shared" si="15"/>
        <v>105</v>
      </c>
      <c r="Y40" s="139">
        <f t="shared" si="16"/>
        <v>5</v>
      </c>
      <c r="Z40" s="156">
        <v>4</v>
      </c>
      <c r="AA40" s="148">
        <f t="shared" si="17"/>
        <v>101</v>
      </c>
      <c r="AB40" s="139">
        <f t="shared" si="0"/>
        <v>5.05</v>
      </c>
      <c r="AC40" s="156"/>
      <c r="AD40" s="148">
        <f t="shared" si="1"/>
        <v>101</v>
      </c>
      <c r="AE40" s="150">
        <f t="shared" si="18"/>
        <v>5.3157894736842106</v>
      </c>
      <c r="AF40" s="156"/>
      <c r="AG40" s="148">
        <f t="shared" si="19"/>
        <v>101</v>
      </c>
      <c r="AH40" s="150">
        <f t="shared" si="20"/>
        <v>5.6111111111111107</v>
      </c>
      <c r="AI40" s="156"/>
      <c r="AJ40" s="148">
        <f t="shared" si="21"/>
        <v>101</v>
      </c>
      <c r="AK40" s="139">
        <f t="shared" si="22"/>
        <v>5.9411764705882355</v>
      </c>
      <c r="AL40" s="156"/>
      <c r="AM40" s="138">
        <f t="shared" si="23"/>
        <v>101</v>
      </c>
      <c r="AN40" s="139">
        <f t="shared" si="24"/>
        <v>6.3125</v>
      </c>
      <c r="AO40" s="156"/>
      <c r="AP40" s="138">
        <f t="shared" si="25"/>
        <v>101</v>
      </c>
      <c r="AQ40" s="139">
        <f t="shared" si="26"/>
        <v>6.7333333333333334</v>
      </c>
      <c r="AR40" s="156"/>
      <c r="AS40" s="138">
        <f t="shared" si="27"/>
        <v>101</v>
      </c>
      <c r="AT40" s="139">
        <f t="shared" si="28"/>
        <v>7.2142857142857144</v>
      </c>
      <c r="AU40" s="156"/>
      <c r="AV40" s="138">
        <f t="shared" si="29"/>
        <v>101</v>
      </c>
      <c r="AW40" s="139">
        <f t="shared" si="30"/>
        <v>7.7692307692307692</v>
      </c>
      <c r="AX40" s="156"/>
      <c r="AY40" s="138">
        <f t="shared" si="31"/>
        <v>101</v>
      </c>
      <c r="AZ40" s="139">
        <f t="shared" si="32"/>
        <v>8.4166666666666661</v>
      </c>
      <c r="BA40" s="156"/>
      <c r="BB40" s="138">
        <f t="shared" si="33"/>
        <v>101</v>
      </c>
      <c r="BC40" s="139">
        <f t="shared" si="34"/>
        <v>9.1818181818181817</v>
      </c>
      <c r="BD40" s="156"/>
      <c r="BE40" s="138">
        <f t="shared" si="35"/>
        <v>101</v>
      </c>
      <c r="BF40" s="139">
        <f t="shared" si="36"/>
        <v>10.1</v>
      </c>
      <c r="BG40" s="156"/>
      <c r="BH40" s="138">
        <f t="shared" si="37"/>
        <v>101</v>
      </c>
      <c r="BI40" s="139">
        <f t="shared" si="38"/>
        <v>11.222222222222221</v>
      </c>
      <c r="BJ40" s="156"/>
      <c r="BK40" s="138">
        <f t="shared" si="39"/>
        <v>101</v>
      </c>
      <c r="BL40" s="139">
        <f t="shared" si="40"/>
        <v>12.625</v>
      </c>
      <c r="BM40" s="156"/>
      <c r="BN40" s="138">
        <f t="shared" si="41"/>
        <v>101</v>
      </c>
      <c r="BO40" s="139">
        <f t="shared" si="42"/>
        <v>14.428571428571429</v>
      </c>
      <c r="BP40" s="156"/>
      <c r="BQ40" s="138">
        <f t="shared" si="43"/>
        <v>101</v>
      </c>
      <c r="BR40" s="139">
        <f t="shared" si="44"/>
        <v>16.833333333333332</v>
      </c>
      <c r="BS40" s="156"/>
      <c r="BT40" s="138">
        <f t="shared" si="45"/>
        <v>101</v>
      </c>
      <c r="BU40" s="139">
        <f t="shared" si="46"/>
        <v>20.2</v>
      </c>
      <c r="BV40" s="156"/>
      <c r="BW40" s="138">
        <f t="shared" si="47"/>
        <v>101</v>
      </c>
      <c r="BX40" s="139">
        <f t="shared" si="48"/>
        <v>25.25</v>
      </c>
      <c r="BY40" s="156"/>
      <c r="BZ40" s="138">
        <f t="shared" si="49"/>
        <v>101</v>
      </c>
      <c r="CA40" s="139">
        <f t="shared" si="50"/>
        <v>33.666666666666664</v>
      </c>
      <c r="CB40" s="156"/>
      <c r="CC40" s="138">
        <f t="shared" si="51"/>
        <v>101</v>
      </c>
      <c r="CD40" s="139">
        <f t="shared" si="52"/>
        <v>50.5</v>
      </c>
      <c r="CE40" s="156"/>
      <c r="CF40" s="138">
        <f t="shared" si="53"/>
        <v>101</v>
      </c>
      <c r="CG40" s="139">
        <f t="shared" si="54"/>
        <v>101</v>
      </c>
      <c r="CH40" s="160"/>
    </row>
    <row r="41" spans="1:86" s="186" customFormat="1" ht="20.25" thickBot="1" x14ac:dyDescent="0.3">
      <c r="A41" s="291"/>
      <c r="B41" s="290" t="s">
        <v>41</v>
      </c>
      <c r="C41" s="181" t="s">
        <v>99</v>
      </c>
      <c r="D41" s="182">
        <v>330750</v>
      </c>
      <c r="E41" s="137">
        <f t="shared" si="2"/>
        <v>41184</v>
      </c>
      <c r="F41" s="138">
        <f t="shared" si="3"/>
        <v>330750</v>
      </c>
      <c r="G41" s="139">
        <f t="shared" si="4"/>
        <v>12250</v>
      </c>
      <c r="H41" s="183"/>
      <c r="I41" s="141">
        <f t="shared" si="5"/>
        <v>330750</v>
      </c>
      <c r="J41" s="142">
        <f t="shared" si="6"/>
        <v>12721.153846153846</v>
      </c>
      <c r="K41" s="143">
        <v>5759</v>
      </c>
      <c r="L41" s="144">
        <f t="shared" si="7"/>
        <v>324991</v>
      </c>
      <c r="M41" s="145">
        <f t="shared" si="8"/>
        <v>12999.64</v>
      </c>
      <c r="N41" s="184">
        <v>6067</v>
      </c>
      <c r="O41" s="144">
        <f t="shared" si="9"/>
        <v>318924</v>
      </c>
      <c r="P41" s="145">
        <f t="shared" si="10"/>
        <v>13288.5</v>
      </c>
      <c r="Q41" s="184">
        <v>7762</v>
      </c>
      <c r="R41" s="147">
        <f t="shared" si="11"/>
        <v>311162</v>
      </c>
      <c r="S41" s="139">
        <f t="shared" si="12"/>
        <v>13528.782608695652</v>
      </c>
      <c r="T41" s="183">
        <v>6838</v>
      </c>
      <c r="U41" s="138">
        <f t="shared" si="13"/>
        <v>304324</v>
      </c>
      <c r="V41" s="139">
        <f t="shared" si="14"/>
        <v>13832.90909090909</v>
      </c>
      <c r="W41" s="183">
        <v>6996</v>
      </c>
      <c r="X41" s="138">
        <f t="shared" si="15"/>
        <v>297328</v>
      </c>
      <c r="Y41" s="139">
        <f t="shared" si="16"/>
        <v>14158.476190476191</v>
      </c>
      <c r="Z41" s="183">
        <v>7762</v>
      </c>
      <c r="AA41" s="148">
        <f t="shared" si="17"/>
        <v>289566</v>
      </c>
      <c r="AB41" s="139">
        <f t="shared" si="0"/>
        <v>14478.3</v>
      </c>
      <c r="AC41" s="183"/>
      <c r="AD41" s="148">
        <f t="shared" si="1"/>
        <v>289566</v>
      </c>
      <c r="AE41" s="150">
        <f t="shared" si="18"/>
        <v>15240.315789473685</v>
      </c>
      <c r="AF41" s="183"/>
      <c r="AG41" s="148">
        <f t="shared" si="19"/>
        <v>289566</v>
      </c>
      <c r="AH41" s="150">
        <f t="shared" si="20"/>
        <v>16087</v>
      </c>
      <c r="AI41" s="183"/>
      <c r="AJ41" s="148">
        <f t="shared" si="21"/>
        <v>289566</v>
      </c>
      <c r="AK41" s="139">
        <f t="shared" si="22"/>
        <v>17033.294117647059</v>
      </c>
      <c r="AL41" s="183"/>
      <c r="AM41" s="138">
        <f t="shared" si="23"/>
        <v>289566</v>
      </c>
      <c r="AN41" s="139">
        <f t="shared" si="24"/>
        <v>18097.875</v>
      </c>
      <c r="AO41" s="183"/>
      <c r="AP41" s="138">
        <f t="shared" si="25"/>
        <v>289566</v>
      </c>
      <c r="AQ41" s="139">
        <f t="shared" si="26"/>
        <v>19304.400000000001</v>
      </c>
      <c r="AR41" s="183"/>
      <c r="AS41" s="138">
        <f t="shared" si="27"/>
        <v>289566</v>
      </c>
      <c r="AT41" s="139">
        <f t="shared" si="28"/>
        <v>20683.285714285714</v>
      </c>
      <c r="AU41" s="183"/>
      <c r="AV41" s="138">
        <f t="shared" si="29"/>
        <v>289566</v>
      </c>
      <c r="AW41" s="139">
        <f t="shared" si="30"/>
        <v>22274.307692307691</v>
      </c>
      <c r="AX41" s="183"/>
      <c r="AY41" s="138">
        <f t="shared" si="31"/>
        <v>289566</v>
      </c>
      <c r="AZ41" s="139">
        <f t="shared" si="32"/>
        <v>24130.5</v>
      </c>
      <c r="BA41" s="183"/>
      <c r="BB41" s="138">
        <f t="shared" si="33"/>
        <v>289566</v>
      </c>
      <c r="BC41" s="139">
        <f t="shared" si="34"/>
        <v>26324.18181818182</v>
      </c>
      <c r="BD41" s="183"/>
      <c r="BE41" s="138">
        <f t="shared" si="35"/>
        <v>289566</v>
      </c>
      <c r="BF41" s="139">
        <f t="shared" si="36"/>
        <v>28956.6</v>
      </c>
      <c r="BG41" s="183"/>
      <c r="BH41" s="138">
        <f t="shared" si="37"/>
        <v>289566</v>
      </c>
      <c r="BI41" s="139">
        <f t="shared" si="38"/>
        <v>32174</v>
      </c>
      <c r="BJ41" s="183"/>
      <c r="BK41" s="138">
        <f t="shared" si="39"/>
        <v>289566</v>
      </c>
      <c r="BL41" s="139">
        <f t="shared" si="40"/>
        <v>36195.75</v>
      </c>
      <c r="BM41" s="183"/>
      <c r="BN41" s="138">
        <f t="shared" si="41"/>
        <v>289566</v>
      </c>
      <c r="BO41" s="139">
        <f t="shared" si="42"/>
        <v>41366.571428571428</v>
      </c>
      <c r="BP41" s="183"/>
      <c r="BQ41" s="138">
        <f t="shared" si="43"/>
        <v>289566</v>
      </c>
      <c r="BR41" s="139">
        <f t="shared" si="44"/>
        <v>48261</v>
      </c>
      <c r="BS41" s="183"/>
      <c r="BT41" s="138">
        <f t="shared" si="45"/>
        <v>289566</v>
      </c>
      <c r="BU41" s="139">
        <f t="shared" si="46"/>
        <v>57913.2</v>
      </c>
      <c r="BV41" s="183"/>
      <c r="BW41" s="138">
        <f t="shared" si="47"/>
        <v>289566</v>
      </c>
      <c r="BX41" s="139">
        <f t="shared" si="48"/>
        <v>72391.5</v>
      </c>
      <c r="BY41" s="183"/>
      <c r="BZ41" s="138">
        <f t="shared" si="49"/>
        <v>289566</v>
      </c>
      <c r="CA41" s="139">
        <f t="shared" si="50"/>
        <v>96522</v>
      </c>
      <c r="CB41" s="183"/>
      <c r="CC41" s="138">
        <f t="shared" si="51"/>
        <v>289566</v>
      </c>
      <c r="CD41" s="139">
        <f t="shared" si="52"/>
        <v>144783</v>
      </c>
      <c r="CE41" s="183"/>
      <c r="CF41" s="138">
        <f t="shared" si="53"/>
        <v>289566</v>
      </c>
      <c r="CG41" s="139">
        <f t="shared" si="54"/>
        <v>289566</v>
      </c>
      <c r="CH41" s="185"/>
    </row>
    <row r="42" spans="1:86" s="93" customFormat="1" ht="20.25" thickBot="1" x14ac:dyDescent="0.3">
      <c r="A42" s="291"/>
      <c r="B42" s="290"/>
      <c r="C42" s="187" t="s">
        <v>100</v>
      </c>
      <c r="D42" s="188">
        <v>120</v>
      </c>
      <c r="E42" s="137">
        <f t="shared" si="2"/>
        <v>15</v>
      </c>
      <c r="F42" s="138">
        <f t="shared" si="3"/>
        <v>120</v>
      </c>
      <c r="G42" s="139">
        <f t="shared" si="4"/>
        <v>4.4444444444444446</v>
      </c>
      <c r="H42" s="189"/>
      <c r="I42" s="141">
        <f t="shared" si="5"/>
        <v>120</v>
      </c>
      <c r="J42" s="142">
        <f t="shared" si="6"/>
        <v>4.615384615384615</v>
      </c>
      <c r="K42" s="143"/>
      <c r="L42" s="144">
        <f t="shared" si="7"/>
        <v>120</v>
      </c>
      <c r="M42" s="145">
        <f t="shared" si="8"/>
        <v>4.8</v>
      </c>
      <c r="N42" s="190"/>
      <c r="O42" s="144">
        <f t="shared" si="9"/>
        <v>120</v>
      </c>
      <c r="P42" s="145">
        <f t="shared" si="10"/>
        <v>5</v>
      </c>
      <c r="Q42" s="190"/>
      <c r="R42" s="147">
        <f t="shared" si="11"/>
        <v>120</v>
      </c>
      <c r="S42" s="139">
        <f t="shared" si="12"/>
        <v>5.2173913043478262</v>
      </c>
      <c r="T42" s="189">
        <v>14</v>
      </c>
      <c r="U42" s="138">
        <f t="shared" si="13"/>
        <v>106</v>
      </c>
      <c r="V42" s="139">
        <f t="shared" si="14"/>
        <v>4.8181818181818183</v>
      </c>
      <c r="W42" s="189">
        <v>1</v>
      </c>
      <c r="X42" s="138">
        <f t="shared" si="15"/>
        <v>105</v>
      </c>
      <c r="Y42" s="139">
        <f t="shared" si="16"/>
        <v>5</v>
      </c>
      <c r="Z42" s="189">
        <v>0</v>
      </c>
      <c r="AA42" s="148">
        <f t="shared" si="17"/>
        <v>105</v>
      </c>
      <c r="AB42" s="139">
        <f t="shared" si="0"/>
        <v>5.25</v>
      </c>
      <c r="AC42" s="189"/>
      <c r="AD42" s="148">
        <f t="shared" si="1"/>
        <v>105</v>
      </c>
      <c r="AE42" s="150">
        <f t="shared" si="18"/>
        <v>5.5263157894736841</v>
      </c>
      <c r="AF42" s="189"/>
      <c r="AG42" s="148">
        <f t="shared" si="19"/>
        <v>105</v>
      </c>
      <c r="AH42" s="150">
        <f t="shared" si="20"/>
        <v>5.833333333333333</v>
      </c>
      <c r="AI42" s="189"/>
      <c r="AJ42" s="148">
        <f t="shared" si="21"/>
        <v>105</v>
      </c>
      <c r="AK42" s="139">
        <f t="shared" si="22"/>
        <v>6.1764705882352944</v>
      </c>
      <c r="AL42" s="189"/>
      <c r="AM42" s="138">
        <f t="shared" si="23"/>
        <v>105</v>
      </c>
      <c r="AN42" s="139">
        <f t="shared" si="24"/>
        <v>6.5625</v>
      </c>
      <c r="AO42" s="189"/>
      <c r="AP42" s="138">
        <f t="shared" si="25"/>
        <v>105</v>
      </c>
      <c r="AQ42" s="139">
        <f t="shared" si="26"/>
        <v>7</v>
      </c>
      <c r="AR42" s="189"/>
      <c r="AS42" s="138">
        <f t="shared" si="27"/>
        <v>105</v>
      </c>
      <c r="AT42" s="139">
        <f t="shared" si="28"/>
        <v>7.5</v>
      </c>
      <c r="AU42" s="189"/>
      <c r="AV42" s="138">
        <f t="shared" si="29"/>
        <v>105</v>
      </c>
      <c r="AW42" s="139">
        <f t="shared" si="30"/>
        <v>8.0769230769230766</v>
      </c>
      <c r="AX42" s="189"/>
      <c r="AY42" s="138">
        <f t="shared" si="31"/>
        <v>105</v>
      </c>
      <c r="AZ42" s="139">
        <f t="shared" si="32"/>
        <v>8.75</v>
      </c>
      <c r="BA42" s="189"/>
      <c r="BB42" s="138">
        <f t="shared" si="33"/>
        <v>105</v>
      </c>
      <c r="BC42" s="139">
        <f t="shared" si="34"/>
        <v>9.545454545454545</v>
      </c>
      <c r="BD42" s="189"/>
      <c r="BE42" s="138">
        <f t="shared" si="35"/>
        <v>105</v>
      </c>
      <c r="BF42" s="139">
        <f t="shared" si="36"/>
        <v>10.5</v>
      </c>
      <c r="BG42" s="189"/>
      <c r="BH42" s="138">
        <f t="shared" si="37"/>
        <v>105</v>
      </c>
      <c r="BI42" s="139">
        <f t="shared" si="38"/>
        <v>11.666666666666666</v>
      </c>
      <c r="BJ42" s="189"/>
      <c r="BK42" s="138">
        <f t="shared" si="39"/>
        <v>105</v>
      </c>
      <c r="BL42" s="139">
        <f t="shared" si="40"/>
        <v>13.125</v>
      </c>
      <c r="BM42" s="189"/>
      <c r="BN42" s="138">
        <f t="shared" si="41"/>
        <v>105</v>
      </c>
      <c r="BO42" s="139">
        <f t="shared" si="42"/>
        <v>15</v>
      </c>
      <c r="BP42" s="189"/>
      <c r="BQ42" s="138">
        <f t="shared" si="43"/>
        <v>105</v>
      </c>
      <c r="BR42" s="139">
        <f t="shared" si="44"/>
        <v>17.5</v>
      </c>
      <c r="BS42" s="189"/>
      <c r="BT42" s="138">
        <f t="shared" si="45"/>
        <v>105</v>
      </c>
      <c r="BU42" s="139">
        <f t="shared" si="46"/>
        <v>21</v>
      </c>
      <c r="BV42" s="189"/>
      <c r="BW42" s="138">
        <f t="shared" si="47"/>
        <v>105</v>
      </c>
      <c r="BX42" s="139">
        <f t="shared" si="48"/>
        <v>26.25</v>
      </c>
      <c r="BY42" s="189"/>
      <c r="BZ42" s="138">
        <f t="shared" si="49"/>
        <v>105</v>
      </c>
      <c r="CA42" s="139">
        <f t="shared" si="50"/>
        <v>35</v>
      </c>
      <c r="CB42" s="189"/>
      <c r="CC42" s="138">
        <f t="shared" si="51"/>
        <v>105</v>
      </c>
      <c r="CD42" s="139">
        <f t="shared" si="52"/>
        <v>52.5</v>
      </c>
      <c r="CE42" s="189"/>
      <c r="CF42" s="138">
        <f t="shared" si="53"/>
        <v>105</v>
      </c>
      <c r="CG42" s="139">
        <f t="shared" si="54"/>
        <v>105</v>
      </c>
      <c r="CH42" s="191"/>
    </row>
    <row r="43" spans="1:86" s="177" customFormat="1" ht="20.25" thickBot="1" x14ac:dyDescent="0.3">
      <c r="A43" s="291"/>
      <c r="B43" s="288" t="s">
        <v>49</v>
      </c>
      <c r="C43" s="179" t="s">
        <v>99</v>
      </c>
      <c r="D43" s="163">
        <v>304500</v>
      </c>
      <c r="E43" s="137">
        <f t="shared" si="2"/>
        <v>41854</v>
      </c>
      <c r="F43" s="138">
        <f t="shared" si="3"/>
        <v>304500</v>
      </c>
      <c r="G43" s="139">
        <f t="shared" si="4"/>
        <v>11277.777777777777</v>
      </c>
      <c r="H43" s="140"/>
      <c r="I43" s="141">
        <f t="shared" si="5"/>
        <v>304500</v>
      </c>
      <c r="J43" s="142">
        <f t="shared" si="6"/>
        <v>11711.538461538461</v>
      </c>
      <c r="K43" s="143">
        <v>514</v>
      </c>
      <c r="L43" s="144">
        <f t="shared" si="7"/>
        <v>303986</v>
      </c>
      <c r="M43" s="145">
        <f t="shared" si="8"/>
        <v>12159.44</v>
      </c>
      <c r="N43" s="146">
        <v>1028</v>
      </c>
      <c r="O43" s="144">
        <f t="shared" si="9"/>
        <v>302958</v>
      </c>
      <c r="P43" s="145">
        <f t="shared" si="10"/>
        <v>12623.25</v>
      </c>
      <c r="Q43" s="146">
        <v>2056</v>
      </c>
      <c r="R43" s="147">
        <f t="shared" si="11"/>
        <v>300902</v>
      </c>
      <c r="S43" s="139">
        <f t="shared" si="12"/>
        <v>13082.695652173914</v>
      </c>
      <c r="T43" s="140">
        <v>9459</v>
      </c>
      <c r="U43" s="138">
        <f t="shared" si="13"/>
        <v>291443</v>
      </c>
      <c r="V43" s="139">
        <f t="shared" si="14"/>
        <v>13247.40909090909</v>
      </c>
      <c r="W43" s="140">
        <v>7294</v>
      </c>
      <c r="X43" s="138">
        <f t="shared" si="15"/>
        <v>284149</v>
      </c>
      <c r="Y43" s="139">
        <f t="shared" si="16"/>
        <v>13530.904761904761</v>
      </c>
      <c r="Z43" s="140">
        <v>7832</v>
      </c>
      <c r="AA43" s="148">
        <f t="shared" si="17"/>
        <v>262646</v>
      </c>
      <c r="AB43" s="139">
        <f t="shared" si="0"/>
        <v>13132.3</v>
      </c>
      <c r="AC43" s="140">
        <v>13671</v>
      </c>
      <c r="AD43" s="148">
        <f t="shared" si="1"/>
        <v>248975</v>
      </c>
      <c r="AE43" s="150">
        <f t="shared" si="18"/>
        <v>13103.947368421053</v>
      </c>
      <c r="AF43" s="140"/>
      <c r="AG43" s="148">
        <f t="shared" si="19"/>
        <v>248975</v>
      </c>
      <c r="AH43" s="150">
        <f t="shared" si="20"/>
        <v>13831.944444444445</v>
      </c>
      <c r="AI43" s="140"/>
      <c r="AJ43" s="148">
        <f t="shared" si="21"/>
        <v>248975</v>
      </c>
      <c r="AK43" s="139">
        <f t="shared" si="22"/>
        <v>14645.588235294117</v>
      </c>
      <c r="AL43" s="140"/>
      <c r="AM43" s="138">
        <f t="shared" si="23"/>
        <v>248975</v>
      </c>
      <c r="AN43" s="139">
        <f t="shared" si="24"/>
        <v>15560.9375</v>
      </c>
      <c r="AO43" s="140"/>
      <c r="AP43" s="138">
        <f t="shared" si="25"/>
        <v>248975</v>
      </c>
      <c r="AQ43" s="139">
        <f t="shared" si="26"/>
        <v>16598.333333333332</v>
      </c>
      <c r="AR43" s="140"/>
      <c r="AS43" s="138">
        <f t="shared" si="27"/>
        <v>248975</v>
      </c>
      <c r="AT43" s="139">
        <f t="shared" si="28"/>
        <v>17783.928571428572</v>
      </c>
      <c r="AU43" s="140"/>
      <c r="AV43" s="138">
        <f t="shared" si="29"/>
        <v>248975</v>
      </c>
      <c r="AW43" s="139">
        <f t="shared" si="30"/>
        <v>19151.923076923078</v>
      </c>
      <c r="AX43" s="140"/>
      <c r="AY43" s="138">
        <f t="shared" si="31"/>
        <v>248975</v>
      </c>
      <c r="AZ43" s="139">
        <f t="shared" si="32"/>
        <v>20747.916666666668</v>
      </c>
      <c r="BA43" s="140"/>
      <c r="BB43" s="138">
        <f t="shared" si="33"/>
        <v>248975</v>
      </c>
      <c r="BC43" s="139">
        <f t="shared" si="34"/>
        <v>22634.090909090908</v>
      </c>
      <c r="BD43" s="140"/>
      <c r="BE43" s="138">
        <f t="shared" si="35"/>
        <v>248975</v>
      </c>
      <c r="BF43" s="139">
        <f t="shared" si="36"/>
        <v>24897.5</v>
      </c>
      <c r="BG43" s="140"/>
      <c r="BH43" s="138">
        <f t="shared" si="37"/>
        <v>248975</v>
      </c>
      <c r="BI43" s="139">
        <f t="shared" si="38"/>
        <v>27663.888888888891</v>
      </c>
      <c r="BJ43" s="140"/>
      <c r="BK43" s="138">
        <f t="shared" si="39"/>
        <v>248975</v>
      </c>
      <c r="BL43" s="139">
        <f t="shared" si="40"/>
        <v>31121.875</v>
      </c>
      <c r="BM43" s="140"/>
      <c r="BN43" s="138">
        <f t="shared" si="41"/>
        <v>248975</v>
      </c>
      <c r="BO43" s="139">
        <f t="shared" si="42"/>
        <v>35567.857142857145</v>
      </c>
      <c r="BP43" s="140"/>
      <c r="BQ43" s="138">
        <f t="shared" si="43"/>
        <v>248975</v>
      </c>
      <c r="BR43" s="139">
        <f t="shared" si="44"/>
        <v>41495.833333333336</v>
      </c>
      <c r="BS43" s="140"/>
      <c r="BT43" s="138">
        <f t="shared" si="45"/>
        <v>248975</v>
      </c>
      <c r="BU43" s="139">
        <f t="shared" si="46"/>
        <v>49795</v>
      </c>
      <c r="BV43" s="140"/>
      <c r="BW43" s="138">
        <f t="shared" si="47"/>
        <v>248975</v>
      </c>
      <c r="BX43" s="139">
        <f t="shared" si="48"/>
        <v>62243.75</v>
      </c>
      <c r="BY43" s="140"/>
      <c r="BZ43" s="138">
        <f t="shared" si="49"/>
        <v>248975</v>
      </c>
      <c r="CA43" s="139">
        <f t="shared" si="50"/>
        <v>82991.666666666672</v>
      </c>
      <c r="CB43" s="140"/>
      <c r="CC43" s="138">
        <f t="shared" si="51"/>
        <v>248975</v>
      </c>
      <c r="CD43" s="139">
        <f t="shared" si="52"/>
        <v>124487.5</v>
      </c>
      <c r="CE43" s="140"/>
      <c r="CF43" s="138">
        <f t="shared" si="53"/>
        <v>248975</v>
      </c>
      <c r="CG43" s="139">
        <f t="shared" si="54"/>
        <v>248975</v>
      </c>
      <c r="CH43" s="152"/>
    </row>
    <row r="44" spans="1:86" s="199" customFormat="1" ht="20.25" thickBot="1" x14ac:dyDescent="0.3">
      <c r="A44" s="291"/>
      <c r="B44" s="289"/>
      <c r="C44" s="187" t="s">
        <v>100</v>
      </c>
      <c r="D44" s="188">
        <v>85</v>
      </c>
      <c r="E44" s="192">
        <f t="shared" si="2"/>
        <v>13</v>
      </c>
      <c r="F44" s="193">
        <f t="shared" si="3"/>
        <v>85</v>
      </c>
      <c r="G44" s="194">
        <f t="shared" si="4"/>
        <v>3.1481481481481484</v>
      </c>
      <c r="H44" s="189"/>
      <c r="I44" s="195">
        <f t="shared" si="5"/>
        <v>85</v>
      </c>
      <c r="J44" s="142">
        <f t="shared" si="6"/>
        <v>3.2692307692307692</v>
      </c>
      <c r="K44" s="143"/>
      <c r="L44" s="196">
        <f t="shared" si="7"/>
        <v>85</v>
      </c>
      <c r="M44" s="197">
        <f t="shared" si="8"/>
        <v>3.4</v>
      </c>
      <c r="N44" s="190"/>
      <c r="O44" s="196">
        <f t="shared" si="9"/>
        <v>85</v>
      </c>
      <c r="P44" s="197">
        <f t="shared" si="10"/>
        <v>3.5416666666666665</v>
      </c>
      <c r="Q44" s="190"/>
      <c r="R44" s="198">
        <f t="shared" si="11"/>
        <v>85</v>
      </c>
      <c r="S44" s="194">
        <f t="shared" si="12"/>
        <v>3.6956521739130435</v>
      </c>
      <c r="T44" s="189">
        <v>13</v>
      </c>
      <c r="U44" s="193">
        <f t="shared" si="13"/>
        <v>72</v>
      </c>
      <c r="V44" s="194">
        <f t="shared" si="14"/>
        <v>3.2727272727272729</v>
      </c>
      <c r="W44" s="189">
        <v>0</v>
      </c>
      <c r="X44" s="138">
        <f t="shared" si="15"/>
        <v>72</v>
      </c>
      <c r="Y44" s="139">
        <f t="shared" si="16"/>
        <v>3.4285714285714284</v>
      </c>
      <c r="Z44" s="189">
        <v>0</v>
      </c>
      <c r="AA44" s="148">
        <f t="shared" si="17"/>
        <v>72</v>
      </c>
      <c r="AB44" s="139">
        <f t="shared" si="0"/>
        <v>3.6</v>
      </c>
      <c r="AC44" s="189"/>
      <c r="AD44" s="148">
        <f t="shared" si="1"/>
        <v>72</v>
      </c>
      <c r="AE44" s="150">
        <f t="shared" si="18"/>
        <v>3.7894736842105261</v>
      </c>
      <c r="AF44" s="189"/>
      <c r="AG44" s="148">
        <f t="shared" si="19"/>
        <v>72</v>
      </c>
      <c r="AH44" s="150">
        <f t="shared" si="20"/>
        <v>4</v>
      </c>
      <c r="AI44" s="189"/>
      <c r="AJ44" s="148">
        <f t="shared" si="21"/>
        <v>72</v>
      </c>
      <c r="AK44" s="139">
        <f t="shared" si="22"/>
        <v>4.2352941176470589</v>
      </c>
      <c r="AL44" s="189"/>
      <c r="AM44" s="138">
        <f t="shared" si="23"/>
        <v>72</v>
      </c>
      <c r="AN44" s="139">
        <f t="shared" si="24"/>
        <v>4.5</v>
      </c>
      <c r="AO44" s="189"/>
      <c r="AP44" s="138">
        <f t="shared" si="25"/>
        <v>72</v>
      </c>
      <c r="AQ44" s="139">
        <f t="shared" si="26"/>
        <v>4.8</v>
      </c>
      <c r="AR44" s="189"/>
      <c r="AS44" s="138">
        <f t="shared" si="27"/>
        <v>72</v>
      </c>
      <c r="AT44" s="139">
        <f t="shared" si="28"/>
        <v>5.1428571428571432</v>
      </c>
      <c r="AU44" s="189"/>
      <c r="AV44" s="138">
        <f t="shared" si="29"/>
        <v>72</v>
      </c>
      <c r="AW44" s="139">
        <f t="shared" si="30"/>
        <v>5.5384615384615383</v>
      </c>
      <c r="AX44" s="189"/>
      <c r="AY44" s="138">
        <f t="shared" si="31"/>
        <v>72</v>
      </c>
      <c r="AZ44" s="139">
        <f t="shared" si="32"/>
        <v>6</v>
      </c>
      <c r="BA44" s="189"/>
      <c r="BB44" s="138">
        <f t="shared" si="33"/>
        <v>72</v>
      </c>
      <c r="BC44" s="139">
        <f t="shared" si="34"/>
        <v>6.5454545454545459</v>
      </c>
      <c r="BD44" s="189"/>
      <c r="BE44" s="138">
        <f t="shared" si="35"/>
        <v>72</v>
      </c>
      <c r="BF44" s="139">
        <f t="shared" si="36"/>
        <v>7.2</v>
      </c>
      <c r="BG44" s="189"/>
      <c r="BH44" s="138">
        <f t="shared" si="37"/>
        <v>72</v>
      </c>
      <c r="BI44" s="139">
        <f t="shared" si="38"/>
        <v>8</v>
      </c>
      <c r="BJ44" s="189"/>
      <c r="BK44" s="138">
        <f t="shared" si="39"/>
        <v>72</v>
      </c>
      <c r="BL44" s="139">
        <f t="shared" si="40"/>
        <v>9</v>
      </c>
      <c r="BM44" s="189"/>
      <c r="BN44" s="138">
        <f t="shared" si="41"/>
        <v>72</v>
      </c>
      <c r="BO44" s="139">
        <f t="shared" si="42"/>
        <v>10.285714285714286</v>
      </c>
      <c r="BP44" s="189"/>
      <c r="BQ44" s="138">
        <f t="shared" si="43"/>
        <v>72</v>
      </c>
      <c r="BR44" s="139">
        <f t="shared" si="44"/>
        <v>12</v>
      </c>
      <c r="BS44" s="189"/>
      <c r="BT44" s="138">
        <f t="shared" si="45"/>
        <v>72</v>
      </c>
      <c r="BU44" s="139">
        <f t="shared" si="46"/>
        <v>14.4</v>
      </c>
      <c r="BV44" s="189"/>
      <c r="BW44" s="138">
        <f t="shared" si="47"/>
        <v>72</v>
      </c>
      <c r="BX44" s="139">
        <f t="shared" si="48"/>
        <v>18</v>
      </c>
      <c r="BY44" s="189"/>
      <c r="BZ44" s="138">
        <f t="shared" si="49"/>
        <v>72</v>
      </c>
      <c r="CA44" s="139">
        <f t="shared" si="50"/>
        <v>24</v>
      </c>
      <c r="CB44" s="189"/>
      <c r="CC44" s="138">
        <f t="shared" si="51"/>
        <v>72</v>
      </c>
      <c r="CD44" s="139">
        <f t="shared" si="52"/>
        <v>36</v>
      </c>
      <c r="CE44" s="189"/>
      <c r="CF44" s="138">
        <f t="shared" si="53"/>
        <v>72</v>
      </c>
      <c r="CG44" s="139">
        <f t="shared" si="54"/>
        <v>72</v>
      </c>
      <c r="CH44" s="191"/>
    </row>
    <row r="45" spans="1:86" s="200" customFormat="1" ht="20.25" thickBot="1" x14ac:dyDescent="0.3">
      <c r="A45" s="291"/>
      <c r="B45" s="288" t="s">
        <v>43</v>
      </c>
      <c r="C45" s="179" t="s">
        <v>99</v>
      </c>
      <c r="D45" s="163">
        <v>346500</v>
      </c>
      <c r="E45" s="137">
        <f t="shared" si="2"/>
        <v>33151</v>
      </c>
      <c r="F45" s="138">
        <f t="shared" si="3"/>
        <v>346500</v>
      </c>
      <c r="G45" s="139">
        <f t="shared" si="4"/>
        <v>12833.333333333334</v>
      </c>
      <c r="H45" s="140"/>
      <c r="I45" s="141">
        <f t="shared" si="5"/>
        <v>346500</v>
      </c>
      <c r="J45" s="142">
        <f t="shared" si="6"/>
        <v>13326.923076923076</v>
      </c>
      <c r="K45" s="143">
        <v>3438</v>
      </c>
      <c r="L45" s="144">
        <f t="shared" si="7"/>
        <v>343062</v>
      </c>
      <c r="M45" s="145">
        <f t="shared" si="8"/>
        <v>13722.48</v>
      </c>
      <c r="N45" s="146">
        <v>4259</v>
      </c>
      <c r="O45" s="144">
        <f t="shared" si="9"/>
        <v>338803</v>
      </c>
      <c r="P45" s="145">
        <f t="shared" si="10"/>
        <v>14116.791666666666</v>
      </c>
      <c r="Q45" s="146">
        <v>5773</v>
      </c>
      <c r="R45" s="147">
        <f t="shared" si="11"/>
        <v>333030</v>
      </c>
      <c r="S45" s="139">
        <f t="shared" si="12"/>
        <v>14479.565217391304</v>
      </c>
      <c r="T45" s="140">
        <v>5784</v>
      </c>
      <c r="U45" s="138">
        <f t="shared" si="13"/>
        <v>327246</v>
      </c>
      <c r="V45" s="139">
        <f t="shared" si="14"/>
        <v>14874.818181818182</v>
      </c>
      <c r="W45" s="140">
        <v>1542</v>
      </c>
      <c r="X45" s="138">
        <f t="shared" si="15"/>
        <v>325704</v>
      </c>
      <c r="Y45" s="139">
        <f t="shared" si="16"/>
        <v>15509.714285714286</v>
      </c>
      <c r="Z45" s="140">
        <v>12355</v>
      </c>
      <c r="AA45" s="148">
        <f t="shared" si="17"/>
        <v>313349</v>
      </c>
      <c r="AB45" s="139">
        <f t="shared" si="0"/>
        <v>15667.45</v>
      </c>
      <c r="AC45" s="140"/>
      <c r="AD45" s="148">
        <f t="shared" si="1"/>
        <v>313349</v>
      </c>
      <c r="AE45" s="150">
        <f t="shared" si="18"/>
        <v>16492.052631578947</v>
      </c>
      <c r="AF45" s="140"/>
      <c r="AG45" s="148">
        <f t="shared" si="19"/>
        <v>313349</v>
      </c>
      <c r="AH45" s="150">
        <f t="shared" si="20"/>
        <v>17408.277777777777</v>
      </c>
      <c r="AI45" s="140"/>
      <c r="AJ45" s="148">
        <f t="shared" si="21"/>
        <v>313349</v>
      </c>
      <c r="AK45" s="139">
        <f t="shared" si="22"/>
        <v>18432.294117647059</v>
      </c>
      <c r="AL45" s="140"/>
      <c r="AM45" s="138">
        <f t="shared" si="23"/>
        <v>313349</v>
      </c>
      <c r="AN45" s="139">
        <f t="shared" si="24"/>
        <v>19584.3125</v>
      </c>
      <c r="AO45" s="140"/>
      <c r="AP45" s="138">
        <f t="shared" si="25"/>
        <v>313349</v>
      </c>
      <c r="AQ45" s="139">
        <f t="shared" si="26"/>
        <v>20889.933333333334</v>
      </c>
      <c r="AR45" s="140"/>
      <c r="AS45" s="138">
        <f t="shared" si="27"/>
        <v>313349</v>
      </c>
      <c r="AT45" s="139">
        <f t="shared" si="28"/>
        <v>22382.071428571428</v>
      </c>
      <c r="AU45" s="140"/>
      <c r="AV45" s="138">
        <f t="shared" si="29"/>
        <v>313349</v>
      </c>
      <c r="AW45" s="139">
        <f t="shared" si="30"/>
        <v>24103.76923076923</v>
      </c>
      <c r="AX45" s="140"/>
      <c r="AY45" s="138">
        <f t="shared" si="31"/>
        <v>313349</v>
      </c>
      <c r="AZ45" s="139">
        <f t="shared" si="32"/>
        <v>26112.416666666668</v>
      </c>
      <c r="BA45" s="140"/>
      <c r="BB45" s="138">
        <f t="shared" si="33"/>
        <v>313349</v>
      </c>
      <c r="BC45" s="139">
        <f t="shared" si="34"/>
        <v>28486.272727272728</v>
      </c>
      <c r="BD45" s="140"/>
      <c r="BE45" s="138">
        <f t="shared" si="35"/>
        <v>313349</v>
      </c>
      <c r="BF45" s="139">
        <f t="shared" si="36"/>
        <v>31334.9</v>
      </c>
      <c r="BG45" s="140"/>
      <c r="BH45" s="138">
        <f t="shared" si="37"/>
        <v>313349</v>
      </c>
      <c r="BI45" s="139">
        <f t="shared" si="38"/>
        <v>34816.555555555555</v>
      </c>
      <c r="BJ45" s="140"/>
      <c r="BK45" s="138">
        <f t="shared" si="39"/>
        <v>313349</v>
      </c>
      <c r="BL45" s="139">
        <f t="shared" si="40"/>
        <v>39168.625</v>
      </c>
      <c r="BM45" s="140"/>
      <c r="BN45" s="138">
        <f t="shared" si="41"/>
        <v>313349</v>
      </c>
      <c r="BO45" s="139">
        <f t="shared" si="42"/>
        <v>44764.142857142855</v>
      </c>
      <c r="BP45" s="140"/>
      <c r="BQ45" s="138">
        <f t="shared" si="43"/>
        <v>313349</v>
      </c>
      <c r="BR45" s="139">
        <f t="shared" si="44"/>
        <v>52224.833333333336</v>
      </c>
      <c r="BS45" s="140"/>
      <c r="BT45" s="138">
        <f t="shared" si="45"/>
        <v>313349</v>
      </c>
      <c r="BU45" s="139">
        <f t="shared" si="46"/>
        <v>62669.8</v>
      </c>
      <c r="BV45" s="140"/>
      <c r="BW45" s="138">
        <f t="shared" si="47"/>
        <v>313349</v>
      </c>
      <c r="BX45" s="139">
        <f t="shared" si="48"/>
        <v>78337.25</v>
      </c>
      <c r="BY45" s="140"/>
      <c r="BZ45" s="138">
        <f t="shared" si="49"/>
        <v>313349</v>
      </c>
      <c r="CA45" s="139">
        <f t="shared" si="50"/>
        <v>104449.66666666667</v>
      </c>
      <c r="CB45" s="140"/>
      <c r="CC45" s="138">
        <f t="shared" si="51"/>
        <v>313349</v>
      </c>
      <c r="CD45" s="139">
        <f t="shared" si="52"/>
        <v>156674.5</v>
      </c>
      <c r="CE45" s="140"/>
      <c r="CF45" s="138">
        <f t="shared" si="53"/>
        <v>313349</v>
      </c>
      <c r="CG45" s="139">
        <f t="shared" si="54"/>
        <v>313349</v>
      </c>
      <c r="CH45" s="152"/>
    </row>
    <row r="46" spans="1:86" s="208" customFormat="1" ht="20.25" thickBot="1" x14ac:dyDescent="0.3">
      <c r="A46" s="292"/>
      <c r="B46" s="289"/>
      <c r="C46" s="175" t="s">
        <v>100</v>
      </c>
      <c r="D46" s="176">
        <v>110</v>
      </c>
      <c r="E46" s="201">
        <f t="shared" si="2"/>
        <v>22</v>
      </c>
      <c r="F46" s="202">
        <f t="shared" si="3"/>
        <v>110</v>
      </c>
      <c r="G46" s="203">
        <f t="shared" si="4"/>
        <v>4.0740740740740744</v>
      </c>
      <c r="H46" s="156"/>
      <c r="I46" s="204">
        <f t="shared" si="5"/>
        <v>110</v>
      </c>
      <c r="J46" s="205">
        <f t="shared" si="6"/>
        <v>4.2307692307692308</v>
      </c>
      <c r="K46" s="157"/>
      <c r="L46" s="206">
        <f t="shared" si="7"/>
        <v>110</v>
      </c>
      <c r="M46" s="205">
        <f t="shared" si="8"/>
        <v>4.4000000000000004</v>
      </c>
      <c r="N46" s="157"/>
      <c r="O46" s="206">
        <f t="shared" si="9"/>
        <v>110</v>
      </c>
      <c r="P46" s="205">
        <f t="shared" si="10"/>
        <v>4.583333333333333</v>
      </c>
      <c r="Q46" s="157"/>
      <c r="R46" s="207">
        <f t="shared" si="11"/>
        <v>110</v>
      </c>
      <c r="S46" s="203">
        <f t="shared" si="12"/>
        <v>4.7826086956521738</v>
      </c>
      <c r="T46" s="156">
        <v>19</v>
      </c>
      <c r="U46" s="202">
        <f t="shared" si="13"/>
        <v>91</v>
      </c>
      <c r="V46" s="203">
        <f t="shared" si="14"/>
        <v>4.1363636363636367</v>
      </c>
      <c r="W46" s="156">
        <v>2</v>
      </c>
      <c r="X46" s="138">
        <f t="shared" si="15"/>
        <v>89</v>
      </c>
      <c r="Y46" s="139">
        <f t="shared" si="16"/>
        <v>4.2380952380952381</v>
      </c>
      <c r="Z46" s="156">
        <v>1</v>
      </c>
      <c r="AA46" s="148">
        <f t="shared" si="17"/>
        <v>88</v>
      </c>
      <c r="AB46" s="139">
        <f t="shared" si="0"/>
        <v>4.4000000000000004</v>
      </c>
      <c r="AC46" s="156"/>
      <c r="AD46" s="148">
        <f t="shared" si="1"/>
        <v>88</v>
      </c>
      <c r="AE46" s="150">
        <f t="shared" si="18"/>
        <v>4.6315789473684212</v>
      </c>
      <c r="AF46" s="156"/>
      <c r="AG46" s="148">
        <f t="shared" si="19"/>
        <v>88</v>
      </c>
      <c r="AH46" s="150">
        <f t="shared" si="20"/>
        <v>4.8888888888888893</v>
      </c>
      <c r="AI46" s="156"/>
      <c r="AJ46" s="148">
        <f t="shared" si="21"/>
        <v>88</v>
      </c>
      <c r="AK46" s="139">
        <f t="shared" si="22"/>
        <v>5.1764705882352944</v>
      </c>
      <c r="AL46" s="156"/>
      <c r="AM46" s="138">
        <f t="shared" si="23"/>
        <v>88</v>
      </c>
      <c r="AN46" s="139">
        <f>AM46/16</f>
        <v>5.5</v>
      </c>
      <c r="AO46" s="156"/>
      <c r="AP46" s="138">
        <f t="shared" si="25"/>
        <v>88</v>
      </c>
      <c r="AQ46" s="139">
        <f t="shared" si="26"/>
        <v>5.8666666666666663</v>
      </c>
      <c r="AR46" s="156"/>
      <c r="AS46" s="138">
        <f t="shared" si="27"/>
        <v>88</v>
      </c>
      <c r="AT46" s="139">
        <f t="shared" si="28"/>
        <v>6.2857142857142856</v>
      </c>
      <c r="AU46" s="156"/>
      <c r="AV46" s="138">
        <f t="shared" si="29"/>
        <v>88</v>
      </c>
      <c r="AW46" s="139">
        <f t="shared" si="30"/>
        <v>6.7692307692307692</v>
      </c>
      <c r="AX46" s="156"/>
      <c r="AY46" s="138">
        <f t="shared" si="31"/>
        <v>88</v>
      </c>
      <c r="AZ46" s="139">
        <f t="shared" si="32"/>
        <v>7.333333333333333</v>
      </c>
      <c r="BA46" s="156"/>
      <c r="BB46" s="138">
        <f t="shared" si="33"/>
        <v>88</v>
      </c>
      <c r="BC46" s="139">
        <f t="shared" si="34"/>
        <v>8</v>
      </c>
      <c r="BD46" s="156"/>
      <c r="BE46" s="138">
        <f t="shared" si="35"/>
        <v>88</v>
      </c>
      <c r="BF46" s="139">
        <f t="shared" si="36"/>
        <v>8.8000000000000007</v>
      </c>
      <c r="BG46" s="156"/>
      <c r="BH46" s="138">
        <f t="shared" si="37"/>
        <v>88</v>
      </c>
      <c r="BI46" s="139">
        <f t="shared" si="38"/>
        <v>9.7777777777777786</v>
      </c>
      <c r="BJ46" s="156"/>
      <c r="BK46" s="138">
        <f t="shared" si="39"/>
        <v>88</v>
      </c>
      <c r="BL46" s="139">
        <f t="shared" si="40"/>
        <v>11</v>
      </c>
      <c r="BM46" s="156"/>
      <c r="BN46" s="138">
        <f t="shared" si="41"/>
        <v>88</v>
      </c>
      <c r="BO46" s="139">
        <f t="shared" si="42"/>
        <v>12.571428571428571</v>
      </c>
      <c r="BP46" s="156"/>
      <c r="BQ46" s="138">
        <f t="shared" si="43"/>
        <v>88</v>
      </c>
      <c r="BR46" s="139">
        <f t="shared" si="44"/>
        <v>14.666666666666666</v>
      </c>
      <c r="BS46" s="156"/>
      <c r="BT46" s="138">
        <f t="shared" si="45"/>
        <v>88</v>
      </c>
      <c r="BU46" s="139">
        <f t="shared" si="46"/>
        <v>17.600000000000001</v>
      </c>
      <c r="BV46" s="156"/>
      <c r="BW46" s="138">
        <f t="shared" si="47"/>
        <v>88</v>
      </c>
      <c r="BX46" s="139">
        <f t="shared" si="48"/>
        <v>22</v>
      </c>
      <c r="BY46" s="156"/>
      <c r="BZ46" s="138">
        <f t="shared" si="49"/>
        <v>88</v>
      </c>
      <c r="CA46" s="139">
        <f t="shared" si="50"/>
        <v>29.333333333333332</v>
      </c>
      <c r="CB46" s="156"/>
      <c r="CC46" s="138">
        <f t="shared" si="51"/>
        <v>88</v>
      </c>
      <c r="CD46" s="139">
        <f t="shared" si="52"/>
        <v>44</v>
      </c>
      <c r="CE46" s="156"/>
      <c r="CF46" s="138">
        <f t="shared" si="53"/>
        <v>88</v>
      </c>
      <c r="CG46" s="139">
        <f t="shared" si="54"/>
        <v>88</v>
      </c>
      <c r="CH46" s="160"/>
    </row>
    <row r="47" spans="1:86" s="55" customFormat="1" ht="19.5" x14ac:dyDescent="0.3">
      <c r="C47" s="209"/>
      <c r="V47" s="210"/>
    </row>
    <row r="48" spans="1:86" s="55" customFormat="1" ht="19.5" x14ac:dyDescent="0.3">
      <c r="C48" s="209"/>
      <c r="V48" s="210"/>
    </row>
  </sheetData>
  <mergeCells count="83">
    <mergeCell ref="M3:N3"/>
    <mergeCell ref="A2:B2"/>
    <mergeCell ref="C2:E2"/>
    <mergeCell ref="A3:A4"/>
    <mergeCell ref="B3:B4"/>
    <mergeCell ref="C3:C4"/>
    <mergeCell ref="D3:D4"/>
    <mergeCell ref="E3:E4"/>
    <mergeCell ref="F3:F4"/>
    <mergeCell ref="G3:H3"/>
    <mergeCell ref="I3:I4"/>
    <mergeCell ref="J3:K3"/>
    <mergeCell ref="L3:L4"/>
    <mergeCell ref="AE3:AF3"/>
    <mergeCell ref="O3:O4"/>
    <mergeCell ref="P3:Q3"/>
    <mergeCell ref="R3:R4"/>
    <mergeCell ref="S3:T3"/>
    <mergeCell ref="U3:U4"/>
    <mergeCell ref="V3:W3"/>
    <mergeCell ref="X3:X4"/>
    <mergeCell ref="Y3:Z3"/>
    <mergeCell ref="AA3:AA4"/>
    <mergeCell ref="AB3:AC3"/>
    <mergeCell ref="AD3:AD4"/>
    <mergeCell ref="AW3:AX3"/>
    <mergeCell ref="AG3:AG4"/>
    <mergeCell ref="AH3:AI3"/>
    <mergeCell ref="AJ3:AJ4"/>
    <mergeCell ref="AK3:AL3"/>
    <mergeCell ref="AM3:AM4"/>
    <mergeCell ref="AN3:AO3"/>
    <mergeCell ref="AP3:AP4"/>
    <mergeCell ref="AQ3:AR3"/>
    <mergeCell ref="AS3:AS4"/>
    <mergeCell ref="AT3:AU3"/>
    <mergeCell ref="AV3:AV4"/>
    <mergeCell ref="BO3:BP3"/>
    <mergeCell ref="AY3:AY4"/>
    <mergeCell ref="AZ3:BA3"/>
    <mergeCell ref="BB3:BB4"/>
    <mergeCell ref="BC3:BD3"/>
    <mergeCell ref="BE3:BE4"/>
    <mergeCell ref="BF3:BG3"/>
    <mergeCell ref="BH3:BH4"/>
    <mergeCell ref="BI3:BJ3"/>
    <mergeCell ref="BK3:BK4"/>
    <mergeCell ref="BL3:BM3"/>
    <mergeCell ref="BN3:BN4"/>
    <mergeCell ref="CG3:CH3"/>
    <mergeCell ref="BQ3:BQ4"/>
    <mergeCell ref="BR3:BS3"/>
    <mergeCell ref="BT3:BT4"/>
    <mergeCell ref="BU3:BV3"/>
    <mergeCell ref="BW3:BW4"/>
    <mergeCell ref="BX3:BY3"/>
    <mergeCell ref="BZ3:BZ4"/>
    <mergeCell ref="CA3:CB3"/>
    <mergeCell ref="CC3:CC4"/>
    <mergeCell ref="CD3:CE3"/>
    <mergeCell ref="CF3:CF4"/>
    <mergeCell ref="A5:A46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45:B46"/>
    <mergeCell ref="B23:B24"/>
    <mergeCell ref="B25:B26"/>
    <mergeCell ref="B27:B28"/>
    <mergeCell ref="B29:B30"/>
    <mergeCell ref="B31:B32"/>
    <mergeCell ref="B43:B44"/>
    <mergeCell ref="B33:B34"/>
    <mergeCell ref="B35:B36"/>
    <mergeCell ref="B37:B38"/>
    <mergeCell ref="B39:B40"/>
    <mergeCell ref="B41:B42"/>
  </mergeCells>
  <conditionalFormatting sqref="G4:XFD4 D6 D4:E4 B3:XFD3 B4 B5:XFD5 K6 I6:J46 H6 E6:G46 N6 L6:M46 Q6 O6:P46 T6 R6:S46 W6 U6:U46 V6:V48 Z6 X6:Y46 AC6 AA6:AB46 AF6 AD6:AE46 AI6 AG6:AH46 AL6 AJ6:AK46 AO6 AM6:AN46 AR6 AP6:AQ46 AU6 AS6:AT46 AX6 AV6:AW46 BA6 AY6:AZ46 BD6 BB6:BC46 BG6 BE6:BF46 BJ6 BH6:BI46 BM6 BK6:BL46 BP6 BN6:BO46 BS6 BQ6:BR46 BV6 BT6:BU46 BY6 BW6:BX46 CB6 BZ6:CA46 CE6 CC6:CD46 CH6:XFD6 CF6:CG46">
    <cfRule type="timePeriod" dxfId="56" priority="51" timePeriod="thisMonth">
      <formula>AND(MONTH(B3)=MONTH(TODAY()),YEAR(B3)=YEAR(TODAY()))</formula>
    </cfRule>
    <cfRule type="timePeriod" dxfId="55" priority="52" timePeriod="nextMonth">
      <formula>AND(MONTH(B3)=MONTH(EDATE(TODAY(),0+1)),YEAR(B3)=YEAR(EDATE(TODAY(),0+1)))</formula>
    </cfRule>
    <cfRule type="cellIs" dxfId="54" priority="53" operator="equal">
      <formula>"Quantity"</formula>
    </cfRule>
    <cfRule type="cellIs" dxfId="53" priority="54" operator="equal">
      <formula>"Smartphone"</formula>
    </cfRule>
    <cfRule type="cellIs" dxfId="52" priority="55" operator="equal">
      <formula>"Quantity"</formula>
    </cfRule>
    <cfRule type="cellIs" dxfId="51" priority="56" operator="equal">
      <formula>"Value"</formula>
    </cfRule>
    <cfRule type="cellIs" dxfId="50" priority="57" operator="equal">
      <formula>"Achive"</formula>
    </cfRule>
    <cfRule type="cellIs" dxfId="49" priority="58" operator="equal">
      <formula>"Target"</formula>
    </cfRule>
  </conditionalFormatting>
  <conditionalFormatting sqref="B7 D8:D9 K8:K9 H8:H9 N8:N9 Q8:Q9 T8:T9 W8:W9 Z8:Z9 AC8:AC9 AF8:AF9 AI8:AI9 AL8:AL9 AO8:AO9 AR8:AR9 AU8:AU9 AX8:AX9 BA8:BA9 BD8:BD9 BG8:BG9 BJ8:BJ9 BM8:BM9 BP8:BP9 BS8:BS9 BV8:BV9 BY8:BY9 CB8:CB9 CE8:CE9 CH8:XFD9">
    <cfRule type="timePeriod" dxfId="48" priority="43" timePeriod="thisMonth">
      <formula>AND(MONTH(B7)=MONTH(TODAY()),YEAR(B7)=YEAR(TODAY()))</formula>
    </cfRule>
    <cfRule type="timePeriod" dxfId="47" priority="44" timePeriod="nextMonth">
      <formula>AND(MONTH(B7)=MONTH(EDATE(TODAY(),0+1)),YEAR(B7)=YEAR(EDATE(TODAY(),0+1)))</formula>
    </cfRule>
    <cfRule type="cellIs" dxfId="46" priority="45" operator="equal">
      <formula>"Quantity"</formula>
    </cfRule>
    <cfRule type="cellIs" dxfId="45" priority="46" operator="equal">
      <formula>"Smartphone"</formula>
    </cfRule>
    <cfRule type="cellIs" dxfId="44" priority="47" operator="equal">
      <formula>"Quantity"</formula>
    </cfRule>
    <cfRule type="cellIs" dxfId="43" priority="48" operator="equal">
      <formula>"Value"</formula>
    </cfRule>
    <cfRule type="cellIs" dxfId="42" priority="49" operator="equal">
      <formula>"Achive"</formula>
    </cfRule>
    <cfRule type="cellIs" dxfId="41" priority="50" operator="equal">
      <formula>"Target"</formula>
    </cfRule>
  </conditionalFormatting>
  <conditionalFormatting sqref="B11 D11:D12 K11:K12 H11:H12 N11:N12 Q11:Q12 T11:T12 W11:W12 Z11:Z12 AC11:AC12 AF11:AF12 AI11:AI12 AL11:AL12 AO11:AO12 AR11:AR12 AU11:AU12 AX11:AX12 BA11:BA12 BD11:BD12 BG11:BG12 BJ11:BJ12 BM11:BM12 BP11:BP12 BS11:BS12 BV11:BV12 BY11:BY12 CB11:CB12 CE11:CE12 CH11:XFD12">
    <cfRule type="timePeriod" dxfId="40" priority="35" timePeriod="thisMonth">
      <formula>AND(MONTH(B11)=MONTH(TODAY()),YEAR(B11)=YEAR(TODAY()))</formula>
    </cfRule>
    <cfRule type="timePeriod" dxfId="39" priority="36" timePeriod="nextMonth">
      <formula>AND(MONTH(B11)=MONTH(EDATE(TODAY(),0+1)),YEAR(B11)=YEAR(EDATE(TODAY(),0+1)))</formula>
    </cfRule>
    <cfRule type="cellIs" dxfId="38" priority="37" operator="equal">
      <formula>"Quantity"</formula>
    </cfRule>
    <cfRule type="cellIs" dxfId="37" priority="38" operator="equal">
      <formula>"Smartphone"</formula>
    </cfRule>
    <cfRule type="cellIs" dxfId="36" priority="39" operator="equal">
      <formula>"Quantity"</formula>
    </cfRule>
    <cfRule type="cellIs" dxfId="35" priority="40" operator="equal">
      <formula>"Value"</formula>
    </cfRule>
    <cfRule type="cellIs" dxfId="34" priority="41" operator="equal">
      <formula>"Achive"</formula>
    </cfRule>
    <cfRule type="cellIs" dxfId="33" priority="42" operator="equal">
      <formula>"Target"</formula>
    </cfRule>
  </conditionalFormatting>
  <conditionalFormatting sqref="B13 D14:D15 K14:K15 H14:H15 N14:N15 Q14:Q15 T14:T15 W14:W15 Z14:Z15 AC14:AC15 AF14:AF15 AI14:AI15 AL14:AL15 AO14:AO15 AR14:AR15 AU14:AU15 AX14:AX15 BA14:BA15 BD14:BD15 BG14:BG15 BJ14:BJ15 BM14:BM15 BP14:BP15 BS14:BS15 BV14:BV15 BY14:BY15 CB14:CB15 CE14:CE15 CH14:XFD15">
    <cfRule type="timePeriod" dxfId="32" priority="27" timePeriod="thisMonth">
      <formula>AND(MONTH(B13)=MONTH(TODAY()),YEAR(B13)=YEAR(TODAY()))</formula>
    </cfRule>
    <cfRule type="timePeriod" dxfId="31" priority="28" timePeriod="nextMonth">
      <formula>AND(MONTH(B13)=MONTH(EDATE(TODAY(),0+1)),YEAR(B13)=YEAR(EDATE(TODAY(),0+1)))</formula>
    </cfRule>
    <cfRule type="cellIs" dxfId="30" priority="29" operator="equal">
      <formula>"Quantity"</formula>
    </cfRule>
    <cfRule type="cellIs" dxfId="29" priority="30" operator="equal">
      <formula>"Smartphone"</formula>
    </cfRule>
    <cfRule type="cellIs" dxfId="28" priority="31" operator="equal">
      <formula>"Quantity"</formula>
    </cfRule>
    <cfRule type="cellIs" dxfId="27" priority="32" operator="equal">
      <formula>"Value"</formula>
    </cfRule>
    <cfRule type="cellIs" dxfId="26" priority="33" operator="equal">
      <formula>"Achive"</formula>
    </cfRule>
    <cfRule type="cellIs" dxfId="25" priority="34" operator="equal">
      <formula>"Target"</formula>
    </cfRule>
  </conditionalFormatting>
  <conditionalFormatting sqref="C8">
    <cfRule type="timePeriod" dxfId="24" priority="19" timePeriod="thisMonth">
      <formula>AND(MONTH(C8)=MONTH(TODAY()),YEAR(C8)=YEAR(TODAY()))</formula>
    </cfRule>
    <cfRule type="timePeriod" dxfId="23" priority="20" timePeriod="nextMonth">
      <formula>AND(MONTH(C8)=MONTH(EDATE(TODAY(),0+1)),YEAR(C8)=YEAR(EDATE(TODAY(),0+1)))</formula>
    </cfRule>
    <cfRule type="cellIs" dxfId="22" priority="21" operator="equal">
      <formula>"Quantity"</formula>
    </cfRule>
    <cfRule type="cellIs" dxfId="21" priority="22" operator="equal">
      <formula>"Smartphone"</formula>
    </cfRule>
    <cfRule type="cellIs" dxfId="20" priority="23" operator="equal">
      <formula>"Quantity"</formula>
    </cfRule>
    <cfRule type="cellIs" dxfId="19" priority="24" operator="equal">
      <formula>"Value"</formula>
    </cfRule>
    <cfRule type="cellIs" dxfId="18" priority="25" operator="equal">
      <formula>"Achive"</formula>
    </cfRule>
    <cfRule type="cellIs" dxfId="17" priority="26" operator="equal">
      <formula>"Target"</formula>
    </cfRule>
  </conditionalFormatting>
  <conditionalFormatting sqref="C11">
    <cfRule type="timePeriod" dxfId="16" priority="11" timePeriod="thisMonth">
      <formula>AND(MONTH(C11)=MONTH(TODAY()),YEAR(C11)=YEAR(TODAY()))</formula>
    </cfRule>
    <cfRule type="timePeriod" dxfId="15" priority="12" timePeriod="nextMonth">
      <formula>AND(MONTH(C11)=MONTH(EDATE(TODAY(),0+1)),YEAR(C11)=YEAR(EDATE(TODAY(),0+1)))</formula>
    </cfRule>
    <cfRule type="cellIs" dxfId="14" priority="13" operator="equal">
      <formula>"Quantity"</formula>
    </cfRule>
    <cfRule type="cellIs" dxfId="13" priority="14" operator="equal">
      <formula>"Smartphone"</formula>
    </cfRule>
    <cfRule type="cellIs" dxfId="12" priority="15" operator="equal">
      <formula>"Quantity"</formula>
    </cfRule>
    <cfRule type="cellIs" dxfId="11" priority="16" operator="equal">
      <formula>"Value"</formula>
    </cfRule>
    <cfRule type="cellIs" dxfId="10" priority="17" operator="equal">
      <formula>"Achive"</formula>
    </cfRule>
    <cfRule type="cellIs" dxfId="9" priority="18" operator="equal">
      <formula>"Target"</formula>
    </cfRule>
  </conditionalFormatting>
  <conditionalFormatting sqref="C14">
    <cfRule type="timePeriod" dxfId="8" priority="3" timePeriod="thisMonth">
      <formula>AND(MONTH(C14)=MONTH(TODAY()),YEAR(C14)=YEAR(TODAY()))</formula>
    </cfRule>
    <cfRule type="timePeriod" dxfId="7" priority="4" timePeriod="nextMonth">
      <formula>AND(MONTH(C14)=MONTH(EDATE(TODAY(),0+1)),YEAR(C14)=YEAR(EDATE(TODAY(),0+1)))</formula>
    </cfRule>
    <cfRule type="cellIs" dxfId="6" priority="5" operator="equal">
      <formula>"Quantity"</formula>
    </cfRule>
    <cfRule type="cellIs" dxfId="5" priority="6" operator="equal">
      <formula>"Smartphone"</formula>
    </cfRule>
    <cfRule type="cellIs" dxfId="4" priority="7" operator="equal">
      <formula>"Quantity"</formula>
    </cfRule>
    <cfRule type="cellIs" dxfId="3" priority="8" operator="equal">
      <formula>"Value"</formula>
    </cfRule>
    <cfRule type="cellIs" dxfId="2" priority="9" operator="equal">
      <formula>"Achive"</formula>
    </cfRule>
    <cfRule type="cellIs" dxfId="1" priority="10" operator="equal">
      <formula>"Target"</formula>
    </cfRule>
  </conditionalFormatting>
  <conditionalFormatting sqref="B3:CH46">
    <cfRule type="expression" priority="2">
      <formula>MOD(ROW(),2)=o</formula>
    </cfRule>
  </conditionalFormatting>
  <conditionalFormatting sqref="B5:CH4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4" sqref="D4:L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49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</row>
    <row r="2" spans="1:20" ht="15.75" thickBot="1" x14ac:dyDescent="0.3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</row>
    <row r="3" spans="1:20" ht="18.75" x14ac:dyDescent="0.25">
      <c r="A3" s="250" t="s">
        <v>46</v>
      </c>
      <c r="B3" s="251"/>
      <c r="C3" s="252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</row>
    <row r="4" spans="1:20" x14ac:dyDescent="0.25">
      <c r="A4" s="254" t="s">
        <v>1</v>
      </c>
      <c r="B4" s="254"/>
      <c r="C4" s="1"/>
      <c r="D4" s="2">
        <f>'3'!D29</f>
        <v>610870</v>
      </c>
      <c r="E4" s="2">
        <f>'3'!E29</f>
        <v>4480</v>
      </c>
      <c r="F4" s="2">
        <f>'3'!F29</f>
        <v>9660</v>
      </c>
      <c r="G4" s="2">
        <f>'3'!G29</f>
        <v>0</v>
      </c>
      <c r="H4" s="2">
        <f>'3'!H29</f>
        <v>31840</v>
      </c>
      <c r="I4" s="2">
        <f>'3'!I29</f>
        <v>1034</v>
      </c>
      <c r="J4" s="2">
        <f>'3'!J29</f>
        <v>150</v>
      </c>
      <c r="K4" s="2">
        <f>'3'!K29</f>
        <v>456</v>
      </c>
      <c r="L4" s="2">
        <f>'3'!L29</f>
        <v>0</v>
      </c>
      <c r="M4" s="3"/>
      <c r="N4" s="255"/>
      <c r="O4" s="255"/>
      <c r="P4" s="255"/>
      <c r="Q4" s="255"/>
      <c r="R4" s="255"/>
      <c r="S4" s="255"/>
      <c r="T4" s="255"/>
    </row>
    <row r="5" spans="1:20" x14ac:dyDescent="0.25">
      <c r="A5" s="254" t="s">
        <v>2</v>
      </c>
      <c r="B5" s="25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5"/>
      <c r="O5" s="255"/>
      <c r="P5" s="255"/>
      <c r="Q5" s="255"/>
      <c r="R5" s="255"/>
      <c r="S5" s="255"/>
      <c r="T5" s="25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40" t="s">
        <v>44</v>
      </c>
      <c r="B28" s="241"/>
      <c r="C28" s="24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43" t="s">
        <v>45</v>
      </c>
      <c r="B29" s="244"/>
      <c r="C29" s="245"/>
      <c r="D29" s="48">
        <f>D4+D5-D28</f>
        <v>610870</v>
      </c>
      <c r="E29" s="48">
        <f t="shared" ref="E29:L29" si="8">E4+E5-E28</f>
        <v>4480</v>
      </c>
      <c r="F29" s="48">
        <f t="shared" si="8"/>
        <v>9660</v>
      </c>
      <c r="G29" s="48">
        <f t="shared" si="8"/>
        <v>0</v>
      </c>
      <c r="H29" s="48">
        <f t="shared" si="8"/>
        <v>31840</v>
      </c>
      <c r="I29" s="48">
        <f t="shared" si="8"/>
        <v>1034</v>
      </c>
      <c r="J29" s="48">
        <f t="shared" si="8"/>
        <v>150</v>
      </c>
      <c r="K29" s="48">
        <f t="shared" si="8"/>
        <v>456</v>
      </c>
      <c r="L29" s="48">
        <f t="shared" si="8"/>
        <v>0</v>
      </c>
      <c r="M29" s="246"/>
      <c r="N29" s="247"/>
      <c r="O29" s="247"/>
      <c r="P29" s="247"/>
      <c r="Q29" s="247"/>
      <c r="R29" s="247"/>
      <c r="S29" s="247"/>
      <c r="T29" s="24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97" priority="43" operator="equal">
      <formula>212030016606640</formula>
    </cfRule>
  </conditionalFormatting>
  <conditionalFormatting sqref="D29 E4:E6 E28:K29">
    <cfRule type="cellIs" dxfId="1296" priority="41" operator="equal">
      <formula>$E$4</formula>
    </cfRule>
    <cfRule type="cellIs" dxfId="1295" priority="42" operator="equal">
      <formula>2120</formula>
    </cfRule>
  </conditionalFormatting>
  <conditionalFormatting sqref="D29:E29 F4:F6 F28:F29">
    <cfRule type="cellIs" dxfId="1294" priority="39" operator="equal">
      <formula>$F$4</formula>
    </cfRule>
    <cfRule type="cellIs" dxfId="1293" priority="40" operator="equal">
      <formula>300</formula>
    </cfRule>
  </conditionalFormatting>
  <conditionalFormatting sqref="G4:G6 G28:G29">
    <cfRule type="cellIs" dxfId="1292" priority="37" operator="equal">
      <formula>$G$4</formula>
    </cfRule>
    <cfRule type="cellIs" dxfId="1291" priority="38" operator="equal">
      <formula>1660</formula>
    </cfRule>
  </conditionalFormatting>
  <conditionalFormatting sqref="H4:H6 H28:H29">
    <cfRule type="cellIs" dxfId="1290" priority="35" operator="equal">
      <formula>$H$4</formula>
    </cfRule>
    <cfRule type="cellIs" dxfId="1289" priority="36" operator="equal">
      <formula>6640</formula>
    </cfRule>
  </conditionalFormatting>
  <conditionalFormatting sqref="T6:T28">
    <cfRule type="cellIs" dxfId="1288" priority="34" operator="lessThan">
      <formula>0</formula>
    </cfRule>
  </conditionalFormatting>
  <conditionalFormatting sqref="T7:T27">
    <cfRule type="cellIs" dxfId="1287" priority="31" operator="lessThan">
      <formula>0</formula>
    </cfRule>
    <cfRule type="cellIs" dxfId="1286" priority="32" operator="lessThan">
      <formula>0</formula>
    </cfRule>
    <cfRule type="cellIs" dxfId="1285" priority="33" operator="lessThan">
      <formula>0</formula>
    </cfRule>
  </conditionalFormatting>
  <conditionalFormatting sqref="E4:E6 E28:K28">
    <cfRule type="cellIs" dxfId="1284" priority="30" operator="equal">
      <formula>$E$4</formula>
    </cfRule>
  </conditionalFormatting>
  <conditionalFormatting sqref="D28:D29 D6 D4:M4">
    <cfRule type="cellIs" dxfId="1283" priority="29" operator="equal">
      <formula>$D$4</formula>
    </cfRule>
  </conditionalFormatting>
  <conditionalFormatting sqref="I4:I6 I28:I29">
    <cfRule type="cellIs" dxfId="1282" priority="28" operator="equal">
      <formula>$I$4</formula>
    </cfRule>
  </conditionalFormatting>
  <conditionalFormatting sqref="J4:J6 J28:J29">
    <cfRule type="cellIs" dxfId="1281" priority="27" operator="equal">
      <formula>$J$4</formula>
    </cfRule>
  </conditionalFormatting>
  <conditionalFormatting sqref="K4:K6 K28:K29">
    <cfRule type="cellIs" dxfId="1280" priority="26" operator="equal">
      <formula>$K$4</formula>
    </cfRule>
  </conditionalFormatting>
  <conditionalFormatting sqref="M4:M6">
    <cfRule type="cellIs" dxfId="1279" priority="25" operator="equal">
      <formula>$L$4</formula>
    </cfRule>
  </conditionalFormatting>
  <conditionalFormatting sqref="T7:T28">
    <cfRule type="cellIs" dxfId="1278" priority="22" operator="lessThan">
      <formula>0</formula>
    </cfRule>
    <cfRule type="cellIs" dxfId="1277" priority="23" operator="lessThan">
      <formula>0</formula>
    </cfRule>
    <cfRule type="cellIs" dxfId="1276" priority="24" operator="lessThan">
      <formula>0</formula>
    </cfRule>
  </conditionalFormatting>
  <conditionalFormatting sqref="D5:K5">
    <cfRule type="cellIs" dxfId="1275" priority="21" operator="greaterThan">
      <formula>0</formula>
    </cfRule>
  </conditionalFormatting>
  <conditionalFormatting sqref="T6:T28">
    <cfRule type="cellIs" dxfId="1274" priority="20" operator="lessThan">
      <formula>0</formula>
    </cfRule>
  </conditionalFormatting>
  <conditionalFormatting sqref="T7:T27">
    <cfRule type="cellIs" dxfId="1273" priority="17" operator="lessThan">
      <formula>0</formula>
    </cfRule>
    <cfRule type="cellIs" dxfId="1272" priority="18" operator="lessThan">
      <formula>0</formula>
    </cfRule>
    <cfRule type="cellIs" dxfId="1271" priority="19" operator="lessThan">
      <formula>0</formula>
    </cfRule>
  </conditionalFormatting>
  <conditionalFormatting sqref="T7:T28">
    <cfRule type="cellIs" dxfId="1270" priority="14" operator="lessThan">
      <formula>0</formula>
    </cfRule>
    <cfRule type="cellIs" dxfId="1269" priority="15" operator="lessThan">
      <formula>0</formula>
    </cfRule>
    <cfRule type="cellIs" dxfId="1268" priority="16" operator="lessThan">
      <formula>0</formula>
    </cfRule>
  </conditionalFormatting>
  <conditionalFormatting sqref="D5:K5">
    <cfRule type="cellIs" dxfId="1267" priority="13" operator="greaterThan">
      <formula>0</formula>
    </cfRule>
  </conditionalFormatting>
  <conditionalFormatting sqref="L4 L6 L28:L29">
    <cfRule type="cellIs" dxfId="1266" priority="12" operator="equal">
      <formula>$L$4</formula>
    </cfRule>
  </conditionalFormatting>
  <conditionalFormatting sqref="D7:S7">
    <cfRule type="cellIs" dxfId="1265" priority="11" operator="greaterThan">
      <formula>0</formula>
    </cfRule>
  </conditionalFormatting>
  <conditionalFormatting sqref="D9:S9">
    <cfRule type="cellIs" dxfId="1264" priority="10" operator="greaterThan">
      <formula>0</formula>
    </cfRule>
  </conditionalFormatting>
  <conditionalFormatting sqref="D11:S11">
    <cfRule type="cellIs" dxfId="1263" priority="9" operator="greaterThan">
      <formula>0</formula>
    </cfRule>
  </conditionalFormatting>
  <conditionalFormatting sqref="D13:S13">
    <cfRule type="cellIs" dxfId="1262" priority="8" operator="greaterThan">
      <formula>0</formula>
    </cfRule>
  </conditionalFormatting>
  <conditionalFormatting sqref="D15:S15">
    <cfRule type="cellIs" dxfId="1261" priority="7" operator="greaterThan">
      <formula>0</formula>
    </cfRule>
  </conditionalFormatting>
  <conditionalFormatting sqref="D17:S17">
    <cfRule type="cellIs" dxfId="1260" priority="6" operator="greaterThan">
      <formula>0</formula>
    </cfRule>
  </conditionalFormatting>
  <conditionalFormatting sqref="D19:S19">
    <cfRule type="cellIs" dxfId="1259" priority="5" operator="greaterThan">
      <formula>0</formula>
    </cfRule>
  </conditionalFormatting>
  <conditionalFormatting sqref="D21:S21">
    <cfRule type="cellIs" dxfId="1258" priority="4" operator="greaterThan">
      <formula>0</formula>
    </cfRule>
  </conditionalFormatting>
  <conditionalFormatting sqref="D23:S23">
    <cfRule type="cellIs" dxfId="1257" priority="3" operator="greaterThan">
      <formula>0</formula>
    </cfRule>
  </conditionalFormatting>
  <conditionalFormatting sqref="D25:S25">
    <cfRule type="cellIs" dxfId="1256" priority="2" operator="greaterThan">
      <formula>0</formula>
    </cfRule>
  </conditionalFormatting>
  <conditionalFormatting sqref="D27:S27">
    <cfRule type="cellIs" dxfId="1255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H22" sqref="H2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49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</row>
    <row r="2" spans="1:20" ht="15.75" thickBot="1" x14ac:dyDescent="0.3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</row>
    <row r="3" spans="1:20" ht="18.75" x14ac:dyDescent="0.25">
      <c r="A3" s="250" t="s">
        <v>58</v>
      </c>
      <c r="B3" s="251"/>
      <c r="C3" s="252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</row>
    <row r="4" spans="1:20" x14ac:dyDescent="0.25">
      <c r="A4" s="254" t="s">
        <v>1</v>
      </c>
      <c r="B4" s="254"/>
      <c r="C4" s="1"/>
      <c r="D4" s="2">
        <f>'4'!D29</f>
        <v>610870</v>
      </c>
      <c r="E4" s="2">
        <f>'4'!E29</f>
        <v>4480</v>
      </c>
      <c r="F4" s="2">
        <f>'4'!F29</f>
        <v>9660</v>
      </c>
      <c r="G4" s="2">
        <f>'4'!G29</f>
        <v>0</v>
      </c>
      <c r="H4" s="2">
        <f>'4'!H29</f>
        <v>31840</v>
      </c>
      <c r="I4" s="2">
        <f>'4'!I29</f>
        <v>1034</v>
      </c>
      <c r="J4" s="2">
        <f>'4'!J29</f>
        <v>150</v>
      </c>
      <c r="K4" s="2">
        <f>'4'!K29</f>
        <v>456</v>
      </c>
      <c r="L4" s="2">
        <f>'4'!L29</f>
        <v>0</v>
      </c>
      <c r="M4" s="2">
        <f>'4'!M29</f>
        <v>0</v>
      </c>
      <c r="N4" s="255"/>
      <c r="O4" s="255"/>
      <c r="P4" s="255"/>
      <c r="Q4" s="255"/>
      <c r="R4" s="255"/>
      <c r="S4" s="255"/>
      <c r="T4" s="255"/>
    </row>
    <row r="5" spans="1:20" x14ac:dyDescent="0.25">
      <c r="A5" s="254" t="s">
        <v>2</v>
      </c>
      <c r="B5" s="25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5"/>
      <c r="O5" s="255"/>
      <c r="P5" s="255"/>
      <c r="Q5" s="255"/>
      <c r="R5" s="255"/>
      <c r="S5" s="255"/>
      <c r="T5" s="255"/>
    </row>
    <row r="6" spans="1:20" ht="39" thickBot="1" x14ac:dyDescent="0.3">
      <c r="A6" s="6" t="s">
        <v>3</v>
      </c>
      <c r="B6" s="58" t="s">
        <v>4</v>
      </c>
      <c r="C6" s="59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60">
        <v>1</v>
      </c>
      <c r="B7" s="64">
        <v>1908446134</v>
      </c>
      <c r="C7" s="65" t="s">
        <v>23</v>
      </c>
      <c r="D7" s="62">
        <v>11001</v>
      </c>
      <c r="E7" s="22">
        <v>50</v>
      </c>
      <c r="F7" s="22"/>
      <c r="G7" s="22"/>
      <c r="H7" s="22"/>
      <c r="I7" s="23">
        <v>16</v>
      </c>
      <c r="J7" s="23"/>
      <c r="K7" s="23">
        <v>5</v>
      </c>
      <c r="L7" s="23"/>
      <c r="M7" s="20">
        <f>D7+E7*20+F7*10+G7*9+H7*9</f>
        <v>12001</v>
      </c>
      <c r="N7" s="24">
        <f>D7+E7*20+F7*10+G7*9+H7*9+I7*191+J7*191+K7*182+L7*100</f>
        <v>15967</v>
      </c>
      <c r="O7" s="25">
        <f>M7*2.75%</f>
        <v>330.02749999999997</v>
      </c>
      <c r="P7" s="26"/>
      <c r="Q7" s="26">
        <v>97</v>
      </c>
      <c r="R7" s="29">
        <f>M7-(M7*2.75%)+I7*191+J7*191+K7*182+L7*100-Q7</f>
        <v>15539.9725</v>
      </c>
      <c r="S7" s="25">
        <f>M7*0.95%</f>
        <v>114.0095</v>
      </c>
      <c r="T7" s="27">
        <f>S7-Q7</f>
        <v>17.009500000000003</v>
      </c>
    </row>
    <row r="8" spans="1:20" ht="15.75" x14ac:dyDescent="0.25">
      <c r="A8" s="61">
        <v>2</v>
      </c>
      <c r="B8" s="66">
        <v>1908446135</v>
      </c>
      <c r="C8" s="67" t="s">
        <v>24</v>
      </c>
      <c r="D8" s="63">
        <v>4992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4992</v>
      </c>
      <c r="N8" s="24">
        <f t="shared" ref="N8:N27" si="1">D8+E8*20+F8*10+G8*9+H8*9+I8*191+J8*191+K8*182+L8*100</f>
        <v>4992</v>
      </c>
      <c r="O8" s="25">
        <f t="shared" ref="O8:O27" si="2">M8*2.75%</f>
        <v>137.28</v>
      </c>
      <c r="P8" s="26"/>
      <c r="Q8" s="26">
        <v>44</v>
      </c>
      <c r="R8" s="29">
        <f t="shared" ref="R8:R27" si="3">M8-(M8*2.75%)+I8*191+J8*191+K8*182+L8*100-Q8</f>
        <v>4810.72</v>
      </c>
      <c r="S8" s="25">
        <f t="shared" ref="S8:S27" si="4">M8*0.95%</f>
        <v>47.423999999999999</v>
      </c>
      <c r="T8" s="27">
        <f t="shared" ref="T8:T27" si="5">S8-Q8</f>
        <v>3.4239999999999995</v>
      </c>
    </row>
    <row r="9" spans="1:20" ht="15.75" x14ac:dyDescent="0.25">
      <c r="A9" s="61">
        <v>3</v>
      </c>
      <c r="B9" s="66">
        <v>1908446136</v>
      </c>
      <c r="C9" s="67" t="s">
        <v>25</v>
      </c>
      <c r="D9" s="63">
        <v>19162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19162</v>
      </c>
      <c r="N9" s="24">
        <f t="shared" si="1"/>
        <v>19162</v>
      </c>
      <c r="O9" s="25">
        <f t="shared" si="2"/>
        <v>526.95500000000004</v>
      </c>
      <c r="P9" s="26">
        <v>7000</v>
      </c>
      <c r="Q9" s="26">
        <v>145</v>
      </c>
      <c r="R9" s="29">
        <f t="shared" si="3"/>
        <v>18490.044999999998</v>
      </c>
      <c r="S9" s="25">
        <f t="shared" si="4"/>
        <v>182.03899999999999</v>
      </c>
      <c r="T9" s="27">
        <f t="shared" si="5"/>
        <v>37.038999999999987</v>
      </c>
    </row>
    <row r="10" spans="1:20" ht="15.75" x14ac:dyDescent="0.25">
      <c r="A10" s="61">
        <v>4</v>
      </c>
      <c r="B10" s="66">
        <v>1908446137</v>
      </c>
      <c r="C10" s="67" t="s">
        <v>26</v>
      </c>
      <c r="D10" s="63">
        <v>3859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3859</v>
      </c>
      <c r="N10" s="24">
        <f t="shared" si="1"/>
        <v>4432</v>
      </c>
      <c r="O10" s="25">
        <f t="shared" si="2"/>
        <v>106.1225</v>
      </c>
      <c r="P10" s="26"/>
      <c r="Q10" s="26">
        <v>25</v>
      </c>
      <c r="R10" s="29">
        <f t="shared" si="3"/>
        <v>4300.8775000000005</v>
      </c>
      <c r="S10" s="25">
        <f t="shared" si="4"/>
        <v>36.660499999999999</v>
      </c>
      <c r="T10" s="27">
        <f t="shared" si="5"/>
        <v>11.660499999999999</v>
      </c>
    </row>
    <row r="11" spans="1:20" ht="15.75" x14ac:dyDescent="0.25">
      <c r="A11" s="61">
        <v>5</v>
      </c>
      <c r="B11" s="66">
        <v>1908446138</v>
      </c>
      <c r="C11" s="67" t="s">
        <v>27</v>
      </c>
      <c r="D11" s="63">
        <v>4577</v>
      </c>
      <c r="E11" s="30"/>
      <c r="F11" s="30">
        <v>50</v>
      </c>
      <c r="G11" s="32"/>
      <c r="H11" s="30">
        <v>250</v>
      </c>
      <c r="I11" s="20"/>
      <c r="J11" s="20"/>
      <c r="K11" s="20"/>
      <c r="L11" s="20"/>
      <c r="M11" s="20">
        <f t="shared" si="0"/>
        <v>7327</v>
      </c>
      <c r="N11" s="24">
        <f t="shared" si="1"/>
        <v>7327</v>
      </c>
      <c r="O11" s="25">
        <f t="shared" si="2"/>
        <v>201.49250000000001</v>
      </c>
      <c r="P11" s="26"/>
      <c r="Q11" s="26">
        <v>35</v>
      </c>
      <c r="R11" s="29">
        <f t="shared" si="3"/>
        <v>7090.5074999999997</v>
      </c>
      <c r="S11" s="25">
        <f t="shared" si="4"/>
        <v>69.606499999999997</v>
      </c>
      <c r="T11" s="27">
        <f t="shared" si="5"/>
        <v>34.606499999999997</v>
      </c>
    </row>
    <row r="12" spans="1:20" ht="15.75" x14ac:dyDescent="0.25">
      <c r="A12" s="61">
        <v>6</v>
      </c>
      <c r="B12" s="66">
        <v>1908446139</v>
      </c>
      <c r="C12" s="67" t="s">
        <v>28</v>
      </c>
      <c r="D12" s="63">
        <v>4265</v>
      </c>
      <c r="E12" s="30">
        <v>100</v>
      </c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8165</v>
      </c>
      <c r="N12" s="24">
        <f t="shared" si="1"/>
        <v>8165</v>
      </c>
      <c r="O12" s="25">
        <f t="shared" si="2"/>
        <v>224.53749999999999</v>
      </c>
      <c r="P12" s="26"/>
      <c r="Q12" s="26">
        <v>40</v>
      </c>
      <c r="R12" s="29">
        <f t="shared" si="3"/>
        <v>7900.4624999999996</v>
      </c>
      <c r="S12" s="25">
        <f t="shared" si="4"/>
        <v>77.567499999999995</v>
      </c>
      <c r="T12" s="27">
        <f t="shared" si="5"/>
        <v>37.567499999999995</v>
      </c>
    </row>
    <row r="13" spans="1:20" ht="15.75" x14ac:dyDescent="0.25">
      <c r="A13" s="61">
        <v>7</v>
      </c>
      <c r="B13" s="66">
        <v>1908446140</v>
      </c>
      <c r="C13" s="67" t="s">
        <v>29</v>
      </c>
      <c r="D13" s="63">
        <v>6217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6217</v>
      </c>
      <c r="N13" s="24">
        <f t="shared" si="1"/>
        <v>6217</v>
      </c>
      <c r="O13" s="25">
        <f t="shared" si="2"/>
        <v>170.9675</v>
      </c>
      <c r="P13" s="26"/>
      <c r="Q13" s="26">
        <v>56</v>
      </c>
      <c r="R13" s="29">
        <f t="shared" si="3"/>
        <v>5990.0325000000003</v>
      </c>
      <c r="S13" s="25">
        <f t="shared" si="4"/>
        <v>59.061499999999995</v>
      </c>
      <c r="T13" s="27">
        <f t="shared" si="5"/>
        <v>3.0614999999999952</v>
      </c>
    </row>
    <row r="14" spans="1:20" ht="15.75" x14ac:dyDescent="0.25">
      <c r="A14" s="61">
        <v>8</v>
      </c>
      <c r="B14" s="66">
        <v>1908446141</v>
      </c>
      <c r="C14" s="67" t="s">
        <v>30</v>
      </c>
      <c r="D14" s="63">
        <v>11015</v>
      </c>
      <c r="E14" s="30"/>
      <c r="F14" s="30"/>
      <c r="G14" s="30"/>
      <c r="H14" s="30"/>
      <c r="I14" s="20">
        <v>8</v>
      </c>
      <c r="J14" s="20"/>
      <c r="K14" s="20">
        <v>25</v>
      </c>
      <c r="L14" s="20"/>
      <c r="M14" s="20">
        <f t="shared" si="0"/>
        <v>11015</v>
      </c>
      <c r="N14" s="24">
        <f t="shared" si="1"/>
        <v>17093</v>
      </c>
      <c r="O14" s="25">
        <f t="shared" si="2"/>
        <v>302.91250000000002</v>
      </c>
      <c r="P14" s="26"/>
      <c r="Q14" s="26">
        <v>140</v>
      </c>
      <c r="R14" s="29">
        <f t="shared" si="3"/>
        <v>16650.087500000001</v>
      </c>
      <c r="S14" s="25">
        <f t="shared" si="4"/>
        <v>104.6425</v>
      </c>
      <c r="T14" s="27">
        <f t="shared" si="5"/>
        <v>-35.357500000000002</v>
      </c>
    </row>
    <row r="15" spans="1:20" ht="15.75" x14ac:dyDescent="0.25">
      <c r="A15" s="61">
        <v>9</v>
      </c>
      <c r="B15" s="66">
        <v>1908446142</v>
      </c>
      <c r="C15" s="68" t="s">
        <v>31</v>
      </c>
      <c r="D15" s="63">
        <v>35120</v>
      </c>
      <c r="E15" s="30"/>
      <c r="F15" s="30">
        <v>30</v>
      </c>
      <c r="G15" s="30"/>
      <c r="H15" s="30">
        <v>80</v>
      </c>
      <c r="I15" s="20">
        <v>2</v>
      </c>
      <c r="J15" s="20"/>
      <c r="K15" s="20"/>
      <c r="L15" s="20"/>
      <c r="M15" s="20">
        <f t="shared" si="0"/>
        <v>36140</v>
      </c>
      <c r="N15" s="24">
        <f t="shared" si="1"/>
        <v>36522</v>
      </c>
      <c r="O15" s="25">
        <f t="shared" si="2"/>
        <v>993.85</v>
      </c>
      <c r="P15" s="26">
        <v>21085</v>
      </c>
      <c r="Q15" s="26">
        <v>180</v>
      </c>
      <c r="R15" s="29">
        <f t="shared" si="3"/>
        <v>35348.15</v>
      </c>
      <c r="S15" s="25">
        <f t="shared" si="4"/>
        <v>343.33</v>
      </c>
      <c r="T15" s="27">
        <f t="shared" si="5"/>
        <v>163.32999999999998</v>
      </c>
    </row>
    <row r="16" spans="1:20" ht="15.75" x14ac:dyDescent="0.25">
      <c r="A16" s="61">
        <v>10</v>
      </c>
      <c r="B16" s="66">
        <v>1908446143</v>
      </c>
      <c r="C16" s="67" t="s">
        <v>32</v>
      </c>
      <c r="D16" s="63">
        <v>9358</v>
      </c>
      <c r="E16" s="30">
        <v>80</v>
      </c>
      <c r="F16" s="30"/>
      <c r="G16" s="30"/>
      <c r="H16" s="30">
        <v>100</v>
      </c>
      <c r="I16" s="20">
        <v>1</v>
      </c>
      <c r="J16" s="20"/>
      <c r="K16" s="20">
        <v>3</v>
      </c>
      <c r="L16" s="20"/>
      <c r="M16" s="20">
        <f t="shared" si="0"/>
        <v>11858</v>
      </c>
      <c r="N16" s="24">
        <f t="shared" si="1"/>
        <v>12595</v>
      </c>
      <c r="O16" s="25">
        <f t="shared" si="2"/>
        <v>326.09500000000003</v>
      </c>
      <c r="P16" s="26">
        <v>-1500</v>
      </c>
      <c r="Q16" s="26">
        <v>109</v>
      </c>
      <c r="R16" s="29">
        <f t="shared" si="3"/>
        <v>12159.905000000001</v>
      </c>
      <c r="S16" s="25">
        <f t="shared" si="4"/>
        <v>112.651</v>
      </c>
      <c r="T16" s="27">
        <f t="shared" si="5"/>
        <v>3.6509999999999962</v>
      </c>
    </row>
    <row r="17" spans="1:20" ht="15.75" x14ac:dyDescent="0.25">
      <c r="A17" s="61">
        <v>11</v>
      </c>
      <c r="B17" s="66">
        <v>1908446144</v>
      </c>
      <c r="C17" s="68" t="s">
        <v>33</v>
      </c>
      <c r="D17" s="63">
        <v>5956</v>
      </c>
      <c r="E17" s="30">
        <v>50</v>
      </c>
      <c r="F17" s="30">
        <v>100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8856</v>
      </c>
      <c r="N17" s="24">
        <f t="shared" si="1"/>
        <v>9811</v>
      </c>
      <c r="O17" s="25">
        <f t="shared" si="2"/>
        <v>243.54</v>
      </c>
      <c r="P17" s="26"/>
      <c r="Q17" s="26">
        <v>67</v>
      </c>
      <c r="R17" s="29">
        <f t="shared" si="3"/>
        <v>9500.4599999999991</v>
      </c>
      <c r="S17" s="25">
        <f t="shared" si="4"/>
        <v>84.132000000000005</v>
      </c>
      <c r="T17" s="27">
        <f t="shared" si="5"/>
        <v>17.132000000000005</v>
      </c>
    </row>
    <row r="18" spans="1:20" ht="15.75" x14ac:dyDescent="0.25">
      <c r="A18" s="61">
        <v>12</v>
      </c>
      <c r="B18" s="66">
        <v>1908446145</v>
      </c>
      <c r="C18" s="67" t="s">
        <v>52</v>
      </c>
      <c r="D18" s="63">
        <v>16553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16553</v>
      </c>
      <c r="N18" s="24">
        <f t="shared" si="1"/>
        <v>16553</v>
      </c>
      <c r="O18" s="25">
        <f t="shared" si="2"/>
        <v>455.20749999999998</v>
      </c>
      <c r="P18" s="26"/>
      <c r="Q18" s="26">
        <v>100</v>
      </c>
      <c r="R18" s="29">
        <f t="shared" si="3"/>
        <v>15997.7925</v>
      </c>
      <c r="S18" s="25">
        <f t="shared" si="4"/>
        <v>157.2535</v>
      </c>
      <c r="T18" s="27">
        <f t="shared" si="5"/>
        <v>57.253500000000003</v>
      </c>
    </row>
    <row r="19" spans="1:20" ht="15.75" x14ac:dyDescent="0.25">
      <c r="A19" s="61">
        <v>13</v>
      </c>
      <c r="B19" s="66">
        <v>1908446146</v>
      </c>
      <c r="C19" s="67" t="s">
        <v>35</v>
      </c>
      <c r="D19" s="63">
        <v>9817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9817</v>
      </c>
      <c r="N19" s="24">
        <f t="shared" si="1"/>
        <v>9817</v>
      </c>
      <c r="O19" s="25">
        <f t="shared" si="2"/>
        <v>269.96750000000003</v>
      </c>
      <c r="P19" s="26">
        <v>-460</v>
      </c>
      <c r="Q19" s="26">
        <v>87</v>
      </c>
      <c r="R19" s="29">
        <f t="shared" si="3"/>
        <v>9460.0324999999993</v>
      </c>
      <c r="S19" s="25">
        <f t="shared" si="4"/>
        <v>93.261499999999998</v>
      </c>
      <c r="T19" s="27">
        <f t="shared" si="5"/>
        <v>6.2614999999999981</v>
      </c>
    </row>
    <row r="20" spans="1:20" ht="15.75" x14ac:dyDescent="0.25">
      <c r="A20" s="61">
        <v>14</v>
      </c>
      <c r="B20" s="66">
        <v>1908446147</v>
      </c>
      <c r="C20" s="67" t="s">
        <v>51</v>
      </c>
      <c r="D20" s="63">
        <v>4577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4577</v>
      </c>
      <c r="N20" s="24">
        <f t="shared" si="1"/>
        <v>4577</v>
      </c>
      <c r="O20" s="25">
        <f t="shared" si="2"/>
        <v>125.86750000000001</v>
      </c>
      <c r="P20" s="26"/>
      <c r="Q20" s="26">
        <v>121</v>
      </c>
      <c r="R20" s="29">
        <f t="shared" si="3"/>
        <v>4330.1324999999997</v>
      </c>
      <c r="S20" s="25">
        <f t="shared" si="4"/>
        <v>43.481499999999997</v>
      </c>
      <c r="T20" s="27">
        <f t="shared" si="5"/>
        <v>-77.518500000000003</v>
      </c>
    </row>
    <row r="21" spans="1:20" ht="15.75" x14ac:dyDescent="0.25">
      <c r="A21" s="61">
        <v>15</v>
      </c>
      <c r="B21" s="66">
        <v>1908446148</v>
      </c>
      <c r="C21" s="67" t="s">
        <v>50</v>
      </c>
      <c r="D21" s="63">
        <v>5558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5558</v>
      </c>
      <c r="N21" s="24">
        <f t="shared" si="1"/>
        <v>7468</v>
      </c>
      <c r="O21" s="25">
        <f t="shared" si="2"/>
        <v>152.845</v>
      </c>
      <c r="P21" s="26"/>
      <c r="Q21" s="26"/>
      <c r="R21" s="29">
        <f t="shared" si="3"/>
        <v>7315.1549999999997</v>
      </c>
      <c r="S21" s="25">
        <f t="shared" si="4"/>
        <v>52.801000000000002</v>
      </c>
      <c r="T21" s="27">
        <f t="shared" si="5"/>
        <v>52.801000000000002</v>
      </c>
    </row>
    <row r="22" spans="1:20" ht="15.75" x14ac:dyDescent="0.25">
      <c r="A22" s="61">
        <v>16</v>
      </c>
      <c r="B22" s="66">
        <v>1908446149</v>
      </c>
      <c r="C22" s="69" t="s">
        <v>38</v>
      </c>
      <c r="D22" s="63">
        <v>13216</v>
      </c>
      <c r="E22" s="30">
        <v>50</v>
      </c>
      <c r="F22" s="30">
        <v>100</v>
      </c>
      <c r="G22" s="20"/>
      <c r="H22" s="30">
        <v>100</v>
      </c>
      <c r="I22" s="20">
        <v>10</v>
      </c>
      <c r="J22" s="20"/>
      <c r="K22" s="20"/>
      <c r="L22" s="20"/>
      <c r="M22" s="20">
        <f t="shared" si="0"/>
        <v>16116</v>
      </c>
      <c r="N22" s="24">
        <f t="shared" si="1"/>
        <v>18026</v>
      </c>
      <c r="O22" s="25">
        <f t="shared" si="2"/>
        <v>443.19</v>
      </c>
      <c r="P22" s="26"/>
      <c r="Q22" s="26">
        <v>100</v>
      </c>
      <c r="R22" s="29">
        <f t="shared" si="3"/>
        <v>17482.809999999998</v>
      </c>
      <c r="S22" s="25">
        <f t="shared" si="4"/>
        <v>153.102</v>
      </c>
      <c r="T22" s="27">
        <f t="shared" si="5"/>
        <v>53.102000000000004</v>
      </c>
    </row>
    <row r="23" spans="1:20" ht="15.75" x14ac:dyDescent="0.25">
      <c r="A23" s="61">
        <v>17</v>
      </c>
      <c r="B23" s="66">
        <v>1908446150</v>
      </c>
      <c r="C23" s="67" t="s">
        <v>39</v>
      </c>
      <c r="D23" s="35">
        <v>5540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5540</v>
      </c>
      <c r="N23" s="24">
        <f t="shared" si="1"/>
        <v>5540</v>
      </c>
      <c r="O23" s="25">
        <f t="shared" si="2"/>
        <v>152.35</v>
      </c>
      <c r="P23" s="26"/>
      <c r="Q23" s="26">
        <v>50</v>
      </c>
      <c r="R23" s="29">
        <f t="shared" si="3"/>
        <v>5337.65</v>
      </c>
      <c r="S23" s="25">
        <f t="shared" si="4"/>
        <v>52.629999999999995</v>
      </c>
      <c r="T23" s="27">
        <f t="shared" si="5"/>
        <v>2.6299999999999955</v>
      </c>
    </row>
    <row r="24" spans="1:20" ht="15.75" x14ac:dyDescent="0.25">
      <c r="A24" s="61">
        <v>18</v>
      </c>
      <c r="B24" s="66">
        <v>1908446151</v>
      </c>
      <c r="C24" s="67" t="s">
        <v>40</v>
      </c>
      <c r="D24" s="63">
        <v>14289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14289</v>
      </c>
      <c r="N24" s="24">
        <f t="shared" si="1"/>
        <v>15244</v>
      </c>
      <c r="O24" s="25">
        <f t="shared" si="2"/>
        <v>392.94749999999999</v>
      </c>
      <c r="P24" s="26">
        <v>-2000</v>
      </c>
      <c r="Q24" s="26">
        <v>121</v>
      </c>
      <c r="R24" s="29">
        <f t="shared" si="3"/>
        <v>14730.0525</v>
      </c>
      <c r="S24" s="25">
        <f t="shared" si="4"/>
        <v>135.74549999999999</v>
      </c>
      <c r="T24" s="27">
        <f t="shared" si="5"/>
        <v>14.745499999999993</v>
      </c>
    </row>
    <row r="25" spans="1:20" ht="15.75" x14ac:dyDescent="0.25">
      <c r="A25" s="61">
        <v>19</v>
      </c>
      <c r="B25" s="66">
        <v>1908446152</v>
      </c>
      <c r="C25" s="67" t="s">
        <v>41</v>
      </c>
      <c r="D25" s="63">
        <v>6838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6838</v>
      </c>
      <c r="N25" s="24">
        <f t="shared" si="1"/>
        <v>6838</v>
      </c>
      <c r="O25" s="25">
        <f t="shared" si="2"/>
        <v>188.04499999999999</v>
      </c>
      <c r="P25" s="26"/>
      <c r="Q25" s="26">
        <v>68</v>
      </c>
      <c r="R25" s="29">
        <f t="shared" si="3"/>
        <v>6581.9549999999999</v>
      </c>
      <c r="S25" s="25">
        <f t="shared" si="4"/>
        <v>64.960999999999999</v>
      </c>
      <c r="T25" s="27">
        <f t="shared" si="5"/>
        <v>-3.0390000000000015</v>
      </c>
    </row>
    <row r="26" spans="1:20" ht="15.75" x14ac:dyDescent="0.25">
      <c r="A26" s="61">
        <v>70</v>
      </c>
      <c r="B26" s="66">
        <v>1908446153</v>
      </c>
      <c r="C26" s="67" t="s">
        <v>49</v>
      </c>
      <c r="D26" s="63">
        <v>9459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9459</v>
      </c>
      <c r="N26" s="24">
        <f t="shared" si="1"/>
        <v>9459</v>
      </c>
      <c r="O26" s="25">
        <f t="shared" si="2"/>
        <v>260.1225</v>
      </c>
      <c r="P26" s="26">
        <v>5000</v>
      </c>
      <c r="Q26" s="26">
        <v>98</v>
      </c>
      <c r="R26" s="29">
        <f t="shared" si="3"/>
        <v>9100.8775000000005</v>
      </c>
      <c r="S26" s="25">
        <f t="shared" si="4"/>
        <v>89.860500000000002</v>
      </c>
      <c r="T26" s="27">
        <f t="shared" si="5"/>
        <v>-8.1394999999999982</v>
      </c>
    </row>
    <row r="27" spans="1:20" ht="17.25" customHeight="1" thickBot="1" x14ac:dyDescent="0.35">
      <c r="A27" s="61">
        <v>21</v>
      </c>
      <c r="B27" s="70">
        <v>1908446154</v>
      </c>
      <c r="C27" s="71" t="s">
        <v>43</v>
      </c>
      <c r="D27" s="37">
        <v>5784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5784</v>
      </c>
      <c r="N27" s="40">
        <f t="shared" si="1"/>
        <v>5784</v>
      </c>
      <c r="O27" s="25">
        <f t="shared" si="2"/>
        <v>159.06</v>
      </c>
      <c r="P27" s="41"/>
      <c r="Q27" s="41">
        <v>100</v>
      </c>
      <c r="R27" s="29">
        <f t="shared" si="3"/>
        <v>5524.94</v>
      </c>
      <c r="S27" s="42">
        <f t="shared" si="4"/>
        <v>54.948</v>
      </c>
      <c r="T27" s="43">
        <f t="shared" si="5"/>
        <v>-45.052</v>
      </c>
    </row>
    <row r="28" spans="1:20" ht="16.5" thickBot="1" x14ac:dyDescent="0.3">
      <c r="A28" s="240" t="s">
        <v>44</v>
      </c>
      <c r="B28" s="257"/>
      <c r="C28" s="258"/>
      <c r="D28" s="44">
        <f t="shared" ref="D28:E28" si="6">SUM(D7:D27)</f>
        <v>207153</v>
      </c>
      <c r="E28" s="45">
        <f t="shared" si="6"/>
        <v>330</v>
      </c>
      <c r="F28" s="45">
        <f t="shared" ref="F28:T28" si="7">SUM(F7:F27)</f>
        <v>380</v>
      </c>
      <c r="G28" s="45">
        <f t="shared" si="7"/>
        <v>0</v>
      </c>
      <c r="H28" s="45">
        <f t="shared" si="7"/>
        <v>730</v>
      </c>
      <c r="I28" s="45">
        <f t="shared" si="7"/>
        <v>60</v>
      </c>
      <c r="J28" s="45">
        <f t="shared" si="7"/>
        <v>0</v>
      </c>
      <c r="K28" s="45">
        <f t="shared" si="7"/>
        <v>33</v>
      </c>
      <c r="L28" s="45">
        <f t="shared" si="7"/>
        <v>0</v>
      </c>
      <c r="M28" s="45">
        <f t="shared" si="7"/>
        <v>224123</v>
      </c>
      <c r="N28" s="45">
        <f t="shared" si="7"/>
        <v>241589</v>
      </c>
      <c r="O28" s="46">
        <f t="shared" si="7"/>
        <v>6163.3825000000015</v>
      </c>
      <c r="P28" s="45">
        <f t="shared" si="7"/>
        <v>29125</v>
      </c>
      <c r="Q28" s="45">
        <f t="shared" si="7"/>
        <v>1783</v>
      </c>
      <c r="R28" s="45">
        <f t="shared" si="7"/>
        <v>233642.61749999999</v>
      </c>
      <c r="S28" s="45">
        <f t="shared" si="7"/>
        <v>2129.1685000000002</v>
      </c>
      <c r="T28" s="47">
        <f t="shared" si="7"/>
        <v>346.16849999999988</v>
      </c>
    </row>
    <row r="29" spans="1:20" ht="15.75" thickBot="1" x14ac:dyDescent="0.3">
      <c r="A29" s="243" t="s">
        <v>45</v>
      </c>
      <c r="B29" s="244"/>
      <c r="C29" s="245"/>
      <c r="D29" s="48">
        <f>D4+D5-D28</f>
        <v>403717</v>
      </c>
      <c r="E29" s="48">
        <f t="shared" ref="E29:L29" si="8">E4+E5-E28</f>
        <v>4150</v>
      </c>
      <c r="F29" s="48">
        <f t="shared" si="8"/>
        <v>9280</v>
      </c>
      <c r="G29" s="48">
        <f t="shared" si="8"/>
        <v>0</v>
      </c>
      <c r="H29" s="48">
        <f t="shared" si="8"/>
        <v>31110</v>
      </c>
      <c r="I29" s="48">
        <f t="shared" si="8"/>
        <v>974</v>
      </c>
      <c r="J29" s="48">
        <f t="shared" si="8"/>
        <v>150</v>
      </c>
      <c r="K29" s="48">
        <f t="shared" si="8"/>
        <v>423</v>
      </c>
      <c r="L29" s="48">
        <f t="shared" si="8"/>
        <v>0</v>
      </c>
      <c r="M29" s="246"/>
      <c r="N29" s="247"/>
      <c r="O29" s="247"/>
      <c r="P29" s="247"/>
      <c r="Q29" s="247"/>
      <c r="R29" s="247"/>
      <c r="S29" s="247"/>
      <c r="T29" s="24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54" priority="43" operator="equal">
      <formula>212030016606640</formula>
    </cfRule>
  </conditionalFormatting>
  <conditionalFormatting sqref="D29 E4:E6 E28:K29">
    <cfRule type="cellIs" dxfId="1253" priority="41" operator="equal">
      <formula>$E$4</formula>
    </cfRule>
    <cfRule type="cellIs" dxfId="1252" priority="42" operator="equal">
      <formula>2120</formula>
    </cfRule>
  </conditionalFormatting>
  <conditionalFormatting sqref="D29:E29 F4:F6 F28:F29">
    <cfRule type="cellIs" dxfId="1251" priority="39" operator="equal">
      <formula>$F$4</formula>
    </cfRule>
    <cfRule type="cellIs" dxfId="1250" priority="40" operator="equal">
      <formula>300</formula>
    </cfRule>
  </conditionalFormatting>
  <conditionalFormatting sqref="G4:G6 G28:G29">
    <cfRule type="cellIs" dxfId="1249" priority="37" operator="equal">
      <formula>$G$4</formula>
    </cfRule>
    <cfRule type="cellIs" dxfId="1248" priority="38" operator="equal">
      <formula>1660</formula>
    </cfRule>
  </conditionalFormatting>
  <conditionalFormatting sqref="H4:H6 H28:H29">
    <cfRule type="cellIs" dxfId="1247" priority="35" operator="equal">
      <formula>$H$4</formula>
    </cfRule>
    <cfRule type="cellIs" dxfId="1246" priority="36" operator="equal">
      <formula>6640</formula>
    </cfRule>
  </conditionalFormatting>
  <conditionalFormatting sqref="T6:T28">
    <cfRule type="cellIs" dxfId="1245" priority="34" operator="lessThan">
      <formula>0</formula>
    </cfRule>
  </conditionalFormatting>
  <conditionalFormatting sqref="T7:T27">
    <cfRule type="cellIs" dxfId="1244" priority="31" operator="lessThan">
      <formula>0</formula>
    </cfRule>
    <cfRule type="cellIs" dxfId="1243" priority="32" operator="lessThan">
      <formula>0</formula>
    </cfRule>
    <cfRule type="cellIs" dxfId="1242" priority="33" operator="lessThan">
      <formula>0</formula>
    </cfRule>
  </conditionalFormatting>
  <conditionalFormatting sqref="E4:E6 E28:K28">
    <cfRule type="cellIs" dxfId="1241" priority="30" operator="equal">
      <formula>$E$4</formula>
    </cfRule>
  </conditionalFormatting>
  <conditionalFormatting sqref="D28:D29 D6 D4:M4">
    <cfRule type="cellIs" dxfId="1240" priority="29" operator="equal">
      <formula>$D$4</formula>
    </cfRule>
  </conditionalFormatting>
  <conditionalFormatting sqref="I4:I6 I28:I29">
    <cfRule type="cellIs" dxfId="1239" priority="28" operator="equal">
      <formula>$I$4</formula>
    </cfRule>
  </conditionalFormatting>
  <conditionalFormatting sqref="J4:J6 J28:J29">
    <cfRule type="cellIs" dxfId="1238" priority="27" operator="equal">
      <formula>$J$4</formula>
    </cfRule>
  </conditionalFormatting>
  <conditionalFormatting sqref="K4:K6 K28:K29">
    <cfRule type="cellIs" dxfId="1237" priority="26" operator="equal">
      <formula>$K$4</formula>
    </cfRule>
  </conditionalFormatting>
  <conditionalFormatting sqref="M4:M6">
    <cfRule type="cellIs" dxfId="1236" priority="25" operator="equal">
      <formula>$L$4</formula>
    </cfRule>
  </conditionalFormatting>
  <conditionalFormatting sqref="T7:T28">
    <cfRule type="cellIs" dxfId="1235" priority="22" operator="lessThan">
      <formula>0</formula>
    </cfRule>
    <cfRule type="cellIs" dxfId="1234" priority="23" operator="lessThan">
      <formula>0</formula>
    </cfRule>
    <cfRule type="cellIs" dxfId="1233" priority="24" operator="lessThan">
      <formula>0</formula>
    </cfRule>
  </conditionalFormatting>
  <conditionalFormatting sqref="D5:K5">
    <cfRule type="cellIs" dxfId="1232" priority="21" operator="greaterThan">
      <formula>0</formula>
    </cfRule>
  </conditionalFormatting>
  <conditionalFormatting sqref="T6:T28">
    <cfRule type="cellIs" dxfId="1231" priority="20" operator="lessThan">
      <formula>0</formula>
    </cfRule>
  </conditionalFormatting>
  <conditionalFormatting sqref="T7:T27">
    <cfRule type="cellIs" dxfId="1230" priority="17" operator="lessThan">
      <formula>0</formula>
    </cfRule>
    <cfRule type="cellIs" dxfId="1229" priority="18" operator="lessThan">
      <formula>0</formula>
    </cfRule>
    <cfRule type="cellIs" dxfId="1228" priority="19" operator="lessThan">
      <formula>0</formula>
    </cfRule>
  </conditionalFormatting>
  <conditionalFormatting sqref="T7:T28">
    <cfRule type="cellIs" dxfId="1227" priority="14" operator="lessThan">
      <formula>0</formula>
    </cfRule>
    <cfRule type="cellIs" dxfId="1226" priority="15" operator="lessThan">
      <formula>0</formula>
    </cfRule>
    <cfRule type="cellIs" dxfId="1225" priority="16" operator="lessThan">
      <formula>0</formula>
    </cfRule>
  </conditionalFormatting>
  <conditionalFormatting sqref="D5:K5">
    <cfRule type="cellIs" dxfId="1224" priority="13" operator="greaterThan">
      <formula>0</formula>
    </cfRule>
  </conditionalFormatting>
  <conditionalFormatting sqref="L4 L6 L28:L29">
    <cfRule type="cellIs" dxfId="1223" priority="12" operator="equal">
      <formula>$L$4</formula>
    </cfRule>
  </conditionalFormatting>
  <conditionalFormatting sqref="D7:S7">
    <cfRule type="cellIs" dxfId="1222" priority="11" operator="greaterThan">
      <formula>0</formula>
    </cfRule>
  </conditionalFormatting>
  <conditionalFormatting sqref="D9:S9">
    <cfRule type="cellIs" dxfId="1221" priority="10" operator="greaterThan">
      <formula>0</formula>
    </cfRule>
  </conditionalFormatting>
  <conditionalFormatting sqref="D11:S11">
    <cfRule type="cellIs" dxfId="1220" priority="9" operator="greaterThan">
      <formula>0</formula>
    </cfRule>
  </conditionalFormatting>
  <conditionalFormatting sqref="D13:S13">
    <cfRule type="cellIs" dxfId="1219" priority="8" operator="greaterThan">
      <formula>0</formula>
    </cfRule>
  </conditionalFormatting>
  <conditionalFormatting sqref="D15:S15">
    <cfRule type="cellIs" dxfId="1218" priority="7" operator="greaterThan">
      <formula>0</formula>
    </cfRule>
  </conditionalFormatting>
  <conditionalFormatting sqref="D17:S17">
    <cfRule type="cellIs" dxfId="1217" priority="6" operator="greaterThan">
      <formula>0</formula>
    </cfRule>
  </conditionalFormatting>
  <conditionalFormatting sqref="D19:S19">
    <cfRule type="cellIs" dxfId="1216" priority="5" operator="greaterThan">
      <formula>0</formula>
    </cfRule>
  </conditionalFormatting>
  <conditionalFormatting sqref="D21:S21">
    <cfRule type="cellIs" dxfId="1215" priority="4" operator="greaterThan">
      <formula>0</formula>
    </cfRule>
  </conditionalFormatting>
  <conditionalFormatting sqref="D23:S23">
    <cfRule type="cellIs" dxfId="1214" priority="3" operator="greaterThan">
      <formula>0</formula>
    </cfRule>
  </conditionalFormatting>
  <conditionalFormatting sqref="D25:S25">
    <cfRule type="cellIs" dxfId="1213" priority="2" operator="greaterThan">
      <formula>0</formula>
    </cfRule>
  </conditionalFormatting>
  <conditionalFormatting sqref="D27:S27">
    <cfRule type="cellIs" dxfId="1212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3" activePane="bottomLeft" state="frozen"/>
      <selection pane="bottomLeft" activeCell="K22" sqref="K2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9" max="19" width="12.140625" bestFit="1" customWidth="1"/>
  </cols>
  <sheetData>
    <row r="1" spans="1:21" x14ac:dyDescent="0.25">
      <c r="A1" s="249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</row>
    <row r="2" spans="1:21" ht="15.75" thickBot="1" x14ac:dyDescent="0.3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</row>
    <row r="3" spans="1:21" ht="18.75" x14ac:dyDescent="0.25">
      <c r="A3" s="250" t="s">
        <v>59</v>
      </c>
      <c r="B3" s="251"/>
      <c r="C3" s="252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</row>
    <row r="4" spans="1:21" x14ac:dyDescent="0.25">
      <c r="A4" s="254" t="s">
        <v>1</v>
      </c>
      <c r="B4" s="254"/>
      <c r="C4" s="1"/>
      <c r="D4" s="2">
        <f>'5'!D29</f>
        <v>403717</v>
      </c>
      <c r="E4" s="2">
        <f>'5'!E29</f>
        <v>4150</v>
      </c>
      <c r="F4" s="2">
        <f>'5'!F29</f>
        <v>9280</v>
      </c>
      <c r="G4" s="2">
        <f>'5'!G29</f>
        <v>0</v>
      </c>
      <c r="H4" s="2">
        <f>'5'!H29</f>
        <v>31110</v>
      </c>
      <c r="I4" s="2">
        <f>'5'!I29</f>
        <v>974</v>
      </c>
      <c r="J4" s="2">
        <f>'5'!J29</f>
        <v>150</v>
      </c>
      <c r="K4" s="2">
        <f>'5'!K29</f>
        <v>423</v>
      </c>
      <c r="L4" s="2">
        <f>'5'!L29</f>
        <v>0</v>
      </c>
      <c r="M4" s="3"/>
      <c r="N4" s="255"/>
      <c r="O4" s="255"/>
      <c r="P4" s="255"/>
      <c r="Q4" s="255"/>
      <c r="R4" s="255"/>
      <c r="S4" s="255"/>
      <c r="T4" s="255"/>
      <c r="U4" s="255"/>
    </row>
    <row r="5" spans="1:21" x14ac:dyDescent="0.25">
      <c r="A5" s="254" t="s">
        <v>2</v>
      </c>
      <c r="B5" s="25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5"/>
      <c r="O5" s="255"/>
      <c r="P5" s="255"/>
      <c r="Q5" s="255"/>
      <c r="R5" s="255"/>
      <c r="S5" s="255"/>
      <c r="T5" s="255"/>
      <c r="U5" s="255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72" t="s">
        <v>18</v>
      </c>
      <c r="R6" s="16" t="s">
        <v>19</v>
      </c>
      <c r="S6" s="16" t="s">
        <v>20</v>
      </c>
      <c r="T6" s="17" t="s">
        <v>21</v>
      </c>
      <c r="U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11000</v>
      </c>
      <c r="E7" s="22">
        <v>30</v>
      </c>
      <c r="F7" s="22">
        <v>100</v>
      </c>
      <c r="G7" s="22"/>
      <c r="H7" s="22">
        <v>100</v>
      </c>
      <c r="I7" s="23">
        <v>2</v>
      </c>
      <c r="J7" s="23"/>
      <c r="K7" s="23">
        <v>6</v>
      </c>
      <c r="L7" s="23"/>
      <c r="M7" s="20">
        <f>D7+E7*20+F7*10+G7*9+H7*9</f>
        <v>13500</v>
      </c>
      <c r="N7" s="24">
        <f>D7+E7*20+F7*10+G7*9+H7*9+I7*191+J7*191+K7*182+L7*100</f>
        <v>14974</v>
      </c>
      <c r="O7" s="25">
        <f>M7*2.75%</f>
        <v>371.25</v>
      </c>
      <c r="P7" s="26"/>
      <c r="Q7" s="26"/>
      <c r="R7" s="26">
        <v>102</v>
      </c>
      <c r="S7" s="29">
        <f>M7-(M7*2.75%)+I7*191+J7*191+K7*182+L7*100-R7</f>
        <v>14500.75</v>
      </c>
      <c r="T7" s="25">
        <f>M7*0.95%</f>
        <v>128.25</v>
      </c>
      <c r="U7" s="27">
        <f>T7-R7</f>
        <v>26.25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5128</v>
      </c>
      <c r="E8" s="30"/>
      <c r="F8" s="30"/>
      <c r="G8" s="30"/>
      <c r="H8" s="30">
        <v>180</v>
      </c>
      <c r="I8" s="20"/>
      <c r="J8" s="20"/>
      <c r="K8" s="20"/>
      <c r="L8" s="20"/>
      <c r="M8" s="20">
        <f t="shared" ref="M8:M27" si="0">D8+E8*20+F8*10+G8*9+H8*9</f>
        <v>6748</v>
      </c>
      <c r="N8" s="24">
        <f t="shared" ref="N8:N27" si="1">D8+E8*20+F8*10+G8*9+H8*9+I8*191+J8*191+K8*182+L8*100</f>
        <v>6748</v>
      </c>
      <c r="O8" s="25">
        <f t="shared" ref="O8:O27" si="2">M8*2.75%</f>
        <v>185.57</v>
      </c>
      <c r="P8" s="26"/>
      <c r="Q8" s="26"/>
      <c r="R8" s="26">
        <v>72</v>
      </c>
      <c r="S8" s="29">
        <f t="shared" ref="S8:S27" si="3">M8-(M8*2.75%)+I8*191+J8*191+K8*182+L8*100-R8</f>
        <v>6490.43</v>
      </c>
      <c r="T8" s="25">
        <f t="shared" ref="T8:T27" si="4">M8*0.95%</f>
        <v>64.105999999999995</v>
      </c>
      <c r="U8" s="27">
        <f t="shared" ref="U8:U27" si="5">T8-R8</f>
        <v>-7.8940000000000055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21687</v>
      </c>
      <c r="E9" s="30"/>
      <c r="F9" s="30"/>
      <c r="G9" s="30"/>
      <c r="H9" s="30"/>
      <c r="I9" s="20">
        <v>2</v>
      </c>
      <c r="J9" s="20"/>
      <c r="K9" s="20"/>
      <c r="L9" s="20"/>
      <c r="M9" s="20">
        <f t="shared" si="0"/>
        <v>21687</v>
      </c>
      <c r="N9" s="24">
        <f t="shared" si="1"/>
        <v>22069</v>
      </c>
      <c r="O9" s="25">
        <f t="shared" si="2"/>
        <v>596.39250000000004</v>
      </c>
      <c r="P9" s="26"/>
      <c r="Q9" s="26">
        <v>-4000</v>
      </c>
      <c r="R9" s="26">
        <v>153</v>
      </c>
      <c r="S9" s="29">
        <f t="shared" si="3"/>
        <v>21319.607499999998</v>
      </c>
      <c r="T9" s="25">
        <f t="shared" si="4"/>
        <v>206.0265</v>
      </c>
      <c r="U9" s="27">
        <f t="shared" si="5"/>
        <v>53.026499999999999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5248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5248</v>
      </c>
      <c r="N10" s="24">
        <f t="shared" si="1"/>
        <v>5821</v>
      </c>
      <c r="O10" s="25">
        <f t="shared" si="2"/>
        <v>144.32</v>
      </c>
      <c r="P10" s="26"/>
      <c r="Q10" s="26"/>
      <c r="R10" s="26">
        <v>27</v>
      </c>
      <c r="S10" s="29">
        <f t="shared" si="3"/>
        <v>5649.68</v>
      </c>
      <c r="T10" s="25">
        <f t="shared" si="4"/>
        <v>49.856000000000002</v>
      </c>
      <c r="U10" s="27">
        <f t="shared" si="5"/>
        <v>22.856000000000002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4423</v>
      </c>
      <c r="E11" s="30"/>
      <c r="F11" s="30"/>
      <c r="G11" s="32"/>
      <c r="H11" s="30">
        <v>50</v>
      </c>
      <c r="I11" s="20"/>
      <c r="J11" s="20"/>
      <c r="K11" s="20"/>
      <c r="L11" s="20"/>
      <c r="M11" s="20">
        <f t="shared" si="0"/>
        <v>4873</v>
      </c>
      <c r="N11" s="24">
        <f t="shared" si="1"/>
        <v>4873</v>
      </c>
      <c r="O11" s="25">
        <f t="shared" si="2"/>
        <v>134.00749999999999</v>
      </c>
      <c r="P11" s="26"/>
      <c r="Q11" s="26"/>
      <c r="R11" s="26">
        <v>38</v>
      </c>
      <c r="S11" s="29">
        <f t="shared" si="3"/>
        <v>4700.9925000000003</v>
      </c>
      <c r="T11" s="25">
        <f t="shared" si="4"/>
        <v>46.293500000000002</v>
      </c>
      <c r="U11" s="27">
        <f t="shared" si="5"/>
        <v>8.2935000000000016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5035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5035</v>
      </c>
      <c r="N12" s="24">
        <f t="shared" si="1"/>
        <v>5035</v>
      </c>
      <c r="O12" s="25">
        <f t="shared" si="2"/>
        <v>138.46250000000001</v>
      </c>
      <c r="P12" s="26"/>
      <c r="Q12" s="26"/>
      <c r="R12" s="26">
        <v>36</v>
      </c>
      <c r="S12" s="29">
        <f t="shared" si="3"/>
        <v>4860.5375000000004</v>
      </c>
      <c r="T12" s="25">
        <f t="shared" si="4"/>
        <v>47.832499999999996</v>
      </c>
      <c r="U12" s="27">
        <f t="shared" si="5"/>
        <v>11.832499999999996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7038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7038</v>
      </c>
      <c r="N13" s="24">
        <f t="shared" si="1"/>
        <v>7038</v>
      </c>
      <c r="O13" s="25">
        <f t="shared" si="2"/>
        <v>193.54499999999999</v>
      </c>
      <c r="P13" s="26"/>
      <c r="Q13" s="26"/>
      <c r="R13" s="26">
        <v>55</v>
      </c>
      <c r="S13" s="29">
        <f t="shared" si="3"/>
        <v>6789.4549999999999</v>
      </c>
      <c r="T13" s="25">
        <f t="shared" si="4"/>
        <v>66.861000000000004</v>
      </c>
      <c r="U13" s="27">
        <f t="shared" si="5"/>
        <v>11.861000000000004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10078</v>
      </c>
      <c r="E14" s="30"/>
      <c r="F14" s="30"/>
      <c r="G14" s="30"/>
      <c r="H14" s="30">
        <v>60</v>
      </c>
      <c r="I14" s="20"/>
      <c r="J14" s="20"/>
      <c r="K14" s="20">
        <v>5</v>
      </c>
      <c r="L14" s="20"/>
      <c r="M14" s="20">
        <f t="shared" si="0"/>
        <v>10618</v>
      </c>
      <c r="N14" s="24">
        <f t="shared" si="1"/>
        <v>11528</v>
      </c>
      <c r="O14" s="25">
        <f t="shared" si="2"/>
        <v>291.995</v>
      </c>
      <c r="P14" s="26"/>
      <c r="Q14" s="26"/>
      <c r="R14" s="26">
        <v>136</v>
      </c>
      <c r="S14" s="29">
        <f t="shared" si="3"/>
        <v>11100.004999999999</v>
      </c>
      <c r="T14" s="25">
        <f t="shared" si="4"/>
        <v>100.871</v>
      </c>
      <c r="U14" s="27">
        <f t="shared" si="5"/>
        <v>-35.129000000000005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20316</v>
      </c>
      <c r="E15" s="30">
        <v>50</v>
      </c>
      <c r="F15" s="30"/>
      <c r="G15" s="30"/>
      <c r="H15" s="30">
        <v>40</v>
      </c>
      <c r="I15" s="20"/>
      <c r="J15" s="20"/>
      <c r="K15" s="20"/>
      <c r="L15" s="20"/>
      <c r="M15" s="20">
        <f t="shared" si="0"/>
        <v>21676</v>
      </c>
      <c r="N15" s="24">
        <f t="shared" si="1"/>
        <v>21676</v>
      </c>
      <c r="O15" s="25">
        <f t="shared" si="2"/>
        <v>596.09</v>
      </c>
      <c r="P15" s="26"/>
      <c r="Q15" s="26"/>
      <c r="R15" s="26">
        <v>160</v>
      </c>
      <c r="S15" s="29">
        <f t="shared" si="3"/>
        <v>20919.91</v>
      </c>
      <c r="T15" s="25">
        <f t="shared" si="4"/>
        <v>205.922</v>
      </c>
      <c r="U15" s="27">
        <f t="shared" si="5"/>
        <v>45.921999999999997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9047</v>
      </c>
      <c r="E16" s="30">
        <v>20</v>
      </c>
      <c r="F16" s="30"/>
      <c r="G16" s="30"/>
      <c r="H16" s="30">
        <v>100</v>
      </c>
      <c r="I16" s="20"/>
      <c r="J16" s="20"/>
      <c r="K16" s="20">
        <v>2</v>
      </c>
      <c r="L16" s="20"/>
      <c r="M16" s="20">
        <f t="shared" si="0"/>
        <v>10347</v>
      </c>
      <c r="N16" s="24">
        <f t="shared" si="1"/>
        <v>10711</v>
      </c>
      <c r="O16" s="25">
        <f t="shared" si="2"/>
        <v>284.54250000000002</v>
      </c>
      <c r="P16" s="26"/>
      <c r="Q16" s="26">
        <v>1000</v>
      </c>
      <c r="R16" s="26">
        <v>86</v>
      </c>
      <c r="S16" s="29">
        <f t="shared" si="3"/>
        <v>10340.4575</v>
      </c>
      <c r="T16" s="25">
        <f t="shared" si="4"/>
        <v>98.296499999999995</v>
      </c>
      <c r="U16" s="27">
        <f t="shared" si="5"/>
        <v>12.296499999999995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8141</v>
      </c>
      <c r="E17" s="30">
        <v>30</v>
      </c>
      <c r="F17" s="30">
        <v>70</v>
      </c>
      <c r="G17" s="30"/>
      <c r="H17" s="30">
        <v>100</v>
      </c>
      <c r="I17" s="20">
        <v>2</v>
      </c>
      <c r="J17" s="20"/>
      <c r="K17" s="20"/>
      <c r="L17" s="20"/>
      <c r="M17" s="20">
        <f t="shared" si="0"/>
        <v>10341</v>
      </c>
      <c r="N17" s="24">
        <f t="shared" si="1"/>
        <v>10723</v>
      </c>
      <c r="O17" s="25">
        <f t="shared" si="2"/>
        <v>284.3775</v>
      </c>
      <c r="P17" s="26"/>
      <c r="Q17" s="26"/>
      <c r="R17" s="26">
        <v>88</v>
      </c>
      <c r="S17" s="29">
        <f t="shared" si="3"/>
        <v>10350.622499999999</v>
      </c>
      <c r="T17" s="25">
        <f t="shared" si="4"/>
        <v>98.239499999999992</v>
      </c>
      <c r="U17" s="27">
        <f t="shared" si="5"/>
        <v>10.239499999999992</v>
      </c>
    </row>
    <row r="18" spans="1:21" ht="15.75" x14ac:dyDescent="0.25">
      <c r="A18" s="28">
        <v>12</v>
      </c>
      <c r="B18" s="20">
        <v>1908446145</v>
      </c>
      <c r="C18" s="31" t="s">
        <v>52</v>
      </c>
      <c r="D18" s="29">
        <v>12258</v>
      </c>
      <c r="E18" s="30"/>
      <c r="F18" s="30"/>
      <c r="G18" s="30"/>
      <c r="H18" s="30"/>
      <c r="I18" s="20">
        <v>30</v>
      </c>
      <c r="J18" s="20"/>
      <c r="K18" s="20"/>
      <c r="L18" s="20"/>
      <c r="M18" s="20">
        <f t="shared" si="0"/>
        <v>12258</v>
      </c>
      <c r="N18" s="24">
        <f t="shared" si="1"/>
        <v>17988</v>
      </c>
      <c r="O18" s="25">
        <f t="shared" si="2"/>
        <v>337.09500000000003</v>
      </c>
      <c r="P18" s="26"/>
      <c r="Q18" s="26"/>
      <c r="R18" s="26">
        <v>180</v>
      </c>
      <c r="S18" s="29">
        <f t="shared" si="3"/>
        <v>17470.904999999999</v>
      </c>
      <c r="T18" s="25">
        <f t="shared" si="4"/>
        <v>116.45099999999999</v>
      </c>
      <c r="U18" s="27">
        <f t="shared" si="5"/>
        <v>-63.549000000000007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15610</v>
      </c>
      <c r="E19" s="30"/>
      <c r="F19" s="30"/>
      <c r="G19" s="30"/>
      <c r="H19" s="30">
        <v>140</v>
      </c>
      <c r="I19" s="20">
        <v>10</v>
      </c>
      <c r="J19" s="20"/>
      <c r="K19" s="20">
        <v>5</v>
      </c>
      <c r="L19" s="20"/>
      <c r="M19" s="20">
        <f t="shared" si="0"/>
        <v>16870</v>
      </c>
      <c r="N19" s="24">
        <f t="shared" si="1"/>
        <v>19690</v>
      </c>
      <c r="O19" s="25">
        <f t="shared" si="2"/>
        <v>463.92500000000001</v>
      </c>
      <c r="P19" s="26"/>
      <c r="Q19" s="26">
        <v>460</v>
      </c>
      <c r="R19" s="26">
        <v>170</v>
      </c>
      <c r="S19" s="29">
        <f t="shared" si="3"/>
        <v>19056.075000000001</v>
      </c>
      <c r="T19" s="25">
        <f t="shared" si="4"/>
        <v>160.26499999999999</v>
      </c>
      <c r="U19" s="27">
        <f t="shared" si="5"/>
        <v>-9.7350000000000136</v>
      </c>
    </row>
    <row r="20" spans="1:21" ht="15.75" x14ac:dyDescent="0.25">
      <c r="A20" s="28">
        <v>14</v>
      </c>
      <c r="B20" s="20">
        <v>1908446147</v>
      </c>
      <c r="C20" s="20" t="s">
        <v>51</v>
      </c>
      <c r="D20" s="29">
        <v>3910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3910</v>
      </c>
      <c r="N20" s="24">
        <f t="shared" si="1"/>
        <v>3910</v>
      </c>
      <c r="O20" s="25">
        <f t="shared" si="2"/>
        <v>107.52500000000001</v>
      </c>
      <c r="P20" s="26"/>
      <c r="Q20" s="26"/>
      <c r="R20" s="26"/>
      <c r="S20" s="29">
        <f t="shared" si="3"/>
        <v>3802.4749999999999</v>
      </c>
      <c r="T20" s="25">
        <f t="shared" si="4"/>
        <v>37.144999999999996</v>
      </c>
      <c r="U20" s="27">
        <f t="shared" si="5"/>
        <v>37.144999999999996</v>
      </c>
    </row>
    <row r="21" spans="1:21" ht="15.75" x14ac:dyDescent="0.25">
      <c r="A21" s="28">
        <v>15</v>
      </c>
      <c r="B21" s="20">
        <v>1908446148</v>
      </c>
      <c r="C21" s="20" t="s">
        <v>60</v>
      </c>
      <c r="D21" s="29">
        <v>6331</v>
      </c>
      <c r="E21" s="30"/>
      <c r="F21" s="30"/>
      <c r="G21" s="30"/>
      <c r="H21" s="30">
        <v>140</v>
      </c>
      <c r="I21" s="20"/>
      <c r="J21" s="20"/>
      <c r="K21" s="20"/>
      <c r="L21" s="20"/>
      <c r="M21" s="20">
        <f t="shared" si="0"/>
        <v>7591</v>
      </c>
      <c r="N21" s="24">
        <f t="shared" si="1"/>
        <v>7591</v>
      </c>
      <c r="O21" s="25">
        <f t="shared" si="2"/>
        <v>208.7525</v>
      </c>
      <c r="P21" s="26"/>
      <c r="Q21" s="26"/>
      <c r="R21" s="26">
        <v>22</v>
      </c>
      <c r="S21" s="29">
        <f t="shared" si="3"/>
        <v>7360.2475000000004</v>
      </c>
      <c r="T21" s="25">
        <f t="shared" si="4"/>
        <v>72.114499999999992</v>
      </c>
      <c r="U21" s="27">
        <f t="shared" si="5"/>
        <v>50.114499999999992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17994</v>
      </c>
      <c r="E22" s="30">
        <v>50</v>
      </c>
      <c r="F22" s="30"/>
      <c r="G22" s="20"/>
      <c r="H22" s="30"/>
      <c r="I22" s="20"/>
      <c r="J22" s="20"/>
      <c r="K22" s="20">
        <v>10</v>
      </c>
      <c r="L22" s="20"/>
      <c r="M22" s="20">
        <f t="shared" si="0"/>
        <v>18994</v>
      </c>
      <c r="N22" s="24">
        <f t="shared" si="1"/>
        <v>20814</v>
      </c>
      <c r="O22" s="25">
        <f t="shared" si="2"/>
        <v>522.33500000000004</v>
      </c>
      <c r="P22" s="26"/>
      <c r="Q22" s="26"/>
      <c r="R22" s="26">
        <v>150</v>
      </c>
      <c r="S22" s="29">
        <f t="shared" si="3"/>
        <v>20141.665000000001</v>
      </c>
      <c r="T22" s="25">
        <f t="shared" si="4"/>
        <v>180.44299999999998</v>
      </c>
      <c r="U22" s="27">
        <f t="shared" si="5"/>
        <v>30.442999999999984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6016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6016</v>
      </c>
      <c r="N23" s="24">
        <f t="shared" si="1"/>
        <v>6016</v>
      </c>
      <c r="O23" s="25">
        <f t="shared" si="2"/>
        <v>165.44</v>
      </c>
      <c r="P23" s="26"/>
      <c r="Q23" s="26"/>
      <c r="R23" s="26">
        <v>60</v>
      </c>
      <c r="S23" s="29">
        <f t="shared" si="3"/>
        <v>5790.56</v>
      </c>
      <c r="T23" s="25">
        <f t="shared" si="4"/>
        <v>57.152000000000001</v>
      </c>
      <c r="U23" s="27">
        <f t="shared" si="5"/>
        <v>-2.847999999999999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25000</v>
      </c>
      <c r="E24" s="30">
        <v>50</v>
      </c>
      <c r="F24" s="30">
        <v>10</v>
      </c>
      <c r="G24" s="30"/>
      <c r="H24" s="30">
        <v>60</v>
      </c>
      <c r="I24" s="20">
        <v>3</v>
      </c>
      <c r="J24" s="20"/>
      <c r="K24" s="20">
        <v>5</v>
      </c>
      <c r="L24" s="20"/>
      <c r="M24" s="20">
        <f t="shared" si="0"/>
        <v>26640</v>
      </c>
      <c r="N24" s="24">
        <f t="shared" si="1"/>
        <v>28123</v>
      </c>
      <c r="O24" s="25">
        <f t="shared" si="2"/>
        <v>732.6</v>
      </c>
      <c r="P24" s="26"/>
      <c r="Q24" s="26"/>
      <c r="R24" s="26">
        <v>130</v>
      </c>
      <c r="S24" s="29">
        <f t="shared" si="3"/>
        <v>27260.400000000001</v>
      </c>
      <c r="T24" s="25">
        <f t="shared" si="4"/>
        <v>253.07999999999998</v>
      </c>
      <c r="U24" s="27">
        <f t="shared" si="5"/>
        <v>123.07999999999998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6492</v>
      </c>
      <c r="E25" s="30"/>
      <c r="F25" s="30"/>
      <c r="G25" s="30"/>
      <c r="H25" s="30">
        <v>250</v>
      </c>
      <c r="I25" s="20"/>
      <c r="J25" s="20"/>
      <c r="K25" s="20"/>
      <c r="L25" s="20"/>
      <c r="M25" s="20">
        <f t="shared" si="0"/>
        <v>8742</v>
      </c>
      <c r="N25" s="24">
        <f t="shared" si="1"/>
        <v>8742</v>
      </c>
      <c r="O25" s="25">
        <f t="shared" si="2"/>
        <v>240.405</v>
      </c>
      <c r="P25" s="26"/>
      <c r="Q25" s="26"/>
      <c r="R25" s="26">
        <v>64</v>
      </c>
      <c r="S25" s="29">
        <f t="shared" si="3"/>
        <v>8437.5949999999993</v>
      </c>
      <c r="T25" s="25">
        <f t="shared" si="4"/>
        <v>83.048999999999992</v>
      </c>
      <c r="U25" s="27">
        <f t="shared" si="5"/>
        <v>19.048999999999992</v>
      </c>
    </row>
    <row r="26" spans="1:21" ht="15.75" x14ac:dyDescent="0.25">
      <c r="A26" s="28">
        <v>70</v>
      </c>
      <c r="B26" s="20">
        <v>1908446153</v>
      </c>
      <c r="C26" s="36" t="s">
        <v>49</v>
      </c>
      <c r="D26" s="29">
        <v>7294</v>
      </c>
      <c r="E26" s="29">
        <v>100</v>
      </c>
      <c r="F26" s="30">
        <v>100</v>
      </c>
      <c r="G26" s="30"/>
      <c r="H26" s="30">
        <v>100</v>
      </c>
      <c r="I26" s="20">
        <v>10</v>
      </c>
      <c r="J26" s="20"/>
      <c r="K26" s="20"/>
      <c r="L26" s="20"/>
      <c r="M26" s="20">
        <f t="shared" si="0"/>
        <v>11194</v>
      </c>
      <c r="N26" s="24">
        <f t="shared" si="1"/>
        <v>13104</v>
      </c>
      <c r="O26" s="25">
        <f t="shared" si="2"/>
        <v>307.83499999999998</v>
      </c>
      <c r="P26" s="26"/>
      <c r="Q26" s="26"/>
      <c r="R26" s="26">
        <v>130</v>
      </c>
      <c r="S26" s="29">
        <f t="shared" si="3"/>
        <v>12666.165000000001</v>
      </c>
      <c r="T26" s="25">
        <f t="shared" si="4"/>
        <v>106.343</v>
      </c>
      <c r="U26" s="27">
        <f t="shared" si="5"/>
        <v>-23.656999999999996</v>
      </c>
    </row>
    <row r="27" spans="1:21" ht="15" customHeight="1" thickBot="1" x14ac:dyDescent="0.35">
      <c r="A27" s="28">
        <v>21</v>
      </c>
      <c r="B27" s="20">
        <v>1908446154</v>
      </c>
      <c r="C27" s="20" t="s">
        <v>43</v>
      </c>
      <c r="D27" s="37">
        <v>1542</v>
      </c>
      <c r="E27" s="38">
        <v>200</v>
      </c>
      <c r="F27" s="39">
        <v>200</v>
      </c>
      <c r="G27" s="39"/>
      <c r="H27" s="39">
        <v>100</v>
      </c>
      <c r="I27" s="31"/>
      <c r="J27" s="31"/>
      <c r="K27" s="31"/>
      <c r="L27" s="31"/>
      <c r="M27" s="31">
        <f t="shared" si="0"/>
        <v>8442</v>
      </c>
      <c r="N27" s="40">
        <f t="shared" si="1"/>
        <v>8442</v>
      </c>
      <c r="O27" s="25">
        <f t="shared" si="2"/>
        <v>232.155</v>
      </c>
      <c r="P27" s="41"/>
      <c r="Q27" s="41"/>
      <c r="R27" s="41"/>
      <c r="S27" s="29">
        <f t="shared" si="3"/>
        <v>8209.8449999999993</v>
      </c>
      <c r="T27" s="42">
        <f t="shared" si="4"/>
        <v>80.198999999999998</v>
      </c>
      <c r="U27" s="43">
        <f t="shared" si="5"/>
        <v>80.198999999999998</v>
      </c>
    </row>
    <row r="28" spans="1:21" ht="16.5" thickBot="1" x14ac:dyDescent="0.3">
      <c r="A28" s="240" t="s">
        <v>44</v>
      </c>
      <c r="B28" s="241"/>
      <c r="C28" s="242"/>
      <c r="D28" s="44">
        <f t="shared" ref="D28:E28" si="6">SUM(D7:D27)</f>
        <v>209588</v>
      </c>
      <c r="E28" s="45">
        <f t="shared" si="6"/>
        <v>530</v>
      </c>
      <c r="F28" s="45">
        <f t="shared" ref="F28:U28" si="7">SUM(F7:F27)</f>
        <v>480</v>
      </c>
      <c r="G28" s="45">
        <f t="shared" si="7"/>
        <v>0</v>
      </c>
      <c r="H28" s="45">
        <f t="shared" si="7"/>
        <v>1420</v>
      </c>
      <c r="I28" s="45">
        <f t="shared" si="7"/>
        <v>62</v>
      </c>
      <c r="J28" s="45">
        <f t="shared" si="7"/>
        <v>0</v>
      </c>
      <c r="K28" s="45">
        <f t="shared" si="7"/>
        <v>33</v>
      </c>
      <c r="L28" s="45">
        <f t="shared" si="7"/>
        <v>0</v>
      </c>
      <c r="M28" s="45">
        <f t="shared" si="7"/>
        <v>237768</v>
      </c>
      <c r="N28" s="45">
        <f t="shared" si="7"/>
        <v>255616</v>
      </c>
      <c r="O28" s="46">
        <f t="shared" si="7"/>
        <v>6538.619999999999</v>
      </c>
      <c r="P28" s="45">
        <f t="shared" si="7"/>
        <v>0</v>
      </c>
      <c r="Q28" s="45">
        <f>SUM(Q7:Q27)</f>
        <v>-2540</v>
      </c>
      <c r="R28" s="45">
        <f t="shared" si="7"/>
        <v>1859</v>
      </c>
      <c r="S28" s="45">
        <f t="shared" si="7"/>
        <v>247218.38000000003</v>
      </c>
      <c r="T28" s="45">
        <f t="shared" si="7"/>
        <v>2258.7959999999998</v>
      </c>
      <c r="U28" s="45">
        <f t="shared" si="7"/>
        <v>399.79599999999988</v>
      </c>
    </row>
    <row r="29" spans="1:21" ht="15.75" thickBot="1" x14ac:dyDescent="0.3">
      <c r="A29" s="243" t="s">
        <v>45</v>
      </c>
      <c r="B29" s="244"/>
      <c r="C29" s="245"/>
      <c r="D29" s="48">
        <f>D4+D5-D28</f>
        <v>194129</v>
      </c>
      <c r="E29" s="48">
        <f t="shared" ref="E29:L29" si="8">E4+E5-E28</f>
        <v>3620</v>
      </c>
      <c r="F29" s="48">
        <f t="shared" si="8"/>
        <v>8800</v>
      </c>
      <c r="G29" s="48">
        <f t="shared" si="8"/>
        <v>0</v>
      </c>
      <c r="H29" s="48">
        <f t="shared" si="8"/>
        <v>29690</v>
      </c>
      <c r="I29" s="48">
        <f t="shared" si="8"/>
        <v>912</v>
      </c>
      <c r="J29" s="48">
        <f t="shared" si="8"/>
        <v>150</v>
      </c>
      <c r="K29" s="48">
        <f t="shared" si="8"/>
        <v>390</v>
      </c>
      <c r="L29" s="48">
        <f t="shared" si="8"/>
        <v>0</v>
      </c>
      <c r="M29" s="246"/>
      <c r="N29" s="247"/>
      <c r="O29" s="247"/>
      <c r="P29" s="247"/>
      <c r="Q29" s="247"/>
      <c r="R29" s="247"/>
      <c r="S29" s="247"/>
      <c r="T29" s="247"/>
      <c r="U29" s="248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  <c r="U30" s="50"/>
    </row>
  </sheetData>
  <mergeCells count="10">
    <mergeCell ref="A28:C28"/>
    <mergeCell ref="A29:C29"/>
    <mergeCell ref="M29:U29"/>
    <mergeCell ref="A1:U2"/>
    <mergeCell ref="A3:B3"/>
    <mergeCell ref="C3:U3"/>
    <mergeCell ref="A4:B4"/>
    <mergeCell ref="N4:U4"/>
    <mergeCell ref="A5:B5"/>
    <mergeCell ref="N5:U5"/>
  </mergeCells>
  <conditionalFormatting sqref="D29 E4:H6 E28:K29">
    <cfRule type="cellIs" dxfId="1211" priority="43" operator="equal">
      <formula>212030016606640</formula>
    </cfRule>
  </conditionalFormatting>
  <conditionalFormatting sqref="D29 E4:E6 E28:K29">
    <cfRule type="cellIs" dxfId="1210" priority="41" operator="equal">
      <formula>$E$4</formula>
    </cfRule>
    <cfRule type="cellIs" dxfId="1209" priority="42" operator="equal">
      <formula>2120</formula>
    </cfRule>
  </conditionalFormatting>
  <conditionalFormatting sqref="D29:E29 F4:F6 F28:F29">
    <cfRule type="cellIs" dxfId="1208" priority="39" operator="equal">
      <formula>$F$4</formula>
    </cfRule>
    <cfRule type="cellIs" dxfId="1207" priority="40" operator="equal">
      <formula>300</formula>
    </cfRule>
  </conditionalFormatting>
  <conditionalFormatting sqref="G4:G6 G28:G29">
    <cfRule type="cellIs" dxfId="1206" priority="37" operator="equal">
      <formula>$G$4</formula>
    </cfRule>
    <cfRule type="cellIs" dxfId="1205" priority="38" operator="equal">
      <formula>1660</formula>
    </cfRule>
  </conditionalFormatting>
  <conditionalFormatting sqref="H4:H6 H28:H29">
    <cfRule type="cellIs" dxfId="1204" priority="35" operator="equal">
      <formula>$H$4</formula>
    </cfRule>
    <cfRule type="cellIs" dxfId="1203" priority="36" operator="equal">
      <formula>6640</formula>
    </cfRule>
  </conditionalFormatting>
  <conditionalFormatting sqref="U6:U27">
    <cfRule type="cellIs" dxfId="1202" priority="34" operator="lessThan">
      <formula>0</formula>
    </cfRule>
  </conditionalFormatting>
  <conditionalFormatting sqref="U7:U27">
    <cfRule type="cellIs" dxfId="1201" priority="31" operator="lessThan">
      <formula>0</formula>
    </cfRule>
    <cfRule type="cellIs" dxfId="1200" priority="32" operator="lessThan">
      <formula>0</formula>
    </cfRule>
    <cfRule type="cellIs" dxfId="1199" priority="33" operator="lessThan">
      <formula>0</formula>
    </cfRule>
  </conditionalFormatting>
  <conditionalFormatting sqref="E4:E6 E28:K28">
    <cfRule type="cellIs" dxfId="1198" priority="30" operator="equal">
      <formula>$E$4</formula>
    </cfRule>
  </conditionalFormatting>
  <conditionalFormatting sqref="D28:D29 D6 D4:M4">
    <cfRule type="cellIs" dxfId="1197" priority="29" operator="equal">
      <formula>$D$4</formula>
    </cfRule>
  </conditionalFormatting>
  <conditionalFormatting sqref="I4:I6 I28:I29">
    <cfRule type="cellIs" dxfId="1196" priority="28" operator="equal">
      <formula>$I$4</formula>
    </cfRule>
  </conditionalFormatting>
  <conditionalFormatting sqref="J4:J6 J28:J29">
    <cfRule type="cellIs" dxfId="1195" priority="27" operator="equal">
      <formula>$J$4</formula>
    </cfRule>
  </conditionalFormatting>
  <conditionalFormatting sqref="K4:K6 K28:K29">
    <cfRule type="cellIs" dxfId="1194" priority="26" operator="equal">
      <formula>$K$4</formula>
    </cfRule>
  </conditionalFormatting>
  <conditionalFormatting sqref="M4:M6">
    <cfRule type="cellIs" dxfId="1193" priority="25" operator="equal">
      <formula>$L$4</formula>
    </cfRule>
  </conditionalFormatting>
  <conditionalFormatting sqref="U7:U27">
    <cfRule type="cellIs" dxfId="1192" priority="22" operator="lessThan">
      <formula>0</formula>
    </cfRule>
    <cfRule type="cellIs" dxfId="1191" priority="23" operator="lessThan">
      <formula>0</formula>
    </cfRule>
    <cfRule type="cellIs" dxfId="1190" priority="24" operator="lessThan">
      <formula>0</formula>
    </cfRule>
  </conditionalFormatting>
  <conditionalFormatting sqref="D5:K5">
    <cfRule type="cellIs" dxfId="1189" priority="21" operator="greaterThan">
      <formula>0</formula>
    </cfRule>
  </conditionalFormatting>
  <conditionalFormatting sqref="U6:U27">
    <cfRule type="cellIs" dxfId="1188" priority="20" operator="lessThan">
      <formula>0</formula>
    </cfRule>
  </conditionalFormatting>
  <conditionalFormatting sqref="U7:U27">
    <cfRule type="cellIs" dxfId="1187" priority="17" operator="lessThan">
      <formula>0</formula>
    </cfRule>
    <cfRule type="cellIs" dxfId="1186" priority="18" operator="lessThan">
      <formula>0</formula>
    </cfRule>
    <cfRule type="cellIs" dxfId="1185" priority="19" operator="lessThan">
      <formula>0</formula>
    </cfRule>
  </conditionalFormatting>
  <conditionalFormatting sqref="U7:U27">
    <cfRule type="cellIs" dxfId="1184" priority="14" operator="lessThan">
      <formula>0</formula>
    </cfRule>
    <cfRule type="cellIs" dxfId="1183" priority="15" operator="lessThan">
      <formula>0</formula>
    </cfRule>
    <cfRule type="cellIs" dxfId="1182" priority="16" operator="lessThan">
      <formula>0</formula>
    </cfRule>
  </conditionalFormatting>
  <conditionalFormatting sqref="D5:K5">
    <cfRule type="cellIs" dxfId="1181" priority="13" operator="greaterThan">
      <formula>0</formula>
    </cfRule>
  </conditionalFormatting>
  <conditionalFormatting sqref="L4 L6 L28:L29">
    <cfRule type="cellIs" dxfId="1180" priority="12" operator="equal">
      <formula>$L$4</formula>
    </cfRule>
  </conditionalFormatting>
  <conditionalFormatting sqref="D7:T7 S8:S27">
    <cfRule type="cellIs" dxfId="1179" priority="11" operator="greaterThan">
      <formula>0</formula>
    </cfRule>
  </conditionalFormatting>
  <conditionalFormatting sqref="D9:R9 T9">
    <cfRule type="cellIs" dxfId="1178" priority="10" operator="greaterThan">
      <formula>0</formula>
    </cfRule>
  </conditionalFormatting>
  <conditionalFormatting sqref="D11:R11 T11">
    <cfRule type="cellIs" dxfId="1177" priority="9" operator="greaterThan">
      <formula>0</formula>
    </cfRule>
  </conditionalFormatting>
  <conditionalFormatting sqref="D13:R13 T13">
    <cfRule type="cellIs" dxfId="1176" priority="8" operator="greaterThan">
      <formula>0</formula>
    </cfRule>
  </conditionalFormatting>
  <conditionalFormatting sqref="D15:R15 T15">
    <cfRule type="cellIs" dxfId="1175" priority="7" operator="greaterThan">
      <formula>0</formula>
    </cfRule>
  </conditionalFormatting>
  <conditionalFormatting sqref="D17:R17 T17">
    <cfRule type="cellIs" dxfId="1174" priority="6" operator="greaterThan">
      <formula>0</formula>
    </cfRule>
  </conditionalFormatting>
  <conditionalFormatting sqref="D19:R19 T19">
    <cfRule type="cellIs" dxfId="1173" priority="5" operator="greaterThan">
      <formula>0</formula>
    </cfRule>
  </conditionalFormatting>
  <conditionalFormatting sqref="D21:R21 T21">
    <cfRule type="cellIs" dxfId="1172" priority="4" operator="greaterThan">
      <formula>0</formula>
    </cfRule>
  </conditionalFormatting>
  <conditionalFormatting sqref="D23:R23 T23">
    <cfRule type="cellIs" dxfId="1171" priority="3" operator="greaterThan">
      <formula>0</formula>
    </cfRule>
  </conditionalFormatting>
  <conditionalFormatting sqref="D25:R25 T25">
    <cfRule type="cellIs" dxfId="1170" priority="2" operator="greaterThan">
      <formula>0</formula>
    </cfRule>
  </conditionalFormatting>
  <conditionalFormatting sqref="D27:R27 T27">
    <cfRule type="cellIs" dxfId="1169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3" activePane="bottomLeft" state="frozen"/>
      <selection pane="bottomLeft" activeCell="D16" sqref="D16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260" t="s">
        <v>0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260"/>
    </row>
    <row r="2" spans="1:21" ht="15.75" thickBot="1" x14ac:dyDescent="0.3">
      <c r="A2" s="260"/>
      <c r="B2" s="260"/>
      <c r="C2" s="260"/>
      <c r="D2" s="260"/>
      <c r="E2" s="260"/>
      <c r="F2" s="260"/>
      <c r="G2" s="260"/>
      <c r="H2" s="260"/>
      <c r="I2" s="260"/>
      <c r="J2" s="260"/>
      <c r="K2" s="260"/>
      <c r="L2" s="260"/>
      <c r="M2" s="260"/>
      <c r="N2" s="260"/>
      <c r="O2" s="260"/>
      <c r="P2" s="260"/>
      <c r="Q2" s="260"/>
      <c r="R2" s="260"/>
      <c r="S2" s="260"/>
      <c r="T2" s="260"/>
    </row>
    <row r="3" spans="1:21" ht="18.75" x14ac:dyDescent="0.25">
      <c r="A3" s="250" t="s">
        <v>61</v>
      </c>
      <c r="B3" s="251"/>
      <c r="C3" s="252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</row>
    <row r="4" spans="1:21" x14ac:dyDescent="0.25">
      <c r="A4" s="254" t="s">
        <v>1</v>
      </c>
      <c r="B4" s="254"/>
      <c r="C4" s="1"/>
      <c r="D4" s="2">
        <f>'6'!D29</f>
        <v>194129</v>
      </c>
      <c r="E4" s="2">
        <f>'6'!E29</f>
        <v>3620</v>
      </c>
      <c r="F4" s="2">
        <f>'6'!F29</f>
        <v>8800</v>
      </c>
      <c r="G4" s="2">
        <f>'6'!G29</f>
        <v>0</v>
      </c>
      <c r="H4" s="2">
        <f>'6'!H29</f>
        <v>29690</v>
      </c>
      <c r="I4" s="2">
        <f>'6'!I29</f>
        <v>912</v>
      </c>
      <c r="J4" s="2">
        <f>'6'!J29</f>
        <v>150</v>
      </c>
      <c r="K4" s="2">
        <f>'6'!K29</f>
        <v>390</v>
      </c>
      <c r="L4" s="2">
        <f>'6'!L29</f>
        <v>0</v>
      </c>
      <c r="M4" s="3"/>
      <c r="N4" s="255"/>
      <c r="O4" s="255"/>
      <c r="P4" s="255"/>
      <c r="Q4" s="255"/>
      <c r="R4" s="255"/>
      <c r="S4" s="255"/>
      <c r="T4" s="255"/>
    </row>
    <row r="5" spans="1:21" x14ac:dyDescent="0.25">
      <c r="A5" s="254" t="s">
        <v>2</v>
      </c>
      <c r="B5" s="254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255"/>
      <c r="O5" s="255"/>
      <c r="P5" s="255"/>
      <c r="Q5" s="255"/>
      <c r="R5" s="255"/>
      <c r="S5" s="255"/>
      <c r="T5" s="255"/>
    </row>
    <row r="6" spans="1:21" ht="39" thickBot="1" x14ac:dyDescent="0.3">
      <c r="A6" s="88" t="s">
        <v>3</v>
      </c>
      <c r="B6" s="89" t="s">
        <v>4</v>
      </c>
      <c r="C6" s="73" t="s">
        <v>5</v>
      </c>
      <c r="D6" s="74" t="s">
        <v>6</v>
      </c>
      <c r="E6" s="75" t="s">
        <v>7</v>
      </c>
      <c r="F6" s="76" t="s">
        <v>8</v>
      </c>
      <c r="G6" s="74" t="s">
        <v>9</v>
      </c>
      <c r="H6" s="77" t="s">
        <v>10</v>
      </c>
      <c r="I6" s="74" t="s">
        <v>11</v>
      </c>
      <c r="J6" s="78" t="s">
        <v>12</v>
      </c>
      <c r="K6" s="78" t="s">
        <v>13</v>
      </c>
      <c r="L6" s="78" t="s">
        <v>14</v>
      </c>
      <c r="M6" s="79" t="s">
        <v>15</v>
      </c>
      <c r="N6" s="80" t="s">
        <v>16</v>
      </c>
      <c r="O6" s="81" t="s">
        <v>17</v>
      </c>
      <c r="P6" s="80" t="s">
        <v>18</v>
      </c>
      <c r="Q6" s="80" t="s">
        <v>19</v>
      </c>
      <c r="R6" s="80" t="s">
        <v>20</v>
      </c>
      <c r="S6" s="81" t="s">
        <v>21</v>
      </c>
      <c r="T6" s="81" t="s">
        <v>22</v>
      </c>
    </row>
    <row r="7" spans="1:21" ht="15.75" x14ac:dyDescent="0.25">
      <c r="A7" s="90">
        <v>1</v>
      </c>
      <c r="B7" s="91">
        <v>1908446134</v>
      </c>
      <c r="C7" s="82" t="s">
        <v>23</v>
      </c>
      <c r="D7" s="21">
        <v>8000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8000</v>
      </c>
      <c r="N7" s="24">
        <f>D7+E7*20+F7*10+G7*9+H7*9+I7*191+J7*191+K7*182+L7*100</f>
        <v>8000</v>
      </c>
      <c r="O7" s="25">
        <f>M7*2.75%</f>
        <v>220</v>
      </c>
      <c r="P7" s="26"/>
      <c r="Q7" s="26">
        <v>100</v>
      </c>
      <c r="R7" s="24">
        <f>M7-(M7*2.75%)+I7*191+J7*191+K7*182+L7*100-Q7</f>
        <v>7680</v>
      </c>
      <c r="S7" s="25">
        <f>M7*0.95%</f>
        <v>76</v>
      </c>
      <c r="T7" s="27">
        <f>S7-Q7</f>
        <v>-24</v>
      </c>
    </row>
    <row r="8" spans="1:21" ht="15.75" x14ac:dyDescent="0.25">
      <c r="A8" s="90">
        <v>2</v>
      </c>
      <c r="B8" s="91">
        <v>1908446135</v>
      </c>
      <c r="C8" s="83" t="s">
        <v>24</v>
      </c>
      <c r="D8" s="29">
        <v>5607</v>
      </c>
      <c r="E8" s="30"/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6507</v>
      </c>
      <c r="N8" s="24">
        <f t="shared" ref="N8:N27" si="1">D8+E8*20+F8*10+G8*9+H8*9+I8*191+J8*191+K8*182+L8*100</f>
        <v>6507</v>
      </c>
      <c r="O8" s="25">
        <f t="shared" ref="O8:O27" si="2">M8*2.75%</f>
        <v>178.9425</v>
      </c>
      <c r="P8" s="26">
        <v>-800</v>
      </c>
      <c r="Q8" s="26">
        <v>55</v>
      </c>
      <c r="R8" s="24">
        <f t="shared" ref="R8:R27" si="3">M8-(M8*2.75%)+I8*191+J8*191+K8*182+L8*100-Q8</f>
        <v>6273.0574999999999</v>
      </c>
      <c r="S8" s="25">
        <f t="shared" ref="S8:S27" si="4">M8*0.95%</f>
        <v>61.816499999999998</v>
      </c>
      <c r="T8" s="27">
        <f t="shared" ref="T8:T27" si="5">S8-Q8</f>
        <v>6.8164999999999978</v>
      </c>
    </row>
    <row r="9" spans="1:21" ht="15.75" x14ac:dyDescent="0.25">
      <c r="A9" s="90">
        <v>3</v>
      </c>
      <c r="B9" s="91">
        <v>1908446136</v>
      </c>
      <c r="C9" s="82" t="s">
        <v>25</v>
      </c>
      <c r="D9" s="29">
        <v>14540</v>
      </c>
      <c r="E9" s="30"/>
      <c r="F9" s="30"/>
      <c r="G9" s="30"/>
      <c r="H9" s="30"/>
      <c r="I9" s="20">
        <v>14</v>
      </c>
      <c r="J9" s="20"/>
      <c r="K9" s="20"/>
      <c r="L9" s="20"/>
      <c r="M9" s="20">
        <f t="shared" si="0"/>
        <v>14540</v>
      </c>
      <c r="N9" s="24">
        <f t="shared" si="1"/>
        <v>17214</v>
      </c>
      <c r="O9" s="25">
        <f t="shared" si="2"/>
        <v>399.85</v>
      </c>
      <c r="P9" s="26">
        <v>4000</v>
      </c>
      <c r="Q9" s="26">
        <v>144</v>
      </c>
      <c r="R9" s="24">
        <f t="shared" si="3"/>
        <v>16670.150000000001</v>
      </c>
      <c r="S9" s="25">
        <f t="shared" si="4"/>
        <v>138.13</v>
      </c>
      <c r="T9" s="27">
        <f t="shared" si="5"/>
        <v>-5.8700000000000045</v>
      </c>
    </row>
    <row r="10" spans="1:21" ht="15.75" x14ac:dyDescent="0.25">
      <c r="A10" s="90">
        <v>4</v>
      </c>
      <c r="B10" s="91">
        <v>1908446137</v>
      </c>
      <c r="C10" s="82" t="s">
        <v>26</v>
      </c>
      <c r="D10" s="29">
        <v>4939</v>
      </c>
      <c r="E10" s="30"/>
      <c r="F10" s="30">
        <v>30</v>
      </c>
      <c r="G10" s="30"/>
      <c r="H10" s="30">
        <v>30</v>
      </c>
      <c r="I10" s="20"/>
      <c r="J10" s="20"/>
      <c r="K10" s="20"/>
      <c r="L10" s="20"/>
      <c r="M10" s="20">
        <f t="shared" si="0"/>
        <v>5509</v>
      </c>
      <c r="N10" s="24">
        <f t="shared" si="1"/>
        <v>5509</v>
      </c>
      <c r="O10" s="25">
        <f t="shared" si="2"/>
        <v>151.4975</v>
      </c>
      <c r="P10" s="26"/>
      <c r="Q10" s="26">
        <v>27</v>
      </c>
      <c r="R10" s="24">
        <f t="shared" si="3"/>
        <v>5330.5024999999996</v>
      </c>
      <c r="S10" s="25">
        <f t="shared" si="4"/>
        <v>52.335499999999996</v>
      </c>
      <c r="T10" s="27">
        <f t="shared" si="5"/>
        <v>25.335499999999996</v>
      </c>
    </row>
    <row r="11" spans="1:21" ht="15.75" x14ac:dyDescent="0.25">
      <c r="A11" s="90">
        <v>5</v>
      </c>
      <c r="B11" s="91">
        <v>1908446138</v>
      </c>
      <c r="C11" s="84" t="s">
        <v>27</v>
      </c>
      <c r="D11" s="29">
        <v>5043</v>
      </c>
      <c r="E11" s="30"/>
      <c r="F11" s="30">
        <v>50</v>
      </c>
      <c r="G11" s="32"/>
      <c r="H11" s="30">
        <v>300</v>
      </c>
      <c r="I11" s="20"/>
      <c r="J11" s="20"/>
      <c r="K11" s="20"/>
      <c r="L11" s="20"/>
      <c r="M11" s="20">
        <f t="shared" si="0"/>
        <v>8243</v>
      </c>
      <c r="N11" s="24">
        <f t="shared" si="1"/>
        <v>8243</v>
      </c>
      <c r="O11" s="25">
        <f t="shared" si="2"/>
        <v>226.6825</v>
      </c>
      <c r="P11" s="26"/>
      <c r="Q11" s="26">
        <v>36</v>
      </c>
      <c r="R11" s="24">
        <f t="shared" si="3"/>
        <v>7980.3175000000001</v>
      </c>
      <c r="S11" s="25">
        <f t="shared" si="4"/>
        <v>78.308499999999995</v>
      </c>
      <c r="T11" s="27">
        <f t="shared" si="5"/>
        <v>42.308499999999995</v>
      </c>
      <c r="U11">
        <v>15</v>
      </c>
    </row>
    <row r="12" spans="1:21" ht="15.75" x14ac:dyDescent="0.25">
      <c r="A12" s="90">
        <v>6</v>
      </c>
      <c r="B12" s="91">
        <v>1908446139</v>
      </c>
      <c r="C12" s="82" t="s">
        <v>28</v>
      </c>
      <c r="D12" s="29">
        <v>6479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6479</v>
      </c>
      <c r="N12" s="24">
        <f t="shared" si="1"/>
        <v>6479</v>
      </c>
      <c r="O12" s="25">
        <f t="shared" si="2"/>
        <v>178.17250000000001</v>
      </c>
      <c r="P12" s="26"/>
      <c r="Q12" s="26">
        <v>31</v>
      </c>
      <c r="R12" s="24">
        <f t="shared" si="3"/>
        <v>6269.8275000000003</v>
      </c>
      <c r="S12" s="25">
        <f t="shared" si="4"/>
        <v>61.5505</v>
      </c>
      <c r="T12" s="27">
        <f t="shared" si="5"/>
        <v>30.5505</v>
      </c>
    </row>
    <row r="13" spans="1:21" ht="15.75" x14ac:dyDescent="0.25">
      <c r="A13" s="90">
        <v>7</v>
      </c>
      <c r="B13" s="91">
        <v>1908446140</v>
      </c>
      <c r="C13" s="82" t="s">
        <v>29</v>
      </c>
      <c r="D13" s="29">
        <v>5861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5861</v>
      </c>
      <c r="N13" s="24">
        <f t="shared" si="1"/>
        <v>5861</v>
      </c>
      <c r="O13" s="25">
        <f t="shared" si="2"/>
        <v>161.17750000000001</v>
      </c>
      <c r="P13" s="26"/>
      <c r="Q13" s="26">
        <v>55</v>
      </c>
      <c r="R13" s="24">
        <f t="shared" si="3"/>
        <v>5644.8225000000002</v>
      </c>
      <c r="S13" s="25">
        <f t="shared" si="4"/>
        <v>55.679499999999997</v>
      </c>
      <c r="T13" s="27">
        <f t="shared" si="5"/>
        <v>0.67949999999999733</v>
      </c>
    </row>
    <row r="14" spans="1:21" ht="15.75" x14ac:dyDescent="0.25">
      <c r="A14" s="90">
        <v>8</v>
      </c>
      <c r="B14" s="91">
        <v>1908446141</v>
      </c>
      <c r="C14" s="82" t="s">
        <v>30</v>
      </c>
      <c r="D14" s="29">
        <v>10665</v>
      </c>
      <c r="E14" s="30"/>
      <c r="F14" s="30"/>
      <c r="G14" s="30"/>
      <c r="H14" s="30">
        <v>130</v>
      </c>
      <c r="I14" s="92"/>
      <c r="J14" s="20"/>
      <c r="K14" s="20"/>
      <c r="L14" s="20"/>
      <c r="M14" s="20">
        <f t="shared" si="0"/>
        <v>11835</v>
      </c>
      <c r="N14" s="24">
        <f t="shared" si="1"/>
        <v>11835</v>
      </c>
      <c r="O14" s="25">
        <f t="shared" si="2"/>
        <v>325.46249999999998</v>
      </c>
      <c r="P14" s="26"/>
      <c r="Q14" s="26">
        <v>130</v>
      </c>
      <c r="R14" s="24">
        <f t="shared" si="3"/>
        <v>11379.5375</v>
      </c>
      <c r="S14" s="25">
        <f t="shared" si="4"/>
        <v>112.43249999999999</v>
      </c>
      <c r="T14" s="27">
        <f t="shared" si="5"/>
        <v>-17.56750000000001</v>
      </c>
    </row>
    <row r="15" spans="1:21" ht="15.75" x14ac:dyDescent="0.25">
      <c r="A15" s="90">
        <v>9</v>
      </c>
      <c r="B15" s="91">
        <v>1908446142</v>
      </c>
      <c r="C15" s="85" t="s">
        <v>31</v>
      </c>
      <c r="D15" s="29">
        <v>18976</v>
      </c>
      <c r="E15" s="30">
        <v>10</v>
      </c>
      <c r="F15" s="30">
        <v>20</v>
      </c>
      <c r="G15" s="30"/>
      <c r="H15" s="30"/>
      <c r="I15" s="20">
        <v>10</v>
      </c>
      <c r="J15" s="20"/>
      <c r="K15" s="20">
        <v>2</v>
      </c>
      <c r="L15" s="20"/>
      <c r="M15" s="20">
        <f t="shared" si="0"/>
        <v>19376</v>
      </c>
      <c r="N15" s="24">
        <f t="shared" si="1"/>
        <v>21650</v>
      </c>
      <c r="O15" s="25">
        <f t="shared" si="2"/>
        <v>532.84</v>
      </c>
      <c r="P15" s="26">
        <v>20920</v>
      </c>
      <c r="Q15" s="26">
        <v>160</v>
      </c>
      <c r="R15" s="24">
        <f t="shared" si="3"/>
        <v>20957.16</v>
      </c>
      <c r="S15" s="25">
        <f t="shared" si="4"/>
        <v>184.072</v>
      </c>
      <c r="T15" s="27">
        <f t="shared" si="5"/>
        <v>24.072000000000003</v>
      </c>
    </row>
    <row r="16" spans="1:21" ht="15.75" x14ac:dyDescent="0.25">
      <c r="A16" s="90">
        <v>10</v>
      </c>
      <c r="B16" s="91">
        <v>1908446143</v>
      </c>
      <c r="C16" s="82" t="s">
        <v>32</v>
      </c>
      <c r="D16" s="29">
        <v>11816</v>
      </c>
      <c r="E16" s="30"/>
      <c r="F16" s="30">
        <v>20</v>
      </c>
      <c r="G16" s="30"/>
      <c r="H16" s="30">
        <v>60</v>
      </c>
      <c r="I16" s="20">
        <v>27</v>
      </c>
      <c r="J16" s="20"/>
      <c r="K16" s="20">
        <v>5</v>
      </c>
      <c r="L16" s="20"/>
      <c r="M16" s="20">
        <f t="shared" si="0"/>
        <v>12556</v>
      </c>
      <c r="N16" s="24">
        <f t="shared" si="1"/>
        <v>18623</v>
      </c>
      <c r="O16" s="25">
        <f t="shared" si="2"/>
        <v>345.29</v>
      </c>
      <c r="P16" s="26"/>
      <c r="Q16" s="26">
        <v>118</v>
      </c>
      <c r="R16" s="24">
        <f t="shared" si="3"/>
        <v>18159.71</v>
      </c>
      <c r="S16" s="25">
        <f t="shared" si="4"/>
        <v>119.282</v>
      </c>
      <c r="T16" s="27">
        <f t="shared" si="5"/>
        <v>1.2819999999999965</v>
      </c>
    </row>
    <row r="17" spans="1:21" ht="15.75" x14ac:dyDescent="0.25">
      <c r="A17" s="90">
        <v>11</v>
      </c>
      <c r="B17" s="91">
        <v>1908446144</v>
      </c>
      <c r="C17" s="85" t="s">
        <v>33</v>
      </c>
      <c r="D17" s="29">
        <v>6056</v>
      </c>
      <c r="E17" s="30"/>
      <c r="F17" s="30"/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6956</v>
      </c>
      <c r="N17" s="24">
        <f t="shared" si="1"/>
        <v>7911</v>
      </c>
      <c r="O17" s="25">
        <f t="shared" si="2"/>
        <v>191.29</v>
      </c>
      <c r="P17" s="26"/>
      <c r="Q17" s="26">
        <v>64</v>
      </c>
      <c r="R17" s="24">
        <f t="shared" si="3"/>
        <v>7655.71</v>
      </c>
      <c r="S17" s="25">
        <f t="shared" si="4"/>
        <v>66.081999999999994</v>
      </c>
      <c r="T17" s="27">
        <f t="shared" si="5"/>
        <v>2.0819999999999936</v>
      </c>
    </row>
    <row r="18" spans="1:21" ht="15.75" x14ac:dyDescent="0.25">
      <c r="A18" s="90">
        <v>12</v>
      </c>
      <c r="B18" s="91">
        <v>1908446145</v>
      </c>
      <c r="C18" s="84" t="s">
        <v>52</v>
      </c>
      <c r="D18" s="29">
        <v>6067</v>
      </c>
      <c r="E18" s="30">
        <v>110</v>
      </c>
      <c r="F18" s="30">
        <v>290</v>
      </c>
      <c r="G18" s="30"/>
      <c r="H18" s="30">
        <v>420</v>
      </c>
      <c r="I18" s="20">
        <v>65</v>
      </c>
      <c r="J18" s="20">
        <v>5</v>
      </c>
      <c r="K18" s="20">
        <v>30</v>
      </c>
      <c r="L18" s="20"/>
      <c r="M18" s="20">
        <f t="shared" si="0"/>
        <v>14947</v>
      </c>
      <c r="N18" s="24">
        <f t="shared" si="1"/>
        <v>33777</v>
      </c>
      <c r="O18" s="25">
        <f t="shared" si="2"/>
        <v>411.04250000000002</v>
      </c>
      <c r="P18" s="26"/>
      <c r="Q18" s="26">
        <v>500</v>
      </c>
      <c r="R18" s="24">
        <f t="shared" si="3"/>
        <v>32865.957500000004</v>
      </c>
      <c r="S18" s="25">
        <f t="shared" si="4"/>
        <v>141.9965</v>
      </c>
      <c r="T18" s="27">
        <f t="shared" si="5"/>
        <v>-358.00350000000003</v>
      </c>
    </row>
    <row r="19" spans="1:21" ht="15.75" x14ac:dyDescent="0.25">
      <c r="A19" s="90">
        <v>13</v>
      </c>
      <c r="B19" s="91">
        <v>1908446146</v>
      </c>
      <c r="C19" s="82" t="s">
        <v>35</v>
      </c>
      <c r="D19" s="29">
        <v>7401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7401</v>
      </c>
      <c r="N19" s="24">
        <f t="shared" si="1"/>
        <v>7401</v>
      </c>
      <c r="O19" s="25">
        <f t="shared" si="2"/>
        <v>203.5275</v>
      </c>
      <c r="P19" s="26"/>
      <c r="Q19" s="26">
        <v>100</v>
      </c>
      <c r="R19" s="24">
        <f t="shared" si="3"/>
        <v>7097.4724999999999</v>
      </c>
      <c r="S19" s="25">
        <f t="shared" si="4"/>
        <v>70.3095</v>
      </c>
      <c r="T19" s="27">
        <f t="shared" si="5"/>
        <v>-29.6905</v>
      </c>
    </row>
    <row r="20" spans="1:21" ht="15.75" x14ac:dyDescent="0.25">
      <c r="A20" s="90">
        <v>14</v>
      </c>
      <c r="B20" s="91">
        <v>1908446147</v>
      </c>
      <c r="C20" s="82" t="s">
        <v>51</v>
      </c>
      <c r="D20" s="29">
        <v>6943</v>
      </c>
      <c r="E20" s="30"/>
      <c r="F20" s="30"/>
      <c r="G20" s="30"/>
      <c r="H20" s="30"/>
      <c r="I20" s="20">
        <v>6</v>
      </c>
      <c r="J20" s="20"/>
      <c r="K20" s="20">
        <v>10</v>
      </c>
      <c r="L20" s="20"/>
      <c r="M20" s="20">
        <f t="shared" si="0"/>
        <v>6943</v>
      </c>
      <c r="N20" s="24">
        <f t="shared" si="1"/>
        <v>9909</v>
      </c>
      <c r="O20" s="25">
        <f t="shared" si="2"/>
        <v>190.9325</v>
      </c>
      <c r="P20" s="26">
        <v>4000</v>
      </c>
      <c r="Q20" s="26">
        <v>120</v>
      </c>
      <c r="R20" s="24">
        <f t="shared" si="3"/>
        <v>9598.067500000001</v>
      </c>
      <c r="S20" s="25">
        <f t="shared" si="4"/>
        <v>65.958500000000001</v>
      </c>
      <c r="T20" s="27">
        <f t="shared" si="5"/>
        <v>-54.041499999999999</v>
      </c>
    </row>
    <row r="21" spans="1:21" ht="15.75" x14ac:dyDescent="0.25">
      <c r="A21" s="90">
        <v>15</v>
      </c>
      <c r="B21" s="91">
        <v>1908446148</v>
      </c>
      <c r="C21" s="82" t="s">
        <v>50</v>
      </c>
      <c r="D21" s="29">
        <v>2524</v>
      </c>
      <c r="E21" s="30">
        <v>20</v>
      </c>
      <c r="F21" s="30">
        <v>80</v>
      </c>
      <c r="G21" s="30"/>
      <c r="H21" s="30">
        <v>110</v>
      </c>
      <c r="I21" s="20"/>
      <c r="J21" s="20"/>
      <c r="K21" s="20"/>
      <c r="L21" s="20"/>
      <c r="M21" s="20">
        <f t="shared" si="0"/>
        <v>4714</v>
      </c>
      <c r="N21" s="24">
        <f t="shared" si="1"/>
        <v>4714</v>
      </c>
      <c r="O21" s="25">
        <f t="shared" si="2"/>
        <v>129.63499999999999</v>
      </c>
      <c r="P21" s="26">
        <v>7360</v>
      </c>
      <c r="Q21" s="26">
        <v>20</v>
      </c>
      <c r="R21" s="24">
        <f t="shared" si="3"/>
        <v>4564.3649999999998</v>
      </c>
      <c r="S21" s="25">
        <f t="shared" si="4"/>
        <v>44.783000000000001</v>
      </c>
      <c r="T21" s="27">
        <f t="shared" si="5"/>
        <v>24.783000000000001</v>
      </c>
    </row>
    <row r="22" spans="1:21" ht="15.75" x14ac:dyDescent="0.25">
      <c r="A22" s="90">
        <v>16</v>
      </c>
      <c r="B22" s="91">
        <v>1908446149</v>
      </c>
      <c r="C22" s="86" t="s">
        <v>38</v>
      </c>
      <c r="D22" s="29">
        <v>12340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12340</v>
      </c>
      <c r="N22" s="24">
        <f t="shared" si="1"/>
        <v>12340</v>
      </c>
      <c r="O22" s="25">
        <f t="shared" si="2"/>
        <v>339.35</v>
      </c>
      <c r="P22" s="26">
        <v>-1000</v>
      </c>
      <c r="Q22" s="26">
        <v>100</v>
      </c>
      <c r="R22" s="24">
        <f t="shared" si="3"/>
        <v>11900.65</v>
      </c>
      <c r="S22" s="25">
        <f t="shared" si="4"/>
        <v>117.23</v>
      </c>
      <c r="T22" s="27">
        <f t="shared" si="5"/>
        <v>17.230000000000004</v>
      </c>
    </row>
    <row r="23" spans="1:21" ht="15.75" x14ac:dyDescent="0.25">
      <c r="A23" s="90">
        <v>17</v>
      </c>
      <c r="B23" s="91">
        <v>1908446150</v>
      </c>
      <c r="C23" s="82" t="s">
        <v>39</v>
      </c>
      <c r="D23" s="35">
        <v>6067</v>
      </c>
      <c r="E23" s="30">
        <v>500</v>
      </c>
      <c r="F23" s="30">
        <v>500</v>
      </c>
      <c r="G23" s="30"/>
      <c r="H23" s="30"/>
      <c r="I23" s="20">
        <v>50</v>
      </c>
      <c r="J23" s="20"/>
      <c r="K23" s="20"/>
      <c r="L23" s="20"/>
      <c r="M23" s="20">
        <f t="shared" si="0"/>
        <v>21067</v>
      </c>
      <c r="N23" s="24">
        <f t="shared" si="1"/>
        <v>30617</v>
      </c>
      <c r="O23" s="25">
        <f t="shared" si="2"/>
        <v>579.34249999999997</v>
      </c>
      <c r="P23" s="26"/>
      <c r="Q23" s="26">
        <v>60</v>
      </c>
      <c r="R23" s="24">
        <f t="shared" si="3"/>
        <v>29977.657500000001</v>
      </c>
      <c r="S23" s="25">
        <f t="shared" si="4"/>
        <v>200.13649999999998</v>
      </c>
      <c r="T23" s="27">
        <f t="shared" si="5"/>
        <v>140.13649999999998</v>
      </c>
      <c r="U23">
        <v>135</v>
      </c>
    </row>
    <row r="24" spans="1:21" ht="15.75" x14ac:dyDescent="0.25">
      <c r="A24" s="90">
        <v>18</v>
      </c>
      <c r="B24" s="91">
        <v>1908446151</v>
      </c>
      <c r="C24" s="82" t="s">
        <v>40</v>
      </c>
      <c r="D24" s="29">
        <v>12158</v>
      </c>
      <c r="E24" s="30">
        <v>30</v>
      </c>
      <c r="F24" s="30">
        <v>40</v>
      </c>
      <c r="G24" s="30"/>
      <c r="H24" s="30"/>
      <c r="I24" s="20"/>
      <c r="J24" s="20"/>
      <c r="K24" s="20"/>
      <c r="L24" s="20"/>
      <c r="M24" s="20">
        <f t="shared" si="0"/>
        <v>13158</v>
      </c>
      <c r="N24" s="24">
        <f t="shared" si="1"/>
        <v>13158</v>
      </c>
      <c r="O24" s="25">
        <f t="shared" si="2"/>
        <v>361.84500000000003</v>
      </c>
      <c r="P24" s="26"/>
      <c r="Q24" s="26">
        <v>105</v>
      </c>
      <c r="R24" s="24">
        <f t="shared" si="3"/>
        <v>12691.155000000001</v>
      </c>
      <c r="S24" s="25">
        <f t="shared" si="4"/>
        <v>125.00099999999999</v>
      </c>
      <c r="T24" s="27">
        <f t="shared" si="5"/>
        <v>20.000999999999991</v>
      </c>
    </row>
    <row r="25" spans="1:21" ht="15.75" x14ac:dyDescent="0.25">
      <c r="A25" s="90">
        <v>19</v>
      </c>
      <c r="B25" s="91">
        <v>1908446152</v>
      </c>
      <c r="C25" s="82" t="s">
        <v>41</v>
      </c>
      <c r="D25" s="29">
        <v>8276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8276</v>
      </c>
      <c r="N25" s="24">
        <f t="shared" si="1"/>
        <v>8276</v>
      </c>
      <c r="O25" s="25">
        <f t="shared" si="2"/>
        <v>227.59</v>
      </c>
      <c r="P25" s="26"/>
      <c r="Q25" s="26">
        <v>77</v>
      </c>
      <c r="R25" s="24">
        <f t="shared" si="3"/>
        <v>7971.41</v>
      </c>
      <c r="S25" s="25">
        <f t="shared" si="4"/>
        <v>78.622</v>
      </c>
      <c r="T25" s="27">
        <f t="shared" si="5"/>
        <v>1.6219999999999999</v>
      </c>
    </row>
    <row r="26" spans="1:21" ht="15.75" x14ac:dyDescent="0.25">
      <c r="A26" s="90">
        <v>70</v>
      </c>
      <c r="B26" s="91">
        <v>1908446153</v>
      </c>
      <c r="C26" s="87" t="s">
        <v>49</v>
      </c>
      <c r="D26" s="29">
        <v>7832</v>
      </c>
      <c r="E26" s="29"/>
      <c r="F26" s="30">
        <v>50</v>
      </c>
      <c r="G26" s="30"/>
      <c r="H26" s="30"/>
      <c r="I26" s="20">
        <v>10</v>
      </c>
      <c r="J26" s="20"/>
      <c r="K26" s="20">
        <v>9</v>
      </c>
      <c r="L26" s="20"/>
      <c r="M26" s="20">
        <f t="shared" si="0"/>
        <v>8332</v>
      </c>
      <c r="N26" s="24">
        <f t="shared" si="1"/>
        <v>11880</v>
      </c>
      <c r="O26" s="25">
        <f t="shared" si="2"/>
        <v>229.13</v>
      </c>
      <c r="P26" s="26"/>
      <c r="Q26" s="26">
        <v>100</v>
      </c>
      <c r="R26" s="24">
        <f t="shared" si="3"/>
        <v>11550.869999999999</v>
      </c>
      <c r="S26" s="25">
        <f t="shared" si="4"/>
        <v>79.153999999999996</v>
      </c>
      <c r="T26" s="27">
        <f t="shared" si="5"/>
        <v>-20.846000000000004</v>
      </c>
    </row>
    <row r="27" spans="1:21" ht="19.5" thickBot="1" x14ac:dyDescent="0.35">
      <c r="A27" s="90">
        <v>21</v>
      </c>
      <c r="B27" s="91">
        <v>1908446154</v>
      </c>
      <c r="C27" s="82" t="s">
        <v>43</v>
      </c>
      <c r="D27" s="37">
        <v>12355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12355</v>
      </c>
      <c r="N27" s="40">
        <f t="shared" si="1"/>
        <v>12355</v>
      </c>
      <c r="O27" s="25">
        <f t="shared" si="2"/>
        <v>339.76249999999999</v>
      </c>
      <c r="P27" s="41"/>
      <c r="Q27" s="41">
        <v>100</v>
      </c>
      <c r="R27" s="24">
        <f t="shared" si="3"/>
        <v>11915.237499999999</v>
      </c>
      <c r="S27" s="42">
        <f t="shared" si="4"/>
        <v>117.3725</v>
      </c>
      <c r="T27" s="43">
        <f t="shared" si="5"/>
        <v>17.372500000000002</v>
      </c>
    </row>
    <row r="28" spans="1:21" ht="16.5" thickBot="1" x14ac:dyDescent="0.3">
      <c r="A28" s="259" t="s">
        <v>44</v>
      </c>
      <c r="B28" s="257"/>
      <c r="C28" s="242"/>
      <c r="D28" s="44">
        <f t="shared" ref="D28:E28" si="6">SUM(D7:D27)</f>
        <v>179945</v>
      </c>
      <c r="E28" s="45">
        <f t="shared" si="6"/>
        <v>670</v>
      </c>
      <c r="F28" s="45">
        <f t="shared" ref="F28:T28" si="7">SUM(F7:F27)</f>
        <v>1080</v>
      </c>
      <c r="G28" s="45">
        <f t="shared" si="7"/>
        <v>0</v>
      </c>
      <c r="H28" s="45">
        <f t="shared" si="7"/>
        <v>1250</v>
      </c>
      <c r="I28" s="45">
        <f t="shared" si="7"/>
        <v>187</v>
      </c>
      <c r="J28" s="45">
        <f t="shared" si="7"/>
        <v>5</v>
      </c>
      <c r="K28" s="45">
        <f t="shared" si="7"/>
        <v>56</v>
      </c>
      <c r="L28" s="45">
        <f t="shared" si="7"/>
        <v>0</v>
      </c>
      <c r="M28" s="45">
        <f t="shared" si="7"/>
        <v>215395</v>
      </c>
      <c r="N28" s="45">
        <f t="shared" si="7"/>
        <v>262259</v>
      </c>
      <c r="O28" s="46">
        <f t="shared" si="7"/>
        <v>5923.3625000000002</v>
      </c>
      <c r="P28" s="45">
        <f t="shared" si="7"/>
        <v>34480</v>
      </c>
      <c r="Q28" s="45">
        <f t="shared" si="7"/>
        <v>2202</v>
      </c>
      <c r="R28" s="45">
        <f t="shared" si="7"/>
        <v>254133.63749999998</v>
      </c>
      <c r="S28" s="45">
        <f t="shared" si="7"/>
        <v>2046.2525000000001</v>
      </c>
      <c r="T28" s="47">
        <f t="shared" si="7"/>
        <v>-155.7475</v>
      </c>
    </row>
    <row r="29" spans="1:21" ht="15.75" thickBot="1" x14ac:dyDescent="0.3">
      <c r="A29" s="243" t="s">
        <v>45</v>
      </c>
      <c r="B29" s="244"/>
      <c r="C29" s="245"/>
      <c r="D29" s="48">
        <f>D4+D5-D28</f>
        <v>533664</v>
      </c>
      <c r="E29" s="48">
        <f t="shared" ref="E29:L29" si="8">E4+E5-E28</f>
        <v>2950</v>
      </c>
      <c r="F29" s="48">
        <f t="shared" si="8"/>
        <v>7720</v>
      </c>
      <c r="G29" s="48">
        <f t="shared" si="8"/>
        <v>0</v>
      </c>
      <c r="H29" s="48">
        <f t="shared" si="8"/>
        <v>28440</v>
      </c>
      <c r="I29" s="48">
        <f t="shared" si="8"/>
        <v>725</v>
      </c>
      <c r="J29" s="48">
        <f t="shared" si="8"/>
        <v>145</v>
      </c>
      <c r="K29" s="48">
        <f t="shared" si="8"/>
        <v>334</v>
      </c>
      <c r="L29" s="48">
        <f t="shared" si="8"/>
        <v>0</v>
      </c>
      <c r="M29" s="246"/>
      <c r="N29" s="247"/>
      <c r="O29" s="247"/>
      <c r="P29" s="247"/>
      <c r="Q29" s="247"/>
      <c r="R29" s="247"/>
      <c r="S29" s="247"/>
      <c r="T29" s="248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68" priority="45" operator="equal">
      <formula>212030016606640</formula>
    </cfRule>
  </conditionalFormatting>
  <conditionalFormatting sqref="D29 E4:E6 E28:K29">
    <cfRule type="cellIs" dxfId="1167" priority="43" operator="equal">
      <formula>$E$4</formula>
    </cfRule>
    <cfRule type="cellIs" dxfId="1166" priority="44" operator="equal">
      <formula>2120</formula>
    </cfRule>
  </conditionalFormatting>
  <conditionalFormatting sqref="D29:E29 F4:F6 F28:F29">
    <cfRule type="cellIs" dxfId="1165" priority="41" operator="equal">
      <formula>$F$4</formula>
    </cfRule>
    <cfRule type="cellIs" dxfId="1164" priority="42" operator="equal">
      <formula>300</formula>
    </cfRule>
  </conditionalFormatting>
  <conditionalFormatting sqref="G4:G6 G28:G29">
    <cfRule type="cellIs" dxfId="1163" priority="39" operator="equal">
      <formula>$G$4</formula>
    </cfRule>
    <cfRule type="cellIs" dxfId="1162" priority="40" operator="equal">
      <formula>1660</formula>
    </cfRule>
  </conditionalFormatting>
  <conditionalFormatting sqref="H4:H6 H28:H29">
    <cfRule type="cellIs" dxfId="1161" priority="37" operator="equal">
      <formula>$H$4</formula>
    </cfRule>
    <cfRule type="cellIs" dxfId="1160" priority="38" operator="equal">
      <formula>6640</formula>
    </cfRule>
  </conditionalFormatting>
  <conditionalFormatting sqref="T6:T28">
    <cfRule type="cellIs" dxfId="1159" priority="36" operator="lessThan">
      <formula>0</formula>
    </cfRule>
  </conditionalFormatting>
  <conditionalFormatting sqref="T7:T27">
    <cfRule type="cellIs" dxfId="1158" priority="33" operator="lessThan">
      <formula>0</formula>
    </cfRule>
    <cfRule type="cellIs" dxfId="1157" priority="34" operator="lessThan">
      <formula>0</formula>
    </cfRule>
    <cfRule type="cellIs" dxfId="1156" priority="35" operator="lessThan">
      <formula>0</formula>
    </cfRule>
  </conditionalFormatting>
  <conditionalFormatting sqref="E4:E6 E28:K28">
    <cfRule type="cellIs" dxfId="1155" priority="32" operator="equal">
      <formula>$E$4</formula>
    </cfRule>
  </conditionalFormatting>
  <conditionalFormatting sqref="D28:D29 D6 D4:M4">
    <cfRule type="cellIs" dxfId="1154" priority="31" operator="equal">
      <formula>$D$4</formula>
    </cfRule>
  </conditionalFormatting>
  <conditionalFormatting sqref="I4:I6 I28:I29">
    <cfRule type="cellIs" dxfId="1153" priority="30" operator="equal">
      <formula>$I$4</formula>
    </cfRule>
  </conditionalFormatting>
  <conditionalFormatting sqref="J4:J6 J28:J29">
    <cfRule type="cellIs" dxfId="1152" priority="29" operator="equal">
      <formula>$J$4</formula>
    </cfRule>
  </conditionalFormatting>
  <conditionalFormatting sqref="K4:K6 K28:K29">
    <cfRule type="cellIs" dxfId="1151" priority="28" operator="equal">
      <formula>$K$4</formula>
    </cfRule>
  </conditionalFormatting>
  <conditionalFormatting sqref="M4:M6">
    <cfRule type="cellIs" dxfId="1150" priority="27" operator="equal">
      <formula>$L$4</formula>
    </cfRule>
  </conditionalFormatting>
  <conditionalFormatting sqref="T7:T28">
    <cfRule type="cellIs" dxfId="1149" priority="24" operator="lessThan">
      <formula>0</formula>
    </cfRule>
    <cfRule type="cellIs" dxfId="1148" priority="25" operator="lessThan">
      <formula>0</formula>
    </cfRule>
    <cfRule type="cellIs" dxfId="1147" priority="26" operator="lessThan">
      <formula>0</formula>
    </cfRule>
  </conditionalFormatting>
  <conditionalFormatting sqref="D5:K5">
    <cfRule type="cellIs" dxfId="1146" priority="23" operator="greaterThan">
      <formula>0</formula>
    </cfRule>
  </conditionalFormatting>
  <conditionalFormatting sqref="T6:T28">
    <cfRule type="cellIs" dxfId="1145" priority="22" operator="lessThan">
      <formula>0</formula>
    </cfRule>
  </conditionalFormatting>
  <conditionalFormatting sqref="T7:T27">
    <cfRule type="cellIs" dxfId="1144" priority="19" operator="lessThan">
      <formula>0</formula>
    </cfRule>
    <cfRule type="cellIs" dxfId="1143" priority="20" operator="lessThan">
      <formula>0</formula>
    </cfRule>
    <cfRule type="cellIs" dxfId="1142" priority="21" operator="lessThan">
      <formula>0</formula>
    </cfRule>
  </conditionalFormatting>
  <conditionalFormatting sqref="T7:T28">
    <cfRule type="cellIs" dxfId="1141" priority="16" operator="lessThan">
      <formula>0</formula>
    </cfRule>
    <cfRule type="cellIs" dxfId="1140" priority="17" operator="lessThan">
      <formula>0</formula>
    </cfRule>
    <cfRule type="cellIs" dxfId="1139" priority="18" operator="lessThan">
      <formula>0</formula>
    </cfRule>
  </conditionalFormatting>
  <conditionalFormatting sqref="D5:K5">
    <cfRule type="cellIs" dxfId="1138" priority="15" operator="greaterThan">
      <formula>0</formula>
    </cfRule>
  </conditionalFormatting>
  <conditionalFormatting sqref="L4 L6 L28:L29">
    <cfRule type="cellIs" dxfId="1137" priority="14" operator="equal">
      <formula>$L$4</formula>
    </cfRule>
  </conditionalFormatting>
  <conditionalFormatting sqref="D7:S27">
    <cfRule type="expression" dxfId="1136" priority="1">
      <formula>MOD(ROW(),2)=0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pane ySplit="6" topLeftCell="A19" activePane="bottomLeft" state="frozen"/>
      <selection pane="bottomLeft" activeCell="I27" sqref="I27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49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</row>
    <row r="2" spans="1:20" ht="15.75" thickBot="1" x14ac:dyDescent="0.3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</row>
    <row r="3" spans="1:20" ht="18.75" x14ac:dyDescent="0.25">
      <c r="A3" s="250" t="s">
        <v>62</v>
      </c>
      <c r="B3" s="251"/>
      <c r="C3" s="252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</row>
    <row r="4" spans="1:20" x14ac:dyDescent="0.25">
      <c r="A4" s="254" t="s">
        <v>1</v>
      </c>
      <c r="B4" s="254"/>
      <c r="C4" s="1"/>
      <c r="D4" s="2">
        <f>'7'!D29</f>
        <v>533664</v>
      </c>
      <c r="E4" s="2">
        <f>'7'!E29</f>
        <v>2950</v>
      </c>
      <c r="F4" s="2">
        <f>'7'!F29</f>
        <v>7720</v>
      </c>
      <c r="G4" s="2">
        <f>'7'!G29</f>
        <v>0</v>
      </c>
      <c r="H4" s="2">
        <f>'7'!H29</f>
        <v>28440</v>
      </c>
      <c r="I4" s="2">
        <f>'7'!I29</f>
        <v>725</v>
      </c>
      <c r="J4" s="2">
        <f>'7'!J29</f>
        <v>145</v>
      </c>
      <c r="K4" s="2">
        <f>'7'!K29</f>
        <v>334</v>
      </c>
      <c r="L4" s="2">
        <f>'7'!L29</f>
        <v>0</v>
      </c>
      <c r="M4" s="3"/>
      <c r="N4" s="255"/>
      <c r="O4" s="255"/>
      <c r="P4" s="255"/>
      <c r="Q4" s="255"/>
      <c r="R4" s="255"/>
      <c r="S4" s="255"/>
      <c r="T4" s="255"/>
    </row>
    <row r="5" spans="1:20" x14ac:dyDescent="0.25">
      <c r="A5" s="254" t="s">
        <v>2</v>
      </c>
      <c r="B5" s="254"/>
      <c r="C5" s="1"/>
      <c r="D5" s="1">
        <v>311689</v>
      </c>
      <c r="E5" s="4"/>
      <c r="F5" s="4"/>
      <c r="G5" s="4"/>
      <c r="H5" s="4"/>
      <c r="I5" s="1"/>
      <c r="J5" s="1"/>
      <c r="K5" s="1"/>
      <c r="L5" s="1"/>
      <c r="M5" s="5"/>
      <c r="N5" s="255"/>
      <c r="O5" s="255"/>
      <c r="P5" s="255"/>
      <c r="Q5" s="255"/>
      <c r="R5" s="255"/>
      <c r="S5" s="255"/>
      <c r="T5" s="25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7636</v>
      </c>
      <c r="E7" s="22"/>
      <c r="F7" s="22">
        <v>40</v>
      </c>
      <c r="G7" s="22"/>
      <c r="H7" s="22">
        <v>350</v>
      </c>
      <c r="I7" s="23">
        <v>15</v>
      </c>
      <c r="J7" s="23"/>
      <c r="K7" s="23"/>
      <c r="L7" s="23"/>
      <c r="M7" s="20">
        <f>D7+E7*20+F7*10+G7*9+H7*9</f>
        <v>11186</v>
      </c>
      <c r="N7" s="24">
        <f>D7+E7*20+F7*10+G7*9+H7*9+I7*191+J7*191+K7*182+L7*100</f>
        <v>14051</v>
      </c>
      <c r="O7" s="25">
        <f>M7*2.75%</f>
        <v>307.61500000000001</v>
      </c>
      <c r="P7" s="26"/>
      <c r="Q7" s="26">
        <v>84</v>
      </c>
      <c r="R7" s="24">
        <f>M7-(M7*2.75%)+I7*191+J7*191+K7*182+L7*100-Q7</f>
        <v>13659.385</v>
      </c>
      <c r="S7" s="25">
        <f>M7*0.95%</f>
        <v>106.267</v>
      </c>
      <c r="T7" s="27">
        <f>S7-Q7</f>
        <v>22.266999999999996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5518</v>
      </c>
      <c r="E8" s="30"/>
      <c r="F8" s="30"/>
      <c r="G8" s="30"/>
      <c r="H8" s="30">
        <v>20</v>
      </c>
      <c r="I8" s="20">
        <v>1</v>
      </c>
      <c r="J8" s="20"/>
      <c r="K8" s="20"/>
      <c r="L8" s="20"/>
      <c r="M8" s="20">
        <f t="shared" ref="M8:M27" si="0">D8+E8*20+F8*10+G8*9+H8*9</f>
        <v>5698</v>
      </c>
      <c r="N8" s="24">
        <f t="shared" ref="N8:N27" si="1">D8+E8*20+F8*10+G8*9+H8*9+I8*191+J8*191+K8*182+L8*100</f>
        <v>5889</v>
      </c>
      <c r="O8" s="25">
        <f t="shared" ref="O8:O27" si="2">M8*2.75%</f>
        <v>156.69499999999999</v>
      </c>
      <c r="P8" s="26"/>
      <c r="Q8" s="26">
        <v>82</v>
      </c>
      <c r="R8" s="24">
        <f t="shared" ref="R8:R27" si="3">M8-(M8*2.75%)+I8*191+J8*191+K8*182+L8*100-Q8</f>
        <v>5650.3050000000003</v>
      </c>
      <c r="S8" s="25">
        <f t="shared" ref="S8:S27" si="4">M8*0.95%</f>
        <v>54.131</v>
      </c>
      <c r="T8" s="27">
        <f t="shared" ref="T8:T27" si="5">S8-Q8</f>
        <v>-27.869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20500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20500</v>
      </c>
      <c r="N9" s="24">
        <f t="shared" si="1"/>
        <v>20500</v>
      </c>
      <c r="O9" s="25">
        <f t="shared" si="2"/>
        <v>563.75</v>
      </c>
      <c r="P9" s="26">
        <v>-4600</v>
      </c>
      <c r="Q9" s="26">
        <v>176</v>
      </c>
      <c r="R9" s="24">
        <f t="shared" si="3"/>
        <v>19760.25</v>
      </c>
      <c r="S9" s="25">
        <f t="shared" si="4"/>
        <v>194.75</v>
      </c>
      <c r="T9" s="27">
        <f t="shared" si="5"/>
        <v>18.75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4938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4938</v>
      </c>
      <c r="N10" s="24">
        <f t="shared" si="1"/>
        <v>5511</v>
      </c>
      <c r="O10" s="25">
        <f t="shared" si="2"/>
        <v>135.79499999999999</v>
      </c>
      <c r="P10" s="26"/>
      <c r="Q10" s="26">
        <v>30</v>
      </c>
      <c r="R10" s="24">
        <f t="shared" si="3"/>
        <v>5345.2049999999999</v>
      </c>
      <c r="S10" s="25">
        <f t="shared" si="4"/>
        <v>46.911000000000001</v>
      </c>
      <c r="T10" s="27">
        <f t="shared" si="5"/>
        <v>16.911000000000001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6995</v>
      </c>
      <c r="E11" s="30">
        <v>20</v>
      </c>
      <c r="F11" s="30">
        <v>150</v>
      </c>
      <c r="G11" s="32"/>
      <c r="H11" s="30">
        <v>350</v>
      </c>
      <c r="I11" s="20"/>
      <c r="J11" s="20"/>
      <c r="K11" s="20"/>
      <c r="L11" s="20"/>
      <c r="M11" s="20">
        <f t="shared" si="0"/>
        <v>12045</v>
      </c>
      <c r="N11" s="24">
        <f t="shared" si="1"/>
        <v>12045</v>
      </c>
      <c r="O11" s="25">
        <f t="shared" si="2"/>
        <v>331.23750000000001</v>
      </c>
      <c r="P11" s="26"/>
      <c r="Q11" s="26">
        <v>42</v>
      </c>
      <c r="R11" s="24">
        <f t="shared" si="3"/>
        <v>11671.762500000001</v>
      </c>
      <c r="S11" s="25">
        <f t="shared" si="4"/>
        <v>114.42749999999999</v>
      </c>
      <c r="T11" s="27">
        <f t="shared" si="5"/>
        <v>72.427499999999995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4629</v>
      </c>
      <c r="E12" s="30"/>
      <c r="F12" s="30"/>
      <c r="G12" s="30"/>
      <c r="H12" s="30"/>
      <c r="I12" s="20">
        <v>5</v>
      </c>
      <c r="J12" s="20"/>
      <c r="K12" s="20">
        <v>30</v>
      </c>
      <c r="L12" s="20"/>
      <c r="M12" s="20">
        <f t="shared" si="0"/>
        <v>4629</v>
      </c>
      <c r="N12" s="24">
        <f t="shared" si="1"/>
        <v>11044</v>
      </c>
      <c r="O12" s="25">
        <f t="shared" si="2"/>
        <v>127.2975</v>
      </c>
      <c r="P12" s="26"/>
      <c r="Q12" s="26">
        <v>36</v>
      </c>
      <c r="R12" s="24">
        <f t="shared" si="3"/>
        <v>10880.702499999999</v>
      </c>
      <c r="S12" s="25">
        <f t="shared" si="4"/>
        <v>43.975499999999997</v>
      </c>
      <c r="T12" s="27">
        <f t="shared" si="5"/>
        <v>7.9754999999999967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5400</v>
      </c>
      <c r="E13" s="30"/>
      <c r="F13" s="30"/>
      <c r="G13" s="30"/>
      <c r="H13" s="30">
        <v>180</v>
      </c>
      <c r="I13" s="20">
        <v>5</v>
      </c>
      <c r="J13" s="20"/>
      <c r="K13" s="20">
        <v>5</v>
      </c>
      <c r="L13" s="20"/>
      <c r="M13" s="20">
        <f t="shared" si="0"/>
        <v>7020</v>
      </c>
      <c r="N13" s="24">
        <f t="shared" si="1"/>
        <v>8885</v>
      </c>
      <c r="O13" s="25">
        <f t="shared" si="2"/>
        <v>193.05</v>
      </c>
      <c r="P13" s="26"/>
      <c r="Q13" s="26">
        <v>52</v>
      </c>
      <c r="R13" s="24">
        <f t="shared" si="3"/>
        <v>8639.9500000000007</v>
      </c>
      <c r="S13" s="25">
        <f t="shared" si="4"/>
        <v>66.69</v>
      </c>
      <c r="T13" s="27">
        <f t="shared" si="5"/>
        <v>14.689999999999998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9464</v>
      </c>
      <c r="E14" s="30"/>
      <c r="F14" s="30"/>
      <c r="G14" s="30"/>
      <c r="H14" s="30"/>
      <c r="I14" s="20">
        <v>39</v>
      </c>
      <c r="J14" s="20"/>
      <c r="K14" s="20"/>
      <c r="L14" s="20"/>
      <c r="M14" s="20">
        <f t="shared" si="0"/>
        <v>9464</v>
      </c>
      <c r="N14" s="24">
        <f t="shared" si="1"/>
        <v>16913</v>
      </c>
      <c r="O14" s="25">
        <f t="shared" si="2"/>
        <v>260.26</v>
      </c>
      <c r="P14" s="26"/>
      <c r="Q14" s="26">
        <v>154</v>
      </c>
      <c r="R14" s="24">
        <f t="shared" si="3"/>
        <v>16498.739999999998</v>
      </c>
      <c r="S14" s="25">
        <f t="shared" si="4"/>
        <v>89.908000000000001</v>
      </c>
      <c r="T14" s="27">
        <f t="shared" si="5"/>
        <v>-64.091999999999999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16055</v>
      </c>
      <c r="E15" s="30"/>
      <c r="F15" s="30"/>
      <c r="G15" s="30"/>
      <c r="H15" s="30">
        <v>20</v>
      </c>
      <c r="I15" s="20">
        <v>3</v>
      </c>
      <c r="J15" s="20"/>
      <c r="K15" s="20"/>
      <c r="L15" s="20"/>
      <c r="M15" s="20">
        <f t="shared" si="0"/>
        <v>16235</v>
      </c>
      <c r="N15" s="24">
        <f t="shared" si="1"/>
        <v>16808</v>
      </c>
      <c r="O15" s="25">
        <f t="shared" si="2"/>
        <v>446.46249999999998</v>
      </c>
      <c r="P15" s="26"/>
      <c r="Q15" s="26">
        <v>160</v>
      </c>
      <c r="R15" s="24">
        <f t="shared" si="3"/>
        <v>16201.5375</v>
      </c>
      <c r="S15" s="25">
        <f t="shared" si="4"/>
        <v>154.23249999999999</v>
      </c>
      <c r="T15" s="27">
        <f t="shared" si="5"/>
        <v>-5.7675000000000125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10433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11333</v>
      </c>
      <c r="N16" s="24">
        <f t="shared" si="1"/>
        <v>11333</v>
      </c>
      <c r="O16" s="25">
        <f t="shared" si="2"/>
        <v>311.65750000000003</v>
      </c>
      <c r="P16" s="26"/>
      <c r="Q16" s="26">
        <v>91</v>
      </c>
      <c r="R16" s="24">
        <f t="shared" si="3"/>
        <v>10930.342500000001</v>
      </c>
      <c r="S16" s="25">
        <f t="shared" si="4"/>
        <v>107.6635</v>
      </c>
      <c r="T16" s="27">
        <f t="shared" si="5"/>
        <v>16.663499999999999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9457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9457</v>
      </c>
      <c r="N17" s="24">
        <f t="shared" si="1"/>
        <v>9457</v>
      </c>
      <c r="O17" s="25">
        <f t="shared" si="2"/>
        <v>260.0675</v>
      </c>
      <c r="P17" s="26"/>
      <c r="Q17" s="26">
        <v>96</v>
      </c>
      <c r="R17" s="24">
        <f t="shared" si="3"/>
        <v>9100.9325000000008</v>
      </c>
      <c r="S17" s="25">
        <f t="shared" si="4"/>
        <v>89.841499999999996</v>
      </c>
      <c r="T17" s="27">
        <f t="shared" si="5"/>
        <v>-6.1585000000000036</v>
      </c>
    </row>
    <row r="18" spans="1:21" ht="15.75" x14ac:dyDescent="0.25">
      <c r="A18" s="28">
        <v>12</v>
      </c>
      <c r="B18" s="20">
        <v>1908446145</v>
      </c>
      <c r="C18" s="31" t="s">
        <v>52</v>
      </c>
      <c r="D18" s="29">
        <v>11838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11838</v>
      </c>
      <c r="N18" s="24">
        <f t="shared" si="1"/>
        <v>11838</v>
      </c>
      <c r="O18" s="25">
        <f t="shared" si="2"/>
        <v>325.54500000000002</v>
      </c>
      <c r="P18" s="26"/>
      <c r="Q18" s="26">
        <v>180</v>
      </c>
      <c r="R18" s="24">
        <f t="shared" si="3"/>
        <v>11332.455</v>
      </c>
      <c r="S18" s="25">
        <f t="shared" si="4"/>
        <v>112.461</v>
      </c>
      <c r="T18" s="27">
        <f t="shared" si="5"/>
        <v>-67.539000000000001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5809</v>
      </c>
      <c r="E19" s="30">
        <v>30</v>
      </c>
      <c r="F19" s="30">
        <v>50</v>
      </c>
      <c r="G19" s="30"/>
      <c r="H19" s="30">
        <v>60</v>
      </c>
      <c r="I19" s="20"/>
      <c r="J19" s="20"/>
      <c r="K19" s="20"/>
      <c r="L19" s="20"/>
      <c r="M19" s="20">
        <f t="shared" si="0"/>
        <v>7449</v>
      </c>
      <c r="N19" s="24">
        <f t="shared" si="1"/>
        <v>7449</v>
      </c>
      <c r="O19" s="25">
        <f t="shared" si="2"/>
        <v>204.8475</v>
      </c>
      <c r="P19" s="26"/>
      <c r="Q19" s="26">
        <v>50</v>
      </c>
      <c r="R19" s="24">
        <f t="shared" si="3"/>
        <v>7194.1525000000001</v>
      </c>
      <c r="S19" s="25">
        <f t="shared" si="4"/>
        <v>70.765500000000003</v>
      </c>
      <c r="T19" s="27">
        <f t="shared" si="5"/>
        <v>20.765500000000003</v>
      </c>
    </row>
    <row r="20" spans="1:21" ht="15.75" x14ac:dyDescent="0.25">
      <c r="A20" s="28">
        <v>14</v>
      </c>
      <c r="B20" s="20">
        <v>1908446147</v>
      </c>
      <c r="C20" s="20" t="s">
        <v>51</v>
      </c>
      <c r="D20" s="29">
        <v>7511</v>
      </c>
      <c r="E20" s="30"/>
      <c r="F20" s="30"/>
      <c r="G20" s="30"/>
      <c r="H20" s="30"/>
      <c r="I20" s="20"/>
      <c r="J20" s="20"/>
      <c r="K20" s="20">
        <v>5</v>
      </c>
      <c r="L20" s="20"/>
      <c r="M20" s="20">
        <f t="shared" si="0"/>
        <v>7511</v>
      </c>
      <c r="N20" s="24">
        <f t="shared" si="1"/>
        <v>8421</v>
      </c>
      <c r="O20" s="25">
        <f t="shared" si="2"/>
        <v>206.55250000000001</v>
      </c>
      <c r="P20" s="26"/>
      <c r="Q20" s="26">
        <v>120</v>
      </c>
      <c r="R20" s="24">
        <f t="shared" si="3"/>
        <v>8094.4475000000002</v>
      </c>
      <c r="S20" s="25">
        <f t="shared" si="4"/>
        <v>71.354500000000002</v>
      </c>
      <c r="T20" s="27">
        <f t="shared" si="5"/>
        <v>-48.645499999999998</v>
      </c>
    </row>
    <row r="21" spans="1:21" ht="15.75" x14ac:dyDescent="0.25">
      <c r="A21" s="28">
        <v>15</v>
      </c>
      <c r="B21" s="20">
        <v>1908446148</v>
      </c>
      <c r="C21" s="20" t="s">
        <v>50</v>
      </c>
      <c r="D21" s="29">
        <v>5607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5607</v>
      </c>
      <c r="N21" s="24">
        <f t="shared" si="1"/>
        <v>6562</v>
      </c>
      <c r="O21" s="25">
        <f t="shared" si="2"/>
        <v>154.1925</v>
      </c>
      <c r="P21" s="26"/>
      <c r="Q21" s="26">
        <v>17</v>
      </c>
      <c r="R21" s="24">
        <f t="shared" si="3"/>
        <v>6390.8074999999999</v>
      </c>
      <c r="S21" s="25">
        <f t="shared" si="4"/>
        <v>53.266500000000001</v>
      </c>
      <c r="T21" s="27">
        <f t="shared" si="5"/>
        <v>36.266500000000001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15114</v>
      </c>
      <c r="E22" s="30">
        <v>500</v>
      </c>
      <c r="F22" s="30">
        <v>500</v>
      </c>
      <c r="G22" s="20"/>
      <c r="H22" s="30">
        <v>50</v>
      </c>
      <c r="I22" s="20"/>
      <c r="J22" s="20"/>
      <c r="K22" s="20"/>
      <c r="L22" s="20"/>
      <c r="M22" s="20">
        <f t="shared" si="0"/>
        <v>30564</v>
      </c>
      <c r="N22" s="24">
        <f t="shared" si="1"/>
        <v>30564</v>
      </c>
      <c r="O22" s="25">
        <f t="shared" si="2"/>
        <v>840.51</v>
      </c>
      <c r="P22" s="26"/>
      <c r="Q22" s="26">
        <v>150</v>
      </c>
      <c r="R22" s="24">
        <f t="shared" si="3"/>
        <v>29573.49</v>
      </c>
      <c r="S22" s="25">
        <f t="shared" si="4"/>
        <v>290.358</v>
      </c>
      <c r="T22" s="27">
        <f t="shared" si="5"/>
        <v>140.358</v>
      </c>
      <c r="U22">
        <v>180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6270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6270</v>
      </c>
      <c r="N23" s="24">
        <f t="shared" si="1"/>
        <v>6270</v>
      </c>
      <c r="O23" s="25">
        <f t="shared" si="2"/>
        <v>172.42500000000001</v>
      </c>
      <c r="P23" s="26"/>
      <c r="Q23" s="26">
        <v>60</v>
      </c>
      <c r="R23" s="24">
        <f t="shared" si="3"/>
        <v>6037.5749999999998</v>
      </c>
      <c r="S23" s="25">
        <f t="shared" si="4"/>
        <v>59.564999999999998</v>
      </c>
      <c r="T23" s="27">
        <f t="shared" si="5"/>
        <v>-0.43500000000000227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23027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23027</v>
      </c>
      <c r="N24" s="24">
        <f t="shared" si="1"/>
        <v>23027</v>
      </c>
      <c r="O24" s="25">
        <f t="shared" si="2"/>
        <v>633.24249999999995</v>
      </c>
      <c r="P24" s="26"/>
      <c r="Q24" s="26">
        <v>134</v>
      </c>
      <c r="R24" s="24">
        <f t="shared" si="3"/>
        <v>22259.7575</v>
      </c>
      <c r="S24" s="25">
        <f t="shared" si="4"/>
        <v>218.75649999999999</v>
      </c>
      <c r="T24" s="27">
        <f t="shared" si="5"/>
        <v>84.756499999999988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7405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7405</v>
      </c>
      <c r="N25" s="24">
        <f t="shared" si="1"/>
        <v>7405</v>
      </c>
      <c r="O25" s="25">
        <f t="shared" si="2"/>
        <v>203.63749999999999</v>
      </c>
      <c r="P25" s="26"/>
      <c r="Q25" s="26">
        <v>72</v>
      </c>
      <c r="R25" s="24">
        <f t="shared" si="3"/>
        <v>7129.3625000000002</v>
      </c>
      <c r="S25" s="25">
        <f t="shared" si="4"/>
        <v>70.347499999999997</v>
      </c>
      <c r="T25" s="27">
        <f t="shared" si="5"/>
        <v>-1.6525000000000034</v>
      </c>
    </row>
    <row r="26" spans="1:21" ht="15.75" x14ac:dyDescent="0.25">
      <c r="A26" s="28">
        <v>70</v>
      </c>
      <c r="B26" s="20">
        <v>1908446153</v>
      </c>
      <c r="C26" s="36" t="s">
        <v>49</v>
      </c>
      <c r="D26" s="29">
        <v>13671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13671</v>
      </c>
      <c r="N26" s="24">
        <f t="shared" si="1"/>
        <v>13671</v>
      </c>
      <c r="O26" s="25">
        <f t="shared" si="2"/>
        <v>375.95249999999999</v>
      </c>
      <c r="P26" s="26">
        <v>3500</v>
      </c>
      <c r="Q26" s="26">
        <v>95</v>
      </c>
      <c r="R26" s="24">
        <f t="shared" si="3"/>
        <v>13200.047500000001</v>
      </c>
      <c r="S26" s="25">
        <f t="shared" si="4"/>
        <v>129.87449999999998</v>
      </c>
      <c r="T26" s="27">
        <f t="shared" si="5"/>
        <v>34.874499999999983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>
        <v>6069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6069</v>
      </c>
      <c r="N27" s="40">
        <f t="shared" si="1"/>
        <v>7979</v>
      </c>
      <c r="O27" s="25">
        <f t="shared" si="2"/>
        <v>166.89750000000001</v>
      </c>
      <c r="P27" s="41">
        <v>7000</v>
      </c>
      <c r="Q27" s="41">
        <v>500</v>
      </c>
      <c r="R27" s="24">
        <f t="shared" si="3"/>
        <v>7312.1025</v>
      </c>
      <c r="S27" s="42">
        <f t="shared" si="4"/>
        <v>57.655499999999996</v>
      </c>
      <c r="T27" s="43">
        <f t="shared" si="5"/>
        <v>-442.34449999999998</v>
      </c>
    </row>
    <row r="28" spans="1:21" ht="16.5" thickBot="1" x14ac:dyDescent="0.3">
      <c r="A28" s="240" t="s">
        <v>44</v>
      </c>
      <c r="B28" s="241"/>
      <c r="C28" s="242"/>
      <c r="D28" s="44">
        <f t="shared" ref="D28:E28" si="6">SUM(D7:D27)</f>
        <v>203346</v>
      </c>
      <c r="E28" s="45">
        <f t="shared" si="6"/>
        <v>550</v>
      </c>
      <c r="F28" s="45">
        <f t="shared" ref="F28:T28" si="7">SUM(F7:F27)</f>
        <v>740</v>
      </c>
      <c r="G28" s="45">
        <f t="shared" si="7"/>
        <v>0</v>
      </c>
      <c r="H28" s="45">
        <f t="shared" si="7"/>
        <v>1130</v>
      </c>
      <c r="I28" s="45">
        <f t="shared" si="7"/>
        <v>86</v>
      </c>
      <c r="J28" s="45">
        <f t="shared" si="7"/>
        <v>0</v>
      </c>
      <c r="K28" s="45">
        <f t="shared" si="7"/>
        <v>40</v>
      </c>
      <c r="L28" s="45">
        <f t="shared" si="7"/>
        <v>0</v>
      </c>
      <c r="M28" s="45">
        <f t="shared" si="7"/>
        <v>231916</v>
      </c>
      <c r="N28" s="45">
        <f t="shared" si="7"/>
        <v>255622</v>
      </c>
      <c r="O28" s="46">
        <f t="shared" si="7"/>
        <v>6377.6900000000005</v>
      </c>
      <c r="P28" s="45">
        <f t="shared" si="7"/>
        <v>5900</v>
      </c>
      <c r="Q28" s="45">
        <f t="shared" si="7"/>
        <v>2381</v>
      </c>
      <c r="R28" s="45">
        <f t="shared" si="7"/>
        <v>246863.30999999997</v>
      </c>
      <c r="S28" s="45">
        <f t="shared" si="7"/>
        <v>2203.2019999999998</v>
      </c>
      <c r="T28" s="47">
        <f t="shared" si="7"/>
        <v>-177.79800000000006</v>
      </c>
    </row>
    <row r="29" spans="1:21" ht="15.75" thickBot="1" x14ac:dyDescent="0.3">
      <c r="A29" s="243" t="s">
        <v>45</v>
      </c>
      <c r="B29" s="244"/>
      <c r="C29" s="245"/>
      <c r="D29" s="48">
        <f>D4+D5-D28</f>
        <v>642007</v>
      </c>
      <c r="E29" s="48">
        <f t="shared" ref="E29:L29" si="8">E4+E5-E28</f>
        <v>2400</v>
      </c>
      <c r="F29" s="48">
        <f t="shared" si="8"/>
        <v>6980</v>
      </c>
      <c r="G29" s="48">
        <f t="shared" si="8"/>
        <v>0</v>
      </c>
      <c r="H29" s="48">
        <f t="shared" si="8"/>
        <v>27310</v>
      </c>
      <c r="I29" s="48">
        <f t="shared" si="8"/>
        <v>639</v>
      </c>
      <c r="J29" s="48">
        <f t="shared" si="8"/>
        <v>145</v>
      </c>
      <c r="K29" s="48">
        <f t="shared" si="8"/>
        <v>294</v>
      </c>
      <c r="L29" s="48">
        <f t="shared" si="8"/>
        <v>0</v>
      </c>
      <c r="M29" s="246"/>
      <c r="N29" s="247"/>
      <c r="O29" s="247"/>
      <c r="P29" s="247"/>
      <c r="Q29" s="247"/>
      <c r="R29" s="247"/>
      <c r="S29" s="247"/>
      <c r="T29" s="248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2" spans="1:21" ht="28.5" customHeight="1" x14ac:dyDescent="0.25">
      <c r="H32" s="118" t="s">
        <v>64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35" priority="43" operator="equal">
      <formula>212030016606640</formula>
    </cfRule>
  </conditionalFormatting>
  <conditionalFormatting sqref="D29 E4:E6 E28:K29">
    <cfRule type="cellIs" dxfId="1134" priority="41" operator="equal">
      <formula>$E$4</formula>
    </cfRule>
    <cfRule type="cellIs" dxfId="1133" priority="42" operator="equal">
      <formula>2120</formula>
    </cfRule>
  </conditionalFormatting>
  <conditionalFormatting sqref="D29:E29 F4:F6 F28:F29">
    <cfRule type="cellIs" dxfId="1132" priority="39" operator="equal">
      <formula>$F$4</formula>
    </cfRule>
    <cfRule type="cellIs" dxfId="1131" priority="40" operator="equal">
      <formula>300</formula>
    </cfRule>
  </conditionalFormatting>
  <conditionalFormatting sqref="G4:G6 G28:G29">
    <cfRule type="cellIs" dxfId="1130" priority="37" operator="equal">
      <formula>$G$4</formula>
    </cfRule>
    <cfRule type="cellIs" dxfId="1129" priority="38" operator="equal">
      <formula>1660</formula>
    </cfRule>
  </conditionalFormatting>
  <conditionalFormatting sqref="H4:H6 H28:H29">
    <cfRule type="cellIs" dxfId="1128" priority="35" operator="equal">
      <formula>$H$4</formula>
    </cfRule>
    <cfRule type="cellIs" dxfId="1127" priority="36" operator="equal">
      <formula>6640</formula>
    </cfRule>
  </conditionalFormatting>
  <conditionalFormatting sqref="T6:T28">
    <cfRule type="cellIs" dxfId="1126" priority="34" operator="lessThan">
      <formula>0</formula>
    </cfRule>
  </conditionalFormatting>
  <conditionalFormatting sqref="T7:T27">
    <cfRule type="cellIs" dxfId="1125" priority="31" operator="lessThan">
      <formula>0</formula>
    </cfRule>
    <cfRule type="cellIs" dxfId="1124" priority="32" operator="lessThan">
      <formula>0</formula>
    </cfRule>
    <cfRule type="cellIs" dxfId="1123" priority="33" operator="lessThan">
      <formula>0</formula>
    </cfRule>
  </conditionalFormatting>
  <conditionalFormatting sqref="E4:E6 E28:K28">
    <cfRule type="cellIs" dxfId="1122" priority="30" operator="equal">
      <formula>$E$4</formula>
    </cfRule>
  </conditionalFormatting>
  <conditionalFormatting sqref="D28:D29 D6 D4:M4">
    <cfRule type="cellIs" dxfId="1121" priority="29" operator="equal">
      <formula>$D$4</formula>
    </cfRule>
  </conditionalFormatting>
  <conditionalFormatting sqref="I4:I6 I28:I29">
    <cfRule type="cellIs" dxfId="1120" priority="28" operator="equal">
      <formula>$I$4</formula>
    </cfRule>
  </conditionalFormatting>
  <conditionalFormatting sqref="J4:J6 J28:J29">
    <cfRule type="cellIs" dxfId="1119" priority="27" operator="equal">
      <formula>$J$4</formula>
    </cfRule>
  </conditionalFormatting>
  <conditionalFormatting sqref="K4:K6 K28:K29">
    <cfRule type="cellIs" dxfId="1118" priority="26" operator="equal">
      <formula>$K$4</formula>
    </cfRule>
  </conditionalFormatting>
  <conditionalFormatting sqref="M4:M6">
    <cfRule type="cellIs" dxfId="1117" priority="25" operator="equal">
      <formula>$L$4</formula>
    </cfRule>
  </conditionalFormatting>
  <conditionalFormatting sqref="T7:T28">
    <cfRule type="cellIs" dxfId="1116" priority="22" operator="lessThan">
      <formula>0</formula>
    </cfRule>
    <cfRule type="cellIs" dxfId="1115" priority="23" operator="lessThan">
      <formula>0</formula>
    </cfRule>
    <cfRule type="cellIs" dxfId="1114" priority="24" operator="lessThan">
      <formula>0</formula>
    </cfRule>
  </conditionalFormatting>
  <conditionalFormatting sqref="D5:K5">
    <cfRule type="cellIs" dxfId="1113" priority="21" operator="greaterThan">
      <formula>0</formula>
    </cfRule>
  </conditionalFormatting>
  <conditionalFormatting sqref="T6:T28">
    <cfRule type="cellIs" dxfId="1112" priority="20" operator="lessThan">
      <formula>0</formula>
    </cfRule>
  </conditionalFormatting>
  <conditionalFormatting sqref="T7:T27">
    <cfRule type="cellIs" dxfId="1111" priority="17" operator="lessThan">
      <formula>0</formula>
    </cfRule>
    <cfRule type="cellIs" dxfId="1110" priority="18" operator="lessThan">
      <formula>0</formula>
    </cfRule>
    <cfRule type="cellIs" dxfId="1109" priority="19" operator="lessThan">
      <formula>0</formula>
    </cfRule>
  </conditionalFormatting>
  <conditionalFormatting sqref="T7:T28">
    <cfRule type="cellIs" dxfId="1108" priority="14" operator="lessThan">
      <formula>0</formula>
    </cfRule>
    <cfRule type="cellIs" dxfId="1107" priority="15" operator="lessThan">
      <formula>0</formula>
    </cfRule>
    <cfRule type="cellIs" dxfId="1106" priority="16" operator="lessThan">
      <formula>0</formula>
    </cfRule>
  </conditionalFormatting>
  <conditionalFormatting sqref="D5:K5">
    <cfRule type="cellIs" dxfId="1105" priority="13" operator="greaterThan">
      <formula>0</formula>
    </cfRule>
  </conditionalFormatting>
  <conditionalFormatting sqref="L4 L6 L28:L29">
    <cfRule type="cellIs" dxfId="1104" priority="12" operator="equal">
      <formula>$L$4</formula>
    </cfRule>
  </conditionalFormatting>
  <conditionalFormatting sqref="D7:S7">
    <cfRule type="cellIs" dxfId="1103" priority="11" operator="greaterThan">
      <formula>0</formula>
    </cfRule>
  </conditionalFormatting>
  <conditionalFormatting sqref="D9:S9">
    <cfRule type="cellIs" dxfId="1102" priority="10" operator="greaterThan">
      <formula>0</formula>
    </cfRule>
  </conditionalFormatting>
  <conditionalFormatting sqref="D11:S11">
    <cfRule type="cellIs" dxfId="1101" priority="9" operator="greaterThan">
      <formula>0</formula>
    </cfRule>
  </conditionalFormatting>
  <conditionalFormatting sqref="D13:S13">
    <cfRule type="cellIs" dxfId="1100" priority="8" operator="greaterThan">
      <formula>0</formula>
    </cfRule>
  </conditionalFormatting>
  <conditionalFormatting sqref="D15:S15">
    <cfRule type="cellIs" dxfId="1099" priority="7" operator="greaterThan">
      <formula>0</formula>
    </cfRule>
  </conditionalFormatting>
  <conditionalFormatting sqref="D17:S17">
    <cfRule type="cellIs" dxfId="1098" priority="6" operator="greaterThan">
      <formula>0</formula>
    </cfRule>
  </conditionalFormatting>
  <conditionalFormatting sqref="D19:S19">
    <cfRule type="cellIs" dxfId="1097" priority="5" operator="greaterThan">
      <formula>0</formula>
    </cfRule>
  </conditionalFormatting>
  <conditionalFormatting sqref="D21:S21">
    <cfRule type="cellIs" dxfId="1096" priority="4" operator="greaterThan">
      <formula>0</formula>
    </cfRule>
  </conditionalFormatting>
  <conditionalFormatting sqref="D23:S23">
    <cfRule type="cellIs" dxfId="1095" priority="3" operator="greaterThan">
      <formula>0</formula>
    </cfRule>
  </conditionalFormatting>
  <conditionalFormatting sqref="D25:S25">
    <cfRule type="cellIs" dxfId="1094" priority="2" operator="greaterThan">
      <formula>0</formula>
    </cfRule>
  </conditionalFormatting>
  <conditionalFormatting sqref="D27:S27">
    <cfRule type="cellIs" dxfId="1093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12" sqref="J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49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</row>
    <row r="2" spans="1:20" ht="15.75" thickBot="1" x14ac:dyDescent="0.3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</row>
    <row r="3" spans="1:20" ht="18.75" x14ac:dyDescent="0.25">
      <c r="A3" s="250" t="s">
        <v>104</v>
      </c>
      <c r="B3" s="251"/>
      <c r="C3" s="252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</row>
    <row r="4" spans="1:20" x14ac:dyDescent="0.25">
      <c r="A4" s="254" t="s">
        <v>1</v>
      </c>
      <c r="B4" s="254"/>
      <c r="C4" s="1"/>
      <c r="D4" s="2">
        <f>'8'!D29</f>
        <v>642007</v>
      </c>
      <c r="E4" s="2">
        <f>'8'!E29</f>
        <v>2400</v>
      </c>
      <c r="F4" s="2">
        <f>'8'!F29</f>
        <v>6980</v>
      </c>
      <c r="G4" s="2">
        <f>'8'!G29</f>
        <v>0</v>
      </c>
      <c r="H4" s="2">
        <f>'8'!H29</f>
        <v>27310</v>
      </c>
      <c r="I4" s="2">
        <f>'8'!I29</f>
        <v>639</v>
      </c>
      <c r="J4" s="2">
        <f>'8'!J29</f>
        <v>145</v>
      </c>
      <c r="K4" s="2">
        <f>'8'!K29</f>
        <v>294</v>
      </c>
      <c r="L4" s="2">
        <f>'8'!L29</f>
        <v>0</v>
      </c>
      <c r="M4" s="3"/>
      <c r="N4" s="255"/>
      <c r="O4" s="255"/>
      <c r="P4" s="255"/>
      <c r="Q4" s="255"/>
      <c r="R4" s="255"/>
      <c r="S4" s="255"/>
      <c r="T4" s="255"/>
    </row>
    <row r="5" spans="1:20" x14ac:dyDescent="0.25">
      <c r="A5" s="254" t="s">
        <v>2</v>
      </c>
      <c r="B5" s="254"/>
      <c r="C5" s="1"/>
      <c r="D5" s="1"/>
      <c r="E5" s="4"/>
      <c r="F5" s="4"/>
      <c r="G5" s="4">
        <v>1000</v>
      </c>
      <c r="H5" s="4"/>
      <c r="I5" s="1">
        <v>1000</v>
      </c>
      <c r="J5" s="1">
        <v>500</v>
      </c>
      <c r="K5" s="1"/>
      <c r="L5" s="1"/>
      <c r="M5" s="5"/>
      <c r="N5" s="255"/>
      <c r="O5" s="255"/>
      <c r="P5" s="255"/>
      <c r="Q5" s="255"/>
      <c r="R5" s="255"/>
      <c r="S5" s="255"/>
      <c r="T5" s="25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11621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11621</v>
      </c>
      <c r="N7" s="24">
        <f>D7+E7*20+F7*10+G7*9+H7*9+I7*191+J7*191+K7*182+L7*100</f>
        <v>12531</v>
      </c>
      <c r="O7" s="25">
        <f>M7*2.75%</f>
        <v>319.57749999999999</v>
      </c>
      <c r="P7" s="26"/>
      <c r="Q7" s="26">
        <v>102</v>
      </c>
      <c r="R7" s="24">
        <f>M7-(M7*2.75%)+I7*191+J7*191+K7*182+L7*100-Q7</f>
        <v>12109.422500000001</v>
      </c>
      <c r="S7" s="25">
        <f>M7*0.95%</f>
        <v>110.3995</v>
      </c>
      <c r="T7" s="27">
        <f>S7-Q7</f>
        <v>8.3995000000000033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4012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4012</v>
      </c>
      <c r="N8" s="24">
        <f t="shared" ref="N8:N27" si="1">D8+E8*20+F8*10+G8*9+H8*9+I8*191+J8*191+K8*182+L8*100</f>
        <v>4012</v>
      </c>
      <c r="O8" s="25">
        <f t="shared" ref="O8:O27" si="2">M8*2.75%</f>
        <v>110.33</v>
      </c>
      <c r="P8" s="26"/>
      <c r="Q8" s="26">
        <v>37</v>
      </c>
      <c r="R8" s="24">
        <f t="shared" ref="R8:R27" si="3">M8-(M8*2.75%)+I8*191+J8*191+K8*182+L8*100-Q8</f>
        <v>3864.67</v>
      </c>
      <c r="S8" s="25">
        <f t="shared" ref="S8:S27" si="4">M8*0.95%</f>
        <v>38.113999999999997</v>
      </c>
      <c r="T8" s="27">
        <f t="shared" ref="T8:T27" si="5">S8-Q8</f>
        <v>1.1139999999999972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17760</v>
      </c>
      <c r="E9" s="30"/>
      <c r="F9" s="30">
        <v>100</v>
      </c>
      <c r="G9" s="30"/>
      <c r="H9" s="30"/>
      <c r="I9" s="20">
        <v>2</v>
      </c>
      <c r="J9" s="20"/>
      <c r="K9" s="20"/>
      <c r="L9" s="20"/>
      <c r="M9" s="20">
        <f t="shared" si="0"/>
        <v>18760</v>
      </c>
      <c r="N9" s="24">
        <f t="shared" si="1"/>
        <v>19142</v>
      </c>
      <c r="O9" s="25">
        <f t="shared" si="2"/>
        <v>515.9</v>
      </c>
      <c r="P9" s="26"/>
      <c r="Q9" s="26">
        <v>166</v>
      </c>
      <c r="R9" s="24">
        <f t="shared" si="3"/>
        <v>18460.099999999999</v>
      </c>
      <c r="S9" s="25">
        <f t="shared" si="4"/>
        <v>178.22</v>
      </c>
      <c r="T9" s="27">
        <f t="shared" si="5"/>
        <v>12.219999999999999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2366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2366</v>
      </c>
      <c r="N10" s="24">
        <f t="shared" si="1"/>
        <v>2748</v>
      </c>
      <c r="O10" s="25">
        <f t="shared" si="2"/>
        <v>65.064999999999998</v>
      </c>
      <c r="P10" s="26"/>
      <c r="Q10" s="26">
        <v>22</v>
      </c>
      <c r="R10" s="24">
        <f t="shared" si="3"/>
        <v>2660.9349999999999</v>
      </c>
      <c r="S10" s="25">
        <f t="shared" si="4"/>
        <v>22.477</v>
      </c>
      <c r="T10" s="27">
        <f t="shared" si="5"/>
        <v>0.47700000000000031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1028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1028</v>
      </c>
      <c r="N12" s="24">
        <f t="shared" si="1"/>
        <v>1028</v>
      </c>
      <c r="O12" s="25">
        <f t="shared" si="2"/>
        <v>28.27</v>
      </c>
      <c r="P12" s="26"/>
      <c r="Q12" s="26"/>
      <c r="R12" s="24">
        <f t="shared" si="3"/>
        <v>999.73</v>
      </c>
      <c r="S12" s="25">
        <f t="shared" si="4"/>
        <v>9.766</v>
      </c>
      <c r="T12" s="27">
        <f t="shared" si="5"/>
        <v>9.766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309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309</v>
      </c>
      <c r="N13" s="24">
        <f t="shared" si="1"/>
        <v>309</v>
      </c>
      <c r="O13" s="25">
        <f t="shared" si="2"/>
        <v>8.4975000000000005</v>
      </c>
      <c r="P13" s="26"/>
      <c r="Q13" s="26"/>
      <c r="R13" s="24">
        <f t="shared" si="3"/>
        <v>300.5025</v>
      </c>
      <c r="S13" s="25">
        <f t="shared" si="4"/>
        <v>2.9354999999999998</v>
      </c>
      <c r="T13" s="27">
        <f t="shared" si="5"/>
        <v>2.9354999999999998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19576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19576</v>
      </c>
      <c r="N14" s="24">
        <f t="shared" si="1"/>
        <v>19576</v>
      </c>
      <c r="O14" s="25">
        <f t="shared" si="2"/>
        <v>538.34</v>
      </c>
      <c r="P14" s="26"/>
      <c r="Q14" s="26">
        <v>138</v>
      </c>
      <c r="R14" s="24">
        <f t="shared" si="3"/>
        <v>18899.66</v>
      </c>
      <c r="S14" s="25">
        <f t="shared" si="4"/>
        <v>185.97200000000001</v>
      </c>
      <c r="T14" s="27">
        <f t="shared" si="5"/>
        <v>47.972000000000008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22087</v>
      </c>
      <c r="E15" s="30">
        <v>30</v>
      </c>
      <c r="F15" s="30"/>
      <c r="G15" s="30"/>
      <c r="H15" s="30">
        <v>20</v>
      </c>
      <c r="I15" s="20">
        <v>1</v>
      </c>
      <c r="J15" s="20"/>
      <c r="K15" s="20"/>
      <c r="L15" s="20"/>
      <c r="M15" s="20">
        <f t="shared" si="0"/>
        <v>22867</v>
      </c>
      <c r="N15" s="24">
        <f t="shared" si="1"/>
        <v>23058</v>
      </c>
      <c r="O15" s="25">
        <f t="shared" si="2"/>
        <v>628.84249999999997</v>
      </c>
      <c r="P15" s="26"/>
      <c r="Q15" s="26">
        <v>160</v>
      </c>
      <c r="R15" s="24">
        <f t="shared" si="3"/>
        <v>22269.157500000001</v>
      </c>
      <c r="S15" s="25">
        <f t="shared" si="4"/>
        <v>217.23650000000001</v>
      </c>
      <c r="T15" s="27">
        <f t="shared" si="5"/>
        <v>57.236500000000007</v>
      </c>
    </row>
    <row r="16" spans="1:20" s="218" customFormat="1" ht="15.75" x14ac:dyDescent="0.25">
      <c r="A16" s="211">
        <v>10</v>
      </c>
      <c r="B16" s="53">
        <v>1908446143</v>
      </c>
      <c r="C16" s="53" t="s">
        <v>32</v>
      </c>
      <c r="D16" s="212">
        <v>7662</v>
      </c>
      <c r="E16" s="213">
        <v>50</v>
      </c>
      <c r="F16" s="213">
        <v>100</v>
      </c>
      <c r="G16" s="213"/>
      <c r="H16" s="213">
        <v>180</v>
      </c>
      <c r="I16" s="53"/>
      <c r="J16" s="53"/>
      <c r="K16" s="53"/>
      <c r="L16" s="53"/>
      <c r="M16" s="53">
        <f t="shared" si="0"/>
        <v>11282</v>
      </c>
      <c r="N16" s="214">
        <f t="shared" si="1"/>
        <v>11282</v>
      </c>
      <c r="O16" s="215">
        <f t="shared" si="2"/>
        <v>310.255</v>
      </c>
      <c r="P16" s="216"/>
      <c r="Q16" s="216">
        <v>100</v>
      </c>
      <c r="R16" s="214">
        <f t="shared" si="3"/>
        <v>10871.745000000001</v>
      </c>
      <c r="S16" s="215">
        <f t="shared" si="4"/>
        <v>107.179</v>
      </c>
      <c r="T16" s="217">
        <f t="shared" si="5"/>
        <v>7.179000000000002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4626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4626</v>
      </c>
      <c r="N17" s="24">
        <f t="shared" si="1"/>
        <v>4626</v>
      </c>
      <c r="O17" s="25">
        <f t="shared" si="2"/>
        <v>127.215</v>
      </c>
      <c r="P17" s="26"/>
      <c r="Q17" s="26"/>
      <c r="R17" s="24">
        <f t="shared" si="3"/>
        <v>4498.7849999999999</v>
      </c>
      <c r="S17" s="25">
        <f t="shared" si="4"/>
        <v>43.946999999999996</v>
      </c>
      <c r="T17" s="27">
        <f t="shared" si="5"/>
        <v>43.946999999999996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8134</v>
      </c>
      <c r="E18" s="30"/>
      <c r="F18" s="30"/>
      <c r="G18" s="30"/>
      <c r="H18" s="30">
        <v>90</v>
      </c>
      <c r="I18" s="20">
        <v>5</v>
      </c>
      <c r="J18" s="20"/>
      <c r="K18" s="20"/>
      <c r="L18" s="20"/>
      <c r="M18" s="20">
        <f t="shared" si="0"/>
        <v>8944</v>
      </c>
      <c r="N18" s="24">
        <f t="shared" si="1"/>
        <v>9899</v>
      </c>
      <c r="O18" s="25">
        <f t="shared" si="2"/>
        <v>245.96</v>
      </c>
      <c r="P18" s="26"/>
      <c r="Q18" s="26">
        <v>100</v>
      </c>
      <c r="R18" s="24">
        <f t="shared" si="3"/>
        <v>9553.0400000000009</v>
      </c>
      <c r="S18" s="25">
        <f t="shared" si="4"/>
        <v>84.968000000000004</v>
      </c>
      <c r="T18" s="27">
        <f t="shared" si="5"/>
        <v>-15.031999999999996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7915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7915</v>
      </c>
      <c r="N19" s="24">
        <f t="shared" si="1"/>
        <v>7915</v>
      </c>
      <c r="O19" s="25">
        <f t="shared" si="2"/>
        <v>217.66249999999999</v>
      </c>
      <c r="P19" s="26"/>
      <c r="Q19" s="26">
        <v>97</v>
      </c>
      <c r="R19" s="24">
        <f t="shared" si="3"/>
        <v>7600.3374999999996</v>
      </c>
      <c r="S19" s="25">
        <f t="shared" si="4"/>
        <v>75.192499999999995</v>
      </c>
      <c r="T19" s="27">
        <f t="shared" si="5"/>
        <v>-21.807500000000005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4935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4935</v>
      </c>
      <c r="N20" s="24">
        <f t="shared" si="1"/>
        <v>4935</v>
      </c>
      <c r="O20" s="25">
        <f t="shared" si="2"/>
        <v>135.71250000000001</v>
      </c>
      <c r="P20" s="26"/>
      <c r="Q20" s="26"/>
      <c r="R20" s="24">
        <f t="shared" si="3"/>
        <v>4799.2875000000004</v>
      </c>
      <c r="S20" s="25">
        <f t="shared" si="4"/>
        <v>46.8825</v>
      </c>
      <c r="T20" s="27">
        <f t="shared" si="5"/>
        <v>46.8825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773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773</v>
      </c>
      <c r="N21" s="24">
        <f t="shared" si="1"/>
        <v>773</v>
      </c>
      <c r="O21" s="25">
        <f t="shared" si="2"/>
        <v>21.2575</v>
      </c>
      <c r="P21" s="26"/>
      <c r="Q21" s="26"/>
      <c r="R21" s="24">
        <f t="shared" si="3"/>
        <v>751.74249999999995</v>
      </c>
      <c r="S21" s="25">
        <f t="shared" si="4"/>
        <v>7.3434999999999997</v>
      </c>
      <c r="T21" s="27">
        <f t="shared" si="5"/>
        <v>7.3434999999999997</v>
      </c>
    </row>
    <row r="22" spans="1:20" s="218" customFormat="1" ht="15.75" x14ac:dyDescent="0.25">
      <c r="A22" s="211">
        <v>16</v>
      </c>
      <c r="B22" s="53">
        <v>1908446149</v>
      </c>
      <c r="C22" s="219" t="s">
        <v>38</v>
      </c>
      <c r="D22" s="212">
        <v>14214</v>
      </c>
      <c r="E22" s="213"/>
      <c r="F22" s="213"/>
      <c r="G22" s="53"/>
      <c r="H22" s="213"/>
      <c r="I22" s="53">
        <v>10</v>
      </c>
      <c r="J22" s="53"/>
      <c r="K22" s="53">
        <v>2</v>
      </c>
      <c r="L22" s="53"/>
      <c r="M22" s="53">
        <f t="shared" si="0"/>
        <v>14214</v>
      </c>
      <c r="N22" s="214">
        <f t="shared" si="1"/>
        <v>16488</v>
      </c>
      <c r="O22" s="215">
        <f t="shared" si="2"/>
        <v>390.88499999999999</v>
      </c>
      <c r="P22" s="216"/>
      <c r="Q22" s="216">
        <v>100</v>
      </c>
      <c r="R22" s="214">
        <f t="shared" si="3"/>
        <v>15997.115</v>
      </c>
      <c r="S22" s="215">
        <f t="shared" si="4"/>
        <v>135.03299999999999</v>
      </c>
      <c r="T22" s="217">
        <f t="shared" si="5"/>
        <v>35.032999999999987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9047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9047</v>
      </c>
      <c r="N23" s="24">
        <f t="shared" si="1"/>
        <v>9047</v>
      </c>
      <c r="O23" s="25">
        <f t="shared" si="2"/>
        <v>248.79249999999999</v>
      </c>
      <c r="P23" s="26"/>
      <c r="Q23" s="26">
        <v>90</v>
      </c>
      <c r="R23" s="24">
        <f t="shared" si="3"/>
        <v>8708.2075000000004</v>
      </c>
      <c r="S23" s="25">
        <f t="shared" si="4"/>
        <v>85.9465</v>
      </c>
      <c r="T23" s="27">
        <f t="shared" si="5"/>
        <v>-4.0534999999999997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10794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10794</v>
      </c>
      <c r="N24" s="24">
        <f t="shared" si="1"/>
        <v>10794</v>
      </c>
      <c r="O24" s="25">
        <f t="shared" si="2"/>
        <v>296.83499999999998</v>
      </c>
      <c r="P24" s="26"/>
      <c r="Q24" s="26"/>
      <c r="R24" s="24">
        <f t="shared" si="3"/>
        <v>10497.165000000001</v>
      </c>
      <c r="S24" s="25">
        <f t="shared" si="4"/>
        <v>102.54299999999999</v>
      </c>
      <c r="T24" s="27">
        <f t="shared" si="5"/>
        <v>102.54299999999999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8072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8072</v>
      </c>
      <c r="N25" s="24">
        <f t="shared" si="1"/>
        <v>8072</v>
      </c>
      <c r="O25" s="25">
        <f t="shared" si="2"/>
        <v>221.98</v>
      </c>
      <c r="P25" s="26"/>
      <c r="Q25" s="26">
        <v>80</v>
      </c>
      <c r="R25" s="24">
        <f t="shared" si="3"/>
        <v>7770.02</v>
      </c>
      <c r="S25" s="25">
        <f t="shared" si="4"/>
        <v>76.683999999999997</v>
      </c>
      <c r="T25" s="27">
        <f t="shared" si="5"/>
        <v>-3.3160000000000025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2056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2056</v>
      </c>
      <c r="N26" s="24">
        <f t="shared" si="1"/>
        <v>2056</v>
      </c>
      <c r="O26" s="25">
        <f t="shared" si="2"/>
        <v>56.54</v>
      </c>
      <c r="P26" s="26"/>
      <c r="Q26" s="26">
        <v>19</v>
      </c>
      <c r="R26" s="24">
        <f t="shared" si="3"/>
        <v>1980.46</v>
      </c>
      <c r="S26" s="25">
        <f t="shared" si="4"/>
        <v>19.532</v>
      </c>
      <c r="T26" s="27">
        <f t="shared" si="5"/>
        <v>0.53200000000000003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7174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7174</v>
      </c>
      <c r="N27" s="40">
        <f t="shared" si="1"/>
        <v>8129</v>
      </c>
      <c r="O27" s="25">
        <f t="shared" si="2"/>
        <v>197.285</v>
      </c>
      <c r="P27" s="41"/>
      <c r="Q27" s="41">
        <v>100</v>
      </c>
      <c r="R27" s="24">
        <f t="shared" si="3"/>
        <v>7831.7150000000001</v>
      </c>
      <c r="S27" s="42">
        <f t="shared" si="4"/>
        <v>68.152999999999992</v>
      </c>
      <c r="T27" s="43">
        <f t="shared" si="5"/>
        <v>-31.847000000000008</v>
      </c>
    </row>
    <row r="28" spans="1:20" ht="16.5" thickBot="1" x14ac:dyDescent="0.3">
      <c r="A28" s="240" t="s">
        <v>44</v>
      </c>
      <c r="B28" s="241"/>
      <c r="C28" s="242"/>
      <c r="D28" s="44">
        <f t="shared" ref="D28:E28" si="6">SUM(D7:D27)</f>
        <v>164161</v>
      </c>
      <c r="E28" s="45">
        <f t="shared" si="6"/>
        <v>80</v>
      </c>
      <c r="F28" s="45">
        <f t="shared" ref="F28:T28" si="7">SUM(F7:F27)</f>
        <v>200</v>
      </c>
      <c r="G28" s="45">
        <f t="shared" si="7"/>
        <v>0</v>
      </c>
      <c r="H28" s="45">
        <f t="shared" si="7"/>
        <v>290</v>
      </c>
      <c r="I28" s="45">
        <f t="shared" si="7"/>
        <v>25</v>
      </c>
      <c r="J28" s="45">
        <f t="shared" si="7"/>
        <v>0</v>
      </c>
      <c r="K28" s="45">
        <f t="shared" si="7"/>
        <v>7</v>
      </c>
      <c r="L28" s="45">
        <f t="shared" si="7"/>
        <v>0</v>
      </c>
      <c r="M28" s="45">
        <f t="shared" si="7"/>
        <v>170371</v>
      </c>
      <c r="N28" s="45">
        <f t="shared" si="7"/>
        <v>176420</v>
      </c>
      <c r="O28" s="46">
        <f t="shared" si="7"/>
        <v>4685.2024999999994</v>
      </c>
      <c r="P28" s="45">
        <f t="shared" si="7"/>
        <v>0</v>
      </c>
      <c r="Q28" s="45">
        <f t="shared" si="7"/>
        <v>1311</v>
      </c>
      <c r="R28" s="45">
        <f t="shared" si="7"/>
        <v>170423.79749999996</v>
      </c>
      <c r="S28" s="45">
        <f t="shared" si="7"/>
        <v>1618.5244999999995</v>
      </c>
      <c r="T28" s="47">
        <f t="shared" si="7"/>
        <v>307.52449999999999</v>
      </c>
    </row>
    <row r="29" spans="1:20" ht="15.75" thickBot="1" x14ac:dyDescent="0.3">
      <c r="A29" s="243" t="s">
        <v>45</v>
      </c>
      <c r="B29" s="244"/>
      <c r="C29" s="245"/>
      <c r="D29" s="48">
        <f>D4+D5-D28</f>
        <v>477846</v>
      </c>
      <c r="E29" s="48">
        <f t="shared" ref="E29:L29" si="8">E4+E5-E28</f>
        <v>2320</v>
      </c>
      <c r="F29" s="48">
        <f t="shared" si="8"/>
        <v>6780</v>
      </c>
      <c r="G29" s="48">
        <f t="shared" si="8"/>
        <v>1000</v>
      </c>
      <c r="H29" s="48">
        <f t="shared" si="8"/>
        <v>27020</v>
      </c>
      <c r="I29" s="48">
        <f t="shared" si="8"/>
        <v>1614</v>
      </c>
      <c r="J29" s="48">
        <f t="shared" si="8"/>
        <v>645</v>
      </c>
      <c r="K29" s="48">
        <f t="shared" si="8"/>
        <v>287</v>
      </c>
      <c r="L29" s="48">
        <f t="shared" si="8"/>
        <v>0</v>
      </c>
      <c r="M29" s="246"/>
      <c r="N29" s="247"/>
      <c r="O29" s="247"/>
      <c r="P29" s="247"/>
      <c r="Q29" s="247"/>
      <c r="R29" s="247"/>
      <c r="S29" s="247"/>
      <c r="T29" s="24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92" priority="43" operator="equal">
      <formula>212030016606640</formula>
    </cfRule>
  </conditionalFormatting>
  <conditionalFormatting sqref="D29 E4:E6 E28:K29">
    <cfRule type="cellIs" dxfId="1091" priority="41" operator="equal">
      <formula>$E$4</formula>
    </cfRule>
    <cfRule type="cellIs" dxfId="1090" priority="42" operator="equal">
      <formula>2120</formula>
    </cfRule>
  </conditionalFormatting>
  <conditionalFormatting sqref="D29:E29 F4:F6 F28:F29">
    <cfRule type="cellIs" dxfId="1089" priority="39" operator="equal">
      <formula>$F$4</formula>
    </cfRule>
    <cfRule type="cellIs" dxfId="1088" priority="40" operator="equal">
      <formula>300</formula>
    </cfRule>
  </conditionalFormatting>
  <conditionalFormatting sqref="G4:G6 G28:G29">
    <cfRule type="cellIs" dxfId="1087" priority="37" operator="equal">
      <formula>$G$4</formula>
    </cfRule>
    <cfRule type="cellIs" dxfId="1086" priority="38" operator="equal">
      <formula>1660</formula>
    </cfRule>
  </conditionalFormatting>
  <conditionalFormatting sqref="H4:H6 H28:H29">
    <cfRule type="cellIs" dxfId="1085" priority="35" operator="equal">
      <formula>$H$4</formula>
    </cfRule>
    <cfRule type="cellIs" dxfId="1084" priority="36" operator="equal">
      <formula>6640</formula>
    </cfRule>
  </conditionalFormatting>
  <conditionalFormatting sqref="T6:T28">
    <cfRule type="cellIs" dxfId="1083" priority="34" operator="lessThan">
      <formula>0</formula>
    </cfRule>
  </conditionalFormatting>
  <conditionalFormatting sqref="T7:T27">
    <cfRule type="cellIs" dxfId="1082" priority="31" operator="lessThan">
      <formula>0</formula>
    </cfRule>
    <cfRule type="cellIs" dxfId="1081" priority="32" operator="lessThan">
      <formula>0</formula>
    </cfRule>
    <cfRule type="cellIs" dxfId="1080" priority="33" operator="lessThan">
      <formula>0</formula>
    </cfRule>
  </conditionalFormatting>
  <conditionalFormatting sqref="E4:E6 E28:K28">
    <cfRule type="cellIs" dxfId="1079" priority="30" operator="equal">
      <formula>$E$4</formula>
    </cfRule>
  </conditionalFormatting>
  <conditionalFormatting sqref="D28:D29 D6 D4:M4">
    <cfRule type="cellIs" dxfId="1078" priority="29" operator="equal">
      <formula>$D$4</formula>
    </cfRule>
  </conditionalFormatting>
  <conditionalFormatting sqref="I4:I6 I28:I29">
    <cfRule type="cellIs" dxfId="1077" priority="28" operator="equal">
      <formula>$I$4</formula>
    </cfRule>
  </conditionalFormatting>
  <conditionalFormatting sqref="J4:J6 J28:J29">
    <cfRule type="cellIs" dxfId="1076" priority="27" operator="equal">
      <formula>$J$4</formula>
    </cfRule>
  </conditionalFormatting>
  <conditionalFormatting sqref="K4:K6 K28:K29">
    <cfRule type="cellIs" dxfId="1075" priority="26" operator="equal">
      <formula>$K$4</formula>
    </cfRule>
  </conditionalFormatting>
  <conditionalFormatting sqref="M4:M6">
    <cfRule type="cellIs" dxfId="1074" priority="25" operator="equal">
      <formula>$L$4</formula>
    </cfRule>
  </conditionalFormatting>
  <conditionalFormatting sqref="T7:T28">
    <cfRule type="cellIs" dxfId="1073" priority="22" operator="lessThan">
      <formula>0</formula>
    </cfRule>
    <cfRule type="cellIs" dxfId="1072" priority="23" operator="lessThan">
      <formula>0</formula>
    </cfRule>
    <cfRule type="cellIs" dxfId="1071" priority="24" operator="lessThan">
      <formula>0</formula>
    </cfRule>
  </conditionalFormatting>
  <conditionalFormatting sqref="D5:K5">
    <cfRule type="cellIs" dxfId="1070" priority="21" operator="greaterThan">
      <formula>0</formula>
    </cfRule>
  </conditionalFormatting>
  <conditionalFormatting sqref="T6:T28">
    <cfRule type="cellIs" dxfId="1069" priority="20" operator="lessThan">
      <formula>0</formula>
    </cfRule>
  </conditionalFormatting>
  <conditionalFormatting sqref="T7:T27">
    <cfRule type="cellIs" dxfId="1068" priority="17" operator="lessThan">
      <formula>0</formula>
    </cfRule>
    <cfRule type="cellIs" dxfId="1067" priority="18" operator="lessThan">
      <formula>0</formula>
    </cfRule>
    <cfRule type="cellIs" dxfId="1066" priority="19" operator="lessThan">
      <formula>0</formula>
    </cfRule>
  </conditionalFormatting>
  <conditionalFormatting sqref="T7:T28">
    <cfRule type="cellIs" dxfId="1065" priority="14" operator="lessThan">
      <formula>0</formula>
    </cfRule>
    <cfRule type="cellIs" dxfId="1064" priority="15" operator="lessThan">
      <formula>0</formula>
    </cfRule>
    <cfRule type="cellIs" dxfId="1063" priority="16" operator="lessThan">
      <formula>0</formula>
    </cfRule>
  </conditionalFormatting>
  <conditionalFormatting sqref="D5:K5">
    <cfRule type="cellIs" dxfId="1062" priority="13" operator="greaterThan">
      <formula>0</formula>
    </cfRule>
  </conditionalFormatting>
  <conditionalFormatting sqref="L4 L6 L28:L29">
    <cfRule type="cellIs" dxfId="1061" priority="12" operator="equal">
      <formula>$L$4</formula>
    </cfRule>
  </conditionalFormatting>
  <conditionalFormatting sqref="D7:S7">
    <cfRule type="cellIs" dxfId="1060" priority="11" operator="greaterThan">
      <formula>0</formula>
    </cfRule>
  </conditionalFormatting>
  <conditionalFormatting sqref="D9:S9">
    <cfRule type="cellIs" dxfId="1059" priority="10" operator="greaterThan">
      <formula>0</formula>
    </cfRule>
  </conditionalFormatting>
  <conditionalFormatting sqref="D11:S11">
    <cfRule type="cellIs" dxfId="1058" priority="9" operator="greaterThan">
      <formula>0</formula>
    </cfRule>
  </conditionalFormatting>
  <conditionalFormatting sqref="D13:S13">
    <cfRule type="cellIs" dxfId="1057" priority="8" operator="greaterThan">
      <formula>0</formula>
    </cfRule>
  </conditionalFormatting>
  <conditionalFormatting sqref="D15:S15">
    <cfRule type="cellIs" dxfId="1056" priority="7" operator="greaterThan">
      <formula>0</formula>
    </cfRule>
  </conditionalFormatting>
  <conditionalFormatting sqref="D17:S17">
    <cfRule type="cellIs" dxfId="1055" priority="6" operator="greaterThan">
      <formula>0</formula>
    </cfRule>
  </conditionalFormatting>
  <conditionalFormatting sqref="D19:S19">
    <cfRule type="cellIs" dxfId="1054" priority="5" operator="greaterThan">
      <formula>0</formula>
    </cfRule>
  </conditionalFormatting>
  <conditionalFormatting sqref="D21:S21">
    <cfRule type="cellIs" dxfId="1053" priority="4" operator="greaterThan">
      <formula>0</formula>
    </cfRule>
  </conditionalFormatting>
  <conditionalFormatting sqref="D23:S23">
    <cfRule type="cellIs" dxfId="1052" priority="3" operator="greaterThan">
      <formula>0</formula>
    </cfRule>
  </conditionalFormatting>
  <conditionalFormatting sqref="D25:S25">
    <cfRule type="cellIs" dxfId="1051" priority="2" operator="greaterThan">
      <formula>0</formula>
    </cfRule>
  </conditionalFormatting>
  <conditionalFormatting sqref="D27:S27">
    <cfRule type="cellIs" dxfId="105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Target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2021-06-28T08:48:47Z</dcterms:modified>
</cp:coreProperties>
</file>