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omments1.xml" ContentType="application/vnd.openxmlformats-officedocument.spreadsheetml.comments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drawings/drawing1.xml" ContentType="application/vnd.openxmlformats-officedocument.drawing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/Desktop/Code/Graph-Filtering-Techniques/Analysis/"/>
    </mc:Choice>
  </mc:AlternateContent>
  <xr:revisionPtr revIDLastSave="0" documentId="13_ncr:1_{0F87073A-1A54-6E40-BA40-F1AAB759E46B}" xr6:coauthVersionLast="47" xr6:coauthVersionMax="47" xr10:uidLastSave="{00000000-0000-0000-0000-000000000000}"/>
  <bookViews>
    <workbookView xWindow="2180" yWindow="500" windowWidth="26620" windowHeight="16220" xr2:uid="{BEB758CC-0543-AB4E-98A5-EA96F39BC050}"/>
  </bookViews>
  <sheets>
    <sheet name="US Airports Hubs" sheetId="14" r:id="rId1"/>
    <sheet name="airports" sheetId="29" r:id="rId2"/>
    <sheet name="Edges" sheetId="24" r:id="rId3"/>
    <sheet name="backbone edges" sheetId="28" r:id="rId4"/>
    <sheet name="summary" sheetId="30" r:id="rId5"/>
    <sheet name="HUBS" sheetId="15" r:id="rId6"/>
    <sheet name="FOCUS" sheetId="25" r:id="rId7"/>
    <sheet name="SPOKES" sheetId="26" r:id="rId8"/>
    <sheet name="DF Edges" sheetId="27" r:id="rId9"/>
    <sheet name="Global Threshold" sheetId="16" r:id="rId10"/>
    <sheet name="Disparity Filter" sheetId="17" r:id="rId11"/>
    <sheet name="ECM Filter" sheetId="18" r:id="rId12"/>
    <sheet name="GLOSS Filter" sheetId="19" r:id="rId13"/>
    <sheet name="LANS Filter" sheetId="20" r:id="rId14"/>
    <sheet name="Marginal Likelihood Filter" sheetId="21" r:id="rId15"/>
    <sheet name="NC Filter" sheetId="22" r:id="rId16"/>
    <sheet name="Polya Filter" sheetId="23" r:id="rId17"/>
  </sheets>
  <definedNames>
    <definedName name="_xlnm._FilterDatabase" localSheetId="3" hidden="1">'backbone edges'!$A$131:$H$139</definedName>
    <definedName name="_xlchart.v1.0" hidden="1">'DF Edges'!$T$186:$T$214</definedName>
    <definedName name="_xlchart.v1.1" hidden="1">'DF Edges'!$V$10:$V$36</definedName>
    <definedName name="_xlchart.v1.2" hidden="1">'DF Edges'!$T$217:$T$248</definedName>
    <definedName name="_xlchart.v1.3" hidden="1">'DF Edges'!$U$386:$U$410</definedName>
    <definedName name="_xlchart.v1.4" hidden="1">'DF Edges'!$AC$11:$AC$35</definedName>
    <definedName name="_xlchart.v1.5" hidden="1">'DF Edges'!$T$253:$T$282</definedName>
    <definedName name="_xlchart.v1.6" hidden="1">'DF Edges'!$P$386:$P$414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12" i="24" l="1"/>
  <c r="AC12" i="24"/>
  <c r="AD15" i="24"/>
  <c r="AC15" i="24"/>
  <c r="AD19" i="24"/>
  <c r="AC19" i="24"/>
  <c r="AD25" i="24"/>
  <c r="AC25" i="24"/>
  <c r="AD26" i="24"/>
  <c r="AC26" i="24"/>
  <c r="AD28" i="24"/>
  <c r="AC28" i="24"/>
  <c r="AD14" i="24"/>
  <c r="AC14" i="24"/>
  <c r="AD24" i="24"/>
  <c r="AC24" i="24"/>
  <c r="AD27" i="24"/>
  <c r="AC27" i="24"/>
  <c r="AD18" i="24"/>
  <c r="AC18" i="24"/>
  <c r="AD31" i="24"/>
  <c r="AC31" i="24"/>
  <c r="AD21" i="24"/>
  <c r="AC21" i="24"/>
  <c r="AD5" i="24"/>
  <c r="AC5" i="24"/>
  <c r="AD23" i="24"/>
  <c r="AC23" i="24"/>
  <c r="AD11" i="24"/>
  <c r="AC11" i="24"/>
  <c r="AD7" i="24"/>
  <c r="AC7" i="24"/>
  <c r="AD20" i="24"/>
  <c r="AC20" i="24"/>
  <c r="AD10" i="24"/>
  <c r="AC10" i="24"/>
  <c r="AD30" i="24"/>
  <c r="AC30" i="24"/>
  <c r="AD4" i="24"/>
  <c r="AC4" i="24"/>
  <c r="AD9" i="24"/>
  <c r="AC9" i="24"/>
  <c r="AD3" i="24"/>
  <c r="AC3" i="24"/>
  <c r="AD2" i="24"/>
  <c r="AC2" i="24"/>
  <c r="AD22" i="24"/>
  <c r="AC22" i="24"/>
  <c r="AD13" i="24"/>
  <c r="AC13" i="24"/>
  <c r="AD29" i="24"/>
  <c r="AC29" i="24"/>
  <c r="AD6" i="24"/>
  <c r="AC6" i="24"/>
  <c r="AD16" i="24"/>
  <c r="AC16" i="24"/>
  <c r="AD17" i="24"/>
  <c r="AC17" i="24"/>
  <c r="AD8" i="24"/>
  <c r="AC8" i="24"/>
  <c r="D2" i="24"/>
  <c r="AF8" i="24" s="1"/>
  <c r="O40" i="28"/>
  <c r="O36" i="28"/>
  <c r="O37" i="28"/>
  <c r="O38" i="28"/>
  <c r="O39" i="28"/>
  <c r="O41" i="28"/>
  <c r="O42" i="28"/>
  <c r="O43" i="28"/>
  <c r="O44" i="28"/>
  <c r="O45" i="28"/>
  <c r="O46" i="28"/>
  <c r="O47" i="28"/>
  <c r="O48" i="28"/>
  <c r="O49" i="28"/>
  <c r="O50" i="28"/>
  <c r="O51" i="28"/>
  <c r="O52" i="28"/>
  <c r="O53" i="28"/>
  <c r="O54" i="28"/>
  <c r="O55" i="28"/>
  <c r="O56" i="28"/>
  <c r="O57" i="28"/>
  <c r="O58" i="28"/>
  <c r="O59" i="28"/>
  <c r="O60" i="28"/>
  <c r="O61" i="28"/>
  <c r="O62" i="28"/>
  <c r="O63" i="28"/>
  <c r="O64" i="28"/>
  <c r="O65" i="28"/>
  <c r="P36" i="28"/>
  <c r="P37" i="28"/>
  <c r="P38" i="28"/>
  <c r="P39" i="28"/>
  <c r="P40" i="28"/>
  <c r="P41" i="28"/>
  <c r="P42" i="28"/>
  <c r="P43" i="28"/>
  <c r="P44" i="28"/>
  <c r="P45" i="28"/>
  <c r="P46" i="28"/>
  <c r="P47" i="28"/>
  <c r="P48" i="28"/>
  <c r="P49" i="28"/>
  <c r="P50" i="28"/>
  <c r="P51" i="28"/>
  <c r="P52" i="28"/>
  <c r="P53" i="28"/>
  <c r="P54" i="28"/>
  <c r="P55" i="28"/>
  <c r="P56" i="28"/>
  <c r="P57" i="28"/>
  <c r="P58" i="28"/>
  <c r="P59" i="28"/>
  <c r="P60" i="28"/>
  <c r="P61" i="28"/>
  <c r="P62" i="28"/>
  <c r="P63" i="28"/>
  <c r="P64" i="28"/>
  <c r="P65" i="28"/>
  <c r="O12" i="28"/>
  <c r="F120" i="28"/>
  <c r="D120" i="28"/>
  <c r="C120" i="28"/>
  <c r="B120" i="28"/>
  <c r="F127" i="28"/>
  <c r="D127" i="28"/>
  <c r="C127" i="28"/>
  <c r="B127" i="28"/>
  <c r="D126" i="28"/>
  <c r="C126" i="28"/>
  <c r="B126" i="28"/>
  <c r="F122" i="28"/>
  <c r="D122" i="28"/>
  <c r="C122" i="28"/>
  <c r="B122" i="28"/>
  <c r="F125" i="28"/>
  <c r="F124" i="28"/>
  <c r="D125" i="28"/>
  <c r="C125" i="28"/>
  <c r="B125" i="28"/>
  <c r="D124" i="28"/>
  <c r="C124" i="28"/>
  <c r="B124" i="28"/>
  <c r="B121" i="28"/>
  <c r="C121" i="28"/>
  <c r="D121" i="28"/>
  <c r="F121" i="28"/>
  <c r="N380" i="24"/>
  <c r="D66" i="28"/>
  <c r="N66" i="28"/>
  <c r="X66" i="28"/>
  <c r="AH66" i="28"/>
  <c r="AG32" i="28"/>
  <c r="X32" i="28"/>
  <c r="N32" i="28"/>
  <c r="D32" i="28"/>
  <c r="H7" i="29"/>
  <c r="AM39" i="28"/>
  <c r="AM48" i="28"/>
  <c r="AM38" i="28"/>
  <c r="AM61" i="28"/>
  <c r="AM46" i="28"/>
  <c r="AM49" i="28"/>
  <c r="AM47" i="28"/>
  <c r="AM41" i="28"/>
  <c r="AM43" i="28"/>
  <c r="AM59" i="28"/>
  <c r="AM44" i="28"/>
  <c r="AM60" i="28"/>
  <c r="AM55" i="28"/>
  <c r="AM62" i="28"/>
  <c r="AM36" i="28"/>
  <c r="AM50" i="28"/>
  <c r="AM42" i="28"/>
  <c r="AM45" i="28"/>
  <c r="AM37" i="28"/>
  <c r="AM51" i="28"/>
  <c r="AM52" i="28"/>
  <c r="AM53" i="28"/>
  <c r="AM54" i="28"/>
  <c r="AM56" i="28"/>
  <c r="AM57" i="28"/>
  <c r="AM58" i="28"/>
  <c r="AM63" i="28"/>
  <c r="AM64" i="28"/>
  <c r="AM65" i="28"/>
  <c r="AM40" i="28"/>
  <c r="AL39" i="28"/>
  <c r="AL48" i="28"/>
  <c r="AL38" i="28"/>
  <c r="AL61" i="28"/>
  <c r="AL46" i="28"/>
  <c r="AL49" i="28"/>
  <c r="AL47" i="28"/>
  <c r="AL41" i="28"/>
  <c r="AL43" i="28"/>
  <c r="AL59" i="28"/>
  <c r="AL44" i="28"/>
  <c r="AL60" i="28"/>
  <c r="AL55" i="28"/>
  <c r="AL62" i="28"/>
  <c r="AL36" i="28"/>
  <c r="AL50" i="28"/>
  <c r="AL42" i="28"/>
  <c r="AL45" i="28"/>
  <c r="AL37" i="28"/>
  <c r="AL51" i="28"/>
  <c r="AL52" i="28"/>
  <c r="AL53" i="28"/>
  <c r="AL54" i="28"/>
  <c r="AL56" i="28"/>
  <c r="AL57" i="28"/>
  <c r="AL58" i="28"/>
  <c r="AL63" i="28"/>
  <c r="AL64" i="28"/>
  <c r="AL65" i="28"/>
  <c r="AL40" i="28"/>
  <c r="AL5" i="28"/>
  <c r="AL24" i="28"/>
  <c r="AL2" i="28"/>
  <c r="AL6" i="28"/>
  <c r="AL21" i="28"/>
  <c r="AL26" i="28"/>
  <c r="AL23" i="28"/>
  <c r="AL3" i="28"/>
  <c r="AL10" i="28"/>
  <c r="AL18" i="28"/>
  <c r="AL7" i="28"/>
  <c r="AL8" i="28"/>
  <c r="AL13" i="28"/>
  <c r="AL30" i="28"/>
  <c r="AL16" i="28"/>
  <c r="AL31" i="28"/>
  <c r="AL19" i="28"/>
  <c r="AL15" i="28"/>
  <c r="AL28" i="28"/>
  <c r="AL22" i="28"/>
  <c r="AL9" i="28"/>
  <c r="AL17" i="28"/>
  <c r="AL25" i="28"/>
  <c r="AL27" i="28"/>
  <c r="AL12" i="28"/>
  <c r="AL20" i="28"/>
  <c r="AL29" i="28"/>
  <c r="AL11" i="28"/>
  <c r="AL14" i="28"/>
  <c r="AL4" i="28"/>
  <c r="AK5" i="28"/>
  <c r="AK24" i="28"/>
  <c r="AK2" i="28"/>
  <c r="AK6" i="28"/>
  <c r="AK21" i="28"/>
  <c r="AK26" i="28"/>
  <c r="AK23" i="28"/>
  <c r="AK3" i="28"/>
  <c r="AK10" i="28"/>
  <c r="AK18" i="28"/>
  <c r="AK7" i="28"/>
  <c r="AK8" i="28"/>
  <c r="AK13" i="28"/>
  <c r="AK30" i="28"/>
  <c r="AK16" i="28"/>
  <c r="AK31" i="28"/>
  <c r="AK19" i="28"/>
  <c r="AK15" i="28"/>
  <c r="AK28" i="28"/>
  <c r="AK22" i="28"/>
  <c r="AK9" i="28"/>
  <c r="AK17" i="28"/>
  <c r="AK25" i="28"/>
  <c r="AK27" i="28"/>
  <c r="AK12" i="28"/>
  <c r="AK20" i="28"/>
  <c r="AK29" i="28"/>
  <c r="AK11" i="28"/>
  <c r="AK14" i="28"/>
  <c r="AK4" i="28"/>
  <c r="AC39" i="28"/>
  <c r="AC56" i="28"/>
  <c r="AC36" i="28"/>
  <c r="AC40" i="28"/>
  <c r="AC54" i="28"/>
  <c r="AC57" i="28"/>
  <c r="AC37" i="28"/>
  <c r="AC41" i="28"/>
  <c r="AC51" i="28"/>
  <c r="AC44" i="28"/>
  <c r="AC63" i="28"/>
  <c r="AC65" i="28"/>
  <c r="AC60" i="28"/>
  <c r="AC50" i="28"/>
  <c r="AC45" i="28"/>
  <c r="AC47" i="28"/>
  <c r="AC43" i="28"/>
  <c r="AC46" i="28"/>
  <c r="AC55" i="28"/>
  <c r="AC48" i="28"/>
  <c r="AC42" i="28"/>
  <c r="AC52" i="28"/>
  <c r="AC59" i="28"/>
  <c r="AC53" i="28"/>
  <c r="AC49" i="28"/>
  <c r="AC64" i="28"/>
  <c r="AC58" i="28"/>
  <c r="AC61" i="28"/>
  <c r="AC62" i="28"/>
  <c r="AC38" i="28"/>
  <c r="AB39" i="28"/>
  <c r="AB56" i="28"/>
  <c r="AB36" i="28"/>
  <c r="AB40" i="28"/>
  <c r="AB54" i="28"/>
  <c r="AB57" i="28"/>
  <c r="AB37" i="28"/>
  <c r="AB41" i="28"/>
  <c r="AB51" i="28"/>
  <c r="AB44" i="28"/>
  <c r="AB63" i="28"/>
  <c r="AB65" i="28"/>
  <c r="AB60" i="28"/>
  <c r="AB50" i="28"/>
  <c r="AB45" i="28"/>
  <c r="AB47" i="28"/>
  <c r="AB43" i="28"/>
  <c r="AB46" i="28"/>
  <c r="AB55" i="28"/>
  <c r="AB48" i="28"/>
  <c r="AB42" i="28"/>
  <c r="AB52" i="28"/>
  <c r="AB59" i="28"/>
  <c r="AB53" i="28"/>
  <c r="AB49" i="28"/>
  <c r="AB64" i="28"/>
  <c r="AB58" i="28"/>
  <c r="AB61" i="28"/>
  <c r="AB62" i="28"/>
  <c r="AB38" i="28"/>
  <c r="AC4" i="28"/>
  <c r="AC17" i="28"/>
  <c r="AC30" i="28"/>
  <c r="AC9" i="28"/>
  <c r="AC21" i="28"/>
  <c r="AC12" i="28"/>
  <c r="AC13" i="28"/>
  <c r="AC29" i="28"/>
  <c r="AC14" i="28"/>
  <c r="AC5" i="28"/>
  <c r="AC23" i="28"/>
  <c r="AC27" i="28"/>
  <c r="AC11" i="28"/>
  <c r="AC8" i="28"/>
  <c r="AC20" i="28"/>
  <c r="AC16" i="28"/>
  <c r="AC3" i="28"/>
  <c r="AC26" i="28"/>
  <c r="AC15" i="28"/>
  <c r="AC24" i="28"/>
  <c r="AC25" i="28"/>
  <c r="AC6" i="28"/>
  <c r="AC19" i="28"/>
  <c r="AC22" i="28"/>
  <c r="AC18" i="28"/>
  <c r="AC31" i="28"/>
  <c r="AC10" i="28"/>
  <c r="AC28" i="28"/>
  <c r="AC7" i="28"/>
  <c r="AC2" i="28"/>
  <c r="AB4" i="28"/>
  <c r="AB17" i="28"/>
  <c r="AB30" i="28"/>
  <c r="AB9" i="28"/>
  <c r="AB21" i="28"/>
  <c r="AB12" i="28"/>
  <c r="AB13" i="28"/>
  <c r="AB29" i="28"/>
  <c r="AB14" i="28"/>
  <c r="AB5" i="28"/>
  <c r="AB23" i="28"/>
  <c r="AB27" i="28"/>
  <c r="AB11" i="28"/>
  <c r="AB8" i="28"/>
  <c r="AB20" i="28"/>
  <c r="AB16" i="28"/>
  <c r="AB3" i="28"/>
  <c r="AB26" i="28"/>
  <c r="AB15" i="28"/>
  <c r="AB24" i="28"/>
  <c r="AB25" i="28"/>
  <c r="AB6" i="28"/>
  <c r="AB19" i="28"/>
  <c r="AB22" i="28"/>
  <c r="AB18" i="28"/>
  <c r="AB31" i="28"/>
  <c r="AB10" i="28"/>
  <c r="AB28" i="28"/>
  <c r="AB7" i="28"/>
  <c r="AB2" i="28"/>
  <c r="S44" i="28"/>
  <c r="S46" i="28"/>
  <c r="S53" i="28"/>
  <c r="S39" i="28"/>
  <c r="S50" i="28"/>
  <c r="S36" i="28"/>
  <c r="S45" i="28"/>
  <c r="S48" i="28"/>
  <c r="S51" i="28"/>
  <c r="S65" i="28"/>
  <c r="S41" i="28"/>
  <c r="S59" i="28"/>
  <c r="S64" i="28"/>
  <c r="S38" i="28"/>
  <c r="S37" i="28"/>
  <c r="S56" i="28"/>
  <c r="S63" i="28"/>
  <c r="S49" i="28"/>
  <c r="S54" i="28"/>
  <c r="S42" i="28"/>
  <c r="S52" i="28"/>
  <c r="S58" i="28"/>
  <c r="S62" i="28"/>
  <c r="S61" i="28"/>
  <c r="S57" i="28"/>
  <c r="S60" i="28"/>
  <c r="S40" i="28"/>
  <c r="S47" i="28"/>
  <c r="S55" i="28"/>
  <c r="S43" i="28"/>
  <c r="R44" i="28"/>
  <c r="R46" i="28"/>
  <c r="R53" i="28"/>
  <c r="R39" i="28"/>
  <c r="R50" i="28"/>
  <c r="R36" i="28"/>
  <c r="R45" i="28"/>
  <c r="R48" i="28"/>
  <c r="R51" i="28"/>
  <c r="R65" i="28"/>
  <c r="R41" i="28"/>
  <c r="R59" i="28"/>
  <c r="R64" i="28"/>
  <c r="R38" i="28"/>
  <c r="R37" i="28"/>
  <c r="R56" i="28"/>
  <c r="R63" i="28"/>
  <c r="R49" i="28"/>
  <c r="R54" i="28"/>
  <c r="R42" i="28"/>
  <c r="R52" i="28"/>
  <c r="R58" i="28"/>
  <c r="R62" i="28"/>
  <c r="R61" i="28"/>
  <c r="R57" i="28"/>
  <c r="R60" i="28"/>
  <c r="R40" i="28"/>
  <c r="R47" i="28"/>
  <c r="R55" i="28"/>
  <c r="R43" i="28"/>
  <c r="S5" i="28"/>
  <c r="S7" i="28"/>
  <c r="S2" i="28"/>
  <c r="S17" i="28"/>
  <c r="S6" i="28"/>
  <c r="S25" i="28"/>
  <c r="S24" i="28"/>
  <c r="S30" i="28"/>
  <c r="S10" i="28"/>
  <c r="S18" i="28"/>
  <c r="S9" i="28"/>
  <c r="S3" i="28"/>
  <c r="S13" i="28"/>
  <c r="S21" i="28"/>
  <c r="S16" i="28"/>
  <c r="S14" i="28"/>
  <c r="S8" i="28"/>
  <c r="S31" i="28"/>
  <c r="S26" i="28"/>
  <c r="S19" i="28"/>
  <c r="S23" i="28"/>
  <c r="S20" i="28"/>
  <c r="S4" i="28"/>
  <c r="S28" i="28"/>
  <c r="S12" i="28"/>
  <c r="S27" i="28"/>
  <c r="S29" i="28"/>
  <c r="S11" i="28"/>
  <c r="S15" i="28"/>
  <c r="S22" i="28"/>
  <c r="R5" i="28"/>
  <c r="R7" i="28"/>
  <c r="R2" i="28"/>
  <c r="R17" i="28"/>
  <c r="R6" i="28"/>
  <c r="R25" i="28"/>
  <c r="R24" i="28"/>
  <c r="R30" i="28"/>
  <c r="R10" i="28"/>
  <c r="R18" i="28"/>
  <c r="R9" i="28"/>
  <c r="R3" i="28"/>
  <c r="R13" i="28"/>
  <c r="R21" i="28"/>
  <c r="R16" i="28"/>
  <c r="R14" i="28"/>
  <c r="R8" i="28"/>
  <c r="R31" i="28"/>
  <c r="R26" i="28"/>
  <c r="R19" i="28"/>
  <c r="R23" i="28"/>
  <c r="R20" i="28"/>
  <c r="R4" i="28"/>
  <c r="R28" i="28"/>
  <c r="R12" i="28"/>
  <c r="R27" i="28"/>
  <c r="R29" i="28"/>
  <c r="R11" i="28"/>
  <c r="R15" i="28"/>
  <c r="R22" i="28"/>
  <c r="H17" i="28"/>
  <c r="H8" i="28"/>
  <c r="I39" i="28"/>
  <c r="I36" i="28"/>
  <c r="I38" i="28"/>
  <c r="I40" i="28"/>
  <c r="I37" i="28"/>
  <c r="I56" i="28"/>
  <c r="I55" i="28"/>
  <c r="I61" i="28"/>
  <c r="I42" i="28"/>
  <c r="I51" i="28"/>
  <c r="I41" i="28"/>
  <c r="I46" i="28"/>
  <c r="I52" i="28"/>
  <c r="I48" i="28"/>
  <c r="I47" i="28"/>
  <c r="I63" i="28"/>
  <c r="I57" i="28"/>
  <c r="I50" i="28"/>
  <c r="I49" i="28"/>
  <c r="I58" i="28"/>
  <c r="I45" i="28"/>
  <c r="I53" i="28"/>
  <c r="I59" i="28"/>
  <c r="I43" i="28"/>
  <c r="I62" i="28"/>
  <c r="I44" i="28"/>
  <c r="I65" i="28"/>
  <c r="I60" i="28"/>
  <c r="I64" i="28"/>
  <c r="I54" i="28"/>
  <c r="H38" i="28"/>
  <c r="H36" i="28"/>
  <c r="H39" i="28"/>
  <c r="H40" i="28"/>
  <c r="H37" i="28"/>
  <c r="H56" i="28"/>
  <c r="H55" i="28"/>
  <c r="H61" i="28"/>
  <c r="H42" i="28"/>
  <c r="H51" i="28"/>
  <c r="H41" i="28"/>
  <c r="H46" i="28"/>
  <c r="H52" i="28"/>
  <c r="H48" i="28"/>
  <c r="H47" i="28"/>
  <c r="H63" i="28"/>
  <c r="H57" i="28"/>
  <c r="H50" i="28"/>
  <c r="H49" i="28"/>
  <c r="H58" i="28"/>
  <c r="H45" i="28"/>
  <c r="H53" i="28"/>
  <c r="H59" i="28"/>
  <c r="H43" i="28"/>
  <c r="H62" i="28"/>
  <c r="H44" i="28"/>
  <c r="H65" i="28"/>
  <c r="H60" i="28"/>
  <c r="H64" i="28"/>
  <c r="H54" i="28"/>
  <c r="H2" i="28"/>
  <c r="I6" i="28"/>
  <c r="I17" i="28"/>
  <c r="I28" i="28"/>
  <c r="I24" i="28"/>
  <c r="I7" i="28"/>
  <c r="I21" i="28"/>
  <c r="I12" i="28"/>
  <c r="I9" i="28"/>
  <c r="I14" i="28"/>
  <c r="I4" i="28"/>
  <c r="I11" i="28"/>
  <c r="I23" i="28"/>
  <c r="I19" i="28"/>
  <c r="I13" i="28"/>
  <c r="I27" i="28"/>
  <c r="I30" i="28"/>
  <c r="I15" i="28"/>
  <c r="I5" i="28"/>
  <c r="I18" i="28"/>
  <c r="I31" i="28"/>
  <c r="I3" i="28"/>
  <c r="I29" i="28"/>
  <c r="I16" i="28"/>
  <c r="I26" i="28"/>
  <c r="I10" i="28"/>
  <c r="I25" i="28"/>
  <c r="I22" i="28"/>
  <c r="I20" i="28"/>
  <c r="I8" i="28"/>
  <c r="I2" i="28"/>
  <c r="H6" i="28"/>
  <c r="H28" i="28"/>
  <c r="H24" i="28"/>
  <c r="H7" i="28"/>
  <c r="H21" i="28"/>
  <c r="H12" i="28"/>
  <c r="H9" i="28"/>
  <c r="H14" i="28"/>
  <c r="H4" i="28"/>
  <c r="H11" i="28"/>
  <c r="H23" i="28"/>
  <c r="H19" i="28"/>
  <c r="H13" i="28"/>
  <c r="H27" i="28"/>
  <c r="H30" i="28"/>
  <c r="H15" i="28"/>
  <c r="H5" i="28"/>
  <c r="H18" i="28"/>
  <c r="H31" i="28"/>
  <c r="H3" i="28"/>
  <c r="H29" i="28"/>
  <c r="H16" i="28"/>
  <c r="H26" i="28"/>
  <c r="H10" i="28"/>
  <c r="H25" i="28"/>
  <c r="H22" i="28"/>
  <c r="H20" i="28"/>
  <c r="B79" i="28"/>
  <c r="B78" i="28"/>
  <c r="B77" i="28"/>
  <c r="D92" i="28"/>
  <c r="D91" i="28"/>
  <c r="D90" i="28"/>
  <c r="N8" i="15"/>
  <c r="N14" i="15"/>
  <c r="N15" i="15"/>
  <c r="N18" i="15"/>
  <c r="N21" i="15"/>
  <c r="N2" i="15"/>
  <c r="B93" i="28" s="1"/>
  <c r="N4" i="15"/>
  <c r="N17" i="15"/>
  <c r="N12" i="15"/>
  <c r="N13" i="15"/>
  <c r="N20" i="15"/>
  <c r="N7" i="15"/>
  <c r="N6" i="15"/>
  <c r="N19" i="15"/>
  <c r="N5" i="15"/>
  <c r="N3" i="15"/>
  <c r="N9" i="15"/>
  <c r="N10" i="15"/>
  <c r="N11" i="15"/>
  <c r="N16" i="15"/>
  <c r="O8" i="15"/>
  <c r="O14" i="15"/>
  <c r="O15" i="15"/>
  <c r="O18" i="15"/>
  <c r="O21" i="15"/>
  <c r="O2" i="15"/>
  <c r="B94" i="28" s="1"/>
  <c r="O4" i="15"/>
  <c r="O17" i="15"/>
  <c r="O12" i="15"/>
  <c r="O13" i="15"/>
  <c r="O20" i="15"/>
  <c r="O7" i="15"/>
  <c r="O6" i="15"/>
  <c r="O19" i="15"/>
  <c r="O5" i="15"/>
  <c r="O3" i="15"/>
  <c r="O9" i="15"/>
  <c r="O10" i="15"/>
  <c r="O11" i="15"/>
  <c r="O16" i="15"/>
  <c r="M8" i="15"/>
  <c r="M14" i="15"/>
  <c r="M15" i="15"/>
  <c r="M18" i="15"/>
  <c r="M21" i="15"/>
  <c r="M2" i="15"/>
  <c r="B92" i="28" s="1"/>
  <c r="M4" i="15"/>
  <c r="M17" i="15"/>
  <c r="M12" i="15"/>
  <c r="M13" i="15"/>
  <c r="M20" i="15"/>
  <c r="M7" i="15"/>
  <c r="M6" i="15"/>
  <c r="M19" i="15"/>
  <c r="M5" i="15"/>
  <c r="M3" i="15"/>
  <c r="M9" i="15"/>
  <c r="M10" i="15"/>
  <c r="M11" i="15"/>
  <c r="M16" i="15"/>
  <c r="L8" i="15"/>
  <c r="L14" i="15"/>
  <c r="L15" i="15"/>
  <c r="L18" i="15"/>
  <c r="L21" i="15"/>
  <c r="L2" i="15"/>
  <c r="B91" i="28" s="1"/>
  <c r="L4" i="15"/>
  <c r="L17" i="15"/>
  <c r="L12" i="15"/>
  <c r="L13" i="15"/>
  <c r="L20" i="15"/>
  <c r="L7" i="15"/>
  <c r="L6" i="15"/>
  <c r="L19" i="15"/>
  <c r="L5" i="15"/>
  <c r="L3" i="15"/>
  <c r="L9" i="15"/>
  <c r="L10" i="15"/>
  <c r="L11" i="15"/>
  <c r="L16" i="15"/>
  <c r="K8" i="15"/>
  <c r="K14" i="15"/>
  <c r="K15" i="15"/>
  <c r="K18" i="15"/>
  <c r="K21" i="15"/>
  <c r="K2" i="15"/>
  <c r="K4" i="15"/>
  <c r="K17" i="15"/>
  <c r="K12" i="15"/>
  <c r="K13" i="15"/>
  <c r="K20" i="15"/>
  <c r="K7" i="15"/>
  <c r="B90" i="28" s="1"/>
  <c r="K6" i="15"/>
  <c r="K19" i="15"/>
  <c r="K5" i="15"/>
  <c r="K3" i="15"/>
  <c r="K9" i="15"/>
  <c r="K10" i="15"/>
  <c r="K11" i="15"/>
  <c r="K16" i="15"/>
  <c r="J8" i="15"/>
  <c r="J14" i="15"/>
  <c r="J15" i="15"/>
  <c r="J18" i="15"/>
  <c r="J21" i="15"/>
  <c r="J2" i="15"/>
  <c r="B89" i="28" s="1"/>
  <c r="J4" i="15"/>
  <c r="J17" i="15"/>
  <c r="J12" i="15"/>
  <c r="J13" i="15"/>
  <c r="J20" i="15"/>
  <c r="J7" i="15"/>
  <c r="J6" i="15"/>
  <c r="J19" i="15"/>
  <c r="J5" i="15"/>
  <c r="J3" i="15"/>
  <c r="J9" i="15"/>
  <c r="J10" i="15"/>
  <c r="J11" i="15"/>
  <c r="J16" i="15"/>
  <c r="AI60" i="28"/>
  <c r="AJ60" i="28"/>
  <c r="AJ63" i="28"/>
  <c r="AJ64" i="28"/>
  <c r="AJ57" i="28"/>
  <c r="AJ49" i="28"/>
  <c r="AJ39" i="28"/>
  <c r="AJ47" i="28"/>
  <c r="AJ44" i="28"/>
  <c r="AJ41" i="28"/>
  <c r="AJ53" i="28"/>
  <c r="AJ54" i="28"/>
  <c r="AJ48" i="28"/>
  <c r="AJ37" i="28"/>
  <c r="AJ61" i="28"/>
  <c r="AJ59" i="28"/>
  <c r="AJ40" i="28"/>
  <c r="AJ36" i="28"/>
  <c r="AJ58" i="28"/>
  <c r="AJ52" i="28"/>
  <c r="AJ38" i="28"/>
  <c r="AJ42" i="28"/>
  <c r="AJ55" i="28"/>
  <c r="AJ56" i="28"/>
  <c r="AJ45" i="28"/>
  <c r="AJ65" i="28"/>
  <c r="AJ46" i="28"/>
  <c r="AJ62" i="28"/>
  <c r="AJ50" i="28"/>
  <c r="AJ43" i="28"/>
  <c r="AJ51" i="28"/>
  <c r="AI63" i="28"/>
  <c r="AI64" i="28"/>
  <c r="AI57" i="28"/>
  <c r="AI49" i="28"/>
  <c r="AI39" i="28"/>
  <c r="AI47" i="28"/>
  <c r="AI44" i="28"/>
  <c r="AI41" i="28"/>
  <c r="AI53" i="28"/>
  <c r="AI54" i="28"/>
  <c r="AI48" i="28"/>
  <c r="AI37" i="28"/>
  <c r="AI61" i="28"/>
  <c r="AI59" i="28"/>
  <c r="AI40" i="28"/>
  <c r="AI36" i="28"/>
  <c r="AI58" i="28"/>
  <c r="AI52" i="28"/>
  <c r="AI38" i="28"/>
  <c r="AI42" i="28"/>
  <c r="AI55" i="28"/>
  <c r="AI56" i="28"/>
  <c r="AI45" i="28"/>
  <c r="AI65" i="28"/>
  <c r="AI46" i="28"/>
  <c r="AI62" i="28"/>
  <c r="AI50" i="28"/>
  <c r="AI43" i="28"/>
  <c r="AI51" i="28"/>
  <c r="C2" i="24"/>
  <c r="E2" i="24" s="1"/>
  <c r="Z58" i="28"/>
  <c r="Z53" i="28"/>
  <c r="Y53" i="28"/>
  <c r="Z59" i="28"/>
  <c r="Y52" i="28"/>
  <c r="Z55" i="28"/>
  <c r="Y47" i="28"/>
  <c r="Z45" i="28"/>
  <c r="Y50" i="28"/>
  <c r="Z63" i="28"/>
  <c r="Y41" i="28"/>
  <c r="Z37" i="28"/>
  <c r="Y57" i="28"/>
  <c r="Z36" i="28"/>
  <c r="Y38" i="28"/>
  <c r="Y61" i="28"/>
  <c r="Y58" i="28"/>
  <c r="Z64" i="28"/>
  <c r="Y59" i="28"/>
  <c r="Z52" i="28"/>
  <c r="Y48" i="28"/>
  <c r="Y55" i="28"/>
  <c r="Z46" i="28"/>
  <c r="Y45" i="28"/>
  <c r="Z50" i="28"/>
  <c r="Y65" i="28"/>
  <c r="Y63" i="28"/>
  <c r="Z44" i="28"/>
  <c r="Y37" i="28"/>
  <c r="Z57" i="28"/>
  <c r="Y40" i="28"/>
  <c r="Y36" i="28"/>
  <c r="Z56" i="28"/>
  <c r="Z62" i="28"/>
  <c r="Y62" i="28"/>
  <c r="Z61" i="28"/>
  <c r="Y64" i="28"/>
  <c r="Z49" i="28"/>
  <c r="Y49" i="28"/>
  <c r="Z42" i="28"/>
  <c r="Y42" i="28"/>
  <c r="Z48" i="28"/>
  <c r="Y46" i="28"/>
  <c r="Z43" i="28"/>
  <c r="Y43" i="28"/>
  <c r="Z47" i="28"/>
  <c r="Z60" i="28"/>
  <c r="Y60" i="28"/>
  <c r="Z65" i="28"/>
  <c r="Y44" i="28"/>
  <c r="Z51" i="28"/>
  <c r="Y51" i="28"/>
  <c r="Z41" i="28"/>
  <c r="Z54" i="28"/>
  <c r="Y54" i="28"/>
  <c r="Z40" i="28"/>
  <c r="Y56" i="28"/>
  <c r="Z39" i="28"/>
  <c r="Y39" i="28"/>
  <c r="Z38" i="28"/>
  <c r="E54" i="28"/>
  <c r="F64" i="28"/>
  <c r="E60" i="28"/>
  <c r="F65" i="28"/>
  <c r="E65" i="28"/>
  <c r="F62" i="28"/>
  <c r="E59" i="28"/>
  <c r="F45" i="28"/>
  <c r="E58" i="28"/>
  <c r="F49" i="28"/>
  <c r="E49" i="28"/>
  <c r="F57" i="28"/>
  <c r="F47" i="28"/>
  <c r="E47" i="28"/>
  <c r="F52" i="28"/>
  <c r="E46" i="28"/>
  <c r="F41" i="28"/>
  <c r="E41" i="28"/>
  <c r="F42" i="28"/>
  <c r="E55" i="28"/>
  <c r="F37" i="28"/>
  <c r="E40" i="28"/>
  <c r="F39" i="28"/>
  <c r="E39" i="28"/>
  <c r="F36" i="28"/>
  <c r="Y19" i="28"/>
  <c r="Z6" i="28"/>
  <c r="Z25" i="28"/>
  <c r="Y26" i="28"/>
  <c r="Z3" i="28"/>
  <c r="Y20" i="28"/>
  <c r="Z8" i="28"/>
  <c r="Y8" i="28"/>
  <c r="Z11" i="28"/>
  <c r="Y23" i="28"/>
  <c r="Y5" i="28"/>
  <c r="Z14" i="28"/>
  <c r="Y13" i="28"/>
  <c r="Y12" i="28"/>
  <c r="Z17" i="28"/>
  <c r="Z28" i="28"/>
  <c r="Y28" i="28"/>
  <c r="F54" i="28"/>
  <c r="F38" i="28"/>
  <c r="F40" i="28"/>
  <c r="F56" i="28"/>
  <c r="F55" i="28"/>
  <c r="F61" i="28"/>
  <c r="F51" i="28"/>
  <c r="F46" i="28"/>
  <c r="F48" i="28"/>
  <c r="F63" i="28"/>
  <c r="F50" i="28"/>
  <c r="F58" i="28"/>
  <c r="F53" i="28"/>
  <c r="F59" i="28"/>
  <c r="F43" i="28"/>
  <c r="F44" i="28"/>
  <c r="F60" i="28"/>
  <c r="E36" i="28"/>
  <c r="E38" i="28"/>
  <c r="E37" i="28"/>
  <c r="E56" i="28"/>
  <c r="E61" i="28"/>
  <c r="E42" i="28"/>
  <c r="E51" i="28"/>
  <c r="E52" i="28"/>
  <c r="E48" i="28"/>
  <c r="E63" i="28"/>
  <c r="E57" i="28"/>
  <c r="E50" i="28"/>
  <c r="E45" i="28"/>
  <c r="E53" i="28"/>
  <c r="E43" i="28"/>
  <c r="E62" i="28"/>
  <c r="E44" i="28"/>
  <c r="E64" i="28"/>
  <c r="Z23" i="28"/>
  <c r="Z18" i="28"/>
  <c r="Z5" i="28"/>
  <c r="Z12" i="28"/>
  <c r="Z10" i="28"/>
  <c r="Z15" i="28"/>
  <c r="Z9" i="28"/>
  <c r="Z19" i="28"/>
  <c r="Z22" i="28"/>
  <c r="Z31" i="28"/>
  <c r="Z21" i="28"/>
  <c r="Z24" i="28"/>
  <c r="Z29" i="28"/>
  <c r="Z27" i="28"/>
  <c r="Z26" i="28"/>
  <c r="Z13" i="28"/>
  <c r="Z4" i="28"/>
  <c r="Z30" i="28"/>
  <c r="Z16" i="28"/>
  <c r="Z7" i="28"/>
  <c r="Z20" i="28"/>
  <c r="Z2" i="28"/>
  <c r="Y3" i="28"/>
  <c r="Y14" i="28"/>
  <c r="Y11" i="28"/>
  <c r="Y18" i="28"/>
  <c r="Y10" i="28"/>
  <c r="Y15" i="28"/>
  <c r="Y9" i="28"/>
  <c r="Y25" i="28"/>
  <c r="Y22" i="28"/>
  <c r="Y31" i="28"/>
  <c r="Y21" i="28"/>
  <c r="Y6" i="28"/>
  <c r="Y24" i="28"/>
  <c r="Y29" i="28"/>
  <c r="Y27" i="28"/>
  <c r="Y4" i="28"/>
  <c r="Y30" i="28"/>
  <c r="Y16" i="28"/>
  <c r="Y17" i="28"/>
  <c r="Y7" i="28"/>
  <c r="Y2" i="28"/>
  <c r="AI5" i="28"/>
  <c r="AI24" i="28"/>
  <c r="AI2" i="28"/>
  <c r="AI6" i="28"/>
  <c r="AI21" i="28"/>
  <c r="AI26" i="28"/>
  <c r="AI23" i="28"/>
  <c r="AI3" i="28"/>
  <c r="AI10" i="28"/>
  <c r="AI18" i="28"/>
  <c r="AI7" i="28"/>
  <c r="AI8" i="28"/>
  <c r="AI13" i="28"/>
  <c r="AI30" i="28"/>
  <c r="AI16" i="28"/>
  <c r="AI31" i="28"/>
  <c r="AI19" i="28"/>
  <c r="AI15" i="28"/>
  <c r="AI28" i="28"/>
  <c r="AI22" i="28"/>
  <c r="AI9" i="28"/>
  <c r="AI17" i="28"/>
  <c r="AI25" i="28"/>
  <c r="AI27" i="28"/>
  <c r="AI12" i="28"/>
  <c r="AI20" i="28"/>
  <c r="AI29" i="28"/>
  <c r="AI11" i="28"/>
  <c r="AI14" i="28"/>
  <c r="AI4" i="28"/>
  <c r="AH5" i="28"/>
  <c r="AH24" i="28"/>
  <c r="AH2" i="28"/>
  <c r="AH6" i="28"/>
  <c r="AH21" i="28"/>
  <c r="AH26" i="28"/>
  <c r="AH23" i="28"/>
  <c r="AH3" i="28"/>
  <c r="AH10" i="28"/>
  <c r="AH18" i="28"/>
  <c r="AH7" i="28"/>
  <c r="AH8" i="28"/>
  <c r="AH13" i="28"/>
  <c r="AH30" i="28"/>
  <c r="AH16" i="28"/>
  <c r="AH31" i="28"/>
  <c r="AH19" i="28"/>
  <c r="AH15" i="28"/>
  <c r="AH28" i="28"/>
  <c r="AH22" i="28"/>
  <c r="AH9" i="28"/>
  <c r="AH17" i="28"/>
  <c r="AH25" i="28"/>
  <c r="AH27" i="28"/>
  <c r="AH12" i="28"/>
  <c r="AH20" i="28"/>
  <c r="AH29" i="28"/>
  <c r="AH11" i="28"/>
  <c r="AH14" i="28"/>
  <c r="AH4" i="28"/>
  <c r="P22" i="28"/>
  <c r="P5" i="28"/>
  <c r="P7" i="28"/>
  <c r="P2" i="28"/>
  <c r="P17" i="28"/>
  <c r="P6" i="28"/>
  <c r="P25" i="28"/>
  <c r="P24" i="28"/>
  <c r="P30" i="28"/>
  <c r="P10" i="28"/>
  <c r="P18" i="28"/>
  <c r="P9" i="28"/>
  <c r="P3" i="28"/>
  <c r="P13" i="28"/>
  <c r="P21" i="28"/>
  <c r="P16" i="28"/>
  <c r="P14" i="28"/>
  <c r="P8" i="28"/>
  <c r="P31" i="28"/>
  <c r="P26" i="28"/>
  <c r="P19" i="28"/>
  <c r="P23" i="28"/>
  <c r="P20" i="28"/>
  <c r="P4" i="28"/>
  <c r="P28" i="28"/>
  <c r="P12" i="28"/>
  <c r="P27" i="28"/>
  <c r="P29" i="28"/>
  <c r="P11" i="28"/>
  <c r="P15" i="28"/>
  <c r="O22" i="28"/>
  <c r="O5" i="28"/>
  <c r="O7" i="28"/>
  <c r="O2" i="28"/>
  <c r="O17" i="28"/>
  <c r="O6" i="28"/>
  <c r="O25" i="28"/>
  <c r="O24" i="28"/>
  <c r="O30" i="28"/>
  <c r="O10" i="28"/>
  <c r="O18" i="28"/>
  <c r="O9" i="28"/>
  <c r="O3" i="28"/>
  <c r="O13" i="28"/>
  <c r="O21" i="28"/>
  <c r="O16" i="28"/>
  <c r="O14" i="28"/>
  <c r="O8" i="28"/>
  <c r="O31" i="28"/>
  <c r="O26" i="28"/>
  <c r="O19" i="28"/>
  <c r="O23" i="28"/>
  <c r="O20" i="28"/>
  <c r="O4" i="28"/>
  <c r="O28" i="28"/>
  <c r="O27" i="28"/>
  <c r="O29" i="28"/>
  <c r="O11" i="28"/>
  <c r="O15" i="28"/>
  <c r="F2" i="28"/>
  <c r="F6" i="28"/>
  <c r="F17" i="28"/>
  <c r="F28" i="28"/>
  <c r="F24" i="28"/>
  <c r="F7" i="28"/>
  <c r="F21" i="28"/>
  <c r="F12" i="28"/>
  <c r="F9" i="28"/>
  <c r="F14" i="28"/>
  <c r="F4" i="28"/>
  <c r="F11" i="28"/>
  <c r="F23" i="28"/>
  <c r="F19" i="28"/>
  <c r="F13" i="28"/>
  <c r="F27" i="28"/>
  <c r="F30" i="28"/>
  <c r="F15" i="28"/>
  <c r="F5" i="28"/>
  <c r="F18" i="28"/>
  <c r="F31" i="28"/>
  <c r="F3" i="28"/>
  <c r="F29" i="28"/>
  <c r="F16" i="28"/>
  <c r="F26" i="28"/>
  <c r="F10" i="28"/>
  <c r="F25" i="28"/>
  <c r="F22" i="28"/>
  <c r="F20" i="28"/>
  <c r="F8" i="28"/>
  <c r="E2" i="28"/>
  <c r="E6" i="28"/>
  <c r="E17" i="28"/>
  <c r="E28" i="28"/>
  <c r="E24" i="28"/>
  <c r="E7" i="28"/>
  <c r="E21" i="28"/>
  <c r="E12" i="28"/>
  <c r="E9" i="28"/>
  <c r="E14" i="28"/>
  <c r="E4" i="28"/>
  <c r="E11" i="28"/>
  <c r="E23" i="28"/>
  <c r="E19" i="28"/>
  <c r="E13" i="28"/>
  <c r="E27" i="28"/>
  <c r="E30" i="28"/>
  <c r="E15" i="28"/>
  <c r="E5" i="28"/>
  <c r="E18" i="28"/>
  <c r="E31" i="28"/>
  <c r="E3" i="28"/>
  <c r="E29" i="28"/>
  <c r="E16" i="28"/>
  <c r="E26" i="28"/>
  <c r="E10" i="28"/>
  <c r="E25" i="28"/>
  <c r="E22" i="28"/>
  <c r="E20" i="28"/>
  <c r="E8" i="28"/>
  <c r="C71" i="24"/>
  <c r="E71" i="24" s="1"/>
  <c r="C153" i="24"/>
  <c r="E153" i="24" s="1"/>
  <c r="C66" i="24"/>
  <c r="E66" i="24" s="1"/>
  <c r="C9" i="24"/>
  <c r="E9" i="24" s="1"/>
  <c r="C40" i="24"/>
  <c r="E40" i="24" s="1"/>
  <c r="C10" i="24"/>
  <c r="E10" i="24" s="1"/>
  <c r="C19" i="24"/>
  <c r="E19" i="24" s="1"/>
  <c r="C12" i="24"/>
  <c r="E12" i="24" s="1"/>
  <c r="C16" i="24"/>
  <c r="E16" i="24" s="1"/>
  <c r="C48" i="24"/>
  <c r="E48" i="24" s="1"/>
  <c r="C14" i="24"/>
  <c r="E14" i="24" s="1"/>
  <c r="C4" i="24"/>
  <c r="E4" i="24" s="1"/>
  <c r="C17" i="24"/>
  <c r="E17" i="24" s="1"/>
  <c r="C121" i="24"/>
  <c r="E121" i="24" s="1"/>
  <c r="C7" i="24"/>
  <c r="E7" i="24" s="1"/>
  <c r="C61" i="24"/>
  <c r="E61" i="24" s="1"/>
  <c r="C42" i="24"/>
  <c r="E42" i="24" s="1"/>
  <c r="C300" i="24"/>
  <c r="E300" i="24" s="1"/>
  <c r="C31" i="24"/>
  <c r="E31" i="24" s="1"/>
  <c r="C22" i="24"/>
  <c r="E22" i="24" s="1"/>
  <c r="C74" i="24"/>
  <c r="E74" i="24" s="1"/>
  <c r="C8" i="24"/>
  <c r="E8" i="24" s="1"/>
  <c r="C5" i="24"/>
  <c r="E5" i="24" s="1"/>
  <c r="C29" i="24"/>
  <c r="E29" i="24" s="1"/>
  <c r="C95" i="24"/>
  <c r="E95" i="24" s="1"/>
  <c r="C11" i="24"/>
  <c r="E11" i="24" s="1"/>
  <c r="C32" i="24"/>
  <c r="E32" i="24" s="1"/>
  <c r="C170" i="24"/>
  <c r="E170" i="24" s="1"/>
  <c r="C18" i="24"/>
  <c r="E18" i="24" s="1"/>
  <c r="C30" i="24"/>
  <c r="E30" i="24" s="1"/>
  <c r="C35" i="24"/>
  <c r="E35" i="24" s="1"/>
  <c r="C96" i="24"/>
  <c r="E96" i="24" s="1"/>
  <c r="C25" i="24"/>
  <c r="E25" i="24" s="1"/>
  <c r="C36" i="24"/>
  <c r="E36" i="24" s="1"/>
  <c r="C3" i="24"/>
  <c r="E3" i="24" s="1"/>
  <c r="C60" i="24"/>
  <c r="E60" i="24" s="1"/>
  <c r="C114" i="24"/>
  <c r="E114" i="24" s="1"/>
  <c r="C49" i="24"/>
  <c r="E49" i="24" s="1"/>
  <c r="C368" i="24"/>
  <c r="E368" i="24" s="1"/>
  <c r="C24" i="24"/>
  <c r="E24" i="24" s="1"/>
  <c r="C26" i="24"/>
  <c r="E26" i="24" s="1"/>
  <c r="C15" i="24"/>
  <c r="E15" i="24" s="1"/>
  <c r="C33" i="24"/>
  <c r="E33" i="24" s="1"/>
  <c r="C39" i="24"/>
  <c r="E39" i="24" s="1"/>
  <c r="C70" i="24"/>
  <c r="E70" i="24" s="1"/>
  <c r="C73" i="24"/>
  <c r="E73" i="24" s="1"/>
  <c r="C46" i="24"/>
  <c r="E46" i="24" s="1"/>
  <c r="C28" i="24"/>
  <c r="E28" i="24" s="1"/>
  <c r="C37" i="24"/>
  <c r="E37" i="24" s="1"/>
  <c r="C51" i="24"/>
  <c r="E51" i="24" s="1"/>
  <c r="C20" i="24"/>
  <c r="E20" i="24" s="1"/>
  <c r="C67" i="24"/>
  <c r="E67" i="24" s="1"/>
  <c r="C50" i="24"/>
  <c r="E50" i="24" s="1"/>
  <c r="C45" i="24"/>
  <c r="E45" i="24" s="1"/>
  <c r="C75" i="24"/>
  <c r="E75" i="24" s="1"/>
  <c r="C103" i="24"/>
  <c r="E103" i="24" s="1"/>
  <c r="C34" i="24"/>
  <c r="E34" i="24" s="1"/>
  <c r="C63" i="24"/>
  <c r="E63" i="24" s="1"/>
  <c r="C56" i="24"/>
  <c r="E56" i="24" s="1"/>
  <c r="C196" i="24"/>
  <c r="E196" i="24" s="1"/>
  <c r="C72" i="24"/>
  <c r="E72" i="24" s="1"/>
  <c r="C81" i="24"/>
  <c r="E81" i="24" s="1"/>
  <c r="C106" i="24"/>
  <c r="E106" i="24" s="1"/>
  <c r="C107" i="24"/>
  <c r="E107" i="24" s="1"/>
  <c r="C41" i="24"/>
  <c r="E41" i="24" s="1"/>
  <c r="C352" i="24"/>
  <c r="E352" i="24" s="1"/>
  <c r="C109" i="24"/>
  <c r="E109" i="24" s="1"/>
  <c r="C90" i="24"/>
  <c r="E90" i="24" s="1"/>
  <c r="C23" i="24"/>
  <c r="E23" i="24" s="1"/>
  <c r="C69" i="24"/>
  <c r="E69" i="24" s="1"/>
  <c r="C38" i="24"/>
  <c r="E38" i="24" s="1"/>
  <c r="C130" i="24"/>
  <c r="E130" i="24" s="1"/>
  <c r="C118" i="24"/>
  <c r="E118" i="24" s="1"/>
  <c r="C80" i="24"/>
  <c r="E80" i="24" s="1"/>
  <c r="C84" i="24"/>
  <c r="E84" i="24" s="1"/>
  <c r="C113" i="24"/>
  <c r="E113" i="24" s="1"/>
  <c r="C143" i="24"/>
  <c r="E143" i="24" s="1"/>
  <c r="C89" i="24"/>
  <c r="E89" i="24" s="1"/>
  <c r="C47" i="24"/>
  <c r="E47" i="24" s="1"/>
  <c r="C21" i="24"/>
  <c r="E21" i="24" s="1"/>
  <c r="C57" i="24"/>
  <c r="E57" i="24" s="1"/>
  <c r="C134" i="24"/>
  <c r="E134" i="24" s="1"/>
  <c r="C68" i="24"/>
  <c r="E68" i="24" s="1"/>
  <c r="C62" i="24"/>
  <c r="E62" i="24" s="1"/>
  <c r="C209" i="24"/>
  <c r="E209" i="24" s="1"/>
  <c r="C27" i="24"/>
  <c r="E27" i="24" s="1"/>
  <c r="C53" i="24"/>
  <c r="E53" i="24" s="1"/>
  <c r="C203" i="24"/>
  <c r="E203" i="24" s="1"/>
  <c r="C82" i="24"/>
  <c r="E82" i="24" s="1"/>
  <c r="C219" i="24"/>
  <c r="E219" i="24" s="1"/>
  <c r="C111" i="24"/>
  <c r="E111" i="24" s="1"/>
  <c r="C123" i="24"/>
  <c r="E123" i="24" s="1"/>
  <c r="C85" i="24"/>
  <c r="E85" i="24" s="1"/>
  <c r="C98" i="24"/>
  <c r="E98" i="24" s="1"/>
  <c r="C43" i="24"/>
  <c r="E43" i="24" s="1"/>
  <c r="C78" i="24"/>
  <c r="E78" i="24" s="1"/>
  <c r="C65" i="24"/>
  <c r="E65" i="24" s="1"/>
  <c r="C94" i="24"/>
  <c r="E94" i="24" s="1"/>
  <c r="C88" i="24"/>
  <c r="E88" i="24" s="1"/>
  <c r="C92" i="24"/>
  <c r="E92" i="24" s="1"/>
  <c r="C119" i="24"/>
  <c r="E119" i="24" s="1"/>
  <c r="C6" i="24"/>
  <c r="E6" i="24" s="1"/>
  <c r="C124" i="24"/>
  <c r="E124" i="24" s="1"/>
  <c r="C151" i="24"/>
  <c r="E151" i="24" s="1"/>
  <c r="C79" i="24"/>
  <c r="E79" i="24" s="1"/>
  <c r="C128" i="24"/>
  <c r="E128" i="24" s="1"/>
  <c r="C108" i="24"/>
  <c r="E108" i="24" s="1"/>
  <c r="C136" i="24"/>
  <c r="E136" i="24" s="1"/>
  <c r="C180" i="24"/>
  <c r="E180" i="24" s="1"/>
  <c r="C332" i="24"/>
  <c r="E332" i="24" s="1"/>
  <c r="C116" i="24"/>
  <c r="E116" i="24" s="1"/>
  <c r="C91" i="24"/>
  <c r="E91" i="24" s="1"/>
  <c r="C147" i="24"/>
  <c r="E147" i="24" s="1"/>
  <c r="C163" i="24"/>
  <c r="E163" i="24" s="1"/>
  <c r="C227" i="24"/>
  <c r="E227" i="24" s="1"/>
  <c r="C117" i="24"/>
  <c r="E117" i="24" s="1"/>
  <c r="C64" i="24"/>
  <c r="E64" i="24" s="1"/>
  <c r="C282" i="24"/>
  <c r="E282" i="24" s="1"/>
  <c r="C125" i="24"/>
  <c r="E125" i="24" s="1"/>
  <c r="C133" i="24"/>
  <c r="E133" i="24" s="1"/>
  <c r="C191" i="24"/>
  <c r="E191" i="24" s="1"/>
  <c r="C187" i="24"/>
  <c r="E187" i="24" s="1"/>
  <c r="C137" i="24"/>
  <c r="E137" i="24" s="1"/>
  <c r="C140" i="24"/>
  <c r="E140" i="24" s="1"/>
  <c r="C181" i="24"/>
  <c r="E181" i="24" s="1"/>
  <c r="C105" i="24"/>
  <c r="E105" i="24" s="1"/>
  <c r="C138" i="24"/>
  <c r="E138" i="24" s="1"/>
  <c r="C185" i="24"/>
  <c r="E185" i="24" s="1"/>
  <c r="C52" i="24"/>
  <c r="E52" i="24" s="1"/>
  <c r="C183" i="24"/>
  <c r="E183" i="24" s="1"/>
  <c r="C168" i="24"/>
  <c r="E168" i="24" s="1"/>
  <c r="C132" i="24"/>
  <c r="E132" i="24" s="1"/>
  <c r="C112" i="24"/>
  <c r="E112" i="24" s="1"/>
  <c r="C342" i="24"/>
  <c r="E342" i="24" s="1"/>
  <c r="C135" i="24"/>
  <c r="E135" i="24" s="1"/>
  <c r="C97" i="24"/>
  <c r="E97" i="24" s="1"/>
  <c r="C158" i="24"/>
  <c r="E158" i="24" s="1"/>
  <c r="C104" i="24"/>
  <c r="E104" i="24" s="1"/>
  <c r="C155" i="24"/>
  <c r="E155" i="24" s="1"/>
  <c r="C100" i="24"/>
  <c r="E100" i="24" s="1"/>
  <c r="C156" i="24"/>
  <c r="E156" i="24" s="1"/>
  <c r="C44" i="24"/>
  <c r="E44" i="24" s="1"/>
  <c r="C86" i="24"/>
  <c r="E86" i="24" s="1"/>
  <c r="C13" i="24"/>
  <c r="E13" i="24" s="1"/>
  <c r="C141" i="24"/>
  <c r="E141" i="24" s="1"/>
  <c r="C171" i="24"/>
  <c r="E171" i="24" s="1"/>
  <c r="C110" i="24"/>
  <c r="E110" i="24" s="1"/>
  <c r="C149" i="24"/>
  <c r="E149" i="24" s="1"/>
  <c r="C161" i="24"/>
  <c r="E161" i="24" s="1"/>
  <c r="C145" i="24"/>
  <c r="E145" i="24" s="1"/>
  <c r="C76" i="24"/>
  <c r="E76" i="24" s="1"/>
  <c r="C55" i="24"/>
  <c r="E55" i="24" s="1"/>
  <c r="C152" i="24"/>
  <c r="E152" i="24" s="1"/>
  <c r="C190" i="24"/>
  <c r="E190" i="24" s="1"/>
  <c r="C249" i="24"/>
  <c r="E249" i="24" s="1"/>
  <c r="C159" i="24"/>
  <c r="E159" i="24" s="1"/>
  <c r="C198" i="24"/>
  <c r="E198" i="24" s="1"/>
  <c r="C184" i="24"/>
  <c r="E184" i="24" s="1"/>
  <c r="C206" i="24"/>
  <c r="E206" i="24" s="1"/>
  <c r="C131" i="24"/>
  <c r="E131" i="24" s="1"/>
  <c r="C160" i="24"/>
  <c r="E160" i="24" s="1"/>
  <c r="C115" i="24"/>
  <c r="E115" i="24" s="1"/>
  <c r="C87" i="24"/>
  <c r="E87" i="24" s="1"/>
  <c r="C139" i="24"/>
  <c r="E139" i="24" s="1"/>
  <c r="C99" i="24"/>
  <c r="E99" i="24" s="1"/>
  <c r="C210" i="24"/>
  <c r="E210" i="24" s="1"/>
  <c r="C212" i="24"/>
  <c r="E212" i="24" s="1"/>
  <c r="C186" i="24"/>
  <c r="E186" i="24" s="1"/>
  <c r="C228" i="24"/>
  <c r="E228" i="24" s="1"/>
  <c r="C127" i="24"/>
  <c r="E127" i="24" s="1"/>
  <c r="C172" i="24"/>
  <c r="E172" i="24" s="1"/>
  <c r="C120" i="24"/>
  <c r="E120" i="24" s="1"/>
  <c r="C195" i="24"/>
  <c r="E195" i="24" s="1"/>
  <c r="C246" i="24"/>
  <c r="E246" i="24" s="1"/>
  <c r="C193" i="24"/>
  <c r="E193" i="24" s="1"/>
  <c r="C77" i="24"/>
  <c r="E77" i="24" s="1"/>
  <c r="C166" i="24"/>
  <c r="E166" i="24" s="1"/>
  <c r="C222" i="24"/>
  <c r="E222" i="24" s="1"/>
  <c r="C154" i="24"/>
  <c r="E154" i="24" s="1"/>
  <c r="C54" i="24"/>
  <c r="E54" i="24" s="1"/>
  <c r="C176" i="24"/>
  <c r="E176" i="24" s="1"/>
  <c r="C221" i="24"/>
  <c r="E221" i="24" s="1"/>
  <c r="C220" i="24"/>
  <c r="E220" i="24" s="1"/>
  <c r="C265" i="24"/>
  <c r="E265" i="24" s="1"/>
  <c r="C59" i="24"/>
  <c r="E59" i="24" s="1"/>
  <c r="C144" i="24"/>
  <c r="E144" i="24" s="1"/>
  <c r="C122" i="24"/>
  <c r="E122" i="24" s="1"/>
  <c r="C192" i="24"/>
  <c r="E192" i="24" s="1"/>
  <c r="C126" i="24"/>
  <c r="E126" i="24" s="1"/>
  <c r="C194" i="24"/>
  <c r="E194" i="24" s="1"/>
  <c r="C93" i="24"/>
  <c r="E93" i="24" s="1"/>
  <c r="C230" i="24"/>
  <c r="E230" i="24" s="1"/>
  <c r="C207" i="24"/>
  <c r="E207" i="24" s="1"/>
  <c r="C237" i="24"/>
  <c r="E237" i="24" s="1"/>
  <c r="C264" i="24"/>
  <c r="E264" i="24" s="1"/>
  <c r="C216" i="24"/>
  <c r="E216" i="24" s="1"/>
  <c r="C223" i="24"/>
  <c r="E223" i="24" s="1"/>
  <c r="C200" i="24"/>
  <c r="E200" i="24" s="1"/>
  <c r="C254" i="24"/>
  <c r="E254" i="24" s="1"/>
  <c r="C178" i="24"/>
  <c r="E178" i="24" s="1"/>
  <c r="C258" i="24"/>
  <c r="E258" i="24" s="1"/>
  <c r="C283" i="24"/>
  <c r="E283" i="24" s="1"/>
  <c r="C150" i="24"/>
  <c r="E150" i="24" s="1"/>
  <c r="C169" i="24"/>
  <c r="E169" i="24" s="1"/>
  <c r="C197" i="24"/>
  <c r="E197" i="24" s="1"/>
  <c r="C211" i="24"/>
  <c r="E211" i="24" s="1"/>
  <c r="C255" i="24"/>
  <c r="E255" i="24" s="1"/>
  <c r="C175" i="24"/>
  <c r="E175" i="24" s="1"/>
  <c r="C364" i="24"/>
  <c r="E364" i="24" s="1"/>
  <c r="C330" i="24"/>
  <c r="E330" i="24" s="1"/>
  <c r="C234" i="24"/>
  <c r="E234" i="24" s="1"/>
  <c r="C217" i="24"/>
  <c r="E217" i="24" s="1"/>
  <c r="C101" i="24"/>
  <c r="E101" i="24" s="1"/>
  <c r="C260" i="24"/>
  <c r="E260" i="24" s="1"/>
  <c r="C204" i="24"/>
  <c r="E204" i="24" s="1"/>
  <c r="C164" i="24"/>
  <c r="E164" i="24" s="1"/>
  <c r="C179" i="24"/>
  <c r="E179" i="24" s="1"/>
  <c r="C232" i="24"/>
  <c r="E232" i="24" s="1"/>
  <c r="C236" i="24"/>
  <c r="E236" i="24" s="1"/>
  <c r="C241" i="24"/>
  <c r="E241" i="24" s="1"/>
  <c r="C225" i="24"/>
  <c r="E225" i="24" s="1"/>
  <c r="C275" i="24"/>
  <c r="E275" i="24" s="1"/>
  <c r="C83" i="24"/>
  <c r="E83" i="24" s="1"/>
  <c r="C226" i="24"/>
  <c r="E226" i="24" s="1"/>
  <c r="C201" i="24"/>
  <c r="E201" i="24" s="1"/>
  <c r="C102" i="24"/>
  <c r="E102" i="24" s="1"/>
  <c r="C213" i="24"/>
  <c r="E213" i="24" s="1"/>
  <c r="C235" i="24"/>
  <c r="E235" i="24" s="1"/>
  <c r="C162" i="24"/>
  <c r="E162" i="24" s="1"/>
  <c r="C205" i="24"/>
  <c r="E205" i="24" s="1"/>
  <c r="C307" i="24"/>
  <c r="E307" i="24" s="1"/>
  <c r="C231" i="24"/>
  <c r="E231" i="24" s="1"/>
  <c r="C157" i="24"/>
  <c r="E157" i="24" s="1"/>
  <c r="C129" i="24"/>
  <c r="E129" i="24" s="1"/>
  <c r="C245" i="24"/>
  <c r="E245" i="24" s="1"/>
  <c r="C272" i="24"/>
  <c r="E272" i="24" s="1"/>
  <c r="C142" i="24"/>
  <c r="E142" i="24" s="1"/>
  <c r="C262" i="24"/>
  <c r="E262" i="24" s="1"/>
  <c r="C242" i="24"/>
  <c r="E242" i="24" s="1"/>
  <c r="C173" i="24"/>
  <c r="E173" i="24" s="1"/>
  <c r="C174" i="24"/>
  <c r="E174" i="24" s="1"/>
  <c r="C202" i="24"/>
  <c r="E202" i="24" s="1"/>
  <c r="C280" i="24"/>
  <c r="E280" i="24" s="1"/>
  <c r="C256" i="24"/>
  <c r="E256" i="24" s="1"/>
  <c r="C146" i="24"/>
  <c r="E146" i="24" s="1"/>
  <c r="C247" i="24"/>
  <c r="E247" i="24" s="1"/>
  <c r="C278" i="24"/>
  <c r="E278" i="24" s="1"/>
  <c r="C215" i="24"/>
  <c r="E215" i="24" s="1"/>
  <c r="C148" i="24"/>
  <c r="E148" i="24" s="1"/>
  <c r="C277" i="24"/>
  <c r="E277" i="24" s="1"/>
  <c r="C250" i="24"/>
  <c r="E250" i="24" s="1"/>
  <c r="C261" i="24"/>
  <c r="E261" i="24" s="1"/>
  <c r="C308" i="24"/>
  <c r="E308" i="24" s="1"/>
  <c r="C253" i="24"/>
  <c r="E253" i="24" s="1"/>
  <c r="C291" i="24"/>
  <c r="E291" i="24" s="1"/>
  <c r="C189" i="24"/>
  <c r="E189" i="24" s="1"/>
  <c r="C240" i="24"/>
  <c r="E240" i="24" s="1"/>
  <c r="C233" i="24"/>
  <c r="E233" i="24" s="1"/>
  <c r="C273" i="24"/>
  <c r="E273" i="24" s="1"/>
  <c r="C287" i="24"/>
  <c r="E287" i="24" s="1"/>
  <c r="C167" i="24"/>
  <c r="E167" i="24" s="1"/>
  <c r="C238" i="24"/>
  <c r="E238" i="24" s="1"/>
  <c r="C274" i="24"/>
  <c r="E274" i="24" s="1"/>
  <c r="C263" i="24"/>
  <c r="E263" i="24" s="1"/>
  <c r="C294" i="24"/>
  <c r="E294" i="24" s="1"/>
  <c r="C306" i="24"/>
  <c r="E306" i="24" s="1"/>
  <c r="C295" i="24"/>
  <c r="E295" i="24" s="1"/>
  <c r="C248" i="24"/>
  <c r="E248" i="24" s="1"/>
  <c r="C270" i="24"/>
  <c r="E270" i="24" s="1"/>
  <c r="C305" i="24"/>
  <c r="E305" i="24" s="1"/>
  <c r="C292" i="24"/>
  <c r="E292" i="24" s="1"/>
  <c r="C285" i="24"/>
  <c r="E285" i="24" s="1"/>
  <c r="C182" i="24"/>
  <c r="E182" i="24" s="1"/>
  <c r="C310" i="24"/>
  <c r="E310" i="24" s="1"/>
  <c r="C269" i="24"/>
  <c r="E269" i="24" s="1"/>
  <c r="C281" i="24"/>
  <c r="E281" i="24" s="1"/>
  <c r="C290" i="24"/>
  <c r="E290" i="24" s="1"/>
  <c r="C296" i="24"/>
  <c r="E296" i="24" s="1"/>
  <c r="C288" i="24"/>
  <c r="E288" i="24" s="1"/>
  <c r="C177" i="24"/>
  <c r="E177" i="24" s="1"/>
  <c r="C271" i="24"/>
  <c r="E271" i="24" s="1"/>
  <c r="C251" i="24"/>
  <c r="E251" i="24" s="1"/>
  <c r="C208" i="24"/>
  <c r="E208" i="24" s="1"/>
  <c r="C214" i="24"/>
  <c r="E214" i="24" s="1"/>
  <c r="C312" i="24"/>
  <c r="E312" i="24" s="1"/>
  <c r="C259" i="24"/>
  <c r="E259" i="24" s="1"/>
  <c r="C188" i="24"/>
  <c r="E188" i="24" s="1"/>
  <c r="C199" i="24"/>
  <c r="E199" i="24" s="1"/>
  <c r="C244" i="24"/>
  <c r="E244" i="24" s="1"/>
  <c r="C315" i="24"/>
  <c r="E315" i="24" s="1"/>
  <c r="C301" i="24"/>
  <c r="E301" i="24" s="1"/>
  <c r="C276" i="24"/>
  <c r="E276" i="24" s="1"/>
  <c r="C239" i="24"/>
  <c r="E239" i="24" s="1"/>
  <c r="C218" i="24"/>
  <c r="E218" i="24" s="1"/>
  <c r="C224" i="24"/>
  <c r="E224" i="24" s="1"/>
  <c r="C284" i="24"/>
  <c r="E284" i="24" s="1"/>
  <c r="C293" i="24"/>
  <c r="E293" i="24" s="1"/>
  <c r="C316" i="24"/>
  <c r="E316" i="24" s="1"/>
  <c r="C365" i="24"/>
  <c r="E365" i="24" s="1"/>
  <c r="C331" i="24"/>
  <c r="E331" i="24" s="1"/>
  <c r="C286" i="24"/>
  <c r="E286" i="24" s="1"/>
  <c r="C339" i="24"/>
  <c r="E339" i="24" s="1"/>
  <c r="C297" i="24"/>
  <c r="E297" i="24" s="1"/>
  <c r="C325" i="24"/>
  <c r="E325" i="24" s="1"/>
  <c r="C266" i="24"/>
  <c r="E266" i="24" s="1"/>
  <c r="C165" i="24"/>
  <c r="E165" i="24" s="1"/>
  <c r="C311" i="24"/>
  <c r="E311" i="24" s="1"/>
  <c r="C289" i="24"/>
  <c r="E289" i="24" s="1"/>
  <c r="C309" i="24"/>
  <c r="E309" i="24" s="1"/>
  <c r="C303" i="24"/>
  <c r="E303" i="24" s="1"/>
  <c r="C323" i="24"/>
  <c r="E323" i="24" s="1"/>
  <c r="C302" i="24"/>
  <c r="E302" i="24" s="1"/>
  <c r="C279" i="24"/>
  <c r="E279" i="24" s="1"/>
  <c r="C298" i="24"/>
  <c r="E298" i="24" s="1"/>
  <c r="C304" i="24"/>
  <c r="E304" i="24" s="1"/>
  <c r="C314" i="24"/>
  <c r="E314" i="24" s="1"/>
  <c r="C326" i="24"/>
  <c r="E326" i="24" s="1"/>
  <c r="C318" i="24"/>
  <c r="E318" i="24" s="1"/>
  <c r="C340" i="24"/>
  <c r="E340" i="24" s="1"/>
  <c r="C268" i="24"/>
  <c r="E268" i="24" s="1"/>
  <c r="C322" i="24"/>
  <c r="E322" i="24" s="1"/>
  <c r="C321" i="24"/>
  <c r="E321" i="24" s="1"/>
  <c r="C334" i="24"/>
  <c r="E334" i="24" s="1"/>
  <c r="C338" i="24"/>
  <c r="E338" i="24" s="1"/>
  <c r="C328" i="24"/>
  <c r="E328" i="24" s="1"/>
  <c r="C363" i="24"/>
  <c r="E363" i="24" s="1"/>
  <c r="C355" i="24"/>
  <c r="E355" i="24" s="1"/>
  <c r="C252" i="24"/>
  <c r="E252" i="24" s="1"/>
  <c r="C329" i="24"/>
  <c r="E329" i="24" s="1"/>
  <c r="C229" i="24"/>
  <c r="E229" i="24" s="1"/>
  <c r="C257" i="24"/>
  <c r="E257" i="24" s="1"/>
  <c r="C243" i="24"/>
  <c r="E243" i="24" s="1"/>
  <c r="C346" i="24"/>
  <c r="E346" i="24" s="1"/>
  <c r="C319" i="24"/>
  <c r="E319" i="24" s="1"/>
  <c r="C371" i="24"/>
  <c r="E371" i="24" s="1"/>
  <c r="C267" i="24"/>
  <c r="E267" i="24" s="1"/>
  <c r="C357" i="24"/>
  <c r="E357" i="24" s="1"/>
  <c r="C344" i="24"/>
  <c r="E344" i="24" s="1"/>
  <c r="C320" i="24"/>
  <c r="E320" i="24" s="1"/>
  <c r="C317" i="24"/>
  <c r="E317" i="24" s="1"/>
  <c r="C341" i="24"/>
  <c r="E341" i="24" s="1"/>
  <c r="C343" i="24"/>
  <c r="E343" i="24" s="1"/>
  <c r="C373" i="24"/>
  <c r="E373" i="24" s="1"/>
  <c r="C333" i="24"/>
  <c r="E333" i="24" s="1"/>
  <c r="C348" i="24"/>
  <c r="E348" i="24" s="1"/>
  <c r="C349" i="24"/>
  <c r="E349" i="24" s="1"/>
  <c r="C370" i="24"/>
  <c r="E370" i="24" s="1"/>
  <c r="C336" i="24"/>
  <c r="E336" i="24" s="1"/>
  <c r="C360" i="24"/>
  <c r="E360" i="24" s="1"/>
  <c r="C347" i="24"/>
  <c r="E347" i="24" s="1"/>
  <c r="C353" i="24"/>
  <c r="E353" i="24" s="1"/>
  <c r="C299" i="24"/>
  <c r="E299" i="24" s="1"/>
  <c r="C374" i="24"/>
  <c r="E374" i="24" s="1"/>
  <c r="C345" i="24"/>
  <c r="E345" i="24" s="1"/>
  <c r="C362" i="24"/>
  <c r="E362" i="24" s="1"/>
  <c r="C337" i="24"/>
  <c r="E337" i="24" s="1"/>
  <c r="C354" i="24"/>
  <c r="E354" i="24" s="1"/>
  <c r="C359" i="24"/>
  <c r="E359" i="24" s="1"/>
  <c r="C327" i="24"/>
  <c r="E327" i="24" s="1"/>
  <c r="C324" i="24"/>
  <c r="E324" i="24" s="1"/>
  <c r="C351" i="24"/>
  <c r="E351" i="24" s="1"/>
  <c r="C335" i="24"/>
  <c r="E335" i="24" s="1"/>
  <c r="C361" i="24"/>
  <c r="E361" i="24" s="1"/>
  <c r="C376" i="24"/>
  <c r="E376" i="24" s="1"/>
  <c r="C350" i="24"/>
  <c r="E350" i="24" s="1"/>
  <c r="C372" i="24"/>
  <c r="E372" i="24" s="1"/>
  <c r="C356" i="24"/>
  <c r="E356" i="24" s="1"/>
  <c r="C375" i="24"/>
  <c r="E375" i="24" s="1"/>
  <c r="C358" i="24"/>
  <c r="E358" i="24" s="1"/>
  <c r="C313" i="24"/>
  <c r="E313" i="24" s="1"/>
  <c r="C366" i="24"/>
  <c r="E366" i="24" s="1"/>
  <c r="C377" i="24"/>
  <c r="E377" i="24" s="1"/>
  <c r="C369" i="24"/>
  <c r="E369" i="24" s="1"/>
  <c r="C367" i="24"/>
  <c r="E367" i="24" s="1"/>
  <c r="C379" i="24"/>
  <c r="E379" i="24" s="1"/>
  <c r="C378" i="24"/>
  <c r="E378" i="24" s="1"/>
  <c r="C58" i="24"/>
  <c r="E58" i="24" s="1"/>
  <c r="D71" i="24"/>
  <c r="F71" i="24" s="1"/>
  <c r="D153" i="24"/>
  <c r="F153" i="24" s="1"/>
  <c r="D66" i="24"/>
  <c r="F66" i="24" s="1"/>
  <c r="D9" i="24"/>
  <c r="F9" i="24" s="1"/>
  <c r="D40" i="24"/>
  <c r="F40" i="24" s="1"/>
  <c r="D10" i="24"/>
  <c r="F10" i="24" s="1"/>
  <c r="D19" i="24"/>
  <c r="F19" i="24" s="1"/>
  <c r="D12" i="24"/>
  <c r="F12" i="24" s="1"/>
  <c r="D16" i="24"/>
  <c r="F16" i="24" s="1"/>
  <c r="D48" i="24"/>
  <c r="F48" i="24" s="1"/>
  <c r="D14" i="24"/>
  <c r="F14" i="24" s="1"/>
  <c r="D4" i="24"/>
  <c r="F4" i="24" s="1"/>
  <c r="D17" i="24"/>
  <c r="F17" i="24" s="1"/>
  <c r="D121" i="24"/>
  <c r="F121" i="24" s="1"/>
  <c r="D7" i="24"/>
  <c r="F7" i="24" s="1"/>
  <c r="D61" i="24"/>
  <c r="F61" i="24" s="1"/>
  <c r="D42" i="24"/>
  <c r="F42" i="24" s="1"/>
  <c r="D300" i="24"/>
  <c r="F300" i="24" s="1"/>
  <c r="D31" i="24"/>
  <c r="F31" i="24" s="1"/>
  <c r="D22" i="24"/>
  <c r="F22" i="24" s="1"/>
  <c r="AG18" i="24" s="1"/>
  <c r="D74" i="24"/>
  <c r="F74" i="24" s="1"/>
  <c r="D8" i="24"/>
  <c r="F8" i="24" s="1"/>
  <c r="D5" i="24"/>
  <c r="F5" i="24" s="1"/>
  <c r="D29" i="24"/>
  <c r="F29" i="24" s="1"/>
  <c r="D95" i="24"/>
  <c r="F95" i="24" s="1"/>
  <c r="D11" i="24"/>
  <c r="F11" i="24" s="1"/>
  <c r="D32" i="24"/>
  <c r="F32" i="24" s="1"/>
  <c r="D170" i="24"/>
  <c r="F170" i="24" s="1"/>
  <c r="F2" i="24"/>
  <c r="D18" i="24"/>
  <c r="F18" i="24" s="1"/>
  <c r="D30" i="24"/>
  <c r="F30" i="24" s="1"/>
  <c r="D35" i="24"/>
  <c r="F35" i="24" s="1"/>
  <c r="D96" i="24"/>
  <c r="F96" i="24" s="1"/>
  <c r="D25" i="24"/>
  <c r="F25" i="24" s="1"/>
  <c r="D36" i="24"/>
  <c r="F36" i="24" s="1"/>
  <c r="D3" i="24"/>
  <c r="F3" i="24" s="1"/>
  <c r="D60" i="24"/>
  <c r="F60" i="24" s="1"/>
  <c r="D114" i="24"/>
  <c r="F114" i="24" s="1"/>
  <c r="D49" i="24"/>
  <c r="F49" i="24" s="1"/>
  <c r="D368" i="24"/>
  <c r="F368" i="24" s="1"/>
  <c r="D24" i="24"/>
  <c r="F24" i="24" s="1"/>
  <c r="D26" i="24"/>
  <c r="F26" i="24" s="1"/>
  <c r="D15" i="24"/>
  <c r="F15" i="24" s="1"/>
  <c r="D33" i="24"/>
  <c r="F33" i="24" s="1"/>
  <c r="D39" i="24"/>
  <c r="F39" i="24" s="1"/>
  <c r="D70" i="24"/>
  <c r="F70" i="24" s="1"/>
  <c r="D73" i="24"/>
  <c r="F73" i="24" s="1"/>
  <c r="D46" i="24"/>
  <c r="F46" i="24" s="1"/>
  <c r="D28" i="24"/>
  <c r="F28" i="24" s="1"/>
  <c r="D37" i="24"/>
  <c r="F37" i="24" s="1"/>
  <c r="D51" i="24"/>
  <c r="F51" i="24" s="1"/>
  <c r="D20" i="24"/>
  <c r="F20" i="24" s="1"/>
  <c r="D67" i="24"/>
  <c r="F67" i="24" s="1"/>
  <c r="D50" i="24"/>
  <c r="F50" i="24" s="1"/>
  <c r="D45" i="24"/>
  <c r="F45" i="24" s="1"/>
  <c r="D75" i="24"/>
  <c r="F75" i="24" s="1"/>
  <c r="D103" i="24"/>
  <c r="F103" i="24" s="1"/>
  <c r="D34" i="24"/>
  <c r="F34" i="24" s="1"/>
  <c r="D63" i="24"/>
  <c r="F63" i="24" s="1"/>
  <c r="D56" i="24"/>
  <c r="F56" i="24" s="1"/>
  <c r="D196" i="24"/>
  <c r="F196" i="24" s="1"/>
  <c r="D72" i="24"/>
  <c r="F72" i="24" s="1"/>
  <c r="D81" i="24"/>
  <c r="F81" i="24" s="1"/>
  <c r="D106" i="24"/>
  <c r="F106" i="24" s="1"/>
  <c r="D107" i="24"/>
  <c r="F107" i="24" s="1"/>
  <c r="D41" i="24"/>
  <c r="F41" i="24" s="1"/>
  <c r="D352" i="24"/>
  <c r="F352" i="24" s="1"/>
  <c r="D109" i="24"/>
  <c r="F109" i="24" s="1"/>
  <c r="D90" i="24"/>
  <c r="F90" i="24" s="1"/>
  <c r="D23" i="24"/>
  <c r="F23" i="24" s="1"/>
  <c r="D69" i="24"/>
  <c r="F69" i="24" s="1"/>
  <c r="D38" i="24"/>
  <c r="F38" i="24" s="1"/>
  <c r="D130" i="24"/>
  <c r="F130" i="24" s="1"/>
  <c r="D118" i="24"/>
  <c r="F118" i="24" s="1"/>
  <c r="D80" i="24"/>
  <c r="F80" i="24" s="1"/>
  <c r="D84" i="24"/>
  <c r="F84" i="24" s="1"/>
  <c r="D113" i="24"/>
  <c r="F113" i="24" s="1"/>
  <c r="D143" i="24"/>
  <c r="F143" i="24" s="1"/>
  <c r="D89" i="24"/>
  <c r="F89" i="24" s="1"/>
  <c r="D47" i="24"/>
  <c r="F47" i="24" s="1"/>
  <c r="D21" i="24"/>
  <c r="F21" i="24" s="1"/>
  <c r="D57" i="24"/>
  <c r="F57" i="24" s="1"/>
  <c r="D134" i="24"/>
  <c r="F134" i="24" s="1"/>
  <c r="D68" i="24"/>
  <c r="F68" i="24" s="1"/>
  <c r="D62" i="24"/>
  <c r="F62" i="24" s="1"/>
  <c r="D209" i="24"/>
  <c r="F209" i="24" s="1"/>
  <c r="D27" i="24"/>
  <c r="F27" i="24" s="1"/>
  <c r="D53" i="24"/>
  <c r="F53" i="24" s="1"/>
  <c r="D203" i="24"/>
  <c r="F203" i="24" s="1"/>
  <c r="D82" i="24"/>
  <c r="F82" i="24" s="1"/>
  <c r="D219" i="24"/>
  <c r="F219" i="24" s="1"/>
  <c r="D111" i="24"/>
  <c r="F111" i="24" s="1"/>
  <c r="D123" i="24"/>
  <c r="F123" i="24" s="1"/>
  <c r="D85" i="24"/>
  <c r="F85" i="24" s="1"/>
  <c r="D98" i="24"/>
  <c r="F98" i="24" s="1"/>
  <c r="D43" i="24"/>
  <c r="F43" i="24" s="1"/>
  <c r="D78" i="24"/>
  <c r="F78" i="24" s="1"/>
  <c r="D65" i="24"/>
  <c r="F65" i="24" s="1"/>
  <c r="D94" i="24"/>
  <c r="F94" i="24" s="1"/>
  <c r="D88" i="24"/>
  <c r="F88" i="24" s="1"/>
  <c r="D92" i="24"/>
  <c r="F92" i="24" s="1"/>
  <c r="D119" i="24"/>
  <c r="F119" i="24" s="1"/>
  <c r="D6" i="24"/>
  <c r="F6" i="24" s="1"/>
  <c r="D124" i="24"/>
  <c r="F124" i="24" s="1"/>
  <c r="D151" i="24"/>
  <c r="F151" i="24" s="1"/>
  <c r="D79" i="24"/>
  <c r="F79" i="24" s="1"/>
  <c r="D128" i="24"/>
  <c r="F128" i="24" s="1"/>
  <c r="D108" i="24"/>
  <c r="F108" i="24" s="1"/>
  <c r="D136" i="24"/>
  <c r="F136" i="24" s="1"/>
  <c r="D180" i="24"/>
  <c r="F180" i="24" s="1"/>
  <c r="D332" i="24"/>
  <c r="F332" i="24" s="1"/>
  <c r="D116" i="24"/>
  <c r="F116" i="24" s="1"/>
  <c r="D91" i="24"/>
  <c r="F91" i="24" s="1"/>
  <c r="D147" i="24"/>
  <c r="F147" i="24" s="1"/>
  <c r="D163" i="24"/>
  <c r="F163" i="24" s="1"/>
  <c r="D227" i="24"/>
  <c r="F227" i="24" s="1"/>
  <c r="D117" i="24"/>
  <c r="F117" i="24" s="1"/>
  <c r="D64" i="24"/>
  <c r="F64" i="24" s="1"/>
  <c r="D282" i="24"/>
  <c r="F282" i="24" s="1"/>
  <c r="D125" i="24"/>
  <c r="F125" i="24" s="1"/>
  <c r="D133" i="24"/>
  <c r="F133" i="24" s="1"/>
  <c r="D191" i="24"/>
  <c r="F191" i="24" s="1"/>
  <c r="D187" i="24"/>
  <c r="F187" i="24" s="1"/>
  <c r="D137" i="24"/>
  <c r="F137" i="24" s="1"/>
  <c r="D140" i="24"/>
  <c r="F140" i="24" s="1"/>
  <c r="D181" i="24"/>
  <c r="F181" i="24" s="1"/>
  <c r="D105" i="24"/>
  <c r="F105" i="24" s="1"/>
  <c r="D138" i="24"/>
  <c r="F138" i="24" s="1"/>
  <c r="D185" i="24"/>
  <c r="F185" i="24" s="1"/>
  <c r="D52" i="24"/>
  <c r="F52" i="24" s="1"/>
  <c r="D183" i="24"/>
  <c r="F183" i="24" s="1"/>
  <c r="D168" i="24"/>
  <c r="F168" i="24" s="1"/>
  <c r="D132" i="24"/>
  <c r="F132" i="24" s="1"/>
  <c r="D112" i="24"/>
  <c r="F112" i="24" s="1"/>
  <c r="D342" i="24"/>
  <c r="F342" i="24" s="1"/>
  <c r="D135" i="24"/>
  <c r="F135" i="24" s="1"/>
  <c r="D97" i="24"/>
  <c r="F97" i="24" s="1"/>
  <c r="D158" i="24"/>
  <c r="F158" i="24" s="1"/>
  <c r="D104" i="24"/>
  <c r="F104" i="24" s="1"/>
  <c r="D155" i="24"/>
  <c r="F155" i="24" s="1"/>
  <c r="D100" i="24"/>
  <c r="F100" i="24" s="1"/>
  <c r="D156" i="24"/>
  <c r="F156" i="24" s="1"/>
  <c r="D44" i="24"/>
  <c r="F44" i="24" s="1"/>
  <c r="D86" i="24"/>
  <c r="F86" i="24" s="1"/>
  <c r="D13" i="24"/>
  <c r="F13" i="24" s="1"/>
  <c r="D141" i="24"/>
  <c r="F141" i="24" s="1"/>
  <c r="D171" i="24"/>
  <c r="F171" i="24" s="1"/>
  <c r="D110" i="24"/>
  <c r="F110" i="24" s="1"/>
  <c r="D149" i="24"/>
  <c r="F149" i="24" s="1"/>
  <c r="D161" i="24"/>
  <c r="F161" i="24" s="1"/>
  <c r="D145" i="24"/>
  <c r="F145" i="24" s="1"/>
  <c r="D76" i="24"/>
  <c r="F76" i="24" s="1"/>
  <c r="D55" i="24"/>
  <c r="F55" i="24" s="1"/>
  <c r="D152" i="24"/>
  <c r="F152" i="24" s="1"/>
  <c r="D190" i="24"/>
  <c r="F190" i="24" s="1"/>
  <c r="D249" i="24"/>
  <c r="F249" i="24" s="1"/>
  <c r="D159" i="24"/>
  <c r="F159" i="24" s="1"/>
  <c r="D198" i="24"/>
  <c r="F198" i="24" s="1"/>
  <c r="D184" i="24"/>
  <c r="F184" i="24" s="1"/>
  <c r="D206" i="24"/>
  <c r="F206" i="24" s="1"/>
  <c r="D131" i="24"/>
  <c r="F131" i="24" s="1"/>
  <c r="D160" i="24"/>
  <c r="F160" i="24" s="1"/>
  <c r="D115" i="24"/>
  <c r="F115" i="24" s="1"/>
  <c r="D87" i="24"/>
  <c r="F87" i="24" s="1"/>
  <c r="D139" i="24"/>
  <c r="F139" i="24" s="1"/>
  <c r="D99" i="24"/>
  <c r="F99" i="24" s="1"/>
  <c r="D210" i="24"/>
  <c r="F210" i="24" s="1"/>
  <c r="D212" i="24"/>
  <c r="F212" i="24" s="1"/>
  <c r="D186" i="24"/>
  <c r="F186" i="24" s="1"/>
  <c r="D228" i="24"/>
  <c r="F228" i="24" s="1"/>
  <c r="D127" i="24"/>
  <c r="F127" i="24" s="1"/>
  <c r="D172" i="24"/>
  <c r="F172" i="24" s="1"/>
  <c r="D120" i="24"/>
  <c r="F120" i="24" s="1"/>
  <c r="D195" i="24"/>
  <c r="F195" i="24" s="1"/>
  <c r="D246" i="24"/>
  <c r="F246" i="24" s="1"/>
  <c r="D193" i="24"/>
  <c r="F193" i="24" s="1"/>
  <c r="D77" i="24"/>
  <c r="F77" i="24" s="1"/>
  <c r="D166" i="24"/>
  <c r="F166" i="24" s="1"/>
  <c r="D222" i="24"/>
  <c r="F222" i="24" s="1"/>
  <c r="D154" i="24"/>
  <c r="F154" i="24" s="1"/>
  <c r="D54" i="24"/>
  <c r="F54" i="24" s="1"/>
  <c r="D176" i="24"/>
  <c r="F176" i="24" s="1"/>
  <c r="D221" i="24"/>
  <c r="F221" i="24" s="1"/>
  <c r="D220" i="24"/>
  <c r="F220" i="24" s="1"/>
  <c r="D265" i="24"/>
  <c r="F265" i="24" s="1"/>
  <c r="D59" i="24"/>
  <c r="F59" i="24" s="1"/>
  <c r="D144" i="24"/>
  <c r="F144" i="24" s="1"/>
  <c r="D122" i="24"/>
  <c r="F122" i="24" s="1"/>
  <c r="D192" i="24"/>
  <c r="F192" i="24" s="1"/>
  <c r="D126" i="24"/>
  <c r="F126" i="24" s="1"/>
  <c r="D194" i="24"/>
  <c r="F194" i="24" s="1"/>
  <c r="D93" i="24"/>
  <c r="F93" i="24" s="1"/>
  <c r="D230" i="24"/>
  <c r="F230" i="24" s="1"/>
  <c r="D207" i="24"/>
  <c r="F207" i="24" s="1"/>
  <c r="D237" i="24"/>
  <c r="F237" i="24" s="1"/>
  <c r="D264" i="24"/>
  <c r="F264" i="24" s="1"/>
  <c r="D216" i="24"/>
  <c r="F216" i="24" s="1"/>
  <c r="D223" i="24"/>
  <c r="F223" i="24" s="1"/>
  <c r="D200" i="24"/>
  <c r="F200" i="24" s="1"/>
  <c r="D254" i="24"/>
  <c r="F254" i="24" s="1"/>
  <c r="D178" i="24"/>
  <c r="F178" i="24" s="1"/>
  <c r="D258" i="24"/>
  <c r="F258" i="24" s="1"/>
  <c r="D283" i="24"/>
  <c r="F283" i="24" s="1"/>
  <c r="D150" i="24"/>
  <c r="F150" i="24" s="1"/>
  <c r="D169" i="24"/>
  <c r="F169" i="24" s="1"/>
  <c r="D197" i="24"/>
  <c r="F197" i="24" s="1"/>
  <c r="D211" i="24"/>
  <c r="F211" i="24" s="1"/>
  <c r="D255" i="24"/>
  <c r="F255" i="24" s="1"/>
  <c r="D175" i="24"/>
  <c r="F175" i="24" s="1"/>
  <c r="D364" i="24"/>
  <c r="F364" i="24" s="1"/>
  <c r="D330" i="24"/>
  <c r="F330" i="24" s="1"/>
  <c r="D234" i="24"/>
  <c r="F234" i="24" s="1"/>
  <c r="D217" i="24"/>
  <c r="F217" i="24" s="1"/>
  <c r="D101" i="24"/>
  <c r="F101" i="24" s="1"/>
  <c r="D260" i="24"/>
  <c r="F260" i="24" s="1"/>
  <c r="D204" i="24"/>
  <c r="F204" i="24" s="1"/>
  <c r="D164" i="24"/>
  <c r="F164" i="24" s="1"/>
  <c r="D179" i="24"/>
  <c r="F179" i="24" s="1"/>
  <c r="D232" i="24"/>
  <c r="F232" i="24" s="1"/>
  <c r="D236" i="24"/>
  <c r="F236" i="24" s="1"/>
  <c r="D241" i="24"/>
  <c r="F241" i="24" s="1"/>
  <c r="D225" i="24"/>
  <c r="F225" i="24" s="1"/>
  <c r="D275" i="24"/>
  <c r="F275" i="24" s="1"/>
  <c r="D83" i="24"/>
  <c r="F83" i="24" s="1"/>
  <c r="D226" i="24"/>
  <c r="F226" i="24" s="1"/>
  <c r="D201" i="24"/>
  <c r="F201" i="24" s="1"/>
  <c r="D102" i="24"/>
  <c r="F102" i="24" s="1"/>
  <c r="D213" i="24"/>
  <c r="F213" i="24" s="1"/>
  <c r="D235" i="24"/>
  <c r="F235" i="24" s="1"/>
  <c r="D162" i="24"/>
  <c r="F162" i="24" s="1"/>
  <c r="D205" i="24"/>
  <c r="F205" i="24" s="1"/>
  <c r="D307" i="24"/>
  <c r="F307" i="24" s="1"/>
  <c r="D231" i="24"/>
  <c r="F231" i="24" s="1"/>
  <c r="D157" i="24"/>
  <c r="F157" i="24" s="1"/>
  <c r="D129" i="24"/>
  <c r="F129" i="24" s="1"/>
  <c r="D245" i="24"/>
  <c r="F245" i="24" s="1"/>
  <c r="D272" i="24"/>
  <c r="F272" i="24" s="1"/>
  <c r="D142" i="24"/>
  <c r="F142" i="24" s="1"/>
  <c r="D262" i="24"/>
  <c r="F262" i="24" s="1"/>
  <c r="D242" i="24"/>
  <c r="F242" i="24" s="1"/>
  <c r="D173" i="24"/>
  <c r="F173" i="24" s="1"/>
  <c r="D174" i="24"/>
  <c r="F174" i="24" s="1"/>
  <c r="D202" i="24"/>
  <c r="F202" i="24" s="1"/>
  <c r="D280" i="24"/>
  <c r="F280" i="24" s="1"/>
  <c r="D256" i="24"/>
  <c r="F256" i="24" s="1"/>
  <c r="D146" i="24"/>
  <c r="F146" i="24" s="1"/>
  <c r="D247" i="24"/>
  <c r="F247" i="24" s="1"/>
  <c r="D278" i="24"/>
  <c r="F278" i="24" s="1"/>
  <c r="D215" i="24"/>
  <c r="F215" i="24" s="1"/>
  <c r="D148" i="24"/>
  <c r="F148" i="24" s="1"/>
  <c r="D277" i="24"/>
  <c r="F277" i="24" s="1"/>
  <c r="D250" i="24"/>
  <c r="F250" i="24" s="1"/>
  <c r="D261" i="24"/>
  <c r="F261" i="24" s="1"/>
  <c r="D308" i="24"/>
  <c r="F308" i="24" s="1"/>
  <c r="D253" i="24"/>
  <c r="F253" i="24" s="1"/>
  <c r="D291" i="24"/>
  <c r="F291" i="24" s="1"/>
  <c r="D189" i="24"/>
  <c r="F189" i="24" s="1"/>
  <c r="D240" i="24"/>
  <c r="F240" i="24" s="1"/>
  <c r="D233" i="24"/>
  <c r="F233" i="24" s="1"/>
  <c r="D273" i="24"/>
  <c r="F273" i="24" s="1"/>
  <c r="D287" i="24"/>
  <c r="F287" i="24" s="1"/>
  <c r="D167" i="24"/>
  <c r="F167" i="24" s="1"/>
  <c r="D238" i="24"/>
  <c r="F238" i="24" s="1"/>
  <c r="D274" i="24"/>
  <c r="F274" i="24" s="1"/>
  <c r="D263" i="24"/>
  <c r="F263" i="24" s="1"/>
  <c r="D294" i="24"/>
  <c r="F294" i="24" s="1"/>
  <c r="D306" i="24"/>
  <c r="F306" i="24" s="1"/>
  <c r="D295" i="24"/>
  <c r="F295" i="24" s="1"/>
  <c r="D248" i="24"/>
  <c r="F248" i="24" s="1"/>
  <c r="D270" i="24"/>
  <c r="F270" i="24" s="1"/>
  <c r="D305" i="24"/>
  <c r="F305" i="24" s="1"/>
  <c r="D292" i="24"/>
  <c r="F292" i="24" s="1"/>
  <c r="D285" i="24"/>
  <c r="F285" i="24" s="1"/>
  <c r="D182" i="24"/>
  <c r="F182" i="24" s="1"/>
  <c r="D310" i="24"/>
  <c r="F310" i="24" s="1"/>
  <c r="D269" i="24"/>
  <c r="F269" i="24" s="1"/>
  <c r="D281" i="24"/>
  <c r="F281" i="24" s="1"/>
  <c r="D290" i="24"/>
  <c r="F290" i="24" s="1"/>
  <c r="D296" i="24"/>
  <c r="F296" i="24" s="1"/>
  <c r="D288" i="24"/>
  <c r="F288" i="24" s="1"/>
  <c r="D177" i="24"/>
  <c r="F177" i="24" s="1"/>
  <c r="D271" i="24"/>
  <c r="F271" i="24" s="1"/>
  <c r="D251" i="24"/>
  <c r="F251" i="24" s="1"/>
  <c r="D208" i="24"/>
  <c r="F208" i="24" s="1"/>
  <c r="D214" i="24"/>
  <c r="F214" i="24" s="1"/>
  <c r="D312" i="24"/>
  <c r="F312" i="24" s="1"/>
  <c r="D259" i="24"/>
  <c r="F259" i="24" s="1"/>
  <c r="D188" i="24"/>
  <c r="F188" i="24" s="1"/>
  <c r="D199" i="24"/>
  <c r="F199" i="24" s="1"/>
  <c r="D244" i="24"/>
  <c r="F244" i="24" s="1"/>
  <c r="D315" i="24"/>
  <c r="F315" i="24" s="1"/>
  <c r="D301" i="24"/>
  <c r="F301" i="24" s="1"/>
  <c r="D276" i="24"/>
  <c r="F276" i="24" s="1"/>
  <c r="D239" i="24"/>
  <c r="F239" i="24" s="1"/>
  <c r="D218" i="24"/>
  <c r="F218" i="24" s="1"/>
  <c r="D224" i="24"/>
  <c r="F224" i="24" s="1"/>
  <c r="D284" i="24"/>
  <c r="F284" i="24" s="1"/>
  <c r="D293" i="24"/>
  <c r="F293" i="24" s="1"/>
  <c r="D316" i="24"/>
  <c r="F316" i="24" s="1"/>
  <c r="D365" i="24"/>
  <c r="F365" i="24" s="1"/>
  <c r="D331" i="24"/>
  <c r="F331" i="24" s="1"/>
  <c r="D286" i="24"/>
  <c r="F286" i="24" s="1"/>
  <c r="D339" i="24"/>
  <c r="F339" i="24" s="1"/>
  <c r="D297" i="24"/>
  <c r="F297" i="24" s="1"/>
  <c r="D325" i="24"/>
  <c r="F325" i="24" s="1"/>
  <c r="D266" i="24"/>
  <c r="F266" i="24" s="1"/>
  <c r="D165" i="24"/>
  <c r="F165" i="24" s="1"/>
  <c r="D311" i="24"/>
  <c r="F311" i="24" s="1"/>
  <c r="D289" i="24"/>
  <c r="F289" i="24" s="1"/>
  <c r="D309" i="24"/>
  <c r="F309" i="24" s="1"/>
  <c r="D303" i="24"/>
  <c r="F303" i="24" s="1"/>
  <c r="D323" i="24"/>
  <c r="F323" i="24" s="1"/>
  <c r="D302" i="24"/>
  <c r="F302" i="24" s="1"/>
  <c r="D279" i="24"/>
  <c r="F279" i="24" s="1"/>
  <c r="D298" i="24"/>
  <c r="F298" i="24" s="1"/>
  <c r="D304" i="24"/>
  <c r="F304" i="24" s="1"/>
  <c r="D314" i="24"/>
  <c r="F314" i="24" s="1"/>
  <c r="D326" i="24"/>
  <c r="F326" i="24" s="1"/>
  <c r="D318" i="24"/>
  <c r="F318" i="24" s="1"/>
  <c r="D340" i="24"/>
  <c r="F340" i="24" s="1"/>
  <c r="D268" i="24"/>
  <c r="F268" i="24" s="1"/>
  <c r="D322" i="24"/>
  <c r="F322" i="24" s="1"/>
  <c r="D321" i="24"/>
  <c r="F321" i="24" s="1"/>
  <c r="D334" i="24"/>
  <c r="F334" i="24" s="1"/>
  <c r="D338" i="24"/>
  <c r="F338" i="24" s="1"/>
  <c r="D328" i="24"/>
  <c r="F328" i="24" s="1"/>
  <c r="D363" i="24"/>
  <c r="F363" i="24" s="1"/>
  <c r="D355" i="24"/>
  <c r="F355" i="24" s="1"/>
  <c r="D252" i="24"/>
  <c r="F252" i="24" s="1"/>
  <c r="D329" i="24"/>
  <c r="F329" i="24" s="1"/>
  <c r="D229" i="24"/>
  <c r="F229" i="24" s="1"/>
  <c r="D257" i="24"/>
  <c r="F257" i="24" s="1"/>
  <c r="D243" i="24"/>
  <c r="F243" i="24" s="1"/>
  <c r="D346" i="24"/>
  <c r="F346" i="24" s="1"/>
  <c r="D319" i="24"/>
  <c r="F319" i="24" s="1"/>
  <c r="D371" i="24"/>
  <c r="F371" i="24" s="1"/>
  <c r="D267" i="24"/>
  <c r="F267" i="24" s="1"/>
  <c r="D357" i="24"/>
  <c r="F357" i="24" s="1"/>
  <c r="D344" i="24"/>
  <c r="F344" i="24" s="1"/>
  <c r="D320" i="24"/>
  <c r="F320" i="24" s="1"/>
  <c r="D317" i="24"/>
  <c r="F317" i="24" s="1"/>
  <c r="D341" i="24"/>
  <c r="F341" i="24" s="1"/>
  <c r="D343" i="24"/>
  <c r="F343" i="24" s="1"/>
  <c r="D373" i="24"/>
  <c r="F373" i="24" s="1"/>
  <c r="D333" i="24"/>
  <c r="F333" i="24" s="1"/>
  <c r="D348" i="24"/>
  <c r="F348" i="24" s="1"/>
  <c r="D349" i="24"/>
  <c r="F349" i="24" s="1"/>
  <c r="D370" i="24"/>
  <c r="F370" i="24" s="1"/>
  <c r="D336" i="24"/>
  <c r="F336" i="24" s="1"/>
  <c r="D360" i="24"/>
  <c r="F360" i="24" s="1"/>
  <c r="D347" i="24"/>
  <c r="F347" i="24" s="1"/>
  <c r="D353" i="24"/>
  <c r="F353" i="24" s="1"/>
  <c r="D299" i="24"/>
  <c r="F299" i="24" s="1"/>
  <c r="D374" i="24"/>
  <c r="F374" i="24" s="1"/>
  <c r="D345" i="24"/>
  <c r="F345" i="24" s="1"/>
  <c r="D362" i="24"/>
  <c r="F362" i="24" s="1"/>
  <c r="D337" i="24"/>
  <c r="F337" i="24" s="1"/>
  <c r="D354" i="24"/>
  <c r="F354" i="24" s="1"/>
  <c r="D359" i="24"/>
  <c r="F359" i="24" s="1"/>
  <c r="D327" i="24"/>
  <c r="F327" i="24" s="1"/>
  <c r="D324" i="24"/>
  <c r="F324" i="24" s="1"/>
  <c r="D351" i="24"/>
  <c r="F351" i="24" s="1"/>
  <c r="D335" i="24"/>
  <c r="F335" i="24" s="1"/>
  <c r="D361" i="24"/>
  <c r="F361" i="24" s="1"/>
  <c r="D376" i="24"/>
  <c r="F376" i="24" s="1"/>
  <c r="D350" i="24"/>
  <c r="F350" i="24" s="1"/>
  <c r="D372" i="24"/>
  <c r="F372" i="24" s="1"/>
  <c r="D356" i="24"/>
  <c r="F356" i="24" s="1"/>
  <c r="D375" i="24"/>
  <c r="F375" i="24" s="1"/>
  <c r="D358" i="24"/>
  <c r="F358" i="24" s="1"/>
  <c r="D313" i="24"/>
  <c r="F313" i="24" s="1"/>
  <c r="D366" i="24"/>
  <c r="F366" i="24" s="1"/>
  <c r="D377" i="24"/>
  <c r="F377" i="24" s="1"/>
  <c r="D369" i="24"/>
  <c r="F369" i="24" s="1"/>
  <c r="D367" i="24"/>
  <c r="F367" i="24" s="1"/>
  <c r="D379" i="24"/>
  <c r="F379" i="24" s="1"/>
  <c r="D378" i="24"/>
  <c r="F378" i="24" s="1"/>
  <c r="D58" i="24"/>
  <c r="F58" i="24" s="1"/>
  <c r="O44" i="29"/>
  <c r="N44" i="29"/>
  <c r="M44" i="29"/>
  <c r="L44" i="29"/>
  <c r="K44" i="29"/>
  <c r="J44" i="29"/>
  <c r="I44" i="29"/>
  <c r="H44" i="29"/>
  <c r="O43" i="29"/>
  <c r="N43" i="29"/>
  <c r="M43" i="29"/>
  <c r="L43" i="29"/>
  <c r="K43" i="29"/>
  <c r="J43" i="29"/>
  <c r="I43" i="29"/>
  <c r="H43" i="29"/>
  <c r="O42" i="29"/>
  <c r="N42" i="29"/>
  <c r="M42" i="29"/>
  <c r="L42" i="29"/>
  <c r="K42" i="29"/>
  <c r="J42" i="29"/>
  <c r="I42" i="29"/>
  <c r="H42" i="29"/>
  <c r="O41" i="29"/>
  <c r="N41" i="29"/>
  <c r="M41" i="29"/>
  <c r="L41" i="29"/>
  <c r="K41" i="29"/>
  <c r="J41" i="29"/>
  <c r="I41" i="29"/>
  <c r="H41" i="29"/>
  <c r="O40" i="29"/>
  <c r="N40" i="29"/>
  <c r="M40" i="29"/>
  <c r="L40" i="29"/>
  <c r="K40" i="29"/>
  <c r="J40" i="29"/>
  <c r="I40" i="29"/>
  <c r="H40" i="29"/>
  <c r="O39" i="29"/>
  <c r="N39" i="29"/>
  <c r="M39" i="29"/>
  <c r="L39" i="29"/>
  <c r="K39" i="29"/>
  <c r="J39" i="29"/>
  <c r="I39" i="29"/>
  <c r="H39" i="29"/>
  <c r="O38" i="29"/>
  <c r="N38" i="29"/>
  <c r="M38" i="29"/>
  <c r="L38" i="29"/>
  <c r="K38" i="29"/>
  <c r="J38" i="29"/>
  <c r="I38" i="29"/>
  <c r="H38" i="29"/>
  <c r="O37" i="29"/>
  <c r="N37" i="29"/>
  <c r="M37" i="29"/>
  <c r="L37" i="29"/>
  <c r="K37" i="29"/>
  <c r="J37" i="29"/>
  <c r="I37" i="29"/>
  <c r="H37" i="29"/>
  <c r="O36" i="29"/>
  <c r="N36" i="29"/>
  <c r="M36" i="29"/>
  <c r="L36" i="29"/>
  <c r="K36" i="29"/>
  <c r="J36" i="29"/>
  <c r="I36" i="29"/>
  <c r="H36" i="29"/>
  <c r="O35" i="29"/>
  <c r="N35" i="29"/>
  <c r="M35" i="29"/>
  <c r="L35" i="29"/>
  <c r="K35" i="29"/>
  <c r="J35" i="29"/>
  <c r="I35" i="29"/>
  <c r="H35" i="29"/>
  <c r="O34" i="29"/>
  <c r="N34" i="29"/>
  <c r="M34" i="29"/>
  <c r="L34" i="29"/>
  <c r="K34" i="29"/>
  <c r="J34" i="29"/>
  <c r="I34" i="29"/>
  <c r="H34" i="29"/>
  <c r="O33" i="29"/>
  <c r="N33" i="29"/>
  <c r="M33" i="29"/>
  <c r="L33" i="29"/>
  <c r="K33" i="29"/>
  <c r="J33" i="29"/>
  <c r="I33" i="29"/>
  <c r="H33" i="29"/>
  <c r="O32" i="29"/>
  <c r="N32" i="29"/>
  <c r="M32" i="29"/>
  <c r="L32" i="29"/>
  <c r="K32" i="29"/>
  <c r="J32" i="29"/>
  <c r="I32" i="29"/>
  <c r="H32" i="29"/>
  <c r="O31" i="29"/>
  <c r="N31" i="29"/>
  <c r="M31" i="29"/>
  <c r="L31" i="29"/>
  <c r="K31" i="29"/>
  <c r="J31" i="29"/>
  <c r="I31" i="29"/>
  <c r="H31" i="29"/>
  <c r="O30" i="29"/>
  <c r="N30" i="29"/>
  <c r="M30" i="29"/>
  <c r="L30" i="29"/>
  <c r="K30" i="29"/>
  <c r="J30" i="29"/>
  <c r="I30" i="29"/>
  <c r="H30" i="29"/>
  <c r="O29" i="29"/>
  <c r="N29" i="29"/>
  <c r="M29" i="29"/>
  <c r="L29" i="29"/>
  <c r="K29" i="29"/>
  <c r="J29" i="29"/>
  <c r="I29" i="29"/>
  <c r="H29" i="29"/>
  <c r="O28" i="29"/>
  <c r="N28" i="29"/>
  <c r="M28" i="29"/>
  <c r="L28" i="29"/>
  <c r="K28" i="29"/>
  <c r="J28" i="29"/>
  <c r="I28" i="29"/>
  <c r="H28" i="29"/>
  <c r="O27" i="29"/>
  <c r="N27" i="29"/>
  <c r="M27" i="29"/>
  <c r="L27" i="29"/>
  <c r="K27" i="29"/>
  <c r="J27" i="29"/>
  <c r="I27" i="29"/>
  <c r="H27" i="29"/>
  <c r="O26" i="29"/>
  <c r="N26" i="29"/>
  <c r="M26" i="29"/>
  <c r="L26" i="29"/>
  <c r="K26" i="29"/>
  <c r="J26" i="29"/>
  <c r="I26" i="29"/>
  <c r="H26" i="29"/>
  <c r="O25" i="29"/>
  <c r="N25" i="29"/>
  <c r="M25" i="29"/>
  <c r="L25" i="29"/>
  <c r="K25" i="29"/>
  <c r="J25" i="29"/>
  <c r="I25" i="29"/>
  <c r="H25" i="29"/>
  <c r="O24" i="29"/>
  <c r="N24" i="29"/>
  <c r="M24" i="29"/>
  <c r="L24" i="29"/>
  <c r="K24" i="29"/>
  <c r="J24" i="29"/>
  <c r="I24" i="29"/>
  <c r="H24" i="29"/>
  <c r="O23" i="29"/>
  <c r="N23" i="29"/>
  <c r="M23" i="29"/>
  <c r="L23" i="29"/>
  <c r="K23" i="29"/>
  <c r="J23" i="29"/>
  <c r="I23" i="29"/>
  <c r="H23" i="29"/>
  <c r="O22" i="29"/>
  <c r="N22" i="29"/>
  <c r="M22" i="29"/>
  <c r="L22" i="29"/>
  <c r="K22" i="29"/>
  <c r="J22" i="29"/>
  <c r="I22" i="29"/>
  <c r="H22" i="29"/>
  <c r="O21" i="29"/>
  <c r="N21" i="29"/>
  <c r="M21" i="29"/>
  <c r="L21" i="29"/>
  <c r="K21" i="29"/>
  <c r="J21" i="29"/>
  <c r="I21" i="29"/>
  <c r="H21" i="29"/>
  <c r="O20" i="29"/>
  <c r="N20" i="29"/>
  <c r="M20" i="29"/>
  <c r="L20" i="29"/>
  <c r="K20" i="29"/>
  <c r="J20" i="29"/>
  <c r="I20" i="29"/>
  <c r="H20" i="29"/>
  <c r="O19" i="29"/>
  <c r="N19" i="29"/>
  <c r="M19" i="29"/>
  <c r="L19" i="29"/>
  <c r="K19" i="29"/>
  <c r="J19" i="29"/>
  <c r="I19" i="29"/>
  <c r="H19" i="29"/>
  <c r="O18" i="29"/>
  <c r="N18" i="29"/>
  <c r="M18" i="29"/>
  <c r="L18" i="29"/>
  <c r="K18" i="29"/>
  <c r="J18" i="29"/>
  <c r="I18" i="29"/>
  <c r="H18" i="29"/>
  <c r="O17" i="29"/>
  <c r="N17" i="29"/>
  <c r="M17" i="29"/>
  <c r="L17" i="29"/>
  <c r="K17" i="29"/>
  <c r="J17" i="29"/>
  <c r="I17" i="29"/>
  <c r="H17" i="29"/>
  <c r="O16" i="29"/>
  <c r="N16" i="29"/>
  <c r="M16" i="29"/>
  <c r="L16" i="29"/>
  <c r="K16" i="29"/>
  <c r="J16" i="29"/>
  <c r="I16" i="29"/>
  <c r="H16" i="29"/>
  <c r="O15" i="29"/>
  <c r="N15" i="29"/>
  <c r="M15" i="29"/>
  <c r="L15" i="29"/>
  <c r="K15" i="29"/>
  <c r="J15" i="29"/>
  <c r="I15" i="29"/>
  <c r="H15" i="29"/>
  <c r="O14" i="29"/>
  <c r="N14" i="29"/>
  <c r="M14" i="29"/>
  <c r="L14" i="29"/>
  <c r="K14" i="29"/>
  <c r="J14" i="29"/>
  <c r="I14" i="29"/>
  <c r="H14" i="29"/>
  <c r="O13" i="29"/>
  <c r="N13" i="29"/>
  <c r="M13" i="29"/>
  <c r="L13" i="29"/>
  <c r="K13" i="29"/>
  <c r="J13" i="29"/>
  <c r="I13" i="29"/>
  <c r="H13" i="29"/>
  <c r="O12" i="29"/>
  <c r="N12" i="29"/>
  <c r="M12" i="29"/>
  <c r="L12" i="29"/>
  <c r="K12" i="29"/>
  <c r="J12" i="29"/>
  <c r="I12" i="29"/>
  <c r="H12" i="29"/>
  <c r="O11" i="29"/>
  <c r="N11" i="29"/>
  <c r="M11" i="29"/>
  <c r="L11" i="29"/>
  <c r="K11" i="29"/>
  <c r="J11" i="29"/>
  <c r="I11" i="29"/>
  <c r="H11" i="29"/>
  <c r="O10" i="29"/>
  <c r="N10" i="29"/>
  <c r="M10" i="29"/>
  <c r="L10" i="29"/>
  <c r="K10" i="29"/>
  <c r="J10" i="29"/>
  <c r="I10" i="29"/>
  <c r="H10" i="29"/>
  <c r="O9" i="29"/>
  <c r="N9" i="29"/>
  <c r="M9" i="29"/>
  <c r="L9" i="29"/>
  <c r="K9" i="29"/>
  <c r="J9" i="29"/>
  <c r="I9" i="29"/>
  <c r="H9" i="29"/>
  <c r="O8" i="29"/>
  <c r="N8" i="29"/>
  <c r="M8" i="29"/>
  <c r="L8" i="29"/>
  <c r="K8" i="29"/>
  <c r="J8" i="29"/>
  <c r="I8" i="29"/>
  <c r="H8" i="29"/>
  <c r="O7" i="29"/>
  <c r="N7" i="29"/>
  <c r="M7" i="29"/>
  <c r="L7" i="29"/>
  <c r="K7" i="29"/>
  <c r="J7" i="29"/>
  <c r="I7" i="29"/>
  <c r="O6" i="29"/>
  <c r="N6" i="29"/>
  <c r="M6" i="29"/>
  <c r="L6" i="29"/>
  <c r="K6" i="29"/>
  <c r="J6" i="29"/>
  <c r="I6" i="29"/>
  <c r="H6" i="29"/>
  <c r="O5" i="29"/>
  <c r="N5" i="29"/>
  <c r="M5" i="29"/>
  <c r="L5" i="29"/>
  <c r="K5" i="29"/>
  <c r="J5" i="29"/>
  <c r="I5" i="29"/>
  <c r="H5" i="29"/>
  <c r="O4" i="29"/>
  <c r="N4" i="29"/>
  <c r="M4" i="29"/>
  <c r="L4" i="29"/>
  <c r="K4" i="29"/>
  <c r="J4" i="29"/>
  <c r="I4" i="29"/>
  <c r="H4" i="29"/>
  <c r="O3" i="29"/>
  <c r="N3" i="29"/>
  <c r="M3" i="29"/>
  <c r="L3" i="29"/>
  <c r="K3" i="29"/>
  <c r="J3" i="29"/>
  <c r="I3" i="29"/>
  <c r="H3" i="29"/>
  <c r="O2" i="29"/>
  <c r="N2" i="29"/>
  <c r="C135" i="28" s="1"/>
  <c r="M2" i="29"/>
  <c r="L2" i="29"/>
  <c r="K2" i="29"/>
  <c r="J2" i="29"/>
  <c r="I2" i="29"/>
  <c r="H2" i="29"/>
  <c r="H7" i="15"/>
  <c r="R4" i="24"/>
  <c r="H2" i="15"/>
  <c r="B87" i="28" s="1"/>
  <c r="H4" i="15"/>
  <c r="H3" i="15"/>
  <c r="H5" i="15"/>
  <c r="H6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U411" i="27"/>
  <c r="P415" i="27"/>
  <c r="P417" i="27" s="1"/>
  <c r="U412" i="27"/>
  <c r="U413" i="27" s="1"/>
  <c r="P416" i="27"/>
  <c r="AC39" i="27"/>
  <c r="AC38" i="27"/>
  <c r="AC37" i="27"/>
  <c r="AC36" i="27"/>
  <c r="V10" i="27"/>
  <c r="V39" i="27" s="1"/>
  <c r="T283" i="27"/>
  <c r="I9" i="15"/>
  <c r="I10" i="15"/>
  <c r="I11" i="15"/>
  <c r="I16" i="15"/>
  <c r="I2" i="15"/>
  <c r="B88" i="28" s="1"/>
  <c r="I3" i="15"/>
  <c r="I4" i="15"/>
  <c r="I5" i="15"/>
  <c r="I6" i="15"/>
  <c r="I7" i="15"/>
  <c r="I8" i="15"/>
  <c r="I12" i="15"/>
  <c r="I13" i="15"/>
  <c r="I14" i="15"/>
  <c r="I15" i="15"/>
  <c r="I17" i="15"/>
  <c r="I18" i="15"/>
  <c r="I19" i="15"/>
  <c r="I20" i="15"/>
  <c r="I21" i="15"/>
  <c r="O21" i="26"/>
  <c r="N21" i="26"/>
  <c r="M21" i="26"/>
  <c r="L21" i="26"/>
  <c r="K21" i="26"/>
  <c r="J21" i="26"/>
  <c r="I21" i="26"/>
  <c r="H21" i="26"/>
  <c r="O20" i="26"/>
  <c r="N20" i="26"/>
  <c r="M20" i="26"/>
  <c r="L20" i="26"/>
  <c r="K20" i="26"/>
  <c r="J20" i="26"/>
  <c r="I20" i="26"/>
  <c r="H20" i="26"/>
  <c r="O19" i="26"/>
  <c r="N19" i="26"/>
  <c r="M19" i="26"/>
  <c r="L19" i="26"/>
  <c r="K19" i="26"/>
  <c r="J19" i="26"/>
  <c r="I19" i="26"/>
  <c r="H19" i="26"/>
  <c r="O18" i="26"/>
  <c r="N18" i="26"/>
  <c r="M18" i="26"/>
  <c r="L18" i="26"/>
  <c r="K18" i="26"/>
  <c r="J18" i="26"/>
  <c r="I18" i="26"/>
  <c r="H18" i="26"/>
  <c r="O17" i="26"/>
  <c r="N17" i="26"/>
  <c r="M17" i="26"/>
  <c r="L17" i="26"/>
  <c r="K17" i="26"/>
  <c r="J17" i="26"/>
  <c r="I17" i="26"/>
  <c r="H17" i="26"/>
  <c r="O16" i="26"/>
  <c r="N16" i="26"/>
  <c r="M16" i="26"/>
  <c r="L16" i="26"/>
  <c r="K16" i="26"/>
  <c r="J16" i="26"/>
  <c r="I16" i="26"/>
  <c r="H16" i="26"/>
  <c r="O15" i="26"/>
  <c r="N15" i="26"/>
  <c r="M15" i="26"/>
  <c r="L15" i="26"/>
  <c r="K15" i="26"/>
  <c r="J15" i="26"/>
  <c r="I15" i="26"/>
  <c r="H15" i="26"/>
  <c r="O14" i="26"/>
  <c r="N14" i="26"/>
  <c r="M14" i="26"/>
  <c r="L14" i="26"/>
  <c r="K14" i="26"/>
  <c r="J14" i="26"/>
  <c r="I14" i="26"/>
  <c r="H14" i="26"/>
  <c r="O13" i="26"/>
  <c r="N13" i="26"/>
  <c r="M13" i="26"/>
  <c r="L13" i="26"/>
  <c r="K13" i="26"/>
  <c r="J13" i="26"/>
  <c r="I13" i="26"/>
  <c r="H13" i="26"/>
  <c r="O12" i="26"/>
  <c r="N12" i="26"/>
  <c r="M12" i="26"/>
  <c r="L12" i="26"/>
  <c r="K12" i="26"/>
  <c r="J12" i="26"/>
  <c r="I12" i="26"/>
  <c r="H12" i="26"/>
  <c r="O11" i="26"/>
  <c r="N11" i="26"/>
  <c r="M11" i="26"/>
  <c r="L11" i="26"/>
  <c r="K11" i="26"/>
  <c r="J11" i="26"/>
  <c r="I11" i="26"/>
  <c r="H11" i="26"/>
  <c r="O10" i="26"/>
  <c r="N10" i="26"/>
  <c r="M10" i="26"/>
  <c r="L10" i="26"/>
  <c r="K10" i="26"/>
  <c r="J10" i="26"/>
  <c r="I10" i="26"/>
  <c r="H10" i="26"/>
  <c r="O9" i="26"/>
  <c r="N9" i="26"/>
  <c r="M9" i="26"/>
  <c r="L9" i="26"/>
  <c r="K9" i="26"/>
  <c r="J9" i="26"/>
  <c r="I9" i="26"/>
  <c r="H9" i="26"/>
  <c r="O8" i="26"/>
  <c r="N8" i="26"/>
  <c r="M8" i="26"/>
  <c r="L8" i="26"/>
  <c r="K8" i="26"/>
  <c r="J8" i="26"/>
  <c r="I8" i="26"/>
  <c r="H8" i="26"/>
  <c r="O7" i="26"/>
  <c r="N7" i="26"/>
  <c r="M7" i="26"/>
  <c r="L7" i="26"/>
  <c r="K7" i="26"/>
  <c r="J7" i="26"/>
  <c r="I7" i="26"/>
  <c r="H7" i="26"/>
  <c r="O6" i="26"/>
  <c r="N6" i="26"/>
  <c r="M6" i="26"/>
  <c r="L6" i="26"/>
  <c r="K6" i="26"/>
  <c r="J6" i="26"/>
  <c r="I6" i="26"/>
  <c r="H6" i="26"/>
  <c r="O5" i="26"/>
  <c r="N5" i="26"/>
  <c r="M5" i="26"/>
  <c r="L5" i="26"/>
  <c r="K5" i="26"/>
  <c r="J5" i="26"/>
  <c r="I5" i="26"/>
  <c r="H5" i="26"/>
  <c r="O4" i="26"/>
  <c r="N4" i="26"/>
  <c r="M4" i="26"/>
  <c r="L4" i="26"/>
  <c r="K4" i="26"/>
  <c r="J4" i="26"/>
  <c r="I4" i="26"/>
  <c r="H4" i="26"/>
  <c r="O3" i="26"/>
  <c r="N3" i="26"/>
  <c r="M3" i="26"/>
  <c r="L3" i="26"/>
  <c r="K3" i="26"/>
  <c r="J3" i="26"/>
  <c r="I3" i="26"/>
  <c r="H3" i="26"/>
  <c r="O2" i="26"/>
  <c r="D89" i="28" s="1"/>
  <c r="N2" i="26"/>
  <c r="M2" i="26"/>
  <c r="L2" i="26"/>
  <c r="D93" i="28" s="1"/>
  <c r="K2" i="26"/>
  <c r="J2" i="26"/>
  <c r="D94" i="28" s="1"/>
  <c r="I2" i="26"/>
  <c r="D88" i="28" s="1"/>
  <c r="H2" i="26"/>
  <c r="D87" i="28" s="1"/>
  <c r="O4" i="25"/>
  <c r="N4" i="25"/>
  <c r="M4" i="25"/>
  <c r="L4" i="25"/>
  <c r="K4" i="25"/>
  <c r="J4" i="25"/>
  <c r="I4" i="25"/>
  <c r="H4" i="25"/>
  <c r="O3" i="25"/>
  <c r="N3" i="25"/>
  <c r="M3" i="25"/>
  <c r="L3" i="25"/>
  <c r="K3" i="25"/>
  <c r="J3" i="25"/>
  <c r="I3" i="25"/>
  <c r="H3" i="25"/>
  <c r="O2" i="25"/>
  <c r="C89" i="28" s="1"/>
  <c r="N2" i="25"/>
  <c r="C90" i="28" s="1"/>
  <c r="M2" i="25"/>
  <c r="C91" i="28" s="1"/>
  <c r="L2" i="25"/>
  <c r="C93" i="28" s="1"/>
  <c r="K2" i="25"/>
  <c r="C92" i="28" s="1"/>
  <c r="J2" i="25"/>
  <c r="C94" i="28" s="1"/>
  <c r="I2" i="25"/>
  <c r="C88" i="28" s="1"/>
  <c r="H2" i="25"/>
  <c r="C87" i="28" s="1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" i="16"/>
  <c r="AG22" i="24" l="1"/>
  <c r="AG6" i="24"/>
  <c r="AG5" i="24"/>
  <c r="AG30" i="24"/>
  <c r="AG31" i="24"/>
  <c r="AG25" i="24"/>
  <c r="AG24" i="24"/>
  <c r="AG19" i="24"/>
  <c r="AG4" i="24"/>
  <c r="AG28" i="24"/>
  <c r="AG14" i="24"/>
  <c r="AG7" i="24"/>
  <c r="AG8" i="24"/>
  <c r="AG13" i="24"/>
  <c r="AG29" i="24"/>
  <c r="AG26" i="24"/>
  <c r="AG15" i="24"/>
  <c r="AG3" i="24"/>
  <c r="AG27" i="24"/>
  <c r="AG23" i="24"/>
  <c r="AG11" i="24"/>
  <c r="AE13" i="24"/>
  <c r="AE3" i="24"/>
  <c r="AG16" i="24"/>
  <c r="AG2" i="24"/>
  <c r="AE23" i="24"/>
  <c r="AG21" i="24"/>
  <c r="AG17" i="24"/>
  <c r="AG12" i="24"/>
  <c r="AG10" i="24"/>
  <c r="AG20" i="24"/>
  <c r="AG9" i="24"/>
  <c r="AE6" i="24"/>
  <c r="AE22" i="24"/>
  <c r="AE29" i="24"/>
  <c r="AF2" i="24"/>
  <c r="AE10" i="24"/>
  <c r="AF11" i="24"/>
  <c r="AE18" i="24"/>
  <c r="AF14" i="24"/>
  <c r="AE15" i="24"/>
  <c r="AE17" i="24"/>
  <c r="AF29" i="24"/>
  <c r="AE9" i="24"/>
  <c r="AF10" i="24"/>
  <c r="AE5" i="24"/>
  <c r="AF18" i="24"/>
  <c r="AE26" i="24"/>
  <c r="AF15" i="24"/>
  <c r="AF17" i="24"/>
  <c r="AF9" i="24"/>
  <c r="AE7" i="24"/>
  <c r="AF5" i="24"/>
  <c r="AE24" i="24"/>
  <c r="AF26" i="24"/>
  <c r="AF22" i="24"/>
  <c r="AE30" i="24"/>
  <c r="AF7" i="24"/>
  <c r="AE31" i="24"/>
  <c r="AF24" i="24"/>
  <c r="AE19" i="24"/>
  <c r="AE8" i="24"/>
  <c r="AF6" i="24"/>
  <c r="AF30" i="24"/>
  <c r="AF31" i="24"/>
  <c r="AE28" i="24"/>
  <c r="AF19" i="24"/>
  <c r="AF3" i="24"/>
  <c r="AE20" i="24"/>
  <c r="AF23" i="24"/>
  <c r="AE27" i="24"/>
  <c r="AF28" i="24"/>
  <c r="AE12" i="24"/>
  <c r="AE16" i="24"/>
  <c r="AF13" i="24"/>
  <c r="AE4" i="24"/>
  <c r="AF20" i="24"/>
  <c r="AE21" i="24"/>
  <c r="AF27" i="24"/>
  <c r="AE25" i="24"/>
  <c r="AF12" i="24"/>
  <c r="AF16" i="24"/>
  <c r="AE2" i="24"/>
  <c r="AF4" i="24"/>
  <c r="AE11" i="24"/>
  <c r="AF21" i="24"/>
  <c r="AE14" i="24"/>
  <c r="AF25" i="24"/>
  <c r="C133" i="28"/>
  <c r="C139" i="28"/>
  <c r="C138" i="28"/>
  <c r="AA14" i="28"/>
  <c r="AA18" i="28"/>
  <c r="B139" i="28"/>
  <c r="B134" i="28"/>
  <c r="B135" i="28"/>
  <c r="B136" i="28"/>
  <c r="B137" i="28"/>
  <c r="B132" i="28"/>
  <c r="B133" i="28"/>
  <c r="B138" i="28"/>
  <c r="C132" i="28"/>
  <c r="C137" i="28"/>
  <c r="C136" i="28"/>
  <c r="C134" i="28"/>
  <c r="I81" i="28"/>
  <c r="G45" i="28"/>
  <c r="G61" i="28"/>
  <c r="G130" i="24"/>
  <c r="G34" i="24"/>
  <c r="G200" i="24"/>
  <c r="G184" i="24"/>
  <c r="G323" i="24"/>
  <c r="G292" i="24"/>
  <c r="G53" i="24"/>
  <c r="G369" i="24"/>
  <c r="G350" i="24"/>
  <c r="G354" i="24"/>
  <c r="G360" i="24"/>
  <c r="G341" i="24"/>
  <c r="G346" i="24"/>
  <c r="G328" i="24"/>
  <c r="G326" i="24"/>
  <c r="G309" i="24"/>
  <c r="G286" i="24"/>
  <c r="G239" i="24"/>
  <c r="G312" i="24"/>
  <c r="G270" i="24"/>
  <c r="G167" i="24"/>
  <c r="G308" i="24"/>
  <c r="G146" i="24"/>
  <c r="G142" i="24"/>
  <c r="G162" i="24"/>
  <c r="G225" i="24"/>
  <c r="G101" i="24"/>
  <c r="G197" i="24"/>
  <c r="G126" i="24"/>
  <c r="G176" i="24"/>
  <c r="G195" i="24"/>
  <c r="G99" i="24"/>
  <c r="G198" i="24"/>
  <c r="G156" i="24"/>
  <c r="G112" i="24"/>
  <c r="G181" i="24"/>
  <c r="G64" i="24"/>
  <c r="G180" i="24"/>
  <c r="G119" i="24"/>
  <c r="G85" i="24"/>
  <c r="G209" i="24"/>
  <c r="G23" i="24"/>
  <c r="G72" i="24"/>
  <c r="G50" i="24"/>
  <c r="G70" i="24"/>
  <c r="G114" i="24"/>
  <c r="G18" i="24"/>
  <c r="G74" i="24"/>
  <c r="G17" i="24"/>
  <c r="G40" i="24"/>
  <c r="G376" i="24"/>
  <c r="G337" i="24"/>
  <c r="G336" i="24"/>
  <c r="G317" i="24"/>
  <c r="G243" i="24"/>
  <c r="G338" i="24"/>
  <c r="G314" i="24"/>
  <c r="G289" i="24"/>
  <c r="G331" i="24"/>
  <c r="G345" i="24"/>
  <c r="G332" i="24"/>
  <c r="G276" i="24"/>
  <c r="G214" i="24"/>
  <c r="G248" i="24"/>
  <c r="G287" i="24"/>
  <c r="G261" i="24"/>
  <c r="G256" i="24"/>
  <c r="G272" i="24"/>
  <c r="G241" i="24"/>
  <c r="G217" i="24"/>
  <c r="G169" i="24"/>
  <c r="G216" i="24"/>
  <c r="G54" i="24"/>
  <c r="G120" i="24"/>
  <c r="G149" i="24"/>
  <c r="G100" i="24"/>
  <c r="G132" i="24"/>
  <c r="G117" i="24"/>
  <c r="G136" i="24"/>
  <c r="G92" i="24"/>
  <c r="G123" i="24"/>
  <c r="G62" i="24"/>
  <c r="G113" i="24"/>
  <c r="G90" i="24"/>
  <c r="G67" i="24"/>
  <c r="G60" i="24"/>
  <c r="G170" i="24"/>
  <c r="G22" i="24"/>
  <c r="G2" i="24"/>
  <c r="G295" i="24"/>
  <c r="G280" i="24"/>
  <c r="G213" i="24"/>
  <c r="G264" i="24"/>
  <c r="G122" i="24"/>
  <c r="G154" i="24"/>
  <c r="G249" i="24"/>
  <c r="G155" i="24"/>
  <c r="G137" i="24"/>
  <c r="G227" i="24"/>
  <c r="G88" i="24"/>
  <c r="G111" i="24"/>
  <c r="G109" i="24"/>
  <c r="G56" i="24"/>
  <c r="G20" i="24"/>
  <c r="G32" i="24"/>
  <c r="G31" i="24"/>
  <c r="G349" i="24"/>
  <c r="G344" i="24"/>
  <c r="G321" i="24"/>
  <c r="G298" i="24"/>
  <c r="G165" i="24"/>
  <c r="G316" i="24"/>
  <c r="G310" i="24"/>
  <c r="G306" i="24"/>
  <c r="G277" i="24"/>
  <c r="G129" i="24"/>
  <c r="G330" i="24"/>
  <c r="G283" i="24"/>
  <c r="G237" i="24"/>
  <c r="G144" i="24"/>
  <c r="G115" i="24"/>
  <c r="G171" i="24"/>
  <c r="G104" i="24"/>
  <c r="G187" i="24"/>
  <c r="G163" i="24"/>
  <c r="G219" i="24"/>
  <c r="G134" i="24"/>
  <c r="G352" i="24"/>
  <c r="G15" i="24"/>
  <c r="G48" i="24"/>
  <c r="G153" i="24"/>
  <c r="G58" i="24"/>
  <c r="G351" i="24"/>
  <c r="G348" i="24"/>
  <c r="G279" i="24"/>
  <c r="G266" i="24"/>
  <c r="G293" i="24"/>
  <c r="G294" i="24"/>
  <c r="G201" i="24"/>
  <c r="G364" i="24"/>
  <c r="G258" i="24"/>
  <c r="G59" i="24"/>
  <c r="G158" i="24"/>
  <c r="G191" i="24"/>
  <c r="G65" i="24"/>
  <c r="G37" i="24"/>
  <c r="G25" i="24"/>
  <c r="G335" i="24"/>
  <c r="G324" i="24"/>
  <c r="G299" i="24"/>
  <c r="G284" i="24"/>
  <c r="G263" i="24"/>
  <c r="G173" i="24"/>
  <c r="G226" i="24"/>
  <c r="G133" i="24"/>
  <c r="G91" i="24"/>
  <c r="G203" i="24"/>
  <c r="G107" i="24"/>
  <c r="G29" i="24"/>
  <c r="G327" i="24"/>
  <c r="G297" i="24"/>
  <c r="G224" i="24"/>
  <c r="G288" i="24"/>
  <c r="G307" i="24"/>
  <c r="G206" i="24"/>
  <c r="G135" i="24"/>
  <c r="G43" i="24"/>
  <c r="G47" i="24"/>
  <c r="G368" i="24"/>
  <c r="G313" i="24"/>
  <c r="G372" i="24"/>
  <c r="G253" i="24"/>
  <c r="G262" i="24"/>
  <c r="G210" i="24"/>
  <c r="G105" i="24"/>
  <c r="G282" i="24"/>
  <c r="G10" i="24"/>
  <c r="G89" i="24"/>
  <c r="G281" i="24"/>
  <c r="G192" i="24"/>
  <c r="G139" i="24"/>
  <c r="G140" i="24"/>
  <c r="G196" i="24"/>
  <c r="G39" i="24"/>
  <c r="G9" i="24"/>
  <c r="G269" i="24"/>
  <c r="G245" i="24"/>
  <c r="G84" i="24"/>
  <c r="G33" i="24"/>
  <c r="G11" i="24"/>
  <c r="G329" i="24"/>
  <c r="G375" i="24"/>
  <c r="G333" i="24"/>
  <c r="G311" i="24"/>
  <c r="G234" i="24"/>
  <c r="G374" i="24"/>
  <c r="G242" i="24"/>
  <c r="G86" i="24"/>
  <c r="G138" i="24"/>
  <c r="G125" i="24"/>
  <c r="G259" i="24"/>
  <c r="G365" i="24"/>
  <c r="G363" i="24"/>
  <c r="G303" i="24"/>
  <c r="G45" i="24"/>
  <c r="G320" i="24"/>
  <c r="G102" i="24"/>
  <c r="G222" i="24"/>
  <c r="G367" i="24"/>
  <c r="G343" i="24"/>
  <c r="G319" i="24"/>
  <c r="G318" i="24"/>
  <c r="G218" i="24"/>
  <c r="G296" i="24"/>
  <c r="G305" i="24"/>
  <c r="G238" i="24"/>
  <c r="G247" i="24"/>
  <c r="G205" i="24"/>
  <c r="G275" i="24"/>
  <c r="G211" i="24"/>
  <c r="G194" i="24"/>
  <c r="G221" i="24"/>
  <c r="G342" i="24"/>
  <c r="G98" i="24"/>
  <c r="G27" i="24"/>
  <c r="G69" i="24"/>
  <c r="G81" i="24"/>
  <c r="G49" i="24"/>
  <c r="G30" i="24"/>
  <c r="G121" i="24"/>
  <c r="G290" i="24"/>
  <c r="G223" i="24"/>
  <c r="G161" i="24"/>
  <c r="G143" i="24"/>
  <c r="G244" i="24"/>
  <c r="G231" i="24"/>
  <c r="G339" i="24"/>
  <c r="G179" i="24"/>
  <c r="G166" i="24"/>
  <c r="G359" i="24"/>
  <c r="G103" i="24"/>
  <c r="G44" i="24"/>
  <c r="G38" i="24"/>
  <c r="G235" i="24"/>
  <c r="G159" i="24"/>
  <c r="G4" i="24"/>
  <c r="G267" i="24"/>
  <c r="G260" i="24"/>
  <c r="G157" i="24"/>
  <c r="G147" i="24"/>
  <c r="G174" i="24"/>
  <c r="G106" i="24"/>
  <c r="G6" i="24"/>
  <c r="G21" i="24"/>
  <c r="G5" i="24"/>
  <c r="G366" i="24"/>
  <c r="G257" i="24"/>
  <c r="G334" i="24"/>
  <c r="G304" i="24"/>
  <c r="G301" i="24"/>
  <c r="G208" i="24"/>
  <c r="G273" i="24"/>
  <c r="G250" i="24"/>
  <c r="G236" i="24"/>
  <c r="G150" i="24"/>
  <c r="G172" i="24"/>
  <c r="G87" i="24"/>
  <c r="G110" i="24"/>
  <c r="G168" i="24"/>
  <c r="G108" i="24"/>
  <c r="G68" i="24"/>
  <c r="G3" i="24"/>
  <c r="G14" i="24"/>
  <c r="G66" i="24"/>
  <c r="G325" i="24"/>
  <c r="G347" i="24"/>
  <c r="G178" i="24"/>
  <c r="G152" i="24"/>
  <c r="G57" i="24"/>
  <c r="G151" i="24"/>
  <c r="G46" i="24"/>
  <c r="G73" i="24"/>
  <c r="G233" i="24"/>
  <c r="G190" i="24"/>
  <c r="G183" i="24"/>
  <c r="G128" i="24"/>
  <c r="G94" i="24"/>
  <c r="G80" i="24"/>
  <c r="G63" i="24"/>
  <c r="G51" i="24"/>
  <c r="G36" i="24"/>
  <c r="G300" i="24"/>
  <c r="G246" i="24"/>
  <c r="G188" i="24"/>
  <c r="G145" i="24"/>
  <c r="G83" i="24"/>
  <c r="G131" i="24"/>
  <c r="G8" i="24"/>
  <c r="G362" i="24"/>
  <c r="G202" i="24"/>
  <c r="G358" i="24"/>
  <c r="G357" i="24"/>
  <c r="G322" i="24"/>
  <c r="G271" i="24"/>
  <c r="G182" i="24"/>
  <c r="G240" i="24"/>
  <c r="G148" i="24"/>
  <c r="G207" i="24"/>
  <c r="G228" i="24"/>
  <c r="G160" i="24"/>
  <c r="G141" i="24"/>
  <c r="G52" i="24"/>
  <c r="G79" i="24"/>
  <c r="G82" i="24"/>
  <c r="G118" i="24"/>
  <c r="G41" i="24"/>
  <c r="G26" i="24"/>
  <c r="G95" i="24"/>
  <c r="G42" i="24"/>
  <c r="G16" i="24"/>
  <c r="G71" i="24"/>
  <c r="G361" i="24"/>
  <c r="G229" i="24"/>
  <c r="G315" i="24"/>
  <c r="G232" i="24"/>
  <c r="G378" i="24"/>
  <c r="G252" i="24"/>
  <c r="G268" i="24"/>
  <c r="G302" i="24"/>
  <c r="G199" i="24"/>
  <c r="G177" i="24"/>
  <c r="G285" i="24"/>
  <c r="G189" i="24"/>
  <c r="G215" i="24"/>
  <c r="G164" i="24"/>
  <c r="G175" i="24"/>
  <c r="G230" i="24"/>
  <c r="G265" i="24"/>
  <c r="G77" i="24"/>
  <c r="G186" i="24"/>
  <c r="G55" i="24"/>
  <c r="G13" i="24"/>
  <c r="G97" i="24"/>
  <c r="G185" i="24"/>
  <c r="G78" i="24"/>
  <c r="G28" i="24"/>
  <c r="G24" i="24"/>
  <c r="G96" i="24"/>
  <c r="G61" i="24"/>
  <c r="G12" i="24"/>
  <c r="G377" i="24"/>
  <c r="G370" i="24"/>
  <c r="G251" i="24"/>
  <c r="G127" i="24"/>
  <c r="G379" i="24"/>
  <c r="G356" i="24"/>
  <c r="G353" i="24"/>
  <c r="G373" i="24"/>
  <c r="G371" i="24"/>
  <c r="G355" i="24"/>
  <c r="G340" i="24"/>
  <c r="G274" i="24"/>
  <c r="G291" i="24"/>
  <c r="G278" i="24"/>
  <c r="G204" i="24"/>
  <c r="G255" i="24"/>
  <c r="G254" i="24"/>
  <c r="G93" i="24"/>
  <c r="G220" i="24"/>
  <c r="G193" i="24"/>
  <c r="G212" i="24"/>
  <c r="G76" i="24"/>
  <c r="G116" i="24"/>
  <c r="G124" i="24"/>
  <c r="G75" i="24"/>
  <c r="G35" i="24"/>
  <c r="G7" i="24"/>
  <c r="G19" i="24"/>
  <c r="B80" i="28"/>
  <c r="AK56" i="28"/>
  <c r="AK59" i="28"/>
  <c r="AK47" i="28"/>
  <c r="G56" i="28"/>
  <c r="AK39" i="28"/>
  <c r="AK46" i="28"/>
  <c r="AK58" i="28"/>
  <c r="AK53" i="28"/>
  <c r="AK63" i="28"/>
  <c r="G37" i="28"/>
  <c r="AJ11" i="28"/>
  <c r="AJ22" i="28"/>
  <c r="AJ8" i="28"/>
  <c r="AJ6" i="28"/>
  <c r="Q60" i="28"/>
  <c r="Q52" i="28"/>
  <c r="Q44" i="28"/>
  <c r="AK45" i="28"/>
  <c r="AK40" i="28"/>
  <c r="AK44" i="28"/>
  <c r="G39" i="28"/>
  <c r="AA3" i="28"/>
  <c r="AK43" i="28"/>
  <c r="AK42" i="28"/>
  <c r="AK37" i="28"/>
  <c r="AK49" i="28"/>
  <c r="AA4" i="28"/>
  <c r="G62" i="28"/>
  <c r="AK50" i="28"/>
  <c r="AK38" i="28"/>
  <c r="AK48" i="28"/>
  <c r="AK57" i="28"/>
  <c r="AA20" i="28"/>
  <c r="G43" i="28"/>
  <c r="G51" i="28"/>
  <c r="AA28" i="28"/>
  <c r="G41" i="28"/>
  <c r="G64" i="28"/>
  <c r="AK62" i="28"/>
  <c r="AK52" i="28"/>
  <c r="AK54" i="28"/>
  <c r="AK64" i="28"/>
  <c r="AK60" i="28"/>
  <c r="AK65" i="28"/>
  <c r="AK36" i="28"/>
  <c r="AK41" i="28"/>
  <c r="G50" i="28"/>
  <c r="G40" i="28"/>
  <c r="G47" i="28"/>
  <c r="AK51" i="28"/>
  <c r="AK55" i="28"/>
  <c r="AK61" i="28"/>
  <c r="Q37" i="28"/>
  <c r="AA10" i="28"/>
  <c r="G46" i="28"/>
  <c r="AA12" i="28"/>
  <c r="G53" i="28"/>
  <c r="G42" i="28"/>
  <c r="AA8" i="28"/>
  <c r="G58" i="28"/>
  <c r="G54" i="28"/>
  <c r="Q43" i="28"/>
  <c r="G59" i="28"/>
  <c r="Q58" i="28"/>
  <c r="Q65" i="28"/>
  <c r="Q57" i="28"/>
  <c r="Q49" i="28"/>
  <c r="Q41" i="28"/>
  <c r="Q59" i="28"/>
  <c r="Q42" i="28"/>
  <c r="AA13" i="28"/>
  <c r="Q64" i="28"/>
  <c r="Q56" i="28"/>
  <c r="Q48" i="28"/>
  <c r="Q40" i="28"/>
  <c r="Q51" i="28"/>
  <c r="Q50" i="28"/>
  <c r="AA22" i="28"/>
  <c r="G48" i="28"/>
  <c r="AJ4" i="28"/>
  <c r="AJ17" i="28"/>
  <c r="AJ30" i="28"/>
  <c r="AJ26" i="28"/>
  <c r="AJ14" i="28"/>
  <c r="AJ9" i="28"/>
  <c r="AJ13" i="28"/>
  <c r="AJ21" i="28"/>
  <c r="AA30" i="28"/>
  <c r="G44" i="28"/>
  <c r="G36" i="28"/>
  <c r="AA5" i="28"/>
  <c r="G55" i="28"/>
  <c r="AA25" i="28"/>
  <c r="AA2" i="28"/>
  <c r="I100" i="28" s="1"/>
  <c r="G52" i="28"/>
  <c r="AA23" i="28"/>
  <c r="AA6" i="28"/>
  <c r="G49" i="28"/>
  <c r="G60" i="28"/>
  <c r="AA24" i="28"/>
  <c r="Q63" i="28"/>
  <c r="Q55" i="28"/>
  <c r="Q47" i="28"/>
  <c r="Q36" i="28"/>
  <c r="AJ27" i="28"/>
  <c r="AJ31" i="28"/>
  <c r="AJ3" i="28"/>
  <c r="AA17" i="28"/>
  <c r="AA21" i="28"/>
  <c r="G57" i="28"/>
  <c r="Q62" i="28"/>
  <c r="Q54" i="28"/>
  <c r="Q46" i="28"/>
  <c r="Q38" i="28"/>
  <c r="G29" i="28"/>
  <c r="G13" i="28"/>
  <c r="G21" i="28"/>
  <c r="Q27" i="28"/>
  <c r="Q31" i="28"/>
  <c r="Q18" i="28"/>
  <c r="Q7" i="28"/>
  <c r="AJ25" i="28"/>
  <c r="AJ16" i="28"/>
  <c r="AJ23" i="28"/>
  <c r="AA16" i="28"/>
  <c r="AA31" i="28"/>
  <c r="G63" i="28"/>
  <c r="G38" i="28"/>
  <c r="G65" i="28"/>
  <c r="Q61" i="28"/>
  <c r="Q53" i="28"/>
  <c r="Q45" i="28"/>
  <c r="Q39" i="28"/>
  <c r="AA27" i="28"/>
  <c r="AA7" i="28"/>
  <c r="AA9" i="28"/>
  <c r="AA11" i="28"/>
  <c r="AA26" i="28"/>
  <c r="AA19" i="28"/>
  <c r="AA29" i="28"/>
  <c r="AA15" i="28"/>
  <c r="AJ7" i="28"/>
  <c r="AJ29" i="28"/>
  <c r="G10" i="28"/>
  <c r="G15" i="28"/>
  <c r="G14" i="28"/>
  <c r="G6" i="28"/>
  <c r="Q15" i="28"/>
  <c r="Q23" i="28"/>
  <c r="Q13" i="28"/>
  <c r="Q6" i="28"/>
  <c r="AJ20" i="28"/>
  <c r="AJ15" i="28"/>
  <c r="AJ18" i="28"/>
  <c r="AJ24" i="28"/>
  <c r="AJ28" i="28"/>
  <c r="AJ2" i="28"/>
  <c r="G26" i="28"/>
  <c r="G30" i="28"/>
  <c r="G9" i="28"/>
  <c r="G2" i="28"/>
  <c r="Q11" i="28"/>
  <c r="Q19" i="28"/>
  <c r="Q3" i="28"/>
  <c r="Q17" i="28"/>
  <c r="AJ12" i="28"/>
  <c r="AJ19" i="28"/>
  <c r="AJ10" i="28"/>
  <c r="AJ5" i="28"/>
  <c r="AA59" i="28"/>
  <c r="AA60" i="28"/>
  <c r="AA62" i="28"/>
  <c r="AA38" i="28"/>
  <c r="AA41" i="28"/>
  <c r="AA53" i="28"/>
  <c r="AA36" i="28"/>
  <c r="AA63" i="28"/>
  <c r="AA65" i="28"/>
  <c r="AA48" i="28"/>
  <c r="AA61" i="28"/>
  <c r="AA58" i="28"/>
  <c r="AA57" i="28"/>
  <c r="AA47" i="28"/>
  <c r="AA42" i="28"/>
  <c r="AA50" i="28"/>
  <c r="AA52" i="28"/>
  <c r="AA44" i="28"/>
  <c r="AA64" i="28"/>
  <c r="AA40" i="28"/>
  <c r="AA54" i="28"/>
  <c r="AA55" i="28"/>
  <c r="AA56" i="28"/>
  <c r="AA51" i="28"/>
  <c r="AA43" i="28"/>
  <c r="AA37" i="28"/>
  <c r="AA46" i="28"/>
  <c r="AA49" i="28"/>
  <c r="AA39" i="28"/>
  <c r="AA45" i="28"/>
  <c r="Q5" i="28"/>
  <c r="Q12" i="28"/>
  <c r="G8" i="28"/>
  <c r="G3" i="28"/>
  <c r="G19" i="28"/>
  <c r="Q10" i="28"/>
  <c r="G7" i="28"/>
  <c r="Q8" i="28"/>
  <c r="Q30" i="28"/>
  <c r="Q22" i="28"/>
  <c r="G24" i="28"/>
  <c r="Q14" i="28"/>
  <c r="G23" i="28"/>
  <c r="Q28" i="28"/>
  <c r="G16" i="28"/>
  <c r="G27" i="28"/>
  <c r="G12" i="28"/>
  <c r="Q29" i="28"/>
  <c r="Q26" i="28"/>
  <c r="Q9" i="28"/>
  <c r="Q2" i="28"/>
  <c r="G20" i="28"/>
  <c r="G31" i="28"/>
  <c r="G22" i="28"/>
  <c r="G18" i="28"/>
  <c r="G11" i="28"/>
  <c r="G28" i="28"/>
  <c r="Q4" i="28"/>
  <c r="Q16" i="28"/>
  <c r="Q24" i="28"/>
  <c r="G25" i="28"/>
  <c r="G5" i="28"/>
  <c r="G4" i="28"/>
  <c r="G17" i="28"/>
  <c r="Q20" i="28"/>
  <c r="Q21" i="28"/>
  <c r="Q25" i="28"/>
  <c r="W21" i="27"/>
  <c r="W29" i="27"/>
  <c r="W28" i="27"/>
  <c r="W24" i="27"/>
  <c r="W22" i="27"/>
  <c r="W36" i="27"/>
  <c r="W20" i="27"/>
  <c r="W32" i="27"/>
  <c r="W16" i="27"/>
  <c r="W30" i="27"/>
  <c r="W13" i="27"/>
  <c r="W31" i="27"/>
  <c r="W23" i="27"/>
  <c r="W15" i="27"/>
  <c r="W14" i="27"/>
  <c r="W12" i="27"/>
  <c r="W35" i="27"/>
  <c r="W27" i="27"/>
  <c r="W19" i="27"/>
  <c r="W11" i="27"/>
  <c r="W34" i="27"/>
  <c r="W26" i="27"/>
  <c r="W18" i="27"/>
  <c r="W10" i="27"/>
  <c r="W33" i="27"/>
  <c r="W25" i="27"/>
  <c r="W17" i="27"/>
  <c r="V37" i="27"/>
  <c r="X37" i="27" s="1"/>
  <c r="T184" i="27"/>
  <c r="V40" i="27"/>
  <c r="V38" i="27"/>
  <c r="I98" i="28" l="1"/>
  <c r="J98" i="28"/>
  <c r="K98" i="28"/>
  <c r="L98" i="28"/>
  <c r="M98" i="28"/>
  <c r="K99" i="28"/>
  <c r="J99" i="28"/>
  <c r="I99" i="28"/>
  <c r="L99" i="28"/>
  <c r="M99" i="28"/>
  <c r="I101" i="28"/>
  <c r="M101" i="28"/>
  <c r="J101" i="28"/>
  <c r="L101" i="28"/>
  <c r="K101" i="28"/>
  <c r="M100" i="28"/>
  <c r="L100" i="28"/>
  <c r="K100" i="28"/>
  <c r="J100" i="28"/>
  <c r="M103" i="28"/>
  <c r="L103" i="28"/>
  <c r="K103" i="28"/>
  <c r="J103" i="28"/>
  <c r="I103" i="28"/>
  <c r="J104" i="28"/>
  <c r="I104" i="28"/>
  <c r="M104" i="28"/>
  <c r="L104" i="28"/>
  <c r="K104" i="28"/>
  <c r="L102" i="28"/>
  <c r="K102" i="28"/>
  <c r="M102" i="28"/>
  <c r="J102" i="28"/>
  <c r="I102" i="28"/>
  <c r="M105" i="28"/>
  <c r="L105" i="28"/>
  <c r="K105" i="28"/>
  <c r="J105" i="28"/>
  <c r="I105" i="28"/>
  <c r="I113" i="28"/>
  <c r="F105" i="28" s="1"/>
  <c r="I111" i="28"/>
  <c r="D105" i="28" s="1"/>
  <c r="I112" i="28"/>
  <c r="I109" i="28"/>
  <c r="B98" i="28" s="1"/>
  <c r="I114" i="28"/>
  <c r="I110" i="28"/>
  <c r="C100" i="28" s="1"/>
  <c r="E100" i="28"/>
  <c r="E104" i="28"/>
  <c r="E102" i="28"/>
  <c r="E103" i="28"/>
  <c r="E105" i="28"/>
  <c r="E99" i="28"/>
  <c r="E101" i="28"/>
  <c r="E98" i="28"/>
  <c r="W37" i="27"/>
  <c r="C103" i="28" l="1"/>
  <c r="B99" i="28"/>
  <c r="F99" i="28"/>
  <c r="F102" i="28"/>
  <c r="D99" i="28"/>
  <c r="D100" i="28"/>
  <c r="F98" i="28"/>
  <c r="D101" i="28"/>
  <c r="D102" i="28"/>
  <c r="F100" i="28"/>
  <c r="D98" i="28"/>
  <c r="F104" i="28"/>
  <c r="F101" i="28"/>
  <c r="D104" i="28"/>
  <c r="F103" i="28"/>
  <c r="D103" i="28"/>
  <c r="C105" i="28"/>
  <c r="C104" i="28"/>
  <c r="C98" i="28"/>
  <c r="C99" i="28"/>
  <c r="C102" i="28"/>
  <c r="C101" i="28"/>
  <c r="B105" i="28"/>
  <c r="B104" i="28"/>
  <c r="B103" i="28"/>
  <c r="B102" i="28"/>
  <c r="B101" i="28"/>
  <c r="B100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87" authorId="0" shapeId="0" xr:uid="{E91B3674-AEDD-674C-90E7-E5CA7249DF8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GT, DF, PF, NC preserved same percentage of hubs
</t>
        </r>
      </text>
    </comment>
  </commentList>
</comments>
</file>

<file path=xl/sharedStrings.xml><?xml version="1.0" encoding="utf-8"?>
<sst xmlns="http://schemas.openxmlformats.org/spreadsheetml/2006/main" count="9309" uniqueCount="2483">
  <si>
    <t>Name</t>
  </si>
  <si>
    <t>-</t>
  </si>
  <si>
    <t>San Francisco</t>
  </si>
  <si>
    <t>Column1</t>
  </si>
  <si>
    <t>Airport</t>
  </si>
  <si>
    <t>Company</t>
  </si>
  <si>
    <t>American Airlines (AA)</t>
  </si>
  <si>
    <t>City</t>
  </si>
  <si>
    <t>Label</t>
  </si>
  <si>
    <t>Los Angeles International Airport</t>
  </si>
  <si>
    <t>Los Angeles</t>
  </si>
  <si>
    <t>KLAX</t>
  </si>
  <si>
    <t>Chicago O'Hare International Airport</t>
  </si>
  <si>
    <t>Chicago</t>
  </si>
  <si>
    <t>KORD</t>
  </si>
  <si>
    <t>Hartsfield Jackson Atlanta International Airport</t>
  </si>
  <si>
    <t>Atlanta</t>
  </si>
  <si>
    <t>KATL</t>
  </si>
  <si>
    <t>Dallas Fort Worth International Airport</t>
  </si>
  <si>
    <t>Dallas-Fort Worth</t>
  </si>
  <si>
    <t>KDFW</t>
  </si>
  <si>
    <t>John F Kennedy International Airport</t>
  </si>
  <si>
    <t>New York</t>
  </si>
  <si>
    <t>KJFK</t>
  </si>
  <si>
    <t>Newark Liberty International Airport</t>
  </si>
  <si>
    <t>Newark</t>
  </si>
  <si>
    <t>KEWR</t>
  </si>
  <si>
    <t>San Francisco International Airport</t>
  </si>
  <si>
    <t>KSFO</t>
  </si>
  <si>
    <t>Seattle Tacoma International Airport</t>
  </si>
  <si>
    <t>Seattle</t>
  </si>
  <si>
    <t>KSEA</t>
  </si>
  <si>
    <t>Charlotte Douglas International Airport</t>
  </si>
  <si>
    <t>Charlotte</t>
  </si>
  <si>
    <t>KCLT</t>
  </si>
  <si>
    <t>Ronald Reagan Washington National Airport</t>
  </si>
  <si>
    <t>Washington</t>
  </si>
  <si>
    <t>KDCA</t>
  </si>
  <si>
    <t>United Airlines (UA)</t>
  </si>
  <si>
    <t>McCarran International Airport</t>
  </si>
  <si>
    <t>Las Vegas</t>
  </si>
  <si>
    <t>KLAS</t>
  </si>
  <si>
    <t>Philadelphia International Airport</t>
  </si>
  <si>
    <t>Philadelphia</t>
  </si>
  <si>
    <t>KPHL</t>
  </si>
  <si>
    <t>General Edward Lawrence Logan International Airport</t>
  </si>
  <si>
    <t>Boston</t>
  </si>
  <si>
    <t>George Bush Intercontinental Houston Airport</t>
  </si>
  <si>
    <t>Houston</t>
  </si>
  <si>
    <t>Denver International Airport</t>
  </si>
  <si>
    <t>Denver</t>
  </si>
  <si>
    <t>KDEN</t>
  </si>
  <si>
    <t>Phoenix Sky Harbor International Airport</t>
  </si>
  <si>
    <t>Phoenix</t>
  </si>
  <si>
    <t>KPHX</t>
  </si>
  <si>
    <t>Minneapolis-St Paul International/Wold-Chamberlain Airport</t>
  </si>
  <si>
    <t>Minneapolis</t>
  </si>
  <si>
    <t>KMSP</t>
  </si>
  <si>
    <t>Detroit Metropolitan Wayne County Airport</t>
  </si>
  <si>
    <t>Detroit</t>
  </si>
  <si>
    <t>Delta Air Lines (DL)</t>
  </si>
  <si>
    <t>Miami International Airport</t>
  </si>
  <si>
    <t>Miami</t>
  </si>
  <si>
    <t>KMIA</t>
  </si>
  <si>
    <t>Washington Dulles International Airport</t>
  </si>
  <si>
    <t>KIAD</t>
  </si>
  <si>
    <t>Orlando International Airport</t>
  </si>
  <si>
    <t>Orlando</t>
  </si>
  <si>
    <t>KMCO</t>
  </si>
  <si>
    <t>Salt Lake City International Airport</t>
  </si>
  <si>
    <t>Salt Lake City</t>
  </si>
  <si>
    <t>KSLC</t>
  </si>
  <si>
    <t>Fort Lauderdale Hollywood International Airport</t>
  </si>
  <si>
    <t>Fort Lauderdale</t>
  </si>
  <si>
    <t>KFLL</t>
  </si>
  <si>
    <t>Richmond International Airport</t>
  </si>
  <si>
    <t>Richmond</t>
  </si>
  <si>
    <t>KRIC</t>
  </si>
  <si>
    <t>Des Moines International Airport</t>
  </si>
  <si>
    <t>Des Moines</t>
  </si>
  <si>
    <t>KDSM</t>
  </si>
  <si>
    <t>Albany International Airport</t>
  </si>
  <si>
    <t>Albany</t>
  </si>
  <si>
    <t>KALB</t>
  </si>
  <si>
    <t>Greater Rochester International Airport</t>
  </si>
  <si>
    <t>Rochester</t>
  </si>
  <si>
    <t>KROC</t>
  </si>
  <si>
    <t>Tucson International Airport</t>
  </si>
  <si>
    <t>Tucson</t>
  </si>
  <si>
    <t>KTUS</t>
  </si>
  <si>
    <t>McGhee Tyson Airport</t>
  </si>
  <si>
    <t>Knoxville</t>
  </si>
  <si>
    <t>KTYS</t>
  </si>
  <si>
    <t>Southwest Airlines (WN)</t>
  </si>
  <si>
    <t>Bill &amp; Hillary Clinton National Airport/Adams Field</t>
  </si>
  <si>
    <t>Little Rock</t>
  </si>
  <si>
    <t>Greenville Spartanburg International Airport</t>
  </si>
  <si>
    <t>Greenville</t>
  </si>
  <si>
    <t>Palm Springs International Airport</t>
  </si>
  <si>
    <t>Palm Springs</t>
  </si>
  <si>
    <t>Tulsa International Airport</t>
  </si>
  <si>
    <t>Tulsa</t>
  </si>
  <si>
    <t>Tweed New Haven Airport</t>
  </si>
  <si>
    <t>New Haven</t>
  </si>
  <si>
    <t>Hancock County-Bar Harbor Airport</t>
  </si>
  <si>
    <t>Bar Harbor</t>
  </si>
  <si>
    <t>Southwest Georgia Regional Airport</t>
  </si>
  <si>
    <t>Knox County Regional Airport</t>
  </si>
  <si>
    <t>Rockland</t>
  </si>
  <si>
    <t>Gillette Campbell County Airport</t>
  </si>
  <si>
    <t>Gillette</t>
  </si>
  <si>
    <t>Redding Municipal Airport</t>
  </si>
  <si>
    <t>Redding</t>
  </si>
  <si>
    <t>Williamsport Regional Airport</t>
  </si>
  <si>
    <t>Williamsport</t>
  </si>
  <si>
    <t>Bert Mooney Airport</t>
  </si>
  <si>
    <t>Butte</t>
  </si>
  <si>
    <t>Mc Clellan-Palomar Airport</t>
  </si>
  <si>
    <t>Carlsbad</t>
  </si>
  <si>
    <t>Cheyenne Regional Jerry Olson Field</t>
  </si>
  <si>
    <t>Cheyenne</t>
  </si>
  <si>
    <t>JetBlue (B6)</t>
  </si>
  <si>
    <t>Alaska Airlines (AS)</t>
  </si>
  <si>
    <t>Air Canada (AC)</t>
  </si>
  <si>
    <t>LAX</t>
  </si>
  <si>
    <t>ORD</t>
  </si>
  <si>
    <t>ATL</t>
  </si>
  <si>
    <t>DFW</t>
  </si>
  <si>
    <t>JFK</t>
  </si>
  <si>
    <t>EWR</t>
  </si>
  <si>
    <t>SFO</t>
  </si>
  <si>
    <t>SEA</t>
  </si>
  <si>
    <t>CLT</t>
  </si>
  <si>
    <t>DCA</t>
  </si>
  <si>
    <t>LAS</t>
  </si>
  <si>
    <t>PHL</t>
  </si>
  <si>
    <t>BOS</t>
  </si>
  <si>
    <t>IAH</t>
  </si>
  <si>
    <t>DEN</t>
  </si>
  <si>
    <t>PHX</t>
  </si>
  <si>
    <t>MSP</t>
  </si>
  <si>
    <t>DTW</t>
  </si>
  <si>
    <t>MIA</t>
  </si>
  <si>
    <t>IAD</t>
  </si>
  <si>
    <t>MCO</t>
  </si>
  <si>
    <t>SLC</t>
  </si>
  <si>
    <t>FLL</t>
  </si>
  <si>
    <t>RIC</t>
  </si>
  <si>
    <t>DSM</t>
  </si>
  <si>
    <t>ALB</t>
  </si>
  <si>
    <t>ROC</t>
  </si>
  <si>
    <t>TUS</t>
  </si>
  <si>
    <t>TYS</t>
  </si>
  <si>
    <t>LIT</t>
  </si>
  <si>
    <t>GSP</t>
  </si>
  <si>
    <t>PSP</t>
  </si>
  <si>
    <t>TUL</t>
  </si>
  <si>
    <t>HVN</t>
  </si>
  <si>
    <t>BHB</t>
  </si>
  <si>
    <t>ABY</t>
  </si>
  <si>
    <t>RKD</t>
  </si>
  <si>
    <t>GCC</t>
  </si>
  <si>
    <t>RDD</t>
  </si>
  <si>
    <t>IPT</t>
  </si>
  <si>
    <t>BTM</t>
  </si>
  <si>
    <t>CRQ</t>
  </si>
  <si>
    <t>CYS</t>
  </si>
  <si>
    <t>Companies</t>
  </si>
  <si>
    <t>LGA</t>
  </si>
  <si>
    <t>Washington Ronald Reagan National Airport</t>
  </si>
  <si>
    <t>New York John F. Kennedy International Airport</t>
  </si>
  <si>
    <t>New York LaGuardia Airport</t>
  </si>
  <si>
    <t>Dallas-Ft. Worth International Airport</t>
  </si>
  <si>
    <t>Houston George-Bush Intercontinental Airport</t>
  </si>
  <si>
    <t>Boston Logan International Airport</t>
  </si>
  <si>
    <t>CVG</t>
  </si>
  <si>
    <t>BWI</t>
  </si>
  <si>
    <t>TPA</t>
  </si>
  <si>
    <t>BNA</t>
  </si>
  <si>
    <t>MKE</t>
  </si>
  <si>
    <t>MDW</t>
  </si>
  <si>
    <t>DAL</t>
  </si>
  <si>
    <t>Detroit Metropolitan Airport</t>
  </si>
  <si>
    <t>Cincinnati/Northern Kentucky International Airport</t>
  </si>
  <si>
    <t>Hartsfield-Jackson Atlanta International Airport</t>
  </si>
  <si>
    <t>Minneapolis-St. Paul International Airport</t>
  </si>
  <si>
    <t>Seattle-Tacoma International Airport</t>
  </si>
  <si>
    <t>Baltimore-Washington International Airport</t>
  </si>
  <si>
    <t>Ft. Lauderdale-Hollywood International Airport</t>
  </si>
  <si>
    <t>Tampa International Airport</t>
  </si>
  <si>
    <t>Nashville International Airport</t>
  </si>
  <si>
    <t>General Mitchell International Airport</t>
  </si>
  <si>
    <t>Chicago Midway Airport</t>
  </si>
  <si>
    <t>Dallas Love Field Airport</t>
  </si>
  <si>
    <t>HOU</t>
  </si>
  <si>
    <t>OAK</t>
  </si>
  <si>
    <t>SNA</t>
  </si>
  <si>
    <t>SAN</t>
  </si>
  <si>
    <t>STL</t>
  </si>
  <si>
    <t>SJU</t>
  </si>
  <si>
    <t>LGB</t>
  </si>
  <si>
    <t>ANC</t>
  </si>
  <si>
    <t>PDX</t>
  </si>
  <si>
    <t>YVR</t>
  </si>
  <si>
    <t>YYC</t>
  </si>
  <si>
    <t>YYZ</t>
  </si>
  <si>
    <t>YUL</t>
  </si>
  <si>
    <t>Houston Hobby Airport</t>
  </si>
  <si>
    <t>Oakland International Airport</t>
  </si>
  <si>
    <t>John Wayne Airport</t>
  </si>
  <si>
    <t>San Diego International Airport</t>
  </si>
  <si>
    <t>St. Louis Lambert International Airport</t>
  </si>
  <si>
    <t>Luis Muñoz Marín International Airport</t>
  </si>
  <si>
    <t>Long Beach Airport</t>
  </si>
  <si>
    <t>Ted Stevens Anchorage International Airport</t>
  </si>
  <si>
    <t>Portland International Airport</t>
  </si>
  <si>
    <t>Vancouver International Airport</t>
  </si>
  <si>
    <t>Calgary International Airport</t>
  </si>
  <si>
    <t>Toronto Pearson International Airport</t>
  </si>
  <si>
    <t>Montréal–Pierre Elliott Trudeau International Airport</t>
  </si>
  <si>
    <t>AA - UA - DL - AS - (WN)</t>
  </si>
  <si>
    <t>AA - UA</t>
  </si>
  <si>
    <t>DL - (WN)</t>
  </si>
  <si>
    <t>AA</t>
  </si>
  <si>
    <t>AA - DL - (B6)</t>
  </si>
  <si>
    <t>UA</t>
  </si>
  <si>
    <t>UA - AS</t>
  </si>
  <si>
    <t>DL - AS</t>
  </si>
  <si>
    <t>(WN)</t>
  </si>
  <si>
    <t>DL - (B6)</t>
  </si>
  <si>
    <t>UA - (WN)</t>
  </si>
  <si>
    <t>AA - (WN)</t>
  </si>
  <si>
    <t>DL</t>
  </si>
  <si>
    <t>(WN) - (B6)</t>
  </si>
  <si>
    <t>id</t>
  </si>
  <si>
    <t>lat</t>
  </si>
  <si>
    <t>lng</t>
  </si>
  <si>
    <t>Country</t>
  </si>
  <si>
    <t>degree</t>
  </si>
  <si>
    <t>weighted_degree</t>
  </si>
  <si>
    <t>component</t>
  </si>
  <si>
    <t>33.94250107</t>
  </si>
  <si>
    <t>-118.4079971</t>
  </si>
  <si>
    <t>United States</t>
  </si>
  <si>
    <t>41.9786</t>
  </si>
  <si>
    <t>-87.9048</t>
  </si>
  <si>
    <t>33.6367</t>
  </si>
  <si>
    <t>-84.428101</t>
  </si>
  <si>
    <t>32.896801</t>
  </si>
  <si>
    <t>-97.038002</t>
  </si>
  <si>
    <t>40.63980103</t>
  </si>
  <si>
    <t>-73.77890015</t>
  </si>
  <si>
    <t>40.692501068115234</t>
  </si>
  <si>
    <t>-74.168701171875</t>
  </si>
  <si>
    <t>37.61899948120117</t>
  </si>
  <si>
    <t>-122.375</t>
  </si>
  <si>
    <t>47.449001</t>
  </si>
  <si>
    <t>-122.308998</t>
  </si>
  <si>
    <t>35.2140007019043</t>
  </si>
  <si>
    <t>-80.94309997558594</t>
  </si>
  <si>
    <t>38.8521</t>
  </si>
  <si>
    <t>-77.037697</t>
  </si>
  <si>
    <t>36.08010101</t>
  </si>
  <si>
    <t>-115.1520004</t>
  </si>
  <si>
    <t>39.87189865112305</t>
  </si>
  <si>
    <t>-75.24109649658203</t>
  </si>
  <si>
    <t>39.861698150635</t>
  </si>
  <si>
    <t>-104.672996521</t>
  </si>
  <si>
    <t>33.43429946899414</t>
  </si>
  <si>
    <t>-112.01200103759766</t>
  </si>
  <si>
    <t>44.882</t>
  </si>
  <si>
    <t>-93.221802</t>
  </si>
  <si>
    <t>25.79319953918457</t>
  </si>
  <si>
    <t>-80.29060363769531</t>
  </si>
  <si>
    <t>38.94449997</t>
  </si>
  <si>
    <t>-77.45580292</t>
  </si>
  <si>
    <t>28.429399490356445</t>
  </si>
  <si>
    <t>-81.30899810791016</t>
  </si>
  <si>
    <t>40.78839874267578</t>
  </si>
  <si>
    <t>-111.97799682617188</t>
  </si>
  <si>
    <t>26.072599</t>
  </si>
  <si>
    <t>-80.152702</t>
  </si>
  <si>
    <t>37.50519943237305</t>
  </si>
  <si>
    <t>-77.3197021484375</t>
  </si>
  <si>
    <t>41.53400039672852</t>
  </si>
  <si>
    <t>-93.66310119628906</t>
  </si>
  <si>
    <t>42.74829864501953</t>
  </si>
  <si>
    <t>-73.80169677734375</t>
  </si>
  <si>
    <t>43.118900299072266</t>
  </si>
  <si>
    <t>-77.67240142822266</t>
  </si>
  <si>
    <t>32.1161003112793</t>
  </si>
  <si>
    <t>-110.94100189208984</t>
  </si>
  <si>
    <t>35.81100082</t>
  </si>
  <si>
    <t>-83.9940033</t>
  </si>
  <si>
    <t>34.729400634799994</t>
  </si>
  <si>
    <t>-92.2242965698</t>
  </si>
  <si>
    <t>KLIT</t>
  </si>
  <si>
    <t>34.8956985474</t>
  </si>
  <si>
    <t>-82.2189025879</t>
  </si>
  <si>
    <t>KGSP</t>
  </si>
  <si>
    <t>33.8297004699707</t>
  </si>
  <si>
    <t>-116.50700378417967</t>
  </si>
  <si>
    <t>KPSP</t>
  </si>
  <si>
    <t>Disparity Filter</t>
  </si>
  <si>
    <t>42.36429977</t>
  </si>
  <si>
    <t>-71.00520325</t>
  </si>
  <si>
    <t>KBOS</t>
  </si>
  <si>
    <t>29.984399795532227</t>
  </si>
  <si>
    <t>-95.34140014648438</t>
  </si>
  <si>
    <t>KIAH</t>
  </si>
  <si>
    <t>36.19839859008789</t>
  </si>
  <si>
    <t>-95.88809967041016</t>
  </si>
  <si>
    <t>KTUL</t>
  </si>
  <si>
    <t>41.26369858</t>
  </si>
  <si>
    <t>-72.88680267</t>
  </si>
  <si>
    <t>KHVN</t>
  </si>
  <si>
    <t>44.45000076</t>
  </si>
  <si>
    <t>-68.3615036</t>
  </si>
  <si>
    <t>KBHB</t>
  </si>
  <si>
    <t>44.06010056</t>
  </si>
  <si>
    <t>-69.09919739</t>
  </si>
  <si>
    <t>KRKD</t>
  </si>
  <si>
    <t>44.3488998413</t>
  </si>
  <si>
    <t>-105.539001465</t>
  </si>
  <si>
    <t>KGCC</t>
  </si>
  <si>
    <t>40.50899887</t>
  </si>
  <si>
    <t>-122.2929993</t>
  </si>
  <si>
    <t>KRDD</t>
  </si>
  <si>
    <t>41.241798400878906</t>
  </si>
  <si>
    <t>-76.92109680175781</t>
  </si>
  <si>
    <t>KIPT</t>
  </si>
  <si>
    <t>45.95479965209961</t>
  </si>
  <si>
    <t>-112.49700164794922</t>
  </si>
  <si>
    <t>KBTM</t>
  </si>
  <si>
    <t>33.12829971</t>
  </si>
  <si>
    <t>-117.2799988</t>
  </si>
  <si>
    <t>KCRQ</t>
  </si>
  <si>
    <t>41.15570068</t>
  </si>
  <si>
    <t>-104.8119965</t>
  </si>
  <si>
    <t>KCYS</t>
  </si>
  <si>
    <t>ECM Filter</t>
  </si>
  <si>
    <t>42.212398529052734</t>
  </si>
  <si>
    <t>-83.35340118408203</t>
  </si>
  <si>
    <t>KDTW</t>
  </si>
  <si>
    <t>GLOSS Filter</t>
  </si>
  <si>
    <t>31.535499572753903</t>
  </si>
  <si>
    <t>-84.19450378417969</t>
  </si>
  <si>
    <t>KABY</t>
  </si>
  <si>
    <t>LANS Filter</t>
  </si>
  <si>
    <t>ML Filter</t>
  </si>
  <si>
    <t>NC Filter</t>
  </si>
  <si>
    <t>Polya Filter</t>
  </si>
  <si>
    <t>Global Threshold</t>
  </si>
  <si>
    <t>Degree</t>
  </si>
  <si>
    <t>Weighted Degree</t>
  </si>
  <si>
    <t>source</t>
  </si>
  <si>
    <t>target</t>
  </si>
  <si>
    <t>weight</t>
  </si>
  <si>
    <t>gloss_alpha</t>
  </si>
  <si>
    <t>0.0126852</t>
  </si>
  <si>
    <t>0.0382855</t>
  </si>
  <si>
    <t>0.0486881</t>
  </si>
  <si>
    <t>0.050113</t>
  </si>
  <si>
    <t>0.0548608</t>
  </si>
  <si>
    <t>0.0566453</t>
  </si>
  <si>
    <t>0.0624187</t>
  </si>
  <si>
    <t>0.0682557</t>
  </si>
  <si>
    <t>0.0770344</t>
  </si>
  <si>
    <t>0.0777135</t>
  </si>
  <si>
    <t>0.0784779</t>
  </si>
  <si>
    <t>0.0854113</t>
  </si>
  <si>
    <t>0.101301</t>
  </si>
  <si>
    <t>0.112727</t>
  </si>
  <si>
    <t>0.11444</t>
  </si>
  <si>
    <t>0.12831</t>
  </si>
  <si>
    <t>0.132082</t>
  </si>
  <si>
    <t>0.133861</t>
  </si>
  <si>
    <t>0.134915</t>
  </si>
  <si>
    <t>0.14093</t>
  </si>
  <si>
    <t>0.146596</t>
  </si>
  <si>
    <t>0.149173</t>
  </si>
  <si>
    <t>0.149429</t>
  </si>
  <si>
    <t>0.150315</t>
  </si>
  <si>
    <t>0.152724</t>
  </si>
  <si>
    <t>0.155672</t>
  </si>
  <si>
    <t>0.157444</t>
  </si>
  <si>
    <t>0.161086</t>
  </si>
  <si>
    <t>0.161233</t>
  </si>
  <si>
    <t>0.162501</t>
  </si>
  <si>
    <t>0.165985</t>
  </si>
  <si>
    <t>0.166119</t>
  </si>
  <si>
    <t>0.168931</t>
  </si>
  <si>
    <t>0.172879</t>
  </si>
  <si>
    <t>0.173238</t>
  </si>
  <si>
    <t>0.179564</t>
  </si>
  <si>
    <t>0.182906</t>
  </si>
  <si>
    <t>0.183631</t>
  </si>
  <si>
    <t>0.18375</t>
  </si>
  <si>
    <t>0.187424</t>
  </si>
  <si>
    <t>0.188214</t>
  </si>
  <si>
    <t>0.188769</t>
  </si>
  <si>
    <t>0.193193</t>
  </si>
  <si>
    <t>0.1934</t>
  </si>
  <si>
    <t>0.195911</t>
  </si>
  <si>
    <t>0.198698</t>
  </si>
  <si>
    <t>0.198807</t>
  </si>
  <si>
    <t>0.199342</t>
  </si>
  <si>
    <t>0.199348</t>
  </si>
  <si>
    <t>0.202261</t>
  </si>
  <si>
    <t>0.207402</t>
  </si>
  <si>
    <t>0.21072</t>
  </si>
  <si>
    <t>0.211503</t>
  </si>
  <si>
    <t>0.214163</t>
  </si>
  <si>
    <t>0.220729</t>
  </si>
  <si>
    <t>0.224551</t>
  </si>
  <si>
    <t>0.224945</t>
  </si>
  <si>
    <t>0.226197</t>
  </si>
  <si>
    <t>0.231457</t>
  </si>
  <si>
    <t>0.2373</t>
  </si>
  <si>
    <t>0.24317</t>
  </si>
  <si>
    <t>0.247782</t>
  </si>
  <si>
    <t>0.247987</t>
  </si>
  <si>
    <t>0.249673</t>
  </si>
  <si>
    <t>0.252623</t>
  </si>
  <si>
    <t>0.25319</t>
  </si>
  <si>
    <t>0.253363</t>
  </si>
  <si>
    <t>0.255825</t>
  </si>
  <si>
    <t>0.262048</t>
  </si>
  <si>
    <t>0.262239</t>
  </si>
  <si>
    <t>0.272572</t>
  </si>
  <si>
    <t>0.277408</t>
  </si>
  <si>
    <t>0.285505</t>
  </si>
  <si>
    <t>0.287175</t>
  </si>
  <si>
    <t>0.299664</t>
  </si>
  <si>
    <t>0.300048</t>
  </si>
  <si>
    <t>0.302</t>
  </si>
  <si>
    <t>0.303244</t>
  </si>
  <si>
    <t>0.304381</t>
  </si>
  <si>
    <t>0.308652</t>
  </si>
  <si>
    <t>0.308783</t>
  </si>
  <si>
    <t>0.311377</t>
  </si>
  <si>
    <t>0.317171</t>
  </si>
  <si>
    <t>0.317962</t>
  </si>
  <si>
    <t>0.318732</t>
  </si>
  <si>
    <t>0.338444</t>
  </si>
  <si>
    <t>0.339896</t>
  </si>
  <si>
    <t>0.346987</t>
  </si>
  <si>
    <t>0.349597</t>
  </si>
  <si>
    <t>0.349652</t>
  </si>
  <si>
    <t>0.350777</t>
  </si>
  <si>
    <t>0.354065</t>
  </si>
  <si>
    <t>0.357282</t>
  </si>
  <si>
    <t>0.362851</t>
  </si>
  <si>
    <t>0.363897</t>
  </si>
  <si>
    <t>0.366805</t>
  </si>
  <si>
    <t>0.367226</t>
  </si>
  <si>
    <t>0.377353</t>
  </si>
  <si>
    <t>0.377383</t>
  </si>
  <si>
    <t>0.382808</t>
  </si>
  <si>
    <t>0.391034</t>
  </si>
  <si>
    <t>0.391322</t>
  </si>
  <si>
    <t>0.396576</t>
  </si>
  <si>
    <t>0.398156</t>
  </si>
  <si>
    <t>0.403177</t>
  </si>
  <si>
    <t>0.404441</t>
  </si>
  <si>
    <t>0.405347</t>
  </si>
  <si>
    <t>0.405388</t>
  </si>
  <si>
    <t>0.408164</t>
  </si>
  <si>
    <t>0.408219</t>
  </si>
  <si>
    <t>0.408872</t>
  </si>
  <si>
    <t>0.410519</t>
  </si>
  <si>
    <t>0.413385</t>
  </si>
  <si>
    <t>0.433434</t>
  </si>
  <si>
    <t>0.435481</t>
  </si>
  <si>
    <t>0.439719</t>
  </si>
  <si>
    <t>0.440463</t>
  </si>
  <si>
    <t>0.440971</t>
  </si>
  <si>
    <t>0.445283</t>
  </si>
  <si>
    <t>0.44732</t>
  </si>
  <si>
    <t>0.450477</t>
  </si>
  <si>
    <t>0.453785</t>
  </si>
  <si>
    <t>0.454252</t>
  </si>
  <si>
    <t>0.454689</t>
  </si>
  <si>
    <t>0.463723</t>
  </si>
  <si>
    <t>0.463848</t>
  </si>
  <si>
    <t>0.465856</t>
  </si>
  <si>
    <t>0.466887</t>
  </si>
  <si>
    <t>0.466897</t>
  </si>
  <si>
    <t>0.466986</t>
  </si>
  <si>
    <t>0.467927</t>
  </si>
  <si>
    <t>0.469232</t>
  </si>
  <si>
    <t>0.472635</t>
  </si>
  <si>
    <t>0.477595</t>
  </si>
  <si>
    <t>0.480471</t>
  </si>
  <si>
    <t>0.483545</t>
  </si>
  <si>
    <t>0.485919</t>
  </si>
  <si>
    <t>0.487415</t>
  </si>
  <si>
    <t>0.500978</t>
  </si>
  <si>
    <t>0.501509</t>
  </si>
  <si>
    <t>0.503393</t>
  </si>
  <si>
    <t>0.504659</t>
  </si>
  <si>
    <t>0.506376</t>
  </si>
  <si>
    <t>0.507487</t>
  </si>
  <si>
    <t>0.507751</t>
  </si>
  <si>
    <t>0.51036</t>
  </si>
  <si>
    <t>0.51428</t>
  </si>
  <si>
    <t>0.516004</t>
  </si>
  <si>
    <t>0.516263</t>
  </si>
  <si>
    <t>0.523792</t>
  </si>
  <si>
    <t>0.527563</t>
  </si>
  <si>
    <t>0.528223</t>
  </si>
  <si>
    <t>0.534874</t>
  </si>
  <si>
    <t>0.535981</t>
  </si>
  <si>
    <t>0.537288</t>
  </si>
  <si>
    <t>0.541477</t>
  </si>
  <si>
    <t>0.545895</t>
  </si>
  <si>
    <t>0.546128</t>
  </si>
  <si>
    <t>0.54729</t>
  </si>
  <si>
    <t>0.555627</t>
  </si>
  <si>
    <t>0.556237</t>
  </si>
  <si>
    <t>0.564004</t>
  </si>
  <si>
    <t>0.571303</t>
  </si>
  <si>
    <t>0.571706</t>
  </si>
  <si>
    <t>0.577594</t>
  </si>
  <si>
    <t>0.58269</t>
  </si>
  <si>
    <t>0.5831</t>
  </si>
  <si>
    <t>0.583519</t>
  </si>
  <si>
    <t>0.584411</t>
  </si>
  <si>
    <t>0.586</t>
  </si>
  <si>
    <t>0.586339</t>
  </si>
  <si>
    <t>0.590221</t>
  </si>
  <si>
    <t>0.596692</t>
  </si>
  <si>
    <t>0.598821</t>
  </si>
  <si>
    <t>0.602177</t>
  </si>
  <si>
    <t>0.602849</t>
  </si>
  <si>
    <t>0.606493</t>
  </si>
  <si>
    <t>0.608239</t>
  </si>
  <si>
    <t>0.608632</t>
  </si>
  <si>
    <t>0.609952</t>
  </si>
  <si>
    <t>0.610554</t>
  </si>
  <si>
    <t>0.611474</t>
  </si>
  <si>
    <t>0.611737</t>
  </si>
  <si>
    <t>0.612133</t>
  </si>
  <si>
    <t>0.612478</t>
  </si>
  <si>
    <t>0.615751</t>
  </si>
  <si>
    <t>0.615767</t>
  </si>
  <si>
    <t>0.619031</t>
  </si>
  <si>
    <t>0.622568</t>
  </si>
  <si>
    <t>0.624794</t>
  </si>
  <si>
    <t>0.625961</t>
  </si>
  <si>
    <t>0.629022</t>
  </si>
  <si>
    <t>0.630173</t>
  </si>
  <si>
    <t>0.630595</t>
  </si>
  <si>
    <t>0.631773</t>
  </si>
  <si>
    <t>0.63413</t>
  </si>
  <si>
    <t>0.63594</t>
  </si>
  <si>
    <t>0.638953</t>
  </si>
  <si>
    <t>0.642054</t>
  </si>
  <si>
    <t>0.644288</t>
  </si>
  <si>
    <t>0.649007</t>
  </si>
  <si>
    <t>0.649338</t>
  </si>
  <si>
    <t>0.649836</t>
  </si>
  <si>
    <t>0.650146</t>
  </si>
  <si>
    <t>0.651413</t>
  </si>
  <si>
    <t>0.653638</t>
  </si>
  <si>
    <t>0.654889</t>
  </si>
  <si>
    <t>0.655813</t>
  </si>
  <si>
    <t>0.662216</t>
  </si>
  <si>
    <t>0.667925</t>
  </si>
  <si>
    <t>0.67577</t>
  </si>
  <si>
    <t>0.676165</t>
  </si>
  <si>
    <t>0.676512</t>
  </si>
  <si>
    <t>0.67708</t>
  </si>
  <si>
    <t>0.681098</t>
  </si>
  <si>
    <t>0.684664</t>
  </si>
  <si>
    <t>0.696</t>
  </si>
  <si>
    <t>0.697584</t>
  </si>
  <si>
    <t>0.702267</t>
  </si>
  <si>
    <t>0.703121</t>
  </si>
  <si>
    <t>0.709322</t>
  </si>
  <si>
    <t>0.711172</t>
  </si>
  <si>
    <t>0.715322</t>
  </si>
  <si>
    <t>0.716976</t>
  </si>
  <si>
    <t>0.722286</t>
  </si>
  <si>
    <t>0.725788</t>
  </si>
  <si>
    <t>0.725843</t>
  </si>
  <si>
    <t>0.726623</t>
  </si>
  <si>
    <t>0.727694</t>
  </si>
  <si>
    <t>0.729713</t>
  </si>
  <si>
    <t>0.730855</t>
  </si>
  <si>
    <t>0.732339</t>
  </si>
  <si>
    <t>0.732719</t>
  </si>
  <si>
    <t>0.734886</t>
  </si>
  <si>
    <t>0.734893</t>
  </si>
  <si>
    <t>0.738106</t>
  </si>
  <si>
    <t>0.738757</t>
  </si>
  <si>
    <t>0.740355</t>
  </si>
  <si>
    <t>0.741756</t>
  </si>
  <si>
    <t>0.743918</t>
  </si>
  <si>
    <t>0.746677</t>
  </si>
  <si>
    <t>0.757559</t>
  </si>
  <si>
    <t>0.760567</t>
  </si>
  <si>
    <t>0.762019</t>
  </si>
  <si>
    <t>0.764239</t>
  </si>
  <si>
    <t>0.766407</t>
  </si>
  <si>
    <t>0.769343</t>
  </si>
  <si>
    <t>0.769754</t>
  </si>
  <si>
    <t>0.769863</t>
  </si>
  <si>
    <t>0.771084</t>
  </si>
  <si>
    <t>0.772122</t>
  </si>
  <si>
    <t>0.77471</t>
  </si>
  <si>
    <t>0.776848</t>
  </si>
  <si>
    <t>0.778672</t>
  </si>
  <si>
    <t>0.780537</t>
  </si>
  <si>
    <t>0.781937</t>
  </si>
  <si>
    <t>0.782671</t>
  </si>
  <si>
    <t>0.782847</t>
  </si>
  <si>
    <t>0.783498</t>
  </si>
  <si>
    <t>0.784369</t>
  </si>
  <si>
    <t>0.784436</t>
  </si>
  <si>
    <t>0.786366</t>
  </si>
  <si>
    <t>0.786663</t>
  </si>
  <si>
    <t>0.78866</t>
  </si>
  <si>
    <t>0.791183</t>
  </si>
  <si>
    <t>0.791322</t>
  </si>
  <si>
    <t>0.795097</t>
  </si>
  <si>
    <t>0.795151</t>
  </si>
  <si>
    <t>0.796192</t>
  </si>
  <si>
    <t>0.796465</t>
  </si>
  <si>
    <t>0.799811</t>
  </si>
  <si>
    <t>0.801868</t>
  </si>
  <si>
    <t>0.805821</t>
  </si>
  <si>
    <t>0.806549</t>
  </si>
  <si>
    <t>0.806985</t>
  </si>
  <si>
    <t>0.808031</t>
  </si>
  <si>
    <t>0.80934</t>
  </si>
  <si>
    <t>0.8099</t>
  </si>
  <si>
    <t>0.813432</t>
  </si>
  <si>
    <t>0.819371</t>
  </si>
  <si>
    <t>0.820396</t>
  </si>
  <si>
    <t>0.823092</t>
  </si>
  <si>
    <t>0.823162</t>
  </si>
  <si>
    <t>0.823306</t>
  </si>
  <si>
    <t>0.823473</t>
  </si>
  <si>
    <t>0.824011</t>
  </si>
  <si>
    <t>0.824457</t>
  </si>
  <si>
    <t>0.824833</t>
  </si>
  <si>
    <t>0.827152</t>
  </si>
  <si>
    <t>0.827574</t>
  </si>
  <si>
    <t>0.831041</t>
  </si>
  <si>
    <t>0.832643</t>
  </si>
  <si>
    <t>0.836384</t>
  </si>
  <si>
    <t>0.836922</t>
  </si>
  <si>
    <t>0.838221</t>
  </si>
  <si>
    <t>0.839459</t>
  </si>
  <si>
    <t>0.840263</t>
  </si>
  <si>
    <t>0.841755</t>
  </si>
  <si>
    <t>0.841847</t>
  </si>
  <si>
    <t>0.843307</t>
  </si>
  <si>
    <t>0.843525</t>
  </si>
  <si>
    <t>0.846306</t>
  </si>
  <si>
    <t>0.846503</t>
  </si>
  <si>
    <t>0.849608</t>
  </si>
  <si>
    <t>0.850415</t>
  </si>
  <si>
    <t>0.852311</t>
  </si>
  <si>
    <t>0.854985</t>
  </si>
  <si>
    <t>0.856718</t>
  </si>
  <si>
    <t>0.859827</t>
  </si>
  <si>
    <t>0.865372</t>
  </si>
  <si>
    <t>0.866511</t>
  </si>
  <si>
    <t>0.867102</t>
  </si>
  <si>
    <t>0.871899</t>
  </si>
  <si>
    <t>0.872532</t>
  </si>
  <si>
    <t>0.874064</t>
  </si>
  <si>
    <t>0.874362</t>
  </si>
  <si>
    <t>0.875513</t>
  </si>
  <si>
    <t>0.877582</t>
  </si>
  <si>
    <t>0.881546</t>
  </si>
  <si>
    <t>0.886015</t>
  </si>
  <si>
    <t>0.886514</t>
  </si>
  <si>
    <t>0.886735</t>
  </si>
  <si>
    <t>0.887667</t>
  </si>
  <si>
    <t>0.890885</t>
  </si>
  <si>
    <t>0.89093</t>
  </si>
  <si>
    <t>0.894516</t>
  </si>
  <si>
    <t>0.895003</t>
  </si>
  <si>
    <t>0.899791</t>
  </si>
  <si>
    <t>0.90122</t>
  </si>
  <si>
    <t>0.904219</t>
  </si>
  <si>
    <t>0.906098</t>
  </si>
  <si>
    <t>0.910002</t>
  </si>
  <si>
    <t>0.910578</t>
  </si>
  <si>
    <t>0.911384</t>
  </si>
  <si>
    <t>0.912654</t>
  </si>
  <si>
    <t>0.915244</t>
  </si>
  <si>
    <t>0.917377</t>
  </si>
  <si>
    <t>0.921747</t>
  </si>
  <si>
    <t>0.923449</t>
  </si>
  <si>
    <t>0.923903</t>
  </si>
  <si>
    <t>0.924916</t>
  </si>
  <si>
    <t>0.925162</t>
  </si>
  <si>
    <t>0.925854</t>
  </si>
  <si>
    <t>0.930457</t>
  </si>
  <si>
    <t>0.930903</t>
  </si>
  <si>
    <t>0.932587</t>
  </si>
  <si>
    <t>0.935517</t>
  </si>
  <si>
    <t>0.936709</t>
  </si>
  <si>
    <t>0.938518</t>
  </si>
  <si>
    <t>0.938691</t>
  </si>
  <si>
    <t>0.939288</t>
  </si>
  <si>
    <t>0.948003</t>
  </si>
  <si>
    <t>0.950805</t>
  </si>
  <si>
    <t>0.951367</t>
  </si>
  <si>
    <t>0.953951</t>
  </si>
  <si>
    <t>0.954292</t>
  </si>
  <si>
    <t>0.957193</t>
  </si>
  <si>
    <t>0.95943</t>
  </si>
  <si>
    <t>0.960055</t>
  </si>
  <si>
    <t>0.964801</t>
  </si>
  <si>
    <t>0.970832</t>
  </si>
  <si>
    <t>0.9732</t>
  </si>
  <si>
    <t>0.977062</t>
  </si>
  <si>
    <t>0.988358</t>
  </si>
  <si>
    <t>0.994025</t>
  </si>
  <si>
    <t>0.996354</t>
  </si>
  <si>
    <t>0.998542</t>
  </si>
  <si>
    <t>0.99903</t>
  </si>
  <si>
    <t>1.0</t>
  </si>
  <si>
    <t>ID</t>
  </si>
  <si>
    <t>mlf_score</t>
  </si>
  <si>
    <t>df_alpha</t>
  </si>
  <si>
    <t>nc_alpha</t>
  </si>
  <si>
    <t>pf_alpha</t>
  </si>
  <si>
    <t>lans_alpha</t>
  </si>
  <si>
    <t>ecm_alpha</t>
  </si>
  <si>
    <t>global_score</t>
  </si>
  <si>
    <t>274.16866535978215</t>
  </si>
  <si>
    <t>0.4292929457723341</t>
  </si>
  <si>
    <t>0.0</t>
  </si>
  <si>
    <t>0.622748532115111</t>
  </si>
  <si>
    <t>0.29166666666666663</t>
  </si>
  <si>
    <t>0.10794257372617722</t>
  </si>
  <si>
    <t>687.8087378610412</t>
  </si>
  <si>
    <t>0.22917738063225057</t>
  </si>
  <si>
    <t>0.0159604784292276</t>
  </si>
  <si>
    <t>0.10344827586206895</t>
  </si>
  <si>
    <t>0.1240941658616066</t>
  </si>
  <si>
    <t>2.3237525174287266e-08</t>
  </si>
  <si>
    <t>0.8095884919678787</t>
  </si>
  <si>
    <t>0.9999999600843967</t>
  </si>
  <si>
    <t>0.643416734979989</t>
  </si>
  <si>
    <t>0.9230769230769231</t>
  </si>
  <si>
    <t>0.3761277496814728</t>
  </si>
  <si>
    <t>10.318541839104826</t>
  </si>
  <si>
    <t>0.6463467665044889</t>
  </si>
  <si>
    <t>2.809549413684831e-05</t>
  </si>
  <si>
    <t>0.0972957668071354</t>
  </si>
  <si>
    <t>0.37037037037037035</t>
  </si>
  <si>
    <t>0.29137301445007324</t>
  </si>
  <si>
    <t>4.2603324095476877e-07</t>
  </si>
  <si>
    <t>0.7659312873379582</t>
  </si>
  <si>
    <t>0.9999993271299248</t>
  </si>
  <si>
    <t>0.643201367570634</t>
  </si>
  <si>
    <t>0.8333333333333334</t>
  </si>
  <si>
    <t>0.5680913925170898</t>
  </si>
  <si>
    <t>8.916201110768608e-13</t>
  </si>
  <si>
    <t>0.7319853960977556</t>
  </si>
  <si>
    <t>0.9999999999987049</t>
  </si>
  <si>
    <t>0.311215286591473</t>
  </si>
  <si>
    <t>0.5384615384615384</t>
  </si>
  <si>
    <t>0.6019607782363892</t>
  </si>
  <si>
    <t>709.782712893384</t>
  </si>
  <si>
    <t>0.031565266252441826</t>
  </si>
  <si>
    <t>0.269061041686938</t>
  </si>
  <si>
    <t>0.017643339931964874</t>
  </si>
  <si>
    <t>3.654095026710447e-08</t>
  </si>
  <si>
    <t>0.7184670387921717</t>
  </si>
  <si>
    <t>0.9999999502420206</t>
  </si>
  <si>
    <t>0.350940042261018</t>
  </si>
  <si>
    <t>0.6153846153846154</t>
  </si>
  <si>
    <t>0.599055826663971</t>
  </si>
  <si>
    <t>3.1212909009585563</t>
  </si>
  <si>
    <t>0.6450213893947347</t>
  </si>
  <si>
    <t>0.039433394274676625</t>
  </si>
  <si>
    <t>0.634935487122659</t>
  </si>
  <si>
    <t>0.46153846153846156</t>
  </si>
  <si>
    <t>0.4190700650215149</t>
  </si>
  <si>
    <t>0.0165814787439705</t>
  </si>
  <si>
    <t>0.7091744266836401</t>
  </si>
  <si>
    <t>0.9803680378056064</t>
  </si>
  <si>
    <t>0.33195140831077</t>
  </si>
  <si>
    <t>0.6923076923076923</t>
  </si>
  <si>
    <t>0.47761011123657227</t>
  </si>
  <si>
    <t>0.14575861331376005</t>
  </si>
  <si>
    <t>0.106949741135547</t>
  </si>
  <si>
    <t>0.0714285714285714</t>
  </si>
  <si>
    <t>0.07129468768835068</t>
  </si>
  <si>
    <t>0.16677769017661082</t>
  </si>
  <si>
    <t>0.543829837920834</t>
  </si>
  <si>
    <t>0.07692307692307687</t>
  </si>
  <si>
    <t>0.10142121464014053</t>
  </si>
  <si>
    <t>-0.0</t>
  </si>
  <si>
    <t>0.8015998367295298</t>
  </si>
  <si>
    <t>0.143062775001436</t>
  </si>
  <si>
    <t>0.7692307692307692</t>
  </si>
  <si>
    <t>0.598639726638794</t>
  </si>
  <si>
    <t>0.5673343691153692</t>
  </si>
  <si>
    <t>0.425090806986752</t>
  </si>
  <si>
    <t>0.375</t>
  </si>
  <si>
    <t>0.6049035787582397</t>
  </si>
  <si>
    <t>0.789688175834831</t>
  </si>
  <si>
    <t>0.499038066395217</t>
  </si>
  <si>
    <t>0.625</t>
  </si>
  <si>
    <t>0.7752867341041565</t>
  </si>
  <si>
    <t>0.7650151011308097</t>
  </si>
  <si>
    <t>0.995531211977964</t>
  </si>
  <si>
    <t>0.8846153846153846</t>
  </si>
  <si>
    <t>0.7342955470085144</t>
  </si>
  <si>
    <t>0.0070696704238975006</t>
  </si>
  <si>
    <t>0.629669804091715</t>
  </si>
  <si>
    <t>0.01373114250600338</t>
  </si>
  <si>
    <t>0.8136870432457587</t>
  </si>
  <si>
    <t>0.125628605326383</t>
  </si>
  <si>
    <t>0.8</t>
  </si>
  <si>
    <t>0.7759792804718018</t>
  </si>
  <si>
    <t>0.6882698519525963</t>
  </si>
  <si>
    <t>0.322256316677271</t>
  </si>
  <si>
    <t>0.7586206896551724</t>
  </si>
  <si>
    <t>0.6922706365585327</t>
  </si>
  <si>
    <t>5.700995231466429e-12</t>
  </si>
  <si>
    <t>0.4863330472106525</t>
  </si>
  <si>
    <t>0.9999999999915319</t>
  </si>
  <si>
    <t>0.499953225998874</t>
  </si>
  <si>
    <t>0.5666666666666667</t>
  </si>
  <si>
    <t>0.5023587942123413</t>
  </si>
  <si>
    <t>0.0680027786875631</t>
  </si>
  <si>
    <t>0.524697007209554</t>
  </si>
  <si>
    <t>0.029183899983763695</t>
  </si>
  <si>
    <t>0.02085299020746767</t>
  </si>
  <si>
    <t>0.189053950174399</t>
  </si>
  <si>
    <t>0.03514797240495682</t>
  </si>
  <si>
    <t>0.6087688840759712</t>
  </si>
  <si>
    <t>0.233609038704776</t>
  </si>
  <si>
    <t>0.5833333333333333</t>
  </si>
  <si>
    <t>0.6303143501281738</t>
  </si>
  <si>
    <t>465.5325621422946</t>
  </si>
  <si>
    <t>0.20727900637819063</t>
  </si>
  <si>
    <t>0.142244827341537</t>
  </si>
  <si>
    <t>0.04166666666666663</t>
  </si>
  <si>
    <t>0.2129971832036972</t>
  </si>
  <si>
    <t>0.6590333785812759</t>
  </si>
  <si>
    <t>0.0479179811843473</t>
  </si>
  <si>
    <t>0.6666666666666667</t>
  </si>
  <si>
    <t>0.6711997389793396</t>
  </si>
  <si>
    <t>218.49572865223357</t>
  </si>
  <si>
    <t>0.3467881139426059</t>
  </si>
  <si>
    <t>0.625258047458695</t>
  </si>
  <si>
    <t>0.20833333333333337</t>
  </si>
  <si>
    <t>0.1528361737728119</t>
  </si>
  <si>
    <t>0.6071742896628167</t>
  </si>
  <si>
    <t>0.643058022284331</t>
  </si>
  <si>
    <t>0.48275862068965514</t>
  </si>
  <si>
    <t>0.6229034662246704</t>
  </si>
  <si>
    <t>0.6939266841796727</t>
  </si>
  <si>
    <t>0.635561578180485</t>
  </si>
  <si>
    <t>0.7071455121040344</t>
  </si>
  <si>
    <t>0.838103387300274</t>
  </si>
  <si>
    <t>0.0751863150537659</t>
  </si>
  <si>
    <t>0.8571428571428572</t>
  </si>
  <si>
    <t>0.830459713935852</t>
  </si>
  <si>
    <t>12.624509182251014</t>
  </si>
  <si>
    <t>0.27958732815282705</t>
  </si>
  <si>
    <t>2.964453720388782e-06</t>
  </si>
  <si>
    <t>0.318302940422738</t>
  </si>
  <si>
    <t>0.16666666666666663</t>
  </si>
  <si>
    <t>0.32860976457595825</t>
  </si>
  <si>
    <t>0.0007841600692563146</t>
  </si>
  <si>
    <t>0.5176510501160724</t>
  </si>
  <si>
    <t>0.9990782668658588</t>
  </si>
  <si>
    <t>0.227895769026668</t>
  </si>
  <si>
    <t>0.45833333333333337</t>
  </si>
  <si>
    <t>0.44918012619018555</t>
  </si>
  <si>
    <t>0.7972720899292434</t>
  </si>
  <si>
    <t>0.350290726596421</t>
  </si>
  <si>
    <t>0.75</t>
  </si>
  <si>
    <t>0.7611340880393982</t>
  </si>
  <si>
    <t>0.1489639910547732</t>
  </si>
  <si>
    <t>0.22106000073732</t>
  </si>
  <si>
    <t>0.09090909090909094</t>
  </si>
  <si>
    <t>0.03979980945587158</t>
  </si>
  <si>
    <t>0.6108562738374368</t>
  </si>
  <si>
    <t>0.179593527870897</t>
  </si>
  <si>
    <t>0.41666666666666663</t>
  </si>
  <si>
    <t>0.5914047360420227</t>
  </si>
  <si>
    <t>4.278807814898647</t>
  </si>
  <si>
    <t>0.34328997308452935</t>
  </si>
  <si>
    <t>0.012608290460095373</t>
  </si>
  <si>
    <t>0.242785190391282</t>
  </si>
  <si>
    <t>0.3214285714285714</t>
  </si>
  <si>
    <t>0.36397698521614075</t>
  </si>
  <si>
    <t>4.319099523408953e-10</t>
  </si>
  <si>
    <t>0.49141226472021726</t>
  </si>
  <si>
    <t>0.9999999994147963</t>
  </si>
  <si>
    <t>0.625587151046709</t>
  </si>
  <si>
    <t>0.5</t>
  </si>
  <si>
    <t>0.49576473236083984</t>
  </si>
  <si>
    <t>2.926114905975119e-11</t>
  </si>
  <si>
    <t>0.46071871863697833</t>
  </si>
  <si>
    <t>0.9999999999593507</t>
  </si>
  <si>
    <t>0.163288409175366</t>
  </si>
  <si>
    <t>0.5172413793103448</t>
  </si>
  <si>
    <t>0.4604891836643219</t>
  </si>
  <si>
    <t>0.6936676517167717</t>
  </si>
  <si>
    <t>0.538107118023134</t>
  </si>
  <si>
    <t>0.4482758620689655</t>
  </si>
  <si>
    <t>0.6674429178237915</t>
  </si>
  <si>
    <t>42.51824757089471</t>
  </si>
  <si>
    <t>0.2540137165187265</t>
  </si>
  <si>
    <t>0.107428093744126</t>
  </si>
  <si>
    <t>0.13793103448275867</t>
  </si>
  <si>
    <t>0.2513727843761444</t>
  </si>
  <si>
    <t>0.507066795793536</t>
  </si>
  <si>
    <t>0.0022270037992778</t>
  </si>
  <si>
    <t>0.3793103448275862</t>
  </si>
  <si>
    <t>0.5069617629051208</t>
  </si>
  <si>
    <t>0.9883206697512114</t>
  </si>
  <si>
    <t>0.355714908882036</t>
  </si>
  <si>
    <t>0.9642857142857143</t>
  </si>
  <si>
    <t>0.9847846031188965</t>
  </si>
  <si>
    <t>2.226018763940607e-07</t>
  </si>
  <si>
    <t>0.7154142925364646</t>
  </si>
  <si>
    <t>0.9999996954526315</t>
  </si>
  <si>
    <t>0.5564608091193</t>
  </si>
  <si>
    <t>0.3846153846153846</t>
  </si>
  <si>
    <t>0.4961235821247101</t>
  </si>
  <si>
    <t>0.007784904204566971</t>
  </si>
  <si>
    <t>0.7306626319306297</t>
  </si>
  <si>
    <t>0.9904711034117937</t>
  </si>
  <si>
    <t>0.621857533437181</t>
  </si>
  <si>
    <t>0.7272727272727273</t>
  </si>
  <si>
    <t>0.4434961974620819</t>
  </si>
  <si>
    <t>0.7228028426143853</t>
  </si>
  <si>
    <t>0.153098344579703</t>
  </si>
  <si>
    <t>0.8076923076923077</t>
  </si>
  <si>
    <t>0.7122527360916138</t>
  </si>
  <si>
    <t>0.4294009177922634</t>
  </si>
  <si>
    <t>0.540458098039028</t>
  </si>
  <si>
    <t>0.2068965517241379</t>
  </si>
  <si>
    <t>0.4321196973323822</t>
  </si>
  <si>
    <t>0.5715716467598213</t>
  </si>
  <si>
    <t>0.357514940597096</t>
  </si>
  <si>
    <t>0.3448275862068966</t>
  </si>
  <si>
    <t>0.5632221698760986</t>
  </si>
  <si>
    <t>0.4740021351835276</t>
  </si>
  <si>
    <t>0.40839056726823075</t>
  </si>
  <si>
    <t>0.6090093323839336</t>
  </si>
  <si>
    <t>0.0024732831642041</t>
  </si>
  <si>
    <t>0.1724137931034483</t>
  </si>
  <si>
    <t>0.3859391510486603</t>
  </si>
  <si>
    <t>0.758373896157192</t>
  </si>
  <si>
    <t>0.325869688227645</t>
  </si>
  <si>
    <t>0.6551724137931034</t>
  </si>
  <si>
    <t>0.5797445178031921</t>
  </si>
  <si>
    <t>0.7229413866413834</t>
  </si>
  <si>
    <t>0.134220213335159</t>
  </si>
  <si>
    <t>0.6876420974731445</t>
  </si>
  <si>
    <t>0.6846854508560783</t>
  </si>
  <si>
    <t>0.03422850787564</t>
  </si>
  <si>
    <t>0.4137931034482759</t>
  </si>
  <si>
    <t>0.6515845060348511</t>
  </si>
  <si>
    <t>16.23725643466454</t>
  </si>
  <si>
    <t>0.24978777261498586</t>
  </si>
  <si>
    <t>7.047202588150725e-08</t>
  </si>
  <si>
    <t>0.561600828361614</t>
  </si>
  <si>
    <t>0.2580852508544922</t>
  </si>
  <si>
    <t>0.30966196282594227</t>
  </si>
  <si>
    <t>0.31687340820253684</t>
  </si>
  <si>
    <t>0.724346277199515</t>
  </si>
  <si>
    <t>0.606333069174636</t>
  </si>
  <si>
    <t>0.06896551724137934</t>
  </si>
  <si>
    <t>0.31097403168678284</t>
  </si>
  <si>
    <t>0.7255414258789015</t>
  </si>
  <si>
    <t>0.005107556812585</t>
  </si>
  <si>
    <t>0.6206896551724138</t>
  </si>
  <si>
    <t>0.7121179699897766</t>
  </si>
  <si>
    <t>0.4933340602812595</t>
  </si>
  <si>
    <t>0.133022169250859</t>
  </si>
  <si>
    <t>0.24137931034482762</t>
  </si>
  <si>
    <t>0.4895179867744446</t>
  </si>
  <si>
    <t>290.32782962975523</t>
  </si>
  <si>
    <t>0.8645491870777791</t>
  </si>
  <si>
    <t>0.642859054609148</t>
  </si>
  <si>
    <t>0.018758857622742653</t>
  </si>
  <si>
    <t>0.9140654048540956</t>
  </si>
  <si>
    <t>0.61380892282366</t>
  </si>
  <si>
    <t>0.8620689655172413</t>
  </si>
  <si>
    <t>0.8966286778450012</t>
  </si>
  <si>
    <t>0.019764730149227194</t>
  </si>
  <si>
    <t>0.634716187223121</t>
  </si>
  <si>
    <t>0.01234155148267746</t>
  </si>
  <si>
    <t>1.4070454811183767e-09</t>
  </si>
  <si>
    <t>0.7456086250487863</t>
  </si>
  <si>
    <t>0.9999999979853254</t>
  </si>
  <si>
    <t>0.638026754768051</t>
  </si>
  <si>
    <t>0.4811978340148926</t>
  </si>
  <si>
    <t>208.4784331927626</t>
  </si>
  <si>
    <t>0.9011764759397047</t>
  </si>
  <si>
    <t>0.561465119642014</t>
  </si>
  <si>
    <t>0.018629729747772217</t>
  </si>
  <si>
    <t>0.6728244234709833</t>
  </si>
  <si>
    <t>0.606904293640334</t>
  </si>
  <si>
    <t>0.5862068965517242</t>
  </si>
  <si>
    <t>0.6327597498893738</t>
  </si>
  <si>
    <t>0.00603902645779153</t>
  </si>
  <si>
    <t>0.0108099510768858</t>
  </si>
  <si>
    <t>0.0064561013132333755</t>
  </si>
  <si>
    <t>0.6272438910908296</t>
  </si>
  <si>
    <t>0.325847453819983</t>
  </si>
  <si>
    <t>0.31034482758620685</t>
  </si>
  <si>
    <t>0.5934221744537354</t>
  </si>
  <si>
    <t>0.5922320899570936</t>
  </si>
  <si>
    <t>0.566126097798472</t>
  </si>
  <si>
    <t>0.5517241379310345</t>
  </si>
  <si>
    <t>0.5903682708740234</t>
  </si>
  <si>
    <t>5.5511151231257985e-15</t>
  </si>
  <si>
    <t>0.769867546849795</t>
  </si>
  <si>
    <t>0.9999999999999898</t>
  </si>
  <si>
    <t>0.639655181418391</t>
  </si>
  <si>
    <t>0.7307692307692308</t>
  </si>
  <si>
    <t>0.6461144089698792</t>
  </si>
  <si>
    <t>0.07519542793903322</t>
  </si>
  <si>
    <t>0.294433766874108</t>
  </si>
  <si>
    <t>0.0018287948332726955</t>
  </si>
  <si>
    <t>9.104153813634172</t>
  </si>
  <si>
    <t>0.5816765914278387</t>
  </si>
  <si>
    <t>8.899257676031613e-05</t>
  </si>
  <si>
    <t>0.486586011183697</t>
  </si>
  <si>
    <t>0.34615384615384615</t>
  </si>
  <si>
    <t>0.3837720453739166</t>
  </si>
  <si>
    <t>29.951518523551</t>
  </si>
  <si>
    <t>0.49665869505327964</t>
  </si>
  <si>
    <t>6.938893903907228e-14</t>
  </si>
  <si>
    <t>0.0432984031985458</t>
  </si>
  <si>
    <t>0.23076923076923073</t>
  </si>
  <si>
    <t>0.2806187570095062</t>
  </si>
  <si>
    <t>8.671076227996752e-09</t>
  </si>
  <si>
    <t>0.7290340107437958</t>
  </si>
  <si>
    <t>0.9999999873465679</t>
  </si>
  <si>
    <t>0.416421199521146</t>
  </si>
  <si>
    <t>0.5559146404266357</t>
  </si>
  <si>
    <t>2.6770635511734078</t>
  </si>
  <si>
    <t>0.7969477071034529</t>
  </si>
  <si>
    <t>0.059205055860898526</t>
  </si>
  <si>
    <t>0.504945153672584</t>
  </si>
  <si>
    <t>0.2992689609527588</t>
  </si>
  <si>
    <t>0.05898685510715148</t>
  </si>
  <si>
    <t>0.8681260093160241</t>
  </si>
  <si>
    <t>0.9286476674973599</t>
  </si>
  <si>
    <t>0.598667133355664</t>
  </si>
  <si>
    <t>0.9090909090909091</t>
  </si>
  <si>
    <t>0.32060864567756653</t>
  </si>
  <si>
    <t>0.8190015679289019</t>
  </si>
  <si>
    <t>0.40350955905385</t>
  </si>
  <si>
    <t>0.6288490295410156</t>
  </si>
  <si>
    <t>2.6394059205555314</t>
  </si>
  <si>
    <t>0.678318983747118</t>
  </si>
  <si>
    <t>0.06330042503017608</t>
  </si>
  <si>
    <t>0.268334829475852</t>
  </si>
  <si>
    <t>0.42307692307692313</t>
  </si>
  <si>
    <t>0.4461759030818939</t>
  </si>
  <si>
    <t>2.103720615128777</t>
  </si>
  <si>
    <t>0.6184193755904792</t>
  </si>
  <si>
    <t>0.1128103992588978</t>
  </si>
  <si>
    <t>0.162830457976351</t>
  </si>
  <si>
    <t>0.2692307692307693</t>
  </si>
  <si>
    <t>0.3463587462902069</t>
  </si>
  <si>
    <t>15.982273109828764</t>
  </si>
  <si>
    <t>0.505231357822953</t>
  </si>
  <si>
    <t>8.153799679888607e-08</t>
  </si>
  <si>
    <t>0.506725380600476</t>
  </si>
  <si>
    <t>0.3677513599395752</t>
  </si>
  <si>
    <t>10.258473347840741</t>
  </si>
  <si>
    <t>0.5435592556487051</t>
  </si>
  <si>
    <t>3.0019301098915818e-05</t>
  </si>
  <si>
    <t>0.059256239377222</t>
  </si>
  <si>
    <t>0.11538461538461542</t>
  </si>
  <si>
    <t>0.2321687936782837</t>
  </si>
  <si>
    <t>2.740051059452468</t>
  </si>
  <si>
    <t>0.8125115760496622</t>
  </si>
  <si>
    <t>0.0557991890599836</t>
  </si>
  <si>
    <t>0.283016187949955</t>
  </si>
  <si>
    <t>0.5769230769230769</t>
  </si>
  <si>
    <t>0.255010187625885</t>
  </si>
  <si>
    <t>6.661338147750941e-16</t>
  </si>
  <si>
    <t>0.8148824826921686</t>
  </si>
  <si>
    <t>0.9999999999999988</t>
  </si>
  <si>
    <t>0.510943981335071</t>
  </si>
  <si>
    <t>0.6538461538461539</t>
  </si>
  <si>
    <t>0.5908718109130859</t>
  </si>
  <si>
    <t>9.84101689028223e-13</t>
  </si>
  <si>
    <t>0.7284928515967926</t>
  </si>
  <si>
    <t>0.9999999999984573</t>
  </si>
  <si>
    <t>0.585590205642632</t>
  </si>
  <si>
    <t>0.5507268309593201</t>
  </si>
  <si>
    <t>2.220446049250313e-16</t>
  </si>
  <si>
    <t>0.8838720040170992</t>
  </si>
  <si>
    <t>0.9999999999999996</t>
  </si>
  <si>
    <t>0.560463040251116</t>
  </si>
  <si>
    <t>0.8461538461538461</t>
  </si>
  <si>
    <t>0.4093001186847687</t>
  </si>
  <si>
    <t>0.022862959905567578</t>
  </si>
  <si>
    <t>0.643815067867904</t>
  </si>
  <si>
    <t>0.9744498865633189</t>
  </si>
  <si>
    <t>0.122663773980465</t>
  </si>
  <si>
    <t>0.3076923076923077</t>
  </si>
  <si>
    <t>0.4128846824169159</t>
  </si>
  <si>
    <t>0.9293783369215172</t>
  </si>
  <si>
    <t>0.373440988367613</t>
  </si>
  <si>
    <t>0.7258037328720093</t>
  </si>
  <si>
    <t>0.8140804521367725</t>
  </si>
  <si>
    <t>0.397519341969271</t>
  </si>
  <si>
    <t>0.64710533618927</t>
  </si>
  <si>
    <t>62.52063994578893</t>
  </si>
  <si>
    <t>0.5360415825973224</t>
  </si>
  <si>
    <t>0.122580279073947</t>
  </si>
  <si>
    <t>0.20252062380313873</t>
  </si>
  <si>
    <t>0.2751531002891606</t>
  </si>
  <si>
    <t>0.590921052960109</t>
  </si>
  <si>
    <t>0.038461538461538436</t>
  </si>
  <si>
    <t>0.04868456721305847</t>
  </si>
  <si>
    <t>11.95000586205445</t>
  </si>
  <si>
    <t>0.6131734418059431</t>
  </si>
  <si>
    <t>5.334039567039817e-06</t>
  </si>
  <si>
    <t>0.403829423483778</t>
  </si>
  <si>
    <t>0.15384615384615385</t>
  </si>
  <si>
    <t>0.2878950536251068</t>
  </si>
  <si>
    <t>13.101371383994255</t>
  </si>
  <si>
    <t>0.5566781244169087</t>
  </si>
  <si>
    <t>1.6423997964976067e-06</t>
  </si>
  <si>
    <t>0.403833003728504</t>
  </si>
  <si>
    <t>0.1923076923076923</t>
  </si>
  <si>
    <t>0.30366238951683044</t>
  </si>
  <si>
    <t>0.6445923842421498</t>
  </si>
  <si>
    <t>0.305407287175748</t>
  </si>
  <si>
    <t>0.7241379310344828</t>
  </si>
  <si>
    <t>0.712433397769928</t>
  </si>
  <si>
    <t>0.03306584338436336</t>
  </si>
  <si>
    <t>0.388025624073563</t>
  </si>
  <si>
    <t>0.03703703703703709</t>
  </si>
  <si>
    <t>0.17820903658866882</t>
  </si>
  <si>
    <t>29.688234633204495</t>
  </si>
  <si>
    <t>0.12480851755607991</t>
  </si>
  <si>
    <t>1.0724754417879012e-13</t>
  </si>
  <si>
    <t>0.640885041785904</t>
  </si>
  <si>
    <t>0.11111111111111116</t>
  </si>
  <si>
    <t>0.22087104618549347</t>
  </si>
  <si>
    <t>0.7698465018482266</t>
  </si>
  <si>
    <t>0.638748678839346</t>
  </si>
  <si>
    <t>0.8317585587501526</t>
  </si>
  <si>
    <t>0.7140233869036122</t>
  </si>
  <si>
    <t>0.421734768847194</t>
  </si>
  <si>
    <t>0.7857142857142857</t>
  </si>
  <si>
    <t>0.7805469036102295</t>
  </si>
  <si>
    <t>0.7948868586633725</t>
  </si>
  <si>
    <t>0.506138594517286</t>
  </si>
  <si>
    <t>0.47401317954063416</t>
  </si>
  <si>
    <t>58.55251440931868</t>
  </si>
  <si>
    <t>0.3444223138272162</t>
  </si>
  <si>
    <t>0.63231130606558</t>
  </si>
  <si>
    <t>0.2727272727272727</t>
  </si>
  <si>
    <t>0.18069927394390106</t>
  </si>
  <si>
    <t>0.29176099493071783</t>
  </si>
  <si>
    <t>0.628891249718376</t>
  </si>
  <si>
    <t>0.28125</t>
  </si>
  <si>
    <t>0.4982975423336029</t>
  </si>
  <si>
    <t>0.6119686754080736</t>
  </si>
  <si>
    <t>0.209884399450157</t>
  </si>
  <si>
    <t>0.7278478145599365</t>
  </si>
  <si>
    <t>0.5638976345441484</t>
  </si>
  <si>
    <t>0.99451416427652</t>
  </si>
  <si>
    <t>0.4444444444444444</t>
  </si>
  <si>
    <t>0.6790340542793274</t>
  </si>
  <si>
    <t>0.06143711784122985</t>
  </si>
  <si>
    <t>0.612191827902299</t>
  </si>
  <si>
    <t>0.10389498621225357</t>
  </si>
  <si>
    <t>417.62099952642996</t>
  </si>
  <si>
    <t>0.06871696317980769</t>
  </si>
  <si>
    <t>0.561894438839984</t>
  </si>
  <si>
    <t>0.13043478260869568</t>
  </si>
  <si>
    <t>0.20195280015468597</t>
  </si>
  <si>
    <t>143.10844683028435</t>
  </si>
  <si>
    <t>0.1376199905336365</t>
  </si>
  <si>
    <t>0.482728727683327</t>
  </si>
  <si>
    <t>0.5296610593795776</t>
  </si>
  <si>
    <t>0.8752408508397479</t>
  </si>
  <si>
    <t>0.0002469944380956</t>
  </si>
  <si>
    <t>0.4795689582824707</t>
  </si>
  <si>
    <t>0.05632333688006608</t>
  </si>
  <si>
    <t>0.0655876583495211</t>
  </si>
  <si>
    <t>0.0559379868209362</t>
  </si>
  <si>
    <t>0.5854830659086678</t>
  </si>
  <si>
    <t>0.16557233638204</t>
  </si>
  <si>
    <t>0.5185185185185186</t>
  </si>
  <si>
    <t>0.7105156183242798</t>
  </si>
  <si>
    <t>0.0002294330977375969</t>
  </si>
  <si>
    <t>0.378183305284389</t>
  </si>
  <si>
    <t>0.017557278275489807</t>
  </si>
  <si>
    <t>9.574131765099914e-05</t>
  </si>
  <si>
    <t>0.488538186481256</t>
  </si>
  <si>
    <t>0.008334960788488388</t>
  </si>
  <si>
    <t>0.8094594536367223</t>
  </si>
  <si>
    <t>0.531366139733321</t>
  </si>
  <si>
    <t>0.7407407407407407</t>
  </si>
  <si>
    <t>0.8739951848983765</t>
  </si>
  <si>
    <t>0.5957611711725461</t>
  </si>
  <si>
    <t>0.0316965031499456</t>
  </si>
  <si>
    <t>0.4814814814814815</t>
  </si>
  <si>
    <t>0.6645008325576782</t>
  </si>
  <si>
    <t>0.5592836057855808</t>
  </si>
  <si>
    <t>0.607594518933139</t>
  </si>
  <si>
    <t>0.5555555555555556</t>
  </si>
  <si>
    <t>0.6746273636817932</t>
  </si>
  <si>
    <t>0.3589512192350688</t>
  </si>
  <si>
    <t>0.363888504562051</t>
  </si>
  <si>
    <t>0.2962962962962963</t>
  </si>
  <si>
    <t>0.6030939817428589</t>
  </si>
  <si>
    <t>0.5579798671284302</t>
  </si>
  <si>
    <t>0.385302287303377</t>
  </si>
  <si>
    <t>0.5454545454545454</t>
  </si>
  <si>
    <t>0.6084567308425903</t>
  </si>
  <si>
    <t>0.3786392315572884</t>
  </si>
  <si>
    <t>0.3512060339309</t>
  </si>
  <si>
    <t>0.43333333333333335</t>
  </si>
  <si>
    <t>0.4572598934173584</t>
  </si>
  <si>
    <t>85.70710338764573</t>
  </si>
  <si>
    <t>0.3793709264181947</t>
  </si>
  <si>
    <t>0.391200612824829</t>
  </si>
  <si>
    <t>0.27586206896551724</t>
  </si>
  <si>
    <t>0.19895118474960327</t>
  </si>
  <si>
    <t>0.7332726122706181</t>
  </si>
  <si>
    <t>0.61023528800735</t>
  </si>
  <si>
    <t>0.4411126375198364</t>
  </si>
  <si>
    <t>28.691715917965073</t>
  </si>
  <si>
    <t>0.4980399533669573</t>
  </si>
  <si>
    <t>2.4014124022642136e-13</t>
  </si>
  <si>
    <t>0.30803785150775</t>
  </si>
  <si>
    <t>0.4</t>
  </si>
  <si>
    <t>0.28845375776290894</t>
  </si>
  <si>
    <t>46.17554980673368</t>
  </si>
  <si>
    <t>0.44168333514848646</t>
  </si>
  <si>
    <t>0.56258221626234</t>
  </si>
  <si>
    <t>0.1333333333333333</t>
  </si>
  <si>
    <t>0.21955959498882294</t>
  </si>
  <si>
    <t>44.73367479466923</t>
  </si>
  <si>
    <t>0.4637465136893272</t>
  </si>
  <si>
    <t>0.631745705904874</t>
  </si>
  <si>
    <t>0.30000000000000004</t>
  </si>
  <si>
    <t>0.2392311841249466</t>
  </si>
  <si>
    <t>4.760059013733157e-11</t>
  </si>
  <si>
    <t>0.8857822913398418</t>
  </si>
  <si>
    <t>0.9999999999121597</t>
  </si>
  <si>
    <t>0.642222274829094</t>
  </si>
  <si>
    <t>0.8666666666666667</t>
  </si>
  <si>
    <t>0.5870002508163452</t>
  </si>
  <si>
    <t>0.11882088387386193</t>
  </si>
  <si>
    <t>0.850161480665883</t>
  </si>
  <si>
    <t>0.8665272067186439</t>
  </si>
  <si>
    <t>0.580077681277776</t>
  </si>
  <si>
    <t>0.8181818181818181</t>
  </si>
  <si>
    <t>0.5312586426734924</t>
  </si>
  <si>
    <t>172.49515305395678</t>
  </si>
  <si>
    <t>0.33549759264239354</t>
  </si>
  <si>
    <t>0.451759233746712</t>
  </si>
  <si>
    <t>0.09574013203382492</t>
  </si>
  <si>
    <t>15.801971599258557</t>
  </si>
  <si>
    <t>0.5223189475249872</t>
  </si>
  <si>
    <t>1.0927402271931896e-07</t>
  </si>
  <si>
    <t>0.376050046777979</t>
  </si>
  <si>
    <t>0.2586735486984253</t>
  </si>
  <si>
    <t>0.047785492236311636</t>
  </si>
  <si>
    <t>0.6666877017403114</t>
  </si>
  <si>
    <t>0.9480608672350737</t>
  </si>
  <si>
    <t>0.613750680930952</t>
  </si>
  <si>
    <t>0.5333333333333333</t>
  </si>
  <si>
    <t>0.40438348054885864</t>
  </si>
  <si>
    <t>3.9216296877300903e-11</t>
  </si>
  <si>
    <t>0.6930350384960884</t>
  </si>
  <si>
    <t>0.9999999999419346</t>
  </si>
  <si>
    <t>0.167319809840302</t>
  </si>
  <si>
    <t>0.6333333333333333</t>
  </si>
  <si>
    <t>0.49460452795028687</t>
  </si>
  <si>
    <t>2.928279840873202e-11</t>
  </si>
  <si>
    <t>0.725299482240296</t>
  </si>
  <si>
    <t>0.9999999999588776</t>
  </si>
  <si>
    <t>0.0179148421915368</t>
  </si>
  <si>
    <t>0.4666666666666667</t>
  </si>
  <si>
    <t>0.42921000719070435</t>
  </si>
  <si>
    <t>174.8845974813856</t>
  </si>
  <si>
    <t>0.5927235320530009</t>
  </si>
  <si>
    <t>0.520248958093143</t>
  </si>
  <si>
    <t>0.2666666666666667</t>
  </si>
  <si>
    <t>0.1990046203136444</t>
  </si>
  <si>
    <t>0.9253044908909284</t>
  </si>
  <si>
    <t>0.222914257058138</t>
  </si>
  <si>
    <t>0.9333333333333333</t>
  </si>
  <si>
    <t>0.6674288511276245</t>
  </si>
  <si>
    <t>0.8687521095122859</t>
  </si>
  <si>
    <t>0.565700022281525</t>
  </si>
  <si>
    <t>0.7333333333333334</t>
  </si>
  <si>
    <t>0.6897249221801758</t>
  </si>
  <si>
    <t>38.744613841106386</t>
  </si>
  <si>
    <t>0.46509349490504814</t>
  </si>
  <si>
    <t>0.638426816998238</t>
  </si>
  <si>
    <t>0.09999999999999998</t>
  </si>
  <si>
    <t>0.20857937633991241</t>
  </si>
  <si>
    <t>0.8794551312309523</t>
  </si>
  <si>
    <t>0.581544064126072</t>
  </si>
  <si>
    <t>0.7</t>
  </si>
  <si>
    <t>0.6156209707260132</t>
  </si>
  <si>
    <t>3.520300616219298e-05</t>
  </si>
  <si>
    <t>0.7367566280425805</t>
  </si>
  <si>
    <t>0.9999547778389547</t>
  </si>
  <si>
    <t>0.0013378622136881</t>
  </si>
  <si>
    <t>0.5020201802253723</t>
  </si>
  <si>
    <t>0.8975388040269565</t>
  </si>
  <si>
    <t>0.0546391157368526</t>
  </si>
  <si>
    <t>0.7550356984138489</t>
  </si>
  <si>
    <t>0.8414743863108811</t>
  </si>
  <si>
    <t>0.178730867913549</t>
  </si>
  <si>
    <t>0.7666666666666666</t>
  </si>
  <si>
    <t>0.7012382745742798</t>
  </si>
  <si>
    <t>0.27360009919995265</t>
  </si>
  <si>
    <t>0.475911529053452</t>
  </si>
  <si>
    <t>0.06666666666666665</t>
  </si>
  <si>
    <t>0.059102918952703476</t>
  </si>
  <si>
    <t>299.8473279858826</t>
  </si>
  <si>
    <t>0.44396609128030384</t>
  </si>
  <si>
    <t>0.62407560946925</t>
  </si>
  <si>
    <t>0.23333333333333328</t>
  </si>
  <si>
    <t>0.16808249056339264</t>
  </si>
  <si>
    <t>0.018311658361189986</t>
  </si>
  <si>
    <t>0.6376048642626664</t>
  </si>
  <si>
    <t>0.9795975412702417</t>
  </si>
  <si>
    <t>0.0093011516045758</t>
  </si>
  <si>
    <t>0.3666666666666667</t>
  </si>
  <si>
    <t>0.36212778091430664</t>
  </si>
  <si>
    <t>5.5955240441109455e-14</t>
  </si>
  <si>
    <t>0.9023261774279806</t>
  </si>
  <si>
    <t>0.9999999999998884</t>
  </si>
  <si>
    <t>0.518449530933298</t>
  </si>
  <si>
    <t>0.5524383783340454</t>
  </si>
  <si>
    <t>52.155347033612266</t>
  </si>
  <si>
    <t>0.44593994290260097</t>
  </si>
  <si>
    <t>0.59354353685387</t>
  </si>
  <si>
    <t>0.033333333333333326</t>
  </si>
  <si>
    <t>0.13623441755771637</t>
  </si>
  <si>
    <t>7.357203435641228</t>
  </si>
  <si>
    <t>0.16376969096879734</t>
  </si>
  <si>
    <t>0.000572611752612695</t>
  </si>
  <si>
    <t>0.317426654938759</t>
  </si>
  <si>
    <t>0.23188473284244537</t>
  </si>
  <si>
    <t>0.5433608330732645</t>
  </si>
  <si>
    <t>0.144400037884667</t>
  </si>
  <si>
    <t>0.6561300754547119</t>
  </si>
  <si>
    <t>73.76612817547591</t>
  </si>
  <si>
    <t>0.11465050839675028</t>
  </si>
  <si>
    <t>0.0792527728995332</t>
  </si>
  <si>
    <t>0.07407407407407407</t>
  </si>
  <si>
    <t>0.17839165031909943</t>
  </si>
  <si>
    <t>5.528220281705249</t>
  </si>
  <si>
    <t>0.1623895531637043</t>
  </si>
  <si>
    <t>0.003669955302611494</t>
  </si>
  <si>
    <t>0.628325520900679</t>
  </si>
  <si>
    <t>0.2514897882938385</t>
  </si>
  <si>
    <t>2.088193665251862</t>
  </si>
  <si>
    <t>0.19757507882144587</t>
  </si>
  <si>
    <t>0.11791440751776738</t>
  </si>
  <si>
    <t>0.127480972714973</t>
  </si>
  <si>
    <t>0.1428571428571429</t>
  </si>
  <si>
    <t>0.28209736943244934</t>
  </si>
  <si>
    <t>0.023658065457406785</t>
  </si>
  <si>
    <t>0.52162665425614</t>
  </si>
  <si>
    <t>0.061478521674871445</t>
  </si>
  <si>
    <t>30.03537534928361</t>
  </si>
  <si>
    <t>0.4258717530407762</t>
  </si>
  <si>
    <t>6.250555628639631e-14</t>
  </si>
  <si>
    <t>0.0781085302727202</t>
  </si>
  <si>
    <t>0.36363636363636365</t>
  </si>
  <si>
    <t>0.4017163813114166</t>
  </si>
  <si>
    <t>72.6717000227867</t>
  </si>
  <si>
    <t>0.09421846143336143</t>
  </si>
  <si>
    <t>0.611635943392363</t>
  </si>
  <si>
    <t>0.03125</t>
  </si>
  <si>
    <t>0.20418775081634521</t>
  </si>
  <si>
    <t>0.29244619148796913</t>
  </si>
  <si>
    <t>0.366090436438926</t>
  </si>
  <si>
    <t>0.4039430320262909</t>
  </si>
  <si>
    <t>23.01933717001414</t>
  </si>
  <si>
    <t>0.1908300183898214</t>
  </si>
  <si>
    <t>8.81793527085506e-11</t>
  </si>
  <si>
    <t>0.531535594072583</t>
  </si>
  <si>
    <t>0.07999999999999996</t>
  </si>
  <si>
    <t>0.29162436723709106</t>
  </si>
  <si>
    <t>0.3144381130084348</t>
  </si>
  <si>
    <t>1.40826865914573e-05</t>
  </si>
  <si>
    <t>0.4160654842853546</t>
  </si>
  <si>
    <t>2.5728337580998395e-05</t>
  </si>
  <si>
    <t>0.28686034218677703</t>
  </si>
  <si>
    <t>0.9999706738670432</t>
  </si>
  <si>
    <t>0.215135656436143</t>
  </si>
  <si>
    <t>0.1875</t>
  </si>
  <si>
    <t>0.41665568947792053</t>
  </si>
  <si>
    <t>284.2187819545303</t>
  </si>
  <si>
    <t>0.25492848915271493</t>
  </si>
  <si>
    <t>0.477801959815992</t>
  </si>
  <si>
    <t>0.25</t>
  </si>
  <si>
    <t>0.31594088673591614</t>
  </si>
  <si>
    <t>9.077992716688964e-06</t>
  </si>
  <si>
    <t>0.5019488412237314</t>
  </si>
  <si>
    <t>0.999989161692066</t>
  </si>
  <si>
    <t>0.528479091662554</t>
  </si>
  <si>
    <t>0.5514010190963745</t>
  </si>
  <si>
    <t>0.008930022751577393</t>
  </si>
  <si>
    <t>0.47505256436503</t>
  </si>
  <si>
    <t>0.03867702558636665</t>
  </si>
  <si>
    <t>29.104742044281256</t>
  </si>
  <si>
    <t>0.22092692851332307</t>
  </si>
  <si>
    <t>1.936228954946273e-13</t>
  </si>
  <si>
    <t>0.516688052918429</t>
  </si>
  <si>
    <t>0.18181818181818177</t>
  </si>
  <si>
    <t>0.31147652864456177</t>
  </si>
  <si>
    <t>0.5196100279959366</t>
  </si>
  <si>
    <t>0.236861564963423</t>
  </si>
  <si>
    <t>0.43999999999999995</t>
  </si>
  <si>
    <t>0.625812828540802</t>
  </si>
  <si>
    <t>214.06194801753836</t>
  </si>
  <si>
    <t>0.9103984511021257</t>
  </si>
  <si>
    <t>0.11978223454061</t>
  </si>
  <si>
    <t>0.05037737265229225</t>
  </si>
  <si>
    <t>0.6430964308651022</t>
  </si>
  <si>
    <t>0.114869652593041</t>
  </si>
  <si>
    <t>0.5217391304347826</t>
  </si>
  <si>
    <t>0.7145463824272156</t>
  </si>
  <si>
    <t>0.7636144535479068</t>
  </si>
  <si>
    <t>0.608270234423819</t>
  </si>
  <si>
    <t>0.8536722660064697</t>
  </si>
  <si>
    <t>0.01659885546731359</t>
  </si>
  <si>
    <t>0.6302977108672396</t>
  </si>
  <si>
    <t>0.9810838092669623</t>
  </si>
  <si>
    <t>0.416540024574869</t>
  </si>
  <si>
    <t>0.6</t>
  </si>
  <si>
    <t>0.552144467830658</t>
  </si>
  <si>
    <t>0.03272185783373294</t>
  </si>
  <si>
    <t>0.054279953648811</t>
  </si>
  <si>
    <t>0.07915891706943512</t>
  </si>
  <si>
    <t>16.889338922459768</t>
  </si>
  <si>
    <t>0.14431109254294283</t>
  </si>
  <si>
    <t>4.141586429362576e-08</t>
  </si>
  <si>
    <t>0.47696944114335</t>
  </si>
  <si>
    <t>0.24669654667377472</t>
  </si>
  <si>
    <t>0.7383056041175814</t>
  </si>
  <si>
    <t>0.597511607226654</t>
  </si>
  <si>
    <t>0.6929692029953003</t>
  </si>
  <si>
    <t>0.3746750060498608</t>
  </si>
  <si>
    <t>0.201873469113125</t>
  </si>
  <si>
    <t>0.4913124144077301</t>
  </si>
  <si>
    <t>3.692375506903424e-08</t>
  </si>
  <si>
    <t>0.3720540671750663</t>
  </si>
  <si>
    <t>0.9999999537279866</t>
  </si>
  <si>
    <t>0.299758634057743</t>
  </si>
  <si>
    <t>0.2272727272727273</t>
  </si>
  <si>
    <t>0.44206055998802185</t>
  </si>
  <si>
    <t>25.067550916158936</t>
  </si>
  <si>
    <t>0.3066038310889484</t>
  </si>
  <si>
    <t>9.938272427234551e-12</t>
  </si>
  <si>
    <t>0.320211294342247</t>
  </si>
  <si>
    <t>0.2658580243587494</t>
  </si>
  <si>
    <t>106.50484754099378</t>
  </si>
  <si>
    <t>0.28970043263005973</t>
  </si>
  <si>
    <t>0.282611365188122</t>
  </si>
  <si>
    <t>0.18393966555595398</t>
  </si>
  <si>
    <t>0.07463333099306058</t>
  </si>
  <si>
    <t>0.4618466383406171</t>
  </si>
  <si>
    <t>0.9215125665277552</t>
  </si>
  <si>
    <t>0.620277814392026</t>
  </si>
  <si>
    <t>0.4061902165412903</t>
  </si>
  <si>
    <t>1.8209589393573362e-10</t>
  </si>
  <si>
    <t>0.5263303645159367</t>
  </si>
  <si>
    <t>0.9999999997517949</t>
  </si>
  <si>
    <t>0.352987066253334</t>
  </si>
  <si>
    <t>0.4683503806591034</t>
  </si>
  <si>
    <t>0.6171155422027166</t>
  </si>
  <si>
    <t>0.279437830622755</t>
  </si>
  <si>
    <t>0.5519562363624573</t>
  </si>
  <si>
    <t>0.7735369696153659</t>
  </si>
  <si>
    <t>0.627543785551723</t>
  </si>
  <si>
    <t>0.7017993330955505</t>
  </si>
  <si>
    <t>53.91749426146433</t>
  </si>
  <si>
    <t>0.2762389785556395</t>
  </si>
  <si>
    <t>0.148364176759413</t>
  </si>
  <si>
    <t>0.19999999999999996</t>
  </si>
  <si>
    <t>0.2139907032251358</t>
  </si>
  <si>
    <t>0.00020150295587417844</t>
  </si>
  <si>
    <t>0.7549551528962368</t>
  </si>
  <si>
    <t>0.999745732075077</t>
  </si>
  <si>
    <t>0.119742268635827</t>
  </si>
  <si>
    <t>0.5052627325057983</t>
  </si>
  <si>
    <t>30.565884439830263</t>
  </si>
  <si>
    <t>0.288536689780602</t>
  </si>
  <si>
    <t>4.39648317751562e-14</t>
  </si>
  <si>
    <t>0.045362138701653</t>
  </si>
  <si>
    <t>0.2224498838186264</t>
  </si>
  <si>
    <t>9.016868213534259e-05</t>
  </si>
  <si>
    <t>0.8088386401380712</t>
  </si>
  <si>
    <t>0.9998764890282454</t>
  </si>
  <si>
    <t>0.385564045884311</t>
  </si>
  <si>
    <t>0.49869105219841003</t>
  </si>
  <si>
    <t>0.7898987166374644</t>
  </si>
  <si>
    <t>0.640387750687956</t>
  </si>
  <si>
    <t>0.7328492403030396</t>
  </si>
  <si>
    <t>0.6021092796388428</t>
  </si>
  <si>
    <t>0.523459589357751</t>
  </si>
  <si>
    <t>0.52</t>
  </si>
  <si>
    <t>0.518158495426178</t>
  </si>
  <si>
    <t>4.254862138345639e-09</t>
  </si>
  <si>
    <t>0.8192695331149942</t>
  </si>
  <si>
    <t>0.9999999931401796</t>
  </si>
  <si>
    <t>0.100924858987662</t>
  </si>
  <si>
    <t>0.5449811220169067</t>
  </si>
  <si>
    <t>0.8284988749166675</t>
  </si>
  <si>
    <t>0.211830285392991</t>
  </si>
  <si>
    <t>0.5608885288238525</t>
  </si>
  <si>
    <t>82.93933596105235</t>
  </si>
  <si>
    <t>0.3462645254857516</t>
  </si>
  <si>
    <t>0.17067156626972</t>
  </si>
  <si>
    <t>0.17391304347826086</t>
  </si>
  <si>
    <t>0.24153824150562286</t>
  </si>
  <si>
    <t>290.9902735610343</t>
  </si>
  <si>
    <t>0.23019528782405507</t>
  </si>
  <si>
    <t>0.367810076545363</t>
  </si>
  <si>
    <t>0.13453806936740875</t>
  </si>
  <si>
    <t>1.2003054525256607</t>
  </si>
  <si>
    <t>0.6739763886320433</t>
  </si>
  <si>
    <t>0.2798959876489091</t>
  </si>
  <si>
    <t>0.466621424645602</t>
  </si>
  <si>
    <t>0.4803495407104492</t>
  </si>
  <si>
    <t>79.49557582207031</t>
  </si>
  <si>
    <t>0.28268050796389743</t>
  </si>
  <si>
    <t>0.509003313279351</t>
  </si>
  <si>
    <t>0.2033255249261856</t>
  </si>
  <si>
    <t>4.820309750826838</t>
  </si>
  <si>
    <t>0.437487216030116</t>
  </si>
  <si>
    <t>0.0074005400157328705</t>
  </si>
  <si>
    <t>0.464443486856819</t>
  </si>
  <si>
    <t>0.31999999999999995</t>
  </si>
  <si>
    <t>0.3204382061958313</t>
  </si>
  <si>
    <t>19.349232477465485</t>
  </si>
  <si>
    <t>0.9899231434314882</t>
  </si>
  <si>
    <t>1.0780343284721994e-10</t>
  </si>
  <si>
    <t>0.414475898329233</t>
  </si>
  <si>
    <t>0.03069109097123146</t>
  </si>
  <si>
    <t>245.31579922650013</t>
  </si>
  <si>
    <t>0.8687839312537977</t>
  </si>
  <si>
    <t>0.363924986183203</t>
  </si>
  <si>
    <t>0.028213011100888252</t>
  </si>
  <si>
    <t>4.973799150321938e-13</t>
  </si>
  <si>
    <t>0.5520330320856299</t>
  </si>
  <si>
    <t>0.9999999999993543</t>
  </si>
  <si>
    <t>0.236653975445591</t>
  </si>
  <si>
    <t>0.3679198622703552</t>
  </si>
  <si>
    <t>99.88819759136874</t>
  </si>
  <si>
    <t>0.22873755695487474</t>
  </si>
  <si>
    <t>0.54353468466608</t>
  </si>
  <si>
    <t>0.18032868206501007</t>
  </si>
  <si>
    <t>75.2000069090016</t>
  </si>
  <si>
    <t>0.14122574525523923</t>
  </si>
  <si>
    <t>0.59532575971304</t>
  </si>
  <si>
    <t>0.17110122740268707</t>
  </si>
  <si>
    <t>0.5025900442498387</t>
  </si>
  <si>
    <t>0.344646336367309</t>
  </si>
  <si>
    <t>0.40625</t>
  </si>
  <si>
    <t>0.5339519381523132</t>
  </si>
  <si>
    <t>244.52206971882617</t>
  </si>
  <si>
    <t>0.09394616317091431</t>
  </si>
  <si>
    <t>0.568841732371996</t>
  </si>
  <si>
    <t>0.11877422034740448</t>
  </si>
  <si>
    <t>0.05381794828439492</t>
  </si>
  <si>
    <t>0.30699684543165606</t>
  </si>
  <si>
    <t>0.9435938255901957</t>
  </si>
  <si>
    <t>0.410948550486354</t>
  </si>
  <si>
    <t>0.2857142857142857</t>
  </si>
  <si>
    <t>0.34165632724761963</t>
  </si>
  <si>
    <t>0.7625706862359571</t>
  </si>
  <si>
    <t>0.468078611637689</t>
  </si>
  <si>
    <t>0.6862851977348328</t>
  </si>
  <si>
    <t>0.023627842061604072</t>
  </si>
  <si>
    <t>0.666962184547528</t>
  </si>
  <si>
    <t>0.9726628066907604</t>
  </si>
  <si>
    <t>0.49172739913805</t>
  </si>
  <si>
    <t>0.6363636363636364</t>
  </si>
  <si>
    <t>0.5642539262771606</t>
  </si>
  <si>
    <t>0.02243615024961365</t>
  </si>
  <si>
    <t>0.176732339645859</t>
  </si>
  <si>
    <t>0.03637809678912163</t>
  </si>
  <si>
    <t>0.0038915883522669336</t>
  </si>
  <si>
    <t>0.639385743152388</t>
  </si>
  <si>
    <t>0.9955063106300703</t>
  </si>
  <si>
    <t>0.611440081417349</t>
  </si>
  <si>
    <t>0.33333333333333337</t>
  </si>
  <si>
    <t>0.5656424760818481</t>
  </si>
  <si>
    <t>0.43738521441785727</t>
  </si>
  <si>
    <t>0.182786930100152</t>
  </si>
  <si>
    <t>0.4763476252555847</t>
  </si>
  <si>
    <t>1.1119327680892613e-11</t>
  </si>
  <si>
    <t>0.6895579755790755</t>
  </si>
  <si>
    <t>0.9999999999831564</t>
  </si>
  <si>
    <t>0.232043299840149</t>
  </si>
  <si>
    <t>0.6222770810127258</t>
  </si>
  <si>
    <t>0.04404024337250286</t>
  </si>
  <si>
    <t>0.40335273283477746</t>
  </si>
  <si>
    <t>0.9530373508114708</t>
  </si>
  <si>
    <t>0.513493204875228</t>
  </si>
  <si>
    <t>0.31818181818181823</t>
  </si>
  <si>
    <t>0.42127692699432373</t>
  </si>
  <si>
    <t>0.6640026290188673</t>
  </si>
  <si>
    <t>0.62083875689612</t>
  </si>
  <si>
    <t>0.625761091709137</t>
  </si>
  <si>
    <t>0.042062846759050254</t>
  </si>
  <si>
    <t>0.463201329863232</t>
  </si>
  <si>
    <t>0.05782338231801987</t>
  </si>
  <si>
    <t>0.43743397883060264</t>
  </si>
  <si>
    <t>0.4653737545013428</t>
  </si>
  <si>
    <t>0.5800108635701082</t>
  </si>
  <si>
    <t>0.994669013304395</t>
  </si>
  <si>
    <t>0.3125</t>
  </si>
  <si>
    <t>0.6020151376724243</t>
  </si>
  <si>
    <t>0.44136019999537757</t>
  </si>
  <si>
    <t>0.620519664716678</t>
  </si>
  <si>
    <t>0.3928571428571429</t>
  </si>
  <si>
    <t>0.4784546494483948</t>
  </si>
  <si>
    <t>6.370806422961249e-06</t>
  </si>
  <si>
    <t>0.43712916433092663</t>
  </si>
  <si>
    <t>0.9999923806597083</t>
  </si>
  <si>
    <t>0.641434415422932</t>
  </si>
  <si>
    <t>0.45625007152557373</t>
  </si>
  <si>
    <t>6.662266961295335</t>
  </si>
  <si>
    <t>0.2980561992623312</t>
  </si>
  <si>
    <t>0.001179647875349521</t>
  </si>
  <si>
    <t>0.610795157759725</t>
  </si>
  <si>
    <t>0.16000000000000003</t>
  </si>
  <si>
    <t>0.329754501581192</t>
  </si>
  <si>
    <t>0.5581704271908638</t>
  </si>
  <si>
    <t>0.423971094571348</t>
  </si>
  <si>
    <t>0.34782608695652173</t>
  </si>
  <si>
    <t>0.5754324197769165</t>
  </si>
  <si>
    <t>21.17582103079151</t>
  </si>
  <si>
    <t>0.19710610231325543</t>
  </si>
  <si>
    <t>5.422752247241647e-10</t>
  </si>
  <si>
    <t>0.595252826344443</t>
  </si>
  <si>
    <t>0.23846565186977386</t>
  </si>
  <si>
    <t>0.19581913716538904</t>
  </si>
  <si>
    <t>0.6741007271288042</t>
  </si>
  <si>
    <t>0.8058079068214636</t>
  </si>
  <si>
    <t>0.524406571837695</t>
  </si>
  <si>
    <t>0.5514886379241943</t>
  </si>
  <si>
    <t>47.47189688625576</t>
  </si>
  <si>
    <t>0.17275702234313983</t>
  </si>
  <si>
    <t>0.350228759386094</t>
  </si>
  <si>
    <t>0.21537785232067108</t>
  </si>
  <si>
    <t>81.52194949641807</t>
  </si>
  <si>
    <t>0.21611406746036466</t>
  </si>
  <si>
    <t>0.578725834780887</t>
  </si>
  <si>
    <t>0.09375</t>
  </si>
  <si>
    <t>0.24781563878059387</t>
  </si>
  <si>
    <t>1.961422412612211</t>
  </si>
  <si>
    <t>0.5854792233135131</t>
  </si>
  <si>
    <t>0.1312430071378865</t>
  </si>
  <si>
    <t>0.529640203006317</t>
  </si>
  <si>
    <t>0.5199066996574402</t>
  </si>
  <si>
    <t>0.013344533069682646</t>
  </si>
  <si>
    <t>0.38228195247598395</t>
  </si>
  <si>
    <t>0.9851537910756397</t>
  </si>
  <si>
    <t>0.200411895992615</t>
  </si>
  <si>
    <t>0.3842409551143646</t>
  </si>
  <si>
    <t>0.7129103727310566</t>
  </si>
  <si>
    <t>0.35369261629928</t>
  </si>
  <si>
    <t>0.6887273192405701</t>
  </si>
  <si>
    <t>0.4391657621938089</t>
  </si>
  <si>
    <t>0.37919053036322903</t>
  </si>
  <si>
    <t>0.6290101226002998</t>
  </si>
  <si>
    <t>0.149478110777719</t>
  </si>
  <si>
    <t>0.3739580810070038</t>
  </si>
  <si>
    <t>0.3392728644775681</t>
  </si>
  <si>
    <t>0.367684566797858</t>
  </si>
  <si>
    <t>0.6988952988246138</t>
  </si>
  <si>
    <t>0.555365682420169</t>
  </si>
  <si>
    <t>0.3642908036708832</t>
  </si>
  <si>
    <t>232.5756726564711</t>
  </si>
  <si>
    <t>0.3354148300918961</t>
  </si>
  <si>
    <t>0.373728891241473</t>
  </si>
  <si>
    <t>0.22824078798294067</t>
  </si>
  <si>
    <t>32.782943168141585</t>
  </si>
  <si>
    <t>0.5423386148797296</t>
  </si>
  <si>
    <t>3.6637359812630166e-15</t>
  </si>
  <si>
    <t>0.399734649283945</t>
  </si>
  <si>
    <t>0.32649126648902893</t>
  </si>
  <si>
    <t>0.5375243637953125</t>
  </si>
  <si>
    <t>0.196651216894949</t>
  </si>
  <si>
    <t>0.5144366025924683</t>
  </si>
  <si>
    <t>0.7833529586097236</t>
  </si>
  <si>
    <t>0.418221793805387</t>
  </si>
  <si>
    <t>0.76</t>
  </si>
  <si>
    <t>0.7570016980171204</t>
  </si>
  <si>
    <t>0.7839368415929181</t>
  </si>
  <si>
    <t>0.0007704537537372</t>
  </si>
  <si>
    <t>0.7567909359931946</t>
  </si>
  <si>
    <t>0.8433461438416917</t>
  </si>
  <si>
    <t>7.89781820165937e-05</t>
  </si>
  <si>
    <t>0.5513144731521606</t>
  </si>
  <si>
    <t>0.7790544980047505</t>
  </si>
  <si>
    <t>0.7677434682846069</t>
  </si>
  <si>
    <t>188.02680801840486</t>
  </si>
  <si>
    <t>0.4139562530003882</t>
  </si>
  <si>
    <t>0.439441901813074</t>
  </si>
  <si>
    <t>0.22542044520378113</t>
  </si>
  <si>
    <t>0.6305517968914893</t>
  </si>
  <si>
    <t>0.270185440380118</t>
  </si>
  <si>
    <t>0.6292930841445923</t>
  </si>
  <si>
    <t>0.6767588389418779</t>
  </si>
  <si>
    <t>0.604976572563593</t>
  </si>
  <si>
    <t>0.6376022100448608</t>
  </si>
  <si>
    <t>0.048491358430041154</t>
  </si>
  <si>
    <t>0.023342802004424</t>
  </si>
  <si>
    <t>0.0322248674929142</t>
  </si>
  <si>
    <t>0.5528344775824253</t>
  </si>
  <si>
    <t>0.333408040425938</t>
  </si>
  <si>
    <t>0.5496321320533752</t>
  </si>
  <si>
    <t>0.7132604771077342</t>
  </si>
  <si>
    <t>0.52752128337593</t>
  </si>
  <si>
    <t>0.5427588820457458</t>
  </si>
  <si>
    <t>0.008358292490528885</t>
  </si>
  <si>
    <t>0.642288597534033</t>
  </si>
  <si>
    <t>0.03448275862068961</t>
  </si>
  <si>
    <t>0.008752896450459957</t>
  </si>
  <si>
    <t>11.057527772953161</t>
  </si>
  <si>
    <t>0.38828904769168326</t>
  </si>
  <si>
    <t>1.3282510542111936e-05</t>
  </si>
  <si>
    <t>0.118705157934948</t>
  </si>
  <si>
    <t>0.36348628997802734</t>
  </si>
  <si>
    <t>0.20736330746225184</t>
  </si>
  <si>
    <t>0.243388263238641</t>
  </si>
  <si>
    <t>0.12619416415691376</t>
  </si>
  <si>
    <t>0.6638036305733155</t>
  </si>
  <si>
    <t>0.177203429979328</t>
  </si>
  <si>
    <t>0.4602731466293335</t>
  </si>
  <si>
    <t>83.30606867154854</t>
  </si>
  <si>
    <t>0.4146414618232388</t>
  </si>
  <si>
    <t>0.340235500602762</t>
  </si>
  <si>
    <t>0.19280333817005157</t>
  </si>
  <si>
    <t>2.300724316927312</t>
  </si>
  <si>
    <t>0.7520641602822227</t>
  </si>
  <si>
    <t>0.09013554185594197</t>
  </si>
  <si>
    <t>0.606170877578564</t>
  </si>
  <si>
    <t>0.3820534646511078</t>
  </si>
  <si>
    <t>0.1518853152172967</t>
  </si>
  <si>
    <t>0.7667331784404404</t>
  </si>
  <si>
    <t>0.8418474774753897</t>
  </si>
  <si>
    <t>0.479105828475622</t>
  </si>
  <si>
    <t>0.8275862068965517</t>
  </si>
  <si>
    <t>0.4760650396347046</t>
  </si>
  <si>
    <t>3.7017685402714144e-06</t>
  </si>
  <si>
    <t>0.6280208769272693</t>
  </si>
  <si>
    <t>0.9999953564355492</t>
  </si>
  <si>
    <t>0.0910299430454993</t>
  </si>
  <si>
    <t>0.45807766914367676</t>
  </si>
  <si>
    <t>0.9010906496710119</t>
  </si>
  <si>
    <t>0.247480237666065</t>
  </si>
  <si>
    <t>0.9166666666666666</t>
  </si>
  <si>
    <t>0.5408971309661865</t>
  </si>
  <si>
    <t>504.9707715629543</t>
  </si>
  <si>
    <t>0.33046839952998985</t>
  </si>
  <si>
    <t>0.0538387585512936</t>
  </si>
  <si>
    <t>0.12472566962242126</t>
  </si>
  <si>
    <t>113.05260609821039</t>
  </si>
  <si>
    <t>0.30872379312217035</t>
  </si>
  <si>
    <t>0.450372520081477</t>
  </si>
  <si>
    <t>0.16478215157985687</t>
  </si>
  <si>
    <t>0.5362036693108821</t>
  </si>
  <si>
    <t>0.5522980196830536</t>
  </si>
  <si>
    <t>0.574976279194663</t>
  </si>
  <si>
    <t>0.4082036018371582</t>
  </si>
  <si>
    <t>0.0002518304323851368</t>
  </si>
  <si>
    <t>0.5820036283330778</t>
  </si>
  <si>
    <t>0.999694729363616</t>
  </si>
  <si>
    <t>0.596839518315806</t>
  </si>
  <si>
    <t>0.4534907042980194</t>
  </si>
  <si>
    <t>0.7716684607360988</t>
  </si>
  <si>
    <t>0.541483253087926</t>
  </si>
  <si>
    <t>0.5179714560508728</t>
  </si>
  <si>
    <t>8.300156310475241</t>
  </si>
  <si>
    <t>0.5539000913785864</t>
  </si>
  <si>
    <t>0.00021041051227554952</t>
  </si>
  <si>
    <t>0.445858778635982</t>
  </si>
  <si>
    <t>0.36903172731399536</t>
  </si>
  <si>
    <t>0.1859472533506349</t>
  </si>
  <si>
    <t>0.395987666734588</t>
  </si>
  <si>
    <t>0.06918871402740479</t>
  </si>
  <si>
    <t>0.7532714614503352</t>
  </si>
  <si>
    <t>0.496004426366346</t>
  </si>
  <si>
    <t>0.6521739130434783</t>
  </si>
  <si>
    <t>0.5899606943130493</t>
  </si>
  <si>
    <t>0.9620754988012893</t>
  </si>
  <si>
    <t>0.49443374399299833</t>
  </si>
  <si>
    <t>0.3652904858795233</t>
  </si>
  <si>
    <t>0.0370038992722629</t>
  </si>
  <si>
    <t>0.35491347312927246</t>
  </si>
  <si>
    <t>8.548717289613742e-15</t>
  </si>
  <si>
    <t>0.6335890155031638</t>
  </si>
  <si>
    <t>0.9999999999999876</t>
  </si>
  <si>
    <t>0.454009942824519</t>
  </si>
  <si>
    <t>0.4655778408050537</t>
  </si>
  <si>
    <t>0.7506567578137293</t>
  </si>
  <si>
    <t>0.130116023565835</t>
  </si>
  <si>
    <t>0.8148148148148149</t>
  </si>
  <si>
    <t>0.6622452139854431</t>
  </si>
  <si>
    <t>0.11921164577921295</t>
  </si>
  <si>
    <t>0.575304886205866</t>
  </si>
  <si>
    <t>0.021994011476635933</t>
  </si>
  <si>
    <t>0.7165231849024942</t>
  </si>
  <si>
    <t>0.421788266231146</t>
  </si>
  <si>
    <t>0.5322791934013367</t>
  </si>
  <si>
    <t>0.6458377849950776</t>
  </si>
  <si>
    <t>0.634917340726893</t>
  </si>
  <si>
    <t>0.4642857142857143</t>
  </si>
  <si>
    <t>0.528107762336731</t>
  </si>
  <si>
    <t>44.21126231588057</t>
  </si>
  <si>
    <t>0.3305104837833195</t>
  </si>
  <si>
    <t>0.188883992153626</t>
  </si>
  <si>
    <t>0.26786237955093384</t>
  </si>
  <si>
    <t>3.9904721213121205e-08</t>
  </si>
  <si>
    <t>0.7856733549663144</t>
  </si>
  <si>
    <t>0.9999999414761949</t>
  </si>
  <si>
    <t>0.569420633475036</t>
  </si>
  <si>
    <t>0.46163657307624817</t>
  </si>
  <si>
    <t>0.0016784281440034067</t>
  </si>
  <si>
    <t>0.5860532737314814</t>
  </si>
  <si>
    <t>0.9980525622718582</t>
  </si>
  <si>
    <t>0.272249848572178</t>
  </si>
  <si>
    <t>0.4545454545454546</t>
  </si>
  <si>
    <t>0.4711424708366394</t>
  </si>
  <si>
    <t>0.21836855670902566</t>
  </si>
  <si>
    <t>0.643230224280994</t>
  </si>
  <si>
    <t>0.0357142857142857</t>
  </si>
  <si>
    <t>0.07423341274261475</t>
  </si>
  <si>
    <t>1.5111546447912914e-06</t>
  </si>
  <si>
    <t>0.49758835921956646</t>
  </si>
  <si>
    <t>0.9999981406846918</t>
  </si>
  <si>
    <t>0.374865856025886</t>
  </si>
  <si>
    <t>0.4285714285714286</t>
  </si>
  <si>
    <t>0.4174531400203705</t>
  </si>
  <si>
    <t>15.924268891726609</t>
  </si>
  <si>
    <t>0.43516906723806625</t>
  </si>
  <si>
    <t>1.034375792796638e-07</t>
  </si>
  <si>
    <t>0.200002437568462</t>
  </si>
  <si>
    <t>0.1785714285714286</t>
  </si>
  <si>
    <t>0.30153951048851013</t>
  </si>
  <si>
    <t>0.8659222653030176</t>
  </si>
  <si>
    <t>0.504920629181434</t>
  </si>
  <si>
    <t>0.5821711421012878</t>
  </si>
  <si>
    <t>109.2878460763614</t>
  </si>
  <si>
    <t>0.49170550564168347</t>
  </si>
  <si>
    <t>0.581753477064428</t>
  </si>
  <si>
    <t>0.23401542007923126</t>
  </si>
  <si>
    <t>51.93382373021609</t>
  </si>
  <si>
    <t>0.36930867894008057</t>
  </si>
  <si>
    <t>0.533226479951997</t>
  </si>
  <si>
    <t>0.26672589778900146</t>
  </si>
  <si>
    <t>0.06746884231502226</t>
  </si>
  <si>
    <t>0.610307251845436</t>
  </si>
  <si>
    <t>0.027346711605787277</t>
  </si>
  <si>
    <t>0.7378047683344439</t>
  </si>
  <si>
    <t>0.490510747075609</t>
  </si>
  <si>
    <t>0.7142857142857143</t>
  </si>
  <si>
    <t>0.66452556848526</t>
  </si>
  <si>
    <t>0.1595633068335113</t>
  </si>
  <si>
    <t>0.5100179345112862</t>
  </si>
  <si>
    <t>0.8440712619594941</t>
  </si>
  <si>
    <t>0.469147999554686</t>
  </si>
  <si>
    <t>0.3733797073364258</t>
  </si>
  <si>
    <t>0.8470428136499304</t>
  </si>
  <si>
    <t>0.46069608723899</t>
  </si>
  <si>
    <t>0.4576241970062256</t>
  </si>
  <si>
    <t>0.5832127850033884</t>
  </si>
  <si>
    <t>0.574329685612393</t>
  </si>
  <si>
    <t>0.6071428571428572</t>
  </si>
  <si>
    <t>0.5188684463500977</t>
  </si>
  <si>
    <t>0.8329734963140849</t>
  </si>
  <si>
    <t>0.458978645853509</t>
  </si>
  <si>
    <t>0.7054098844528198</t>
  </si>
  <si>
    <t>0.13825591263853176</t>
  </si>
  <si>
    <t>0.290051877560544</t>
  </si>
  <si>
    <t>0.06234385818243027</t>
  </si>
  <si>
    <t>0.5456405795609766</t>
  </si>
  <si>
    <t>0.283472397153658</t>
  </si>
  <si>
    <t>0.4559042751789093</t>
  </si>
  <si>
    <t>0.007117819741781315</t>
  </si>
  <si>
    <t>0.4579849427475484</t>
  </si>
  <si>
    <t>0.9919437533259718</t>
  </si>
  <si>
    <t>2.4399720643857e-05</t>
  </si>
  <si>
    <t>0.4165992736816406</t>
  </si>
  <si>
    <t>0.15531415590053788</t>
  </si>
  <si>
    <t>0.0139126142001279</t>
  </si>
  <si>
    <t>0.09367525577545166</t>
  </si>
  <si>
    <t>0.1831923806549659</t>
  </si>
  <si>
    <t>0.409160569372739</t>
  </si>
  <si>
    <t>0.10664116591215134</t>
  </si>
  <si>
    <t>0.7257908910517643</t>
  </si>
  <si>
    <t>0.461112638827966</t>
  </si>
  <si>
    <t>0.6716992855072021</t>
  </si>
  <si>
    <t>0.6016332031838825</t>
  </si>
  <si>
    <t>0.199043307296977</t>
  </si>
  <si>
    <t>0.5126296877861023</t>
  </si>
  <si>
    <t>188.79137863344104</t>
  </si>
  <si>
    <t>0.4332255558733835</t>
  </si>
  <si>
    <t>5.55384482225393e-05</t>
  </si>
  <si>
    <t>0.2621212601661682</t>
  </si>
  <si>
    <t>2.3000684843682125e-08</t>
  </si>
  <si>
    <t>0.453793083990064</t>
  </si>
  <si>
    <t>0.999999971028455</t>
  </si>
  <si>
    <t>0.0013794201241005</t>
  </si>
  <si>
    <t>0.4037647247314453</t>
  </si>
  <si>
    <t>0.8714578457015034</t>
  </si>
  <si>
    <t>0.434817218056816</t>
  </si>
  <si>
    <t>0.610557496547699</t>
  </si>
  <si>
    <t>0.8383729689479353</t>
  </si>
  <si>
    <t>0.298573367091732</t>
  </si>
  <si>
    <t>0.782608695652174</t>
  </si>
  <si>
    <t>0.7860003113746643</t>
  </si>
  <si>
    <t>0.6302610908204092</t>
  </si>
  <si>
    <t>0.398096165657245</t>
  </si>
  <si>
    <t>0.5716562867164612</t>
  </si>
  <si>
    <t>0.7548479270981903</t>
  </si>
  <si>
    <t>0.369658516023632</t>
  </si>
  <si>
    <t>0.6424047350883484</t>
  </si>
  <si>
    <t>0.10646283319620764</t>
  </si>
  <si>
    <t>0.472736349336886</t>
  </si>
  <si>
    <t>0.05650411918759346</t>
  </si>
  <si>
    <t>0.6534678387493469</t>
  </si>
  <si>
    <t>0.606359372651007</t>
  </si>
  <si>
    <t>0.5725160241127014</t>
  </si>
  <si>
    <t>0.7852713318389865</t>
  </si>
  <si>
    <t>6.87564896154265e-05</t>
  </si>
  <si>
    <t>0.9</t>
  </si>
  <si>
    <t>0.7268791794776917</t>
  </si>
  <si>
    <t>0.6977023928002473</t>
  </si>
  <si>
    <t>0.222922866727744</t>
  </si>
  <si>
    <t>0.6818181818181819</t>
  </si>
  <si>
    <t>0.6421535015106201</t>
  </si>
  <si>
    <t>426.0034849019337</t>
  </si>
  <si>
    <t>0.31767962075130773</t>
  </si>
  <si>
    <t>0.327800835936636</t>
  </si>
  <si>
    <t>0.18488921225070953</t>
  </si>
  <si>
    <t>44.45765807077965</t>
  </si>
  <si>
    <t>0.5201890059882073</t>
  </si>
  <si>
    <t>0.57782242286293</t>
  </si>
  <si>
    <t>0.3646792471408844</t>
  </si>
  <si>
    <t>0.5751651783346314</t>
  </si>
  <si>
    <t>0.63613823726461</t>
  </si>
  <si>
    <t>0.5444700121879578</t>
  </si>
  <si>
    <t>2.2430556068439076</t>
  </si>
  <si>
    <t>0.3483854667865687</t>
  </si>
  <si>
    <t>0.09907552335756431</t>
  </si>
  <si>
    <t>0.610021122502089</t>
  </si>
  <si>
    <t>0.3426523804664612</t>
  </si>
  <si>
    <t>0.04907321564266032</t>
  </si>
  <si>
    <t>0.0778347168199157</t>
  </si>
  <si>
    <t>0.04186275973916054</t>
  </si>
  <si>
    <t>0.13715758021479663</t>
  </si>
  <si>
    <t>0.479433696011886</t>
  </si>
  <si>
    <t>0.09752755612134933</t>
  </si>
  <si>
    <t>9.237033360847424e-11</t>
  </si>
  <si>
    <t>0.48392566759130806</t>
  </si>
  <si>
    <t>0.9999999998791503</t>
  </si>
  <si>
    <t>0.529368505260783</t>
  </si>
  <si>
    <t>0.36</t>
  </si>
  <si>
    <t>0.4602892994880676</t>
  </si>
  <si>
    <t>78.32812700270208</t>
  </si>
  <si>
    <t>0.2730562959223417</t>
  </si>
  <si>
    <t>0.640675046895966</t>
  </si>
  <si>
    <t>0.24212646484375</t>
  </si>
  <si>
    <t>0.8663008430239216</t>
  </si>
  <si>
    <t>0.44198197406952</t>
  </si>
  <si>
    <t>0.6287615895271301</t>
  </si>
  <si>
    <t>0.009660013095135422</t>
  </si>
  <si>
    <t>0.328039164388645</t>
  </si>
  <si>
    <t>0.009653203189373016</t>
  </si>
  <si>
    <t>5.984102102729773e-14</t>
  </si>
  <si>
    <t>0.5545524694255943</t>
  </si>
  <si>
    <t>0.9999999999999156</t>
  </si>
  <si>
    <t>0.574194655646807</t>
  </si>
  <si>
    <t>0.40909090909090906</t>
  </si>
  <si>
    <t>0.5199041366577148</t>
  </si>
  <si>
    <t>0.5959880767598422</t>
  </si>
  <si>
    <t>0.635411904328161</t>
  </si>
  <si>
    <t>0.4347826086956522</t>
  </si>
  <si>
    <t>0.5592047572135925</t>
  </si>
  <si>
    <t>0.7817930210371992</t>
  </si>
  <si>
    <t>0.588941502777229</t>
  </si>
  <si>
    <t>0.8636363636363636</t>
  </si>
  <si>
    <t>0.7534952759742737</t>
  </si>
  <si>
    <t>5.251354906477128e-14</t>
  </si>
  <si>
    <t>0.4489599664958056</t>
  </si>
  <si>
    <t>0.9999999999999291</t>
  </si>
  <si>
    <t>0.375693162203888</t>
  </si>
  <si>
    <t>0.43290406465530396</t>
  </si>
  <si>
    <t>8.584734911051513</t>
  </si>
  <si>
    <t>0.5700874620300177</t>
  </si>
  <si>
    <t>0.00015281717572213083</t>
  </si>
  <si>
    <t>0.127021682059624</t>
  </si>
  <si>
    <t>0.4310726225376129</t>
  </si>
  <si>
    <t>0.6808819335617378</t>
  </si>
  <si>
    <t>0.603569298737063</t>
  </si>
  <si>
    <t>0.6208361983299255</t>
  </si>
  <si>
    <t>5.9328657066503175e-06</t>
  </si>
  <si>
    <t>0.7186537943602987</t>
  </si>
  <si>
    <t>0.999992293734203</t>
  </si>
  <si>
    <t>0.580658353037488</t>
  </si>
  <si>
    <t>0.5149976015090942</t>
  </si>
  <si>
    <t>1.2041145858249555e-11</t>
  </si>
  <si>
    <t>0.47748867730738354</t>
  </si>
  <si>
    <t>0.9999999999843828</t>
  </si>
  <si>
    <t>0.15894188211635</t>
  </si>
  <si>
    <t>0.44190552830696106</t>
  </si>
  <si>
    <t>35.307613495809264</t>
  </si>
  <si>
    <t>0.5764299724222391</t>
  </si>
  <si>
    <t>3.3306690738754696e-16</t>
  </si>
  <si>
    <t>0.640514847271735</t>
  </si>
  <si>
    <t>0.36214694380760193</t>
  </si>
  <si>
    <t>1.7695844789656943e-11</t>
  </si>
  <si>
    <t>0.7168179418116155</t>
  </si>
  <si>
    <t>0.9999999999726897</t>
  </si>
  <si>
    <t>0.461682420197191</t>
  </si>
  <si>
    <t>0.33368247747421265</t>
  </si>
  <si>
    <t>506.78778657454603</t>
  </si>
  <si>
    <t>0.21714713501902538</t>
  </si>
  <si>
    <t>0.628593448979536</t>
  </si>
  <si>
    <t>0.16508913040161133</t>
  </si>
  <si>
    <t>0.477939834667251</t>
  </si>
  <si>
    <t>0.643698777538778</t>
  </si>
  <si>
    <t>0.5081204175949097</t>
  </si>
  <si>
    <t>413.29551046213516</t>
  </si>
  <si>
    <t>0.23048861181863312</t>
  </si>
  <si>
    <t>0.565818207497065</t>
  </si>
  <si>
    <t>0.11920731514692307</t>
  </si>
  <si>
    <t>0.3957450792110484</t>
  </si>
  <si>
    <t>0.140395796194549</t>
  </si>
  <si>
    <t>0.3571428571428571</t>
  </si>
  <si>
    <t>0.5034641027450562</t>
  </si>
  <si>
    <t>1.6032730698624738e-12</t>
  </si>
  <si>
    <t>0.6768776731733135</t>
  </si>
  <si>
    <t>0.9999999999976641</t>
  </si>
  <si>
    <t>0.52413906373883</t>
  </si>
  <si>
    <t>0.3752329349517822</t>
  </si>
  <si>
    <t>277.6770899346505</t>
  </si>
  <si>
    <t>0.22254043637138432</t>
  </si>
  <si>
    <t>0.16296032071113586</t>
  </si>
  <si>
    <t>0.5044663763903843</t>
  </si>
  <si>
    <t>0.462016965481912</t>
  </si>
  <si>
    <t>0.30434782608695654</t>
  </si>
  <si>
    <t>0.5731900930404663</t>
  </si>
  <si>
    <t>0.4812941200340103</t>
  </si>
  <si>
    <t>0.592298493086844</t>
  </si>
  <si>
    <t>0.5789514183998108</t>
  </si>
  <si>
    <t>0.5880720582469093</t>
  </si>
  <si>
    <t>0.166147370992234</t>
  </si>
  <si>
    <t>0.2592592592592593</t>
  </si>
  <si>
    <t>0.7168847322463989</t>
  </si>
  <si>
    <t>0.7107569932466531</t>
  </si>
  <si>
    <t>0.608297665432541</t>
  </si>
  <si>
    <t>0.72</t>
  </si>
  <si>
    <t>0.7525286078453064</t>
  </si>
  <si>
    <t>0.03269587680640296</t>
  </si>
  <si>
    <t>0.164493363487354</t>
  </si>
  <si>
    <t>0.045454545454545414</t>
  </si>
  <si>
    <t>0.07464166730642319</t>
  </si>
  <si>
    <t>0.6104107238197163</t>
  </si>
  <si>
    <t>0.359652377495185</t>
  </si>
  <si>
    <t>0.6568638682365417</t>
  </si>
  <si>
    <t>0.8195367229494553</t>
  </si>
  <si>
    <t>0.29349438022224916</t>
  </si>
  <si>
    <t>0.43026756690410006</t>
  </si>
  <si>
    <t>0.504866805457528</t>
  </si>
  <si>
    <t>0.2222222222222222</t>
  </si>
  <si>
    <t>0.4111034870147705</t>
  </si>
  <si>
    <t>58.936652295195564</t>
  </si>
  <si>
    <t>0.18739723120010843</t>
  </si>
  <si>
    <t>0.996469217559328</t>
  </si>
  <si>
    <t>0.24051350355148315</t>
  </si>
  <si>
    <t>9.880970553985561</t>
  </si>
  <si>
    <t>0.5732304228462994</t>
  </si>
  <si>
    <t>4.0978034168803745e-05</t>
  </si>
  <si>
    <t>0.0236793251756642</t>
  </si>
  <si>
    <t>0.17957735061645508</t>
  </si>
  <si>
    <t>0.8083011605407064</t>
  </si>
  <si>
    <t>0.16345302181299</t>
  </si>
  <si>
    <t>0.8061882853507996</t>
  </si>
  <si>
    <t>0.028509900074048966</t>
  </si>
  <si>
    <t>0.234856754179786</t>
  </si>
  <si>
    <t>0.07190635055303574</t>
  </si>
  <si>
    <t>0.6642452488585623</t>
  </si>
  <si>
    <t>0.461704674576319</t>
  </si>
  <si>
    <t>0.5909090909090908</t>
  </si>
  <si>
    <t>0.6309260129928589</t>
  </si>
  <si>
    <t>0.6563743520524493</t>
  </si>
  <si>
    <t>0.64222914081188</t>
  </si>
  <si>
    <t>0.5652173913043479</t>
  </si>
  <si>
    <t>0.6575570106506348</t>
  </si>
  <si>
    <t>0.043145634371857144</t>
  </si>
  <si>
    <t>0.590812289958402</t>
  </si>
  <si>
    <t>0.06870079040527344</t>
  </si>
  <si>
    <t>7.45417895793149</t>
  </si>
  <si>
    <t>0.2645535303321904</t>
  </si>
  <si>
    <t>0.0005287555301761726</t>
  </si>
  <si>
    <t>0.638521078040259</t>
  </si>
  <si>
    <t>0.1071428571428571</t>
  </si>
  <si>
    <t>0.3531360626220703</t>
  </si>
  <si>
    <t>4.440892098500627e-16</t>
  </si>
  <si>
    <t>0.42974520081421663</t>
  </si>
  <si>
    <t>0.9999999999999994</t>
  </si>
  <si>
    <t>0.640717341868633</t>
  </si>
  <si>
    <t>0.12</t>
  </si>
  <si>
    <t>0.5421921610832214</t>
  </si>
  <si>
    <t>0.8662322291211033</t>
  </si>
  <si>
    <t>0.145651880776866</t>
  </si>
  <si>
    <t>0.31128770112991333</t>
  </si>
  <si>
    <t>207.37350087317662</t>
  </si>
  <si>
    <t>0.922615471146422</t>
  </si>
  <si>
    <t>0.643517956774139</t>
  </si>
  <si>
    <t>0.004364744294434786</t>
  </si>
  <si>
    <t>0.8353463275305414</t>
  </si>
  <si>
    <t>0.255437590614816</t>
  </si>
  <si>
    <t>0.4520699083805084</t>
  </si>
  <si>
    <t>0.8793624545400954</t>
  </si>
  <si>
    <t>0.189365496496641</t>
  </si>
  <si>
    <t>0.3391316831111908</t>
  </si>
  <si>
    <t>0.2017269979334757</t>
  </si>
  <si>
    <t>0.356390887500833</t>
  </si>
  <si>
    <t>0.09624066203832626</t>
  </si>
  <si>
    <t>0.5307130060118621</t>
  </si>
  <si>
    <t>0.310877629410592</t>
  </si>
  <si>
    <t>0.5925925925925926</t>
  </si>
  <si>
    <t>0.6325660347938538</t>
  </si>
  <si>
    <t>18.703728685282154</t>
  </si>
  <si>
    <t>0.397110669696786</t>
  </si>
  <si>
    <t>5.9411473518622415e-09</t>
  </si>
  <si>
    <t>0.0913328796383258</t>
  </si>
  <si>
    <t>0.114661805331707</t>
  </si>
  <si>
    <t>0.0001917002182320049</t>
  </si>
  <si>
    <t>0.615005038263905</t>
  </si>
  <si>
    <t>0.02107032760977745</t>
  </si>
  <si>
    <t>5.196648635430915e-08</t>
  </si>
  <si>
    <t>0.21999480051273024</t>
  </si>
  <si>
    <t>0.9999999382825062</t>
  </si>
  <si>
    <t>0.63529243078938</t>
  </si>
  <si>
    <t>0.5300988554954529</t>
  </si>
  <si>
    <t>0.002898677192296528</t>
  </si>
  <si>
    <t>0.622374307765325</t>
  </si>
  <si>
    <t>0.047325242310762405</t>
  </si>
  <si>
    <t>0.5884641712895136</t>
  </si>
  <si>
    <t>0.494901072049929</t>
  </si>
  <si>
    <t>0.3913043478260869</t>
  </si>
  <si>
    <t>0.7063652873039246</t>
  </si>
  <si>
    <t>0.4164347602708044</t>
  </si>
  <si>
    <t>0.632259892620614</t>
  </si>
  <si>
    <t>0.47324317693710327</t>
  </si>
  <si>
    <t>0.3795332529125157</t>
  </si>
  <si>
    <t>0.544424462116486</t>
  </si>
  <si>
    <t>0.6185687184333801</t>
  </si>
  <si>
    <t>494.97226238929886</t>
  </si>
  <si>
    <t>0.13348204987928436</t>
  </si>
  <si>
    <t>0.295501142812123</t>
  </si>
  <si>
    <t>0.09736679494380951</t>
  </si>
  <si>
    <t>0.013073855278579054</t>
  </si>
  <si>
    <t>0.5914347796788342</t>
  </si>
  <si>
    <t>0.9850369549993401</t>
  </si>
  <si>
    <t>0.603777379391973</t>
  </si>
  <si>
    <t>0.3891429901123047</t>
  </si>
  <si>
    <t>158.56681542674406</t>
  </si>
  <si>
    <t>0.3521354873802567</t>
  </si>
  <si>
    <t>0.605830106049925</t>
  </si>
  <si>
    <t>0.1898566484451294</t>
  </si>
  <si>
    <t>0.1532195460303184</t>
  </si>
  <si>
    <t>0.639368865998847</t>
  </si>
  <si>
    <t>0.13636363636363635</t>
  </si>
  <si>
    <t>0.04539242759346962</t>
  </si>
  <si>
    <t>2.0809287731868604e-08</t>
  </si>
  <si>
    <t>0.7112674397551346</t>
  </si>
  <si>
    <t>0.9999999703039013</t>
  </si>
  <si>
    <t>0.63179983625708</t>
  </si>
  <si>
    <t>0.1828751564025879</t>
  </si>
  <si>
    <t>0.7215250822877264</t>
  </si>
  <si>
    <t>0.134993384851905</t>
  </si>
  <si>
    <t>0.7777777777777778</t>
  </si>
  <si>
    <t>0.7284249067306519</t>
  </si>
  <si>
    <t>0.9881024598214515</t>
  </si>
  <si>
    <t>0.542961523413001</t>
  </si>
  <si>
    <t>0.5274006724357605</t>
  </si>
  <si>
    <t>0.8417317579495802</t>
  </si>
  <si>
    <t>0.578380680524674</t>
  </si>
  <si>
    <t>0.88</t>
  </si>
  <si>
    <t>0.8359857201576233</t>
  </si>
  <si>
    <t>658.8001889426395</t>
  </si>
  <si>
    <t>0.10222316349967708</t>
  </si>
  <si>
    <t>0.579274972565107</t>
  </si>
  <si>
    <t>0.12248149514198303</t>
  </si>
  <si>
    <t>404.0025010739938</t>
  </si>
  <si>
    <t>0.2943899426578207</t>
  </si>
  <si>
    <t>0.614090896324609</t>
  </si>
  <si>
    <t>0.1846458613872528</t>
  </si>
  <si>
    <t>0.7717465729309154</t>
  </si>
  <si>
    <t>0.588399560924272</t>
  </si>
  <si>
    <t>0.7439863085746765</t>
  </si>
  <si>
    <t>0.6149016559031963</t>
  </si>
  <si>
    <t>0.596440803713501</t>
  </si>
  <si>
    <t>0.4782608695652174</t>
  </si>
  <si>
    <t>0.6087731719017029</t>
  </si>
  <si>
    <t>142.70548012343838</t>
  </si>
  <si>
    <t>0.2095083275825661</t>
  </si>
  <si>
    <t>0.115178931266827</t>
  </si>
  <si>
    <t>0.22006414830684662</t>
  </si>
  <si>
    <t>50.96462727326705</t>
  </si>
  <si>
    <t>0.4496074121110456</t>
  </si>
  <si>
    <t>0.549794597423965</t>
  </si>
  <si>
    <t>0.2951793968677521</t>
  </si>
  <si>
    <t>0.849747338850578</t>
  </si>
  <si>
    <t>0.0224593990992896</t>
  </si>
  <si>
    <t>0.5024385452270508</t>
  </si>
  <si>
    <t>536.0483805350599</t>
  </si>
  <si>
    <t>0.23247139228669567</t>
  </si>
  <si>
    <t>0.628316742275465</t>
  </si>
  <si>
    <t>0.12260752171278</t>
  </si>
  <si>
    <t>392.50667490063506</t>
  </si>
  <si>
    <t>0.1844873758347647</t>
  </si>
  <si>
    <t>0.346716901820137</t>
  </si>
  <si>
    <t>0.12506942451000214</t>
  </si>
  <si>
    <t>87.72777756139573</t>
  </si>
  <si>
    <t>0.40655209466739917</t>
  </si>
  <si>
    <t>0.312653157118926</t>
  </si>
  <si>
    <t>0.26344072818756104</t>
  </si>
  <si>
    <t>0.05413810497032445</t>
  </si>
  <si>
    <t>0.461448553990731</t>
  </si>
  <si>
    <t>0.014217632822692394</t>
  </si>
  <si>
    <t>0.6886634706283523</t>
  </si>
  <si>
    <t>0.7784069065328988</t>
  </si>
  <si>
    <t>0.47594619929855764</t>
  </si>
  <si>
    <t>0.0008122034434917</t>
  </si>
  <si>
    <t>0.10988867282867432</t>
  </si>
  <si>
    <t>21.94949904989357</t>
  </si>
  <si>
    <t>0.5308953039231217</t>
  </si>
  <si>
    <t>2.2361268392501188e-10</t>
  </si>
  <si>
    <t>0.577459865829483</t>
  </si>
  <si>
    <t>0.31113845109939575</t>
  </si>
  <si>
    <t>0.7836971725079395</t>
  </si>
  <si>
    <t>0.0232153590160902</t>
  </si>
  <si>
    <t>0.5576876401901245</t>
  </si>
  <si>
    <t>245.4113903467986</t>
  </si>
  <si>
    <t>0.09546720980744061</t>
  </si>
  <si>
    <t>0.365983486394925</t>
  </si>
  <si>
    <t>0.14389528334140778</t>
  </si>
  <si>
    <t>0.9474575505901007</t>
  </si>
  <si>
    <t>0.362333030651941</t>
  </si>
  <si>
    <t>0.27913641929626465</t>
  </si>
  <si>
    <t>4.881380200861951e-09</t>
  </si>
  <si>
    <t>0.4051784480323347</t>
  </si>
  <si>
    <t>0.9999999938931142</t>
  </si>
  <si>
    <t>0.0113873080622369</t>
  </si>
  <si>
    <t>0.47070226073265076</t>
  </si>
  <si>
    <t>1.6490189402157138</t>
  </si>
  <si>
    <t>0.35432813330270385</t>
  </si>
  <si>
    <t>0.18410433377759228</t>
  </si>
  <si>
    <t>0.444733509445998</t>
  </si>
  <si>
    <t>0.21739130434782605</t>
  </si>
  <si>
    <t>0.41249164938926697</t>
  </si>
  <si>
    <t>0.5010416112980829</t>
  </si>
  <si>
    <t>0.0321113045993287</t>
  </si>
  <si>
    <t>0.5060265064239502</t>
  </si>
  <si>
    <t>11.42709484652459</t>
  </si>
  <si>
    <t>0.5416779077758949</t>
  </si>
  <si>
    <t>8.984082225715895e-06</t>
  </si>
  <si>
    <t>0.242221056206183</t>
  </si>
  <si>
    <t>0.21209220588207245</t>
  </si>
  <si>
    <t>23.5332347921047</t>
  </si>
  <si>
    <t>0.9916817339264042</t>
  </si>
  <si>
    <t>2.4454882563418323e-12</t>
  </si>
  <si>
    <t>0.199908932293751</t>
  </si>
  <si>
    <t>0.004178838338702917</t>
  </si>
  <si>
    <t>0.9160208310298186</t>
  </si>
  <si>
    <t>0.39756834492556326</t>
  </si>
  <si>
    <t>0.3838148746101413</t>
  </si>
  <si>
    <t>0.0611377594904861</t>
  </si>
  <si>
    <t>0.40740740740740744</t>
  </si>
  <si>
    <t>0.39590126276016235</t>
  </si>
  <si>
    <t>0.6272786665882493</t>
  </si>
  <si>
    <t>0.0149614536705768</t>
  </si>
  <si>
    <t>0.5502447485923767</t>
  </si>
  <si>
    <t>0.8787923490577544</t>
  </si>
  <si>
    <t>0.63931073678049</t>
  </si>
  <si>
    <t>0.8695652173913043</t>
  </si>
  <si>
    <t>0.803950846195221</t>
  </si>
  <si>
    <t>0.016948676126123385</t>
  </si>
  <si>
    <t>0.619482981421697</t>
  </si>
  <si>
    <t>0.040000000000000036</t>
  </si>
  <si>
    <t>0.009131362661719322</t>
  </si>
  <si>
    <t>283.2080431794002</t>
  </si>
  <si>
    <t>0.8449963546997636</t>
  </si>
  <si>
    <t>0.472715416172608</t>
  </si>
  <si>
    <t>0.011621071957051754</t>
  </si>
  <si>
    <t>1.9330428061392033e-07</t>
  </si>
  <si>
    <t>0.665020847893631</t>
  </si>
  <si>
    <t>0.9999997453900097</t>
  </si>
  <si>
    <t>0.623633913604732</t>
  </si>
  <si>
    <t>0.6296296296296297</t>
  </si>
  <si>
    <t>0.5132614970207214</t>
  </si>
  <si>
    <t>0.8771067844754801</t>
  </si>
  <si>
    <t>0.261776663453775</t>
  </si>
  <si>
    <t>0.8260869565217391</t>
  </si>
  <si>
    <t>0.7743219137191772</t>
  </si>
  <si>
    <t>0.2804356583817743</t>
  </si>
  <si>
    <t>0.643337506961663</t>
  </si>
  <si>
    <t>0.14814814814814814</t>
  </si>
  <si>
    <t>0.07655547559261322</t>
  </si>
  <si>
    <t>310.44002197573826</t>
  </si>
  <si>
    <t>0.8312431200988131</t>
  </si>
  <si>
    <t>0.406727190082461</t>
  </si>
  <si>
    <t>0.01154030580073595</t>
  </si>
  <si>
    <t>0.14211724187000485</t>
  </si>
  <si>
    <t>0.527730396492404</t>
  </si>
  <si>
    <t>0.01365165039896965</t>
  </si>
  <si>
    <t>234.20759953734984</t>
  </si>
  <si>
    <t>0.49268115452348016</t>
  </si>
  <si>
    <t>0.0310221795763917</t>
  </si>
  <si>
    <t>0.26086956521739135</t>
  </si>
  <si>
    <t>0.08641631156206131</t>
  </si>
  <si>
    <t>0.4284646734953099</t>
  </si>
  <si>
    <t>0.7156086529050625</t>
  </si>
  <si>
    <t>0.6315045825131701</t>
  </si>
  <si>
    <t>0.232039980267056</t>
  </si>
  <si>
    <t>0.14614719152450562</t>
  </si>
  <si>
    <t>4.630704800445814</t>
  </si>
  <si>
    <t>0.7657475869734708</t>
  </si>
  <si>
    <t>0.00826747043120224</t>
  </si>
  <si>
    <t>0.545366024939586</t>
  </si>
  <si>
    <t>0.11642934381961823</t>
  </si>
  <si>
    <t>132.7519205969595</t>
  </si>
  <si>
    <t>0.9488086101260281</t>
  </si>
  <si>
    <t>0.600468058482268</t>
  </si>
  <si>
    <t>0.0023126876913011074</t>
  </si>
  <si>
    <t>s</t>
  </si>
  <si>
    <t>t</t>
  </si>
  <si>
    <t>w</t>
  </si>
  <si>
    <t>g</t>
  </si>
  <si>
    <t>smallest weight</t>
  </si>
  <si>
    <t>Column2</t>
  </si>
  <si>
    <t>Column3</t>
  </si>
  <si>
    <t>Column4</t>
  </si>
  <si>
    <t>p-vvalue</t>
  </si>
  <si>
    <t>source node id</t>
  </si>
  <si>
    <t>target node id</t>
  </si>
  <si>
    <t>p-value</t>
  </si>
  <si>
    <t>Los angelos</t>
  </si>
  <si>
    <t>average</t>
  </si>
  <si>
    <t>max</t>
  </si>
  <si>
    <t>min</t>
  </si>
  <si>
    <t>median</t>
  </si>
  <si>
    <t>Column5</t>
  </si>
  <si>
    <t>Normalized Weight</t>
  </si>
  <si>
    <t>degree=27</t>
  </si>
  <si>
    <t>Los Angelas</t>
  </si>
  <si>
    <t>source2</t>
  </si>
  <si>
    <t>target2</t>
  </si>
  <si>
    <t>source-type</t>
  </si>
  <si>
    <t>target-type</t>
  </si>
  <si>
    <t>source-tyoe</t>
  </si>
  <si>
    <t>Edge-Type</t>
  </si>
  <si>
    <t>Filter</t>
  </si>
  <si>
    <t>Noise Corrected</t>
  </si>
  <si>
    <t>Marginal Likelihood Filter</t>
  </si>
  <si>
    <t>Global Threshold Filter</t>
  </si>
  <si>
    <t>% Hubs</t>
  </si>
  <si>
    <t>% Focus</t>
  </si>
  <si>
    <t>% Spokes</t>
  </si>
  <si>
    <t>% Hub-Hub</t>
  </si>
  <si>
    <t>% Hub-Focus</t>
  </si>
  <si>
    <t>% Hub-Spoke</t>
  </si>
  <si>
    <t>% Focus-Focus</t>
  </si>
  <si>
    <t>% Focus-Spoke</t>
  </si>
  <si>
    <t>% Nodes</t>
  </si>
  <si>
    <t># Components</t>
  </si>
  <si>
    <t>% LCC</t>
  </si>
  <si>
    <t>Node Type</t>
  </si>
  <si>
    <t>Count</t>
  </si>
  <si>
    <t>Edge Type</t>
  </si>
  <si>
    <t>Hub</t>
  </si>
  <si>
    <t>Focus</t>
  </si>
  <si>
    <t>Spoke</t>
  </si>
  <si>
    <t>Hub-Hub</t>
  </si>
  <si>
    <t>Hub-Focus</t>
  </si>
  <si>
    <t>Hub-Spoke</t>
  </si>
  <si>
    <t>Focus-Focus</t>
  </si>
  <si>
    <t>Focus-Spoke</t>
  </si>
  <si>
    <t>Spoke-Spoke</t>
  </si>
  <si>
    <t>Min Weight</t>
  </si>
  <si>
    <t>Max Weight</t>
  </si>
  <si>
    <t>min weighted degree</t>
  </si>
  <si>
    <t>max weighted degree</t>
  </si>
  <si>
    <t>% 2-Component</t>
  </si>
  <si>
    <t>% 3-Component</t>
  </si>
  <si>
    <t>% 4-Component</t>
  </si>
  <si>
    <t>% 5-Component</t>
  </si>
  <si>
    <t>% 6-Component</t>
  </si>
  <si>
    <t>% 7-Component</t>
  </si>
  <si>
    <t>% 8-Component</t>
  </si>
  <si>
    <t>% 9-Component</t>
  </si>
  <si>
    <t>2004-8269</t>
  </si>
  <si>
    <t>2645-7566</t>
  </si>
  <si>
    <t>1390-4081</t>
  </si>
  <si>
    <t>1896-3164</t>
  </si>
  <si>
    <t>2130-8269</t>
  </si>
  <si>
    <t>2605-7566</t>
  </si>
  <si>
    <t>2139-4081</t>
  </si>
  <si>
    <t>210-5468</t>
  </si>
  <si>
    <t>403-809</t>
  </si>
  <si>
    <t>123-1358</t>
  </si>
  <si>
    <t>MIN - MAX WEIGHTS</t>
  </si>
  <si>
    <t>% EDGE TYPE</t>
  </si>
  <si>
    <t>% NODES PRESERVED AND THE SIZE OF THE CPOMPONENTS IN PERCENTAGE</t>
  </si>
  <si>
    <t>1691-4081</t>
  </si>
  <si>
    <t>829-4506</t>
  </si>
  <si>
    <t>1691-2252</t>
  </si>
  <si>
    <t>927-4778</t>
  </si>
  <si>
    <t>1005-8269</t>
  </si>
  <si>
    <t>109-4081</t>
  </si>
  <si>
    <t>2659-8269</t>
  </si>
  <si>
    <t>7-96778</t>
  </si>
  <si>
    <t>926-3164</t>
  </si>
  <si>
    <t xml:space="preserve">% Node Types Preserved </t>
  </si>
  <si>
    <t xml:space="preserve">Edge Types Count and MIN - MAX WEIGHTS </t>
  </si>
  <si>
    <t xml:space="preserve">Nodes Types Count and MIN - MAX WEIGHTED DEGREE </t>
  </si>
  <si>
    <t>MIN - MAX WEIGHTED DEGREE</t>
  </si>
  <si>
    <t>Hubs</t>
  </si>
  <si>
    <t>Spokes</t>
  </si>
  <si>
    <t>source-wd</t>
  </si>
  <si>
    <t>target-wd</t>
  </si>
  <si>
    <t>10697 - 44350</t>
  </si>
  <si>
    <t>22088 - 26074</t>
  </si>
  <si>
    <t>5341 - 14467</t>
  </si>
  <si>
    <t>6181 - 14467</t>
  </si>
  <si>
    <t>9094 - 14467</t>
  </si>
  <si>
    <t>6688 - 10215</t>
  </si>
  <si>
    <t>22882 - 26074</t>
  </si>
  <si>
    <t>5341 - 11263</t>
  </si>
  <si>
    <t>109 - 14467</t>
  </si>
  <si>
    <t>7 - 14467</t>
  </si>
  <si>
    <t>Strength</t>
  </si>
  <si>
    <t>Weakness</t>
  </si>
  <si>
    <t>% Weights</t>
  </si>
  <si>
    <t>weights</t>
  </si>
  <si>
    <t>Preserve the highest possible fraction of weights
Retain a large connected component</t>
  </si>
  <si>
    <t>Preserve only 60% of nodes
Ignores edges with low weights
Prioritize Hub and Focus airports</t>
  </si>
  <si>
    <t>Preserve only 67% of nodes
Biased to edges with high weights</t>
  </si>
  <si>
    <t>Preserve only 58% of nodes
Preserve very low fraction of weights(7.6%)
Biased towards edges with low weight?</t>
  </si>
  <si>
    <t>Same as the Global Threshold Filter</t>
  </si>
  <si>
    <t>Preserve a very high fraction of weights
Retain a large connected component
Preserve almost half of the spoke airports</t>
  </si>
  <si>
    <t>Preserve only 67% of nodes</t>
  </si>
  <si>
    <t xml:space="preserve">Preserve a very high fraction of weights
Retain a large connected component
Prioritizie edges between hub-spoke and focus-spoke edges resulting in preserving more hubs and spoke airports </t>
  </si>
  <si>
    <t>Noise Corrected Filter</t>
  </si>
  <si>
    <t>Preserves only 20% of the weights
Don't retain a large connected component</t>
  </si>
  <si>
    <t>Retain a large connected component
Preserve all types of edges equally</t>
  </si>
  <si>
    <t>Preserve 83% of the nodes
Preserve 30% of the weights
Prioritize hub-spoke edges</t>
  </si>
  <si>
    <t>Don't retain a large connected component
Ignores focus-spoke edges</t>
  </si>
  <si>
    <t>Preserve 88% of the nodes
Prioritize hub-spoke and focus-spoke edges</t>
  </si>
  <si>
    <t>Don't retain a large connected component
Preserve 26% of the weights</t>
  </si>
  <si>
    <t>Preserve a 70% of the nodes
Preserve all types of edges equally
Preserve almost all the hub and half of the spoke airports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</si>
</sst>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E+00"/>
  </numFmts>
  <fonts count="8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0" fillId="2" borderId="0" xfId="0" applyFill="1" applyAlignment="1">
      <alignment horizontal="center" vertical="center"/>
    </xf>
    <xf numFmtId="0" fontId="0" fillId="0" borderId="3" xfId="0" applyFont="1" applyBorder="1"/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0" borderId="2" xfId="0" applyFont="1" applyBorder="1"/>
    <xf numFmtId="0" fontId="3" fillId="5" borderId="0" xfId="0" applyFont="1" applyFill="1" applyBorder="1"/>
    <xf numFmtId="0" fontId="0" fillId="0" borderId="4" xfId="0" applyFont="1" applyBorder="1"/>
    <xf numFmtId="0" fontId="0" fillId="0" borderId="0" xfId="0" applyFont="1" applyBorder="1"/>
    <xf numFmtId="0" fontId="0" fillId="3" borderId="0" xfId="0" applyFill="1"/>
    <xf numFmtId="0" fontId="0" fillId="0" borderId="0" xfId="0" applyFill="1"/>
    <xf numFmtId="0" fontId="0" fillId="0" borderId="0" xfId="0" applyNumberFormat="1" applyAlignment="1">
      <alignment horizontal="center" vertical="center"/>
    </xf>
    <xf numFmtId="0" fontId="0" fillId="3" borderId="2" xfId="0" applyFont="1" applyFill="1" applyBorder="1"/>
    <xf numFmtId="0" fontId="0" fillId="0" borderId="9" xfId="0" applyFont="1" applyBorder="1"/>
    <xf numFmtId="0" fontId="0" fillId="4" borderId="0" xfId="0" applyFill="1"/>
    <xf numFmtId="0" fontId="0" fillId="4" borderId="2" xfId="0" applyFont="1" applyFill="1" applyBorder="1"/>
    <xf numFmtId="0" fontId="0" fillId="6" borderId="0" xfId="0" applyFill="1"/>
    <xf numFmtId="0" fontId="0" fillId="7" borderId="0" xfId="0" applyFill="1"/>
    <xf numFmtId="0" fontId="0" fillId="0" borderId="8" xfId="0" applyFont="1" applyFill="1" applyBorder="1"/>
    <xf numFmtId="0" fontId="0" fillId="0" borderId="0" xfId="0" applyFont="1" applyFill="1" applyBorder="1"/>
    <xf numFmtId="0" fontId="0" fillId="0" borderId="1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4" borderId="7" xfId="0" applyFont="1" applyFill="1" applyBorder="1"/>
    <xf numFmtId="0" fontId="0" fillId="4" borderId="3" xfId="0" applyFont="1" applyFill="1" applyBorder="1"/>
    <xf numFmtId="0" fontId="0" fillId="8" borderId="0" xfId="0" applyFont="1" applyFill="1" applyBorder="1"/>
    <xf numFmtId="0" fontId="0" fillId="4" borderId="0" xfId="0" applyFont="1" applyFill="1" applyBorder="1"/>
    <xf numFmtId="0" fontId="0" fillId="3" borderId="2" xfId="0" applyFont="1" applyFill="1" applyBorder="1" applyAlignment="1">
      <alignment horizontal="center" vertical="center"/>
    </xf>
    <xf numFmtId="2" fontId="0" fillId="0" borderId="0" xfId="0" applyNumberFormat="1" applyFill="1"/>
    <xf numFmtId="2" fontId="0" fillId="0" borderId="2" xfId="0" applyNumberFormat="1" applyFont="1" applyBorder="1"/>
    <xf numFmtId="0" fontId="4" fillId="0" borderId="2" xfId="0" applyFont="1" applyFill="1" applyBorder="1"/>
    <xf numFmtId="0" fontId="0" fillId="9" borderId="0" xfId="0" applyFill="1"/>
    <xf numFmtId="11" fontId="0" fillId="0" borderId="0" xfId="0" applyNumberFormat="1"/>
    <xf numFmtId="164" fontId="0" fillId="0" borderId="0" xfId="0" applyNumberFormat="1"/>
    <xf numFmtId="11" fontId="0" fillId="0" borderId="3" xfId="0" applyNumberFormat="1" applyFont="1" applyBorder="1"/>
    <xf numFmtId="0" fontId="0" fillId="0" borderId="1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/>
    </xf>
    <xf numFmtId="164" fontId="3" fillId="5" borderId="0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0" fontId="0" fillId="10" borderId="2" xfId="0" applyFont="1" applyFill="1" applyBorder="1" applyAlignment="1">
      <alignment horizontal="center" vertical="center"/>
    </xf>
    <xf numFmtId="164" fontId="0" fillId="10" borderId="2" xfId="0" applyNumberFormat="1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164" fontId="0" fillId="10" borderId="3" xfId="0" applyNumberFormat="1" applyFont="1" applyFill="1" applyBorder="1" applyAlignment="1">
      <alignment horizontal="center" vertical="center"/>
    </xf>
    <xf numFmtId="0" fontId="0" fillId="10" borderId="0" xfId="0" applyFont="1" applyFill="1" applyBorder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11" fontId="3" fillId="5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11" fontId="0" fillId="0" borderId="2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1" fontId="0" fillId="10" borderId="2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6" xfId="0" quotePrefix="1" applyFont="1" applyFill="1" applyBorder="1" applyAlignment="1">
      <alignment horizontal="center" vertical="center"/>
    </xf>
    <xf numFmtId="2" fontId="0" fillId="0" borderId="17" xfId="0" applyNumberFormat="1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2" fontId="0" fillId="6" borderId="6" xfId="0" applyNumberFormat="1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2" fontId="0" fillId="10" borderId="6" xfId="0" applyNumberFormat="1" applyFont="1" applyFill="1" applyBorder="1" applyAlignment="1">
      <alignment horizontal="center" vertical="center"/>
    </xf>
    <xf numFmtId="0" fontId="0" fillId="6" borderId="6" xfId="0" applyNumberFormat="1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2" fontId="0" fillId="6" borderId="17" xfId="0" applyNumberFormat="1" applyFont="1" applyFill="1" applyBorder="1" applyAlignment="1">
      <alignment horizontal="center" vertical="center"/>
    </xf>
    <xf numFmtId="2" fontId="2" fillId="6" borderId="6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13" borderId="6" xfId="0" applyFont="1" applyFill="1" applyBorder="1" applyAlignment="1">
      <alignment horizontal="center" vertical="center"/>
    </xf>
    <xf numFmtId="2" fontId="0" fillId="13" borderId="6" xfId="0" applyNumberFormat="1" applyFont="1" applyFill="1" applyBorder="1" applyAlignment="1">
      <alignment horizontal="center" vertical="center"/>
    </xf>
    <xf numFmtId="0" fontId="0" fillId="13" borderId="6" xfId="0" applyNumberFormat="1" applyFont="1" applyFill="1" applyBorder="1" applyAlignment="1">
      <alignment horizontal="center" vertical="center"/>
    </xf>
    <xf numFmtId="0" fontId="0" fillId="13" borderId="2" xfId="0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1" fontId="0" fillId="0" borderId="2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NumberFormat="1"/>
    <xf numFmtId="0" fontId="3" fillId="5" borderId="4" xfId="0" applyFont="1" applyFill="1" applyBorder="1" applyAlignment="1">
      <alignment horizontal="center" vertical="center"/>
    </xf>
    <xf numFmtId="2" fontId="0" fillId="0" borderId="18" xfId="0" applyNumberFormat="1" applyFont="1" applyFill="1" applyBorder="1" applyAlignment="1">
      <alignment horizontal="center" vertical="center"/>
    </xf>
    <xf numFmtId="2" fontId="0" fillId="0" borderId="2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 wrapText="1"/>
    </xf>
    <xf numFmtId="2" fontId="0" fillId="0" borderId="11" xfId="0" applyNumberFormat="1" applyFont="1" applyFill="1" applyBorder="1" applyAlignment="1">
      <alignment horizontal="center" vertical="center"/>
    </xf>
    <xf numFmtId="2" fontId="0" fillId="0" borderId="13" xfId="0" applyNumberFormat="1" applyFont="1" applyFill="1" applyBorder="1" applyAlignment="1">
      <alignment horizontal="center" vertical="center"/>
    </xf>
    <xf numFmtId="2" fontId="0" fillId="6" borderId="13" xfId="0" applyNumberFormat="1" applyFont="1" applyFill="1" applyBorder="1" applyAlignment="1">
      <alignment horizontal="center" vertical="center"/>
    </xf>
    <xf numFmtId="2" fontId="0" fillId="6" borderId="18" xfId="0" applyNumberFormat="1" applyFont="1" applyFill="1" applyBorder="1" applyAlignment="1">
      <alignment horizontal="center" vertical="center"/>
    </xf>
    <xf numFmtId="2" fontId="0" fillId="6" borderId="15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2" fontId="3" fillId="5" borderId="0" xfId="0" applyNumberFormat="1" applyFont="1" applyFill="1" applyBorder="1"/>
    <xf numFmtId="0" fontId="3" fillId="12" borderId="20" xfId="0" applyFont="1" applyFill="1" applyBorder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12" borderId="13" xfId="0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459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1"/>
        </top>
        <bottom/>
      </border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2" formatCode="0.00"/>
    </dxf>
    <dxf>
      <numFmt numFmtId="2" formatCode="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alignment horizontal="center" vertical="center" textRotation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0000000E+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0000000E+00"/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0000000E+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0000000E+00"/>
      <alignment horizontal="center" vertical="center" textRotation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vertical="center" textRotation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5" formatCode="0.00E+00"/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0000000E+0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0000000E+00"/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0000000E+0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0000000E+00"/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top style="thin">
          <color theme="1"/>
        </top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0000000E+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0000000E+00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</dxf>
    <dxf>
      <numFmt numFmtId="164" formatCode="0.0000000000E+00"/>
    </dxf>
    <dxf>
      <numFmt numFmtId="164" formatCode="0.0000000000E+00"/>
    </dxf>
    <dxf>
      <numFmt numFmtId="164" formatCode="0.0000000000E+00"/>
    </dxf>
    <dxf>
      <numFmt numFmtId="164" formatCode="0.0000000000E+00"/>
    </dxf>
    <dxf>
      <numFmt numFmtId="164" formatCode="0.0000000000E+00"/>
    </dxf>
    <dxf>
      <numFmt numFmtId="164" formatCode="0.0000000000E+00"/>
    </dxf>
    <dxf>
      <numFmt numFmtId="164" formatCode="0.0000000000E+00"/>
    </dxf>
    <dxf>
      <numFmt numFmtId="164" formatCode="0.0000000000E+00"/>
    </dxf>
    <dxf>
      <numFmt numFmtId="164" formatCode="0.0000000000E+00"/>
    </dxf>
    <dxf>
      <numFmt numFmtId="164" formatCode="0.0000000000E+00"/>
    </dxf>
    <dxf>
      <numFmt numFmtId="15" formatCode="0.00E+00"/>
    </dxf>
    <dxf>
      <numFmt numFmtId="15" formatCode="0.00E+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D2D1"/>
      <color rgb="FFFFB3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BA79437D-D273-D346-810F-3A114CC66095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0A92C511-EDF3-9F4D-A76D-847B98E391A5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BD4019A0-7E70-3A4A-9596-C54EDFA30434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4447231C-8CCF-2848-B0A3-927455F9FCC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8CF559D1-EF9F-E242-9DF8-A6F26B2928B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FA8C7FCA-F25C-8E42-B79A-F117937D448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/>
    <cx:plotArea>
      <cx:plotAreaRegion>
        <cx:series layoutId="clusteredColumn" uniqueId="{1E923E6D-6658-E348-9313-8E9FD31A335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215900</xdr:colOff>
      <xdr:row>188</xdr:row>
      <xdr:rowOff>165100</xdr:rowOff>
    </xdr:from>
    <xdr:to>
      <xdr:col>28</xdr:col>
      <xdr:colOff>469900</xdr:colOff>
      <xdr:row>203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8B4ED63-40A9-D080-01DC-E0CA2329BF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53800" y="38531800"/>
              <a:ext cx="8229600" cy="298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508000</xdr:colOff>
      <xdr:row>219</xdr:row>
      <xdr:rowOff>88900</xdr:rowOff>
    </xdr:from>
    <xdr:to>
      <xdr:col>28</xdr:col>
      <xdr:colOff>127000</xdr:colOff>
      <xdr:row>232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7DBE993-B041-AC18-3586-EDDDF53371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45900" y="44754800"/>
              <a:ext cx="75946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495300</xdr:colOff>
      <xdr:row>236</xdr:row>
      <xdr:rowOff>88900</xdr:rowOff>
    </xdr:from>
    <xdr:to>
      <xdr:col>28</xdr:col>
      <xdr:colOff>114300</xdr:colOff>
      <xdr:row>249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C8FB3E7-04D9-14C7-111F-E0E82F99C7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33200" y="48209200"/>
              <a:ext cx="75946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381000</xdr:colOff>
      <xdr:row>161</xdr:row>
      <xdr:rowOff>25400</xdr:rowOff>
    </xdr:from>
    <xdr:to>
      <xdr:col>28</xdr:col>
      <xdr:colOff>0</xdr:colOff>
      <xdr:row>174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1673A90-414E-C8EE-7650-A559637D2A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18900" y="32905700"/>
              <a:ext cx="75946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29</xdr:col>
      <xdr:colOff>165100</xdr:colOff>
      <xdr:row>8</xdr:row>
      <xdr:rowOff>12700</xdr:rowOff>
    </xdr:from>
    <xdr:to>
      <xdr:col>34</xdr:col>
      <xdr:colOff>609600</xdr:colOff>
      <xdr:row>21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DEB7BF3F-0F6F-AB61-34BC-55FA969330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104100" y="1803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546100</xdr:colOff>
      <xdr:row>389</xdr:row>
      <xdr:rowOff>177800</xdr:rowOff>
    </xdr:from>
    <xdr:to>
      <xdr:col>25</xdr:col>
      <xdr:colOff>444500</xdr:colOff>
      <xdr:row>403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E84E80B5-6725-FA56-1A6D-67245383BF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09500" y="79387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392</xdr:row>
      <xdr:rowOff>152400</xdr:rowOff>
    </xdr:from>
    <xdr:to>
      <xdr:col>12</xdr:col>
      <xdr:colOff>165100</xdr:colOff>
      <xdr:row>406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35377AFC-F06A-F871-6064-EED875DCB0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9971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C0BE253-22FA-344D-8CE2-4FA4F879F326}" name="Table21" displayName="Table21" ref="A1:D61" totalsRowShown="0" headerRowDxfId="458" dataDxfId="457">
  <autoFilter ref="A1:D61" xr:uid="{EC0BE253-22FA-344D-8CE2-4FA4F879F326}"/>
  <tableColumns count="4">
    <tableColumn id="1" xr3:uid="{3954441B-443E-B848-BDB4-B5A57F61F7DF}" name="Column1" dataDxfId="456"/>
    <tableColumn id="2" xr3:uid="{D9BDF2F9-A734-F74E-A8AA-DCFC5A5A3F16}" name="Airport" dataDxfId="455"/>
    <tableColumn id="4" xr3:uid="{F84DF26F-FE6F-804B-935C-55480F4AB55F}" name="Label" dataDxfId="454"/>
    <tableColumn id="3" xr3:uid="{2C85AB1C-6FAA-0B4B-8CC7-77254D8AD4AA}" name="Company" dataDxfId="453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4A08034-8247-F84A-9B3E-5C71C8A0CC35}" name="Table17" displayName="Table17" ref="AE1:AL32" totalsRowCount="1" headerRowDxfId="303" dataDxfId="302" tableBorderDxfId="301">
  <autoFilter ref="AE1:AL31" xr:uid="{F4A08034-8247-F84A-9B3E-5C71C8A0CC35}"/>
  <tableColumns count="8">
    <tableColumn id="1" xr3:uid="{9B8FF9EC-37F0-8F43-B3B1-73A151AF8DB7}" name="source2" dataDxfId="300" totalsRowDxfId="299"/>
    <tableColumn id="2" xr3:uid="{928A2561-30D0-7649-9A59-ACB3F5002BE0}" name="target2" dataDxfId="298" totalsRowDxfId="297"/>
    <tableColumn id="3" xr3:uid="{E01E9D45-F805-ED45-96E5-761759BECA98}" name="weight" totalsRowFunction="sum" dataDxfId="296" totalsRowDxfId="295"/>
    <tableColumn id="4" xr3:uid="{E8778A20-4723-B640-ADF7-2D016DCB49A6}" name="source-type" dataDxfId="294" totalsRowDxfId="293">
      <calculatedColumnFormula>IF(ISERROR(VLOOKUP(Table17[[#This Row],[source2]],Table22[Label],1,FALSE)),IF(ISERROR(VLOOKUP(Table17[[#This Row],[source2]],Table2210[Label],1,FALSE)),"SPOKE","FOCUS"),"HUB")</calculatedColumnFormula>
    </tableColumn>
    <tableColumn id="5" xr3:uid="{985080AA-23AF-D34B-B975-5470B3A687E3}" name="target-type" dataDxfId="292" totalsRowDxfId="291">
      <calculatedColumnFormula>IF(ISERROR(VLOOKUP(Table17[[#This Row],[target2]],Table22[Label],1,FALSE)),IF(ISERROR(VLOOKUP(Table17[[#This Row],[target2]],Table2210[Label],1,FALSE)),"SPOKE","FOCUS"),"HUB")</calculatedColumnFormula>
    </tableColumn>
    <tableColumn id="6" xr3:uid="{0D346A5B-F200-494D-9400-904322FF4A72}" name="Edge-Type" dataDxfId="290" totalsRowDxfId="289">
      <calculatedColumnFormula>IF(Table17[[#This Row],[source-type]]&lt;Table17[[#This Row],[target-type]],Table17[[#This Row],[target-type]]&amp;"-"&amp;Table17[[#This Row],[source-type]],Table17[[#This Row],[source-type]]&amp;"-"&amp;Table17[[#This Row],[target-type]])</calculatedColumnFormula>
    </tableColumn>
    <tableColumn id="7" xr3:uid="{256A5451-DA34-5646-B39C-69A39D74EB14}" name="source-wd" dataDxfId="288" totalsRowDxfId="287">
      <calculatedColumnFormula>IF(ISERROR(VLOOKUP(Table17[[#This Row],[source2]],Table22[[Label]:[Weighted Degree]],3,FALSE)),IF(ISERROR(VLOOKUP(Table17[[#This Row],[source2]],Table2210[[Label]:[Weighted Degree]],3,FALSE)),IF(ISERROR(VLOOKUP(Table17[[#This Row],[source2]],Table2214[[Label]:[Weighted Degree]],3,FALSE)),FALSE,VLOOKUP(Table17[[#This Row],[source2]],Table2214[[Label]:[Weighted Degree]],3,FALSE)),VLOOKUP(Table17[[#This Row],[source2]],Table2210[[Label]:[Weighted Degree]],3,FALSE)),VLOOKUP(Table17[[#This Row],[source2]],Table22[[Label]:[Weighted Degree]],3,FALSE))</calculatedColumnFormula>
    </tableColumn>
    <tableColumn id="8" xr3:uid="{EF10C6ED-DBEB-4345-AEE5-1DFE34A0AAF0}" name="target-wd" dataDxfId="286" totalsRowDxfId="285">
      <calculatedColumnFormula>IF(ISERROR(VLOOKUP(Table17[[#This Row],[target2]],Table22[[Label]:[Weighted Degree]],3,FALSE)),IF(ISERROR(VLOOKUP(Table17[[#This Row],[target2]],Table2210[[Label]:[Weighted Degree]],3,FALSE)),IF(ISERROR(VLOOKUP(Table17[[#This Row],[target2]],Table2214[[Label]:[Weighted Degree]],3,FALSE)),FALSE,VLOOKUP(Table17[[#This Row],[target2]],Table2214[[Label]:[Weighted Degree]],3,FALSE)),VLOOKUP(Table17[[#This Row],[target2]],Table2210[[Label]:[Weighted Degree]],3,FALSE)),VLOOKUP(Table17[[#This Row],[target2]],Table22[[Label]:[Weighted Degree]],3,FALSE))</calculatedColumnFormula>
    </tableColumn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F4D43B2-16B8-6C4B-9C07-CBAE86AEDA52}" name="Table29" displayName="Table29" ref="K35:S66" totalsRowCount="1" headerRowDxfId="284" dataDxfId="283" tableBorderDxfId="282">
  <autoFilter ref="K35:S65" xr:uid="{7F4D43B2-16B8-6C4B-9C07-CBAE86AEDA52}"/>
  <tableColumns count="9">
    <tableColumn id="1" xr3:uid="{BB41D827-FB5C-9744-9293-EF28B4911A8D}" name="source2" dataDxfId="281" totalsRowDxfId="280"/>
    <tableColumn id="2" xr3:uid="{F28D4494-C348-9845-A3F4-004E4BE2F09E}" name="target2" dataDxfId="279" totalsRowDxfId="278"/>
    <tableColumn id="3" xr3:uid="{3B11417F-BFB7-BD41-9E5A-68ADD9878883}" name="gloss_alpha" dataDxfId="277" totalsRowDxfId="276"/>
    <tableColumn id="4" xr3:uid="{5B2DFE47-1E0F-854E-8CB9-548B5FAFBE26}" name="weight" totalsRowFunction="sum" dataDxfId="275" totalsRowDxfId="274"/>
    <tableColumn id="5" xr3:uid="{2BE71FBD-E717-2D43-A045-29B7AC68E851}" name="source-type" dataDxfId="273" totalsRowDxfId="272">
      <calculatedColumnFormula>IF(ISERROR(VLOOKUP(Table29[[#This Row],[source2]],Table22[Label],1,FALSE)),IF(ISERROR(VLOOKUP(Table29[[#This Row],[source2]],Table2210[Label],1,FALSE)),"SPOKE","FOCUS"),"HUB")</calculatedColumnFormula>
    </tableColumn>
    <tableColumn id="6" xr3:uid="{74920A29-9102-B24F-8B13-377939645759}" name="target-type" dataDxfId="271" totalsRowDxfId="270">
      <calculatedColumnFormula>IF(ISERROR(VLOOKUP(Table29[[#This Row],[target2]],Table22[Label],1,FALSE)),IF(ISERROR(VLOOKUP(Table29[[#This Row],[target2]],Table2210[Label],1,FALSE)),"SPOKE","FOCUS"),"HUB")</calculatedColumnFormula>
    </tableColumn>
    <tableColumn id="7" xr3:uid="{5061FD0A-3A03-4843-88E4-911DCDE188CD}" name="Edge-Type" dataDxfId="269" totalsRowDxfId="268">
      <calculatedColumnFormula>IF(Table29[[#This Row],[source-type]]&lt;Table29[[#This Row],[target-type]],Table29[[#This Row],[target-type]]&amp;"-"&amp;Table29[[#This Row],[source-type]],Table29[[#This Row],[source-type]]&amp;"-"&amp;Table29[[#This Row],[target-type]])</calculatedColumnFormula>
    </tableColumn>
    <tableColumn id="8" xr3:uid="{4AD35821-E5BC-044B-B78D-53D2A636A446}" name="source-wd" dataDxfId="267" totalsRowDxfId="266">
      <calculatedColumnFormula>IF(ISERROR(VLOOKUP(Table29[[#This Row],[source2]],Table22[[Label]:[Weighted Degree]],3,FALSE)),IF(ISERROR(VLOOKUP(Table29[[#This Row],[source2]],Table2210[[Label]:[Weighted Degree]],3,FALSE)),IF(ISERROR(VLOOKUP(Table29[[#This Row],[source2]],Table2214[[Label]:[Weighted Degree]],3,FALSE)),FALSE,VLOOKUP(Table29[[#This Row],[source2]],Table2214[[Label]:[Weighted Degree]],3,FALSE)),VLOOKUP(Table29[[#This Row],[source2]],Table2210[[Label]:[Weighted Degree]],3,FALSE)),VLOOKUP(Table29[[#This Row],[source2]],Table22[[Label]:[Weighted Degree]],3,FALSE))</calculatedColumnFormula>
    </tableColumn>
    <tableColumn id="9" xr3:uid="{EAEC9C19-73CD-9242-B3C9-4D3810DFAD24}" name="target-wd" dataDxfId="265" totalsRowDxfId="264">
      <calculatedColumnFormula>IF(ISERROR(VLOOKUP(Table29[[#This Row],[target2]],Table22[[Label]:[Weighted Degree]],3,FALSE)),IF(ISERROR(VLOOKUP(Table29[[#This Row],[target2]],Table2210[[Label]:[Weighted Degree]],3,FALSE)),IF(ISERROR(VLOOKUP(Table29[[#This Row],[target2]],Table2214[[Label]:[Weighted Degree]],3,FALSE)),FALSE,VLOOKUP(Table29[[#This Row],[target2]],Table2214[[Label]:[Weighted Degree]],3,FALSE)),VLOOKUP(Table29[[#This Row],[target2]],Table2210[[Label]:[Weighted Degree]],3,FALSE)),VLOOKUP(Table29[[#This Row],[target2]],Table22[[Label]:[Weighted Degree]],3,FALSE))</calculatedColumnFormula>
    </tableColumn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F0E4B5AC-3964-CD46-85B6-9819A87B845F}" name="Table2932" displayName="Table2932" ref="U35:AC66" totalsRowCount="1" headerRowDxfId="263" dataDxfId="262" tableBorderDxfId="261">
  <autoFilter ref="U35:AC65" xr:uid="{F0E4B5AC-3964-CD46-85B6-9819A87B845F}"/>
  <tableColumns count="9">
    <tableColumn id="1" xr3:uid="{122A7F92-BD8F-AA4A-8870-16B5788D630F}" name="source" dataDxfId="260" totalsRowDxfId="259"/>
    <tableColumn id="2" xr3:uid="{39CF9C7D-C2A3-DF44-911F-32F7A904FAB7}" name="target" dataDxfId="258" totalsRowDxfId="257"/>
    <tableColumn id="3" xr3:uid="{5587EFF2-906A-524C-B9E3-33840653C60C}" name="lans_alpha" dataDxfId="256" totalsRowDxfId="255"/>
    <tableColumn id="4" xr3:uid="{F05B32CB-FEF0-0449-9DBD-A2C35C57F992}" name="weight" totalsRowFunction="sum" dataDxfId="254" totalsRowDxfId="253"/>
    <tableColumn id="5" xr3:uid="{B38D8DA0-B0F6-3346-A868-385F10F60ABD}" name="source-type" dataDxfId="252" totalsRowDxfId="251">
      <calculatedColumnFormula>IF(ISERROR(VLOOKUP(Table2932[[#This Row],[source]],Table22[Label],1,FALSE)),IF(ISERROR(VLOOKUP(Table2932[[#This Row],[source]],Table2210[Label],1,FALSE)),"SPOKE","FOCUS"),"HUB")</calculatedColumnFormula>
    </tableColumn>
    <tableColumn id="6" xr3:uid="{658270D8-BE00-F948-AFE5-3B9C5668F091}" name="target-type" dataDxfId="250" totalsRowDxfId="249">
      <calculatedColumnFormula>IF(ISERROR(VLOOKUP(Table2932[[#This Row],[target]],Table22[Label],1,FALSE)),IF(ISERROR(VLOOKUP(Table2932[[#This Row],[target]],Table2210[Label],1,FALSE)),"SPOKE","FOCUS"),"HUB")</calculatedColumnFormula>
    </tableColumn>
    <tableColumn id="7" xr3:uid="{0EB5D648-3E57-BD48-8175-B8014405F3D6}" name="Edge-Type" dataDxfId="248" totalsRowDxfId="247">
      <calculatedColumnFormula>IF(Table2932[[#This Row],[source-type]]&lt;Table2932[[#This Row],[target-type]],Table2932[[#This Row],[target-type]]&amp;"-"&amp;Table2932[[#This Row],[source-type]],Table2932[[#This Row],[source-type]]&amp;"-"&amp;Table2932[[#This Row],[target-type]])</calculatedColumnFormula>
    </tableColumn>
    <tableColumn id="8" xr3:uid="{A04F3F5A-0BD1-B548-98A6-D4D334D66C15}" name="source-wd" dataDxfId="246" totalsRowDxfId="245">
      <calculatedColumnFormula>IF(ISERROR(VLOOKUP(Table2932[[#This Row],[source]],Table22[[Label]:[Weighted Degree]],3,FALSE)),IF(ISERROR(VLOOKUP(Table2932[[#This Row],[source]],Table2210[[Label]:[Weighted Degree]],3,FALSE)),IF(ISERROR(VLOOKUP(Table2932[[#This Row],[source]],Table2214[[Label]:[Weighted Degree]],3,FALSE)),FALSE,VLOOKUP(Table2932[[#This Row],[source]],Table2214[[Label]:[Weighted Degree]],3,FALSE)),VLOOKUP(Table2932[[#This Row],[source]],Table2210[[Label]:[Weighted Degree]],3,FALSE)),VLOOKUP(Table2932[[#This Row],[source]],Table22[[Label]:[Weighted Degree]],3,FALSE))</calculatedColumnFormula>
    </tableColumn>
    <tableColumn id="9" xr3:uid="{F0CF1491-BB28-474E-9214-8FE52EDDAC77}" name="target-wd" dataDxfId="244" totalsRowDxfId="243">
      <calculatedColumnFormula>IF(ISERROR(VLOOKUP(Table2932[[#This Row],[target]],Table22[[Label]:[Weighted Degree]],3,FALSE)),IF(ISERROR(VLOOKUP(Table2932[[#This Row],[target]],Table2210[[Label]:[Weighted Degree]],3,FALSE)),IF(ISERROR(VLOOKUP(Table2932[[#This Row],[target]],Table2214[[Label]:[Weighted Degree]],3,FALSE)),FALSE,VLOOKUP(Table2932[[#This Row],[target]],Table2214[[Label]:[Weighted Degree]],3,FALSE)),VLOOKUP(Table2932[[#This Row],[target]],Table2210[[Label]:[Weighted Degree]],3,FALSE)),VLOOKUP(Table2932[[#This Row],[target]],Table22[[Label]:[Weighted Degree]],3,FALSE))</calculatedColumnFormula>
    </tableColumn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8D854E0D-4F80-B64D-A29A-9752C025A3FB}" name="Table32" displayName="Table32" ref="AE35:AM66" totalsRowCount="1" headerRowDxfId="242" dataDxfId="241" tableBorderDxfId="240">
  <autoFilter ref="AE35:AM65" xr:uid="{8D854E0D-4F80-B64D-A29A-9752C025A3FB}"/>
  <tableColumns count="9">
    <tableColumn id="1" xr3:uid="{62CDEE86-2E2C-A54D-95A1-556E84D9844B}" name="source2" dataDxfId="239" totalsRowDxfId="238"/>
    <tableColumn id="2" xr3:uid="{A1D9D4EA-DF7E-B744-8C57-458D93736AA8}" name="target2" dataDxfId="237" totalsRowDxfId="236"/>
    <tableColumn id="3" xr3:uid="{F6964885-3EBE-2E48-9B05-E4163B3A02E5}" name="ecm_alpha" dataDxfId="235" totalsRowDxfId="234"/>
    <tableColumn id="4" xr3:uid="{B8C214D3-F96D-8B45-BBD1-A9C2407B9066}" name="weight" totalsRowFunction="sum" dataDxfId="233" totalsRowDxfId="232"/>
    <tableColumn id="5" xr3:uid="{54582BB1-A680-C841-ADEB-4C7AF105AC1C}" name="source-type" dataDxfId="231" totalsRowDxfId="230">
      <calculatedColumnFormula>IF(ISERROR(VLOOKUP(Table32[[#This Row],[source2]],Table22[Label],1,FALSE)),IF(ISERROR(VLOOKUP(Table32[[#This Row],[source2]],Table2210[Label],1,FALSE)),"SPOKE","FOCUS"),"HUB")</calculatedColumnFormula>
    </tableColumn>
    <tableColumn id="6" xr3:uid="{DE046989-C929-304B-845A-292828BFDF56}" name="target-type" dataDxfId="229" totalsRowDxfId="228">
      <calculatedColumnFormula>IF(ISERROR(VLOOKUP(Table32[[#This Row],[target2]],Table22[Label],1,FALSE)),IF(ISERROR(VLOOKUP(Table32[[#This Row],[target2]],Table2210[Label],1,FALSE)),"SPOKE","FOCUS"),"HUB")</calculatedColumnFormula>
    </tableColumn>
    <tableColumn id="7" xr3:uid="{F069C774-FE30-D94A-884C-53C7AE875A1C}" name="Edge-Type" dataDxfId="227" totalsRowDxfId="226">
      <calculatedColumnFormula>IF(Table32[[#This Row],[source-type]]&lt;Table32[[#This Row],[target-type]],Table32[[#This Row],[target-type]]&amp;"-"&amp;Table32[[#This Row],[source-type]],Table32[[#This Row],[source-type]]&amp;"-"&amp;Table32[[#This Row],[target-type]])</calculatedColumnFormula>
    </tableColumn>
    <tableColumn id="8" xr3:uid="{B44BBA87-6EFD-D943-8D94-C8CFBEDE9C2A}" name="source-wd" dataDxfId="225" totalsRowDxfId="224">
      <calculatedColumnFormula>IF(ISERROR(VLOOKUP(Table32[[#This Row],[source2]],Table22[[Label]:[Weighted Degree]],3,FALSE)),IF(ISERROR(VLOOKUP(Table32[[#This Row],[source2]],Table2210[[Label]:[Weighted Degree]],3,FALSE)),IF(ISERROR(VLOOKUP(Table32[[#This Row],[source2]],Table2214[[Label]:[Weighted Degree]],3,FALSE)),FALSE,VLOOKUP(Table32[[#This Row],[source2]],Table2214[[Label]:[Weighted Degree]],3,FALSE)),VLOOKUP(Table32[[#This Row],[source2]],Table2210[[Label]:[Weighted Degree]],3,FALSE)),VLOOKUP(Table32[[#This Row],[source2]],Table22[[Label]:[Weighted Degree]],3,FALSE))</calculatedColumnFormula>
    </tableColumn>
    <tableColumn id="9" xr3:uid="{9F83A4E0-97E3-E048-AC88-BD774047E2B6}" name="target-wd" dataDxfId="223" totalsRowDxfId="222">
      <calculatedColumnFormula>IF(ISERROR(VLOOKUP(Table32[[#This Row],[target2]],Table22[[Label]:[Weighted Degree]],3,FALSE)),IF(ISERROR(VLOOKUP(Table32[[#This Row],[target2]],Table2210[[Label]:[Weighted Degree]],3,FALSE)),IF(ISERROR(VLOOKUP(Table32[[#This Row],[target2]],Table2214[[Label]:[Weighted Degree]],3,FALSE)),FALSE,VLOOKUP(Table32[[#This Row],[target2]],Table2214[[Label]:[Weighted Degree]],3,FALSE)),VLOOKUP(Table32[[#This Row],[target2]],Table2210[[Label]:[Weighted Degree]],3,FALSE)),VLOOKUP(Table32[[#This Row],[target2]],Table22[[Label]:[Weighted Degree]],3,FALSE))</calculatedColumnFormula>
    </tableColumn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C4895B36-6C61-5547-803D-8C11D15F091E}" name="Table35" displayName="Table35" ref="A86:D94" totalsRowShown="0" headerRowDxfId="221" dataDxfId="220">
  <tableColumns count="4">
    <tableColumn id="1" xr3:uid="{349FCD13-1AB7-E44C-9DFD-C28380FA5EC8}" name="Filter" dataDxfId="219"/>
    <tableColumn id="2" xr3:uid="{77780C52-9FE6-8A41-AC49-691B7A04DA92}" name="% Hubs" dataDxfId="218">
      <calculatedColumnFormula>COUNTIF(HUBS!H2:H21,TRUE)</calculatedColumnFormula>
    </tableColumn>
    <tableColumn id="3" xr3:uid="{50E49DC0-7B84-534E-B2F5-C90F9BB2C5FF}" name="% Focus" dataDxfId="217">
      <calculatedColumnFormula>COUNTIF(Table2210[Disparity Filter],TRUE)*100/3</calculatedColumnFormula>
    </tableColumn>
    <tableColumn id="4" xr3:uid="{2F90432F-0381-344C-9443-1047CAA5B549}" name="% Spokes" dataDxfId="216">
      <calculatedColumnFormula>COUNTIF(Table2214[Disparity Filter],TRUE)*5</calculatedColumnFormula>
    </tableColumn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5E044A96-BBE1-5C4D-A181-F6E8D1DD84E6}" name="Table3538" displayName="Table3538" ref="A97:F105" totalsRowShown="0" headerRowDxfId="215" dataDxfId="214">
  <autoFilter ref="A97:F105" xr:uid="{5E044A96-BBE1-5C4D-A181-F6E8D1DD84E6}"/>
  <tableColumns count="6">
    <tableColumn id="1" xr3:uid="{0BEF6F0A-7835-CA43-8E24-1DFE28438958}" name="Filter" dataDxfId="213"/>
    <tableColumn id="2" xr3:uid="{4A9911E1-C014-A94F-8C27-DABC9072CF05}" name="% Hub-Hub" dataDxfId="212"/>
    <tableColumn id="3" xr3:uid="{B883A5FE-77CE-7B4C-B403-0D042121B45B}" name="% Hub-Focus" dataDxfId="211"/>
    <tableColumn id="4" xr3:uid="{5738A982-4FD5-4B4B-8DF1-2FACC14DEB99}" name="% Hub-Spoke" dataDxfId="210"/>
    <tableColumn id="5" xr3:uid="{6F7E1CCB-95D8-FF48-AA07-38DD34089EF6}" name="% Focus-Focus" dataDxfId="209"/>
    <tableColumn id="6" xr3:uid="{6F408B46-6706-CE40-9AE0-EFABE46D836B}" name="% Focus-Spoke" dataDxfId="208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CB7C1E87-8D26-284A-8DC3-DA36AD6AD769}" name="Table353842" displayName="Table353842" ref="H97:M105" totalsRowShown="0" headerRowDxfId="207" dataDxfId="206">
  <autoFilter ref="H97:M105" xr:uid="{CB7C1E87-8D26-284A-8DC3-DA36AD6AD769}"/>
  <tableColumns count="6">
    <tableColumn id="1" xr3:uid="{D94C2DE7-20C9-B04E-BC6B-ACA95D0B2D86}" name="Filter" dataDxfId="205"/>
    <tableColumn id="7" xr3:uid="{AA3309FE-CB2D-574B-A474-4025D2AE6ED5}" name="% Hub-Hub" dataDxfId="204"/>
    <tableColumn id="8" xr3:uid="{65583443-CC3B-164D-84B4-6B34C1BCCFAE}" name="% Hub-Focus" dataDxfId="203"/>
    <tableColumn id="2" xr3:uid="{E4894448-167D-9E4A-A3CA-1332561457C1}" name="% Hub-Spoke" dataDxfId="202"/>
    <tableColumn id="3" xr3:uid="{14418E39-509C-B140-87B7-08B8F54137B6}" name="% Focus-Focus" dataDxfId="201"/>
    <tableColumn id="4" xr3:uid="{A4BE8E87-B342-2048-8DE5-C638F3C42DB1}" name="% Focus-Spoke" dataDxfId="200"/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396F2A0-7AF3-AF4B-8991-E073B9A38678}" name="Table353831" displayName="Table353831" ref="A108:F116" totalsRowShown="0" headerRowDxfId="199" dataDxfId="198">
  <autoFilter ref="A108:F116" xr:uid="{B396F2A0-7AF3-AF4B-8991-E073B9A38678}"/>
  <tableColumns count="6">
    <tableColumn id="1" xr3:uid="{9E57DB66-DD91-6946-9971-422D6B057CD6}" name="Filter" dataDxfId="197"/>
    <tableColumn id="2" xr3:uid="{642B217B-59FF-6344-9132-6DB6C6CC254B}" name="Hub-Hub" dataDxfId="196"/>
    <tableColumn id="3" xr3:uid="{17D4B2D9-D093-0342-9107-5FDDBFD6CD75}" name="Hub-Focus" dataDxfId="195"/>
    <tableColumn id="4" xr3:uid="{926A75D6-DB9F-E54D-96C5-4928322157FD}" name="Hub-Spoke" dataDxfId="194"/>
    <tableColumn id="5" xr3:uid="{7DF3F834-312D-3848-BEEE-5ACF4181B6D5}" name="Focus-Focus" dataDxfId="193"/>
    <tableColumn id="6" xr3:uid="{228BEECB-F17E-A741-82B6-9BB43D21EE7D}" name="Focus-Spoke" dataDxfId="192"/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43D76E79-C725-1343-B3D8-2FE5F8392DE9}" name="Table39" displayName="Table39" ref="A76:D80" totalsRowCount="1" headerRowDxfId="191" dataDxfId="189" totalsRowDxfId="187" headerRowBorderDxfId="190" tableBorderDxfId="188" totalsRowBorderDxfId="186">
  <autoFilter ref="A76:D79" xr:uid="{43D76E79-C725-1343-B3D8-2FE5F8392DE9}"/>
  <tableColumns count="4">
    <tableColumn id="1" xr3:uid="{0AB23737-FED6-2842-937E-731F751E11F1}" name="Node Type" dataDxfId="185" totalsRowDxfId="184"/>
    <tableColumn id="2" xr3:uid="{F3E12798-A303-A241-9626-2F1B7226B3F3}" name="Count" totalsRowFunction="sum" dataDxfId="183" totalsRowDxfId="182"/>
    <tableColumn id="3" xr3:uid="{94D58214-DEE8-E04C-A544-6A765D765C0F}" name="min weighted degree" dataDxfId="181" totalsRowDxfId="180"/>
    <tableColumn id="4" xr3:uid="{9868A733-BD5A-9248-99BC-00D559A9F60A}" name="max weighted degree" dataDxfId="179" totalsRowDxfId="178"/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DA57C152-268F-974F-A10E-9860F5DA54C5}" name="Table3539" displayName="Table3539" ref="N108:Q116" totalsRowShown="0" headerRowDxfId="177" dataDxfId="176">
  <autoFilter ref="N108:Q116" xr:uid="{DA57C152-268F-974F-A10E-9860F5DA54C5}"/>
  <tableColumns count="4">
    <tableColumn id="1" xr3:uid="{63B6B8AA-6648-954E-9597-8020374DAABD}" name="Filter" dataDxfId="175"/>
    <tableColumn id="2" xr3:uid="{2F6D4563-B93B-7247-A36A-1CDE9B112993}" name="Hubs" dataDxfId="174"/>
    <tableColumn id="3" xr3:uid="{4FC5DF87-B657-CA44-BCC8-A8AE1EC303D7}" name="Focus" dataDxfId="173"/>
    <tableColumn id="4" xr3:uid="{73ECBC26-E4D0-1942-946C-8FEC0AD32850}" name="Spokes" dataDxfId="17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0CCCD78-2871-6E4D-A63A-D6C3865665BE}" name="Table2226" displayName="Table2226" ref="A1:O44" totalsRowShown="0">
  <autoFilter ref="A1:O44" xr:uid="{C4B8F32F-1FE3-2740-8470-C35ACC5C4401}"/>
  <sortState xmlns:xlrd2="http://schemas.microsoft.com/office/spreadsheetml/2017/richdata2" ref="A2:O44">
    <sortCondition descending="1" ref="G1:G44"/>
  </sortState>
  <tableColumns count="15">
    <tableColumn id="1" xr3:uid="{924DABF0-4FBA-5F4A-88CC-B159FDCC3AAE}" name="Name"/>
    <tableColumn id="15" xr3:uid="{C59DDF50-D834-C748-BCE9-7D2E0C7D1C94}" name="ID" dataDxfId="436"/>
    <tableColumn id="22" xr3:uid="{A37F0F5C-6BC0-AB47-8D88-317947D47333}" name="City" dataDxfId="435"/>
    <tableColumn id="3" xr3:uid="{3E176CD1-0B57-684F-83B3-40E28A8D30E1}" name="Label" dataDxfId="434"/>
    <tableColumn id="14" xr3:uid="{51A459C9-1503-8B42-ADAE-0771654EABED}" name="Degree" dataDxfId="433"/>
    <tableColumn id="5" xr3:uid="{A7E69081-8BCA-674E-969F-353E6D9A6560}" name="Weighted Degree" dataDxfId="432"/>
    <tableColumn id="4" xr3:uid="{FE72751B-FF8E-CC4B-8791-DA59BBA2D010}" name="Companies" dataDxfId="431"/>
    <tableColumn id="6" xr3:uid="{08269C44-CD40-1D44-9524-8B7D1B1C1141}" name="Global Threshold" dataDxfId="430">
      <calculatedColumnFormula>IF(ISERROR(VLOOKUP(_xlfn.CONCAT("K",D2),Table24[Label],1,FALSE)),FALSE,TRUE)</calculatedColumnFormula>
    </tableColumn>
    <tableColumn id="7" xr3:uid="{BF99952A-F57A-314F-8BCC-0D523821AEA6}" name="Disparity Filter" dataDxfId="429">
      <calculatedColumnFormula>IF(ISERROR(VLOOKUP(_xlfn.CONCAT("K",D2),Table1[Label],1,FALSE)),FALSE,TRUE)</calculatedColumnFormula>
    </tableColumn>
    <tableColumn id="8" xr3:uid="{E5C72860-9AD5-B045-B1AF-9B255A76E031}" name="ECM Filter" dataDxfId="428">
      <calculatedColumnFormula>IF(ISERROR(VLOOKUP(_xlfn.CONCAT("K",D2),Table2[Label],1,FALSE)),FALSE,TRUE)</calculatedColumnFormula>
    </tableColumn>
    <tableColumn id="9" xr3:uid="{DD409E25-FB1C-8241-8939-C39DA823F882}" name="GLOSS Filter" dataDxfId="427">
      <calculatedColumnFormula>IF(ISERROR(VLOOKUP(_xlfn.CONCAT("K",D2),Table3[Label],1,FALSE)),FALSE,TRUE)</calculatedColumnFormula>
    </tableColumn>
    <tableColumn id="10" xr3:uid="{A530E893-572B-0A48-81D0-3A9201ECD22A}" name="LANS Filter" dataDxfId="426">
      <calculatedColumnFormula>IF(ISERROR(VLOOKUP(_xlfn.CONCAT("K",D2),Table4[Label],1,FALSE)),FALSE,TRUE)</calculatedColumnFormula>
    </tableColumn>
    <tableColumn id="11" xr3:uid="{3A61F73D-C93E-2042-80E7-9EAEB62A2C2F}" name="ML Filter" dataDxfId="425">
      <calculatedColumnFormula>IF(ISERROR(VLOOKUP(_xlfn.CONCAT("K",D2),Table5[Label],1,FALSE)),FALSE,TRUE)</calculatedColumnFormula>
    </tableColumn>
    <tableColumn id="12" xr3:uid="{2E165C7A-886A-724C-A587-EE4B6190D89D}" name="NC Filter" dataDxfId="424">
      <calculatedColumnFormula>IF(ISERROR(VLOOKUP(_xlfn.CONCAT("K",D2),Table6[Label],1,FALSE)),FALSE,TRUE)</calculatedColumnFormula>
    </tableColumn>
    <tableColumn id="13" xr3:uid="{3A6A6475-F8D0-0A45-B68C-07A88B83173F}" name="Polya Filter" dataDxfId="423">
      <calculatedColumnFormula>IF(ISERROR(VLOOKUP(_xlfn.CONCAT("K",D2),Table7[Label],1,FALSE)),FALSE,TRUE)</calculatedColumnFormula>
    </tableColumn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51C2BE23-D0A4-9F47-8219-BB07AA5F6356}" name="Table40" displayName="Table40" ref="H108:L114" totalsRowShown="0" headerRowDxfId="171" headerRowBorderDxfId="170" tableBorderDxfId="169" totalsRowBorderDxfId="168">
  <autoFilter ref="H108:L114" xr:uid="{51C2BE23-D0A4-9F47-8219-BB07AA5F6356}"/>
  <tableColumns count="5">
    <tableColumn id="1" xr3:uid="{3622886F-67DE-4F4E-B5E3-6986B36055E5}" name="Edge Type" dataDxfId="167"/>
    <tableColumn id="2" xr3:uid="{36DC11FF-0B60-4043-A7C8-3CE55F38677B}" name="Count" dataDxfId="166"/>
    <tableColumn id="3" xr3:uid="{0088E9E6-C3E2-E34B-9962-73E217981C18}" name="Min Weight" dataDxfId="165"/>
    <tableColumn id="4" xr3:uid="{1815459A-8ADB-AC45-8AAE-2EBE2EED0B6A}" name="Max Weight" dataDxfId="164"/>
    <tableColumn id="5" xr3:uid="{FAD32C37-0403-E647-B6E7-D56D3594609B}" name="weights" dataDxfId="163"/>
  </tableColumns>
  <tableStyleInfo name="TableStyleLight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F0ABB0DC-2A8F-8D4A-84FC-66ED25575D01}" name="Table35383143" displayName="Table35383143" ref="A119:F128" totalsRowShown="0" headerRowDxfId="162" dataDxfId="161">
  <autoFilter ref="A119:F128" xr:uid="{F0ABB0DC-2A8F-8D4A-84FC-66ED25575D01}"/>
  <tableColumns count="6">
    <tableColumn id="1" xr3:uid="{DC623FFB-F3F1-5D48-B277-F48F32090AC8}" name="Filter" dataDxfId="160"/>
    <tableColumn id="2" xr3:uid="{B265DA5A-98C2-2D49-8D9C-4F8FAFF74598}" name="Hub-Hub" dataDxfId="159"/>
    <tableColumn id="3" xr3:uid="{10A3B5DB-46CA-264D-81A7-01D711E250EC}" name="Hub-Focus" dataDxfId="158"/>
    <tableColumn id="4" xr3:uid="{B931F348-B5A2-EC41-AEA2-1DF282361B8E}" name="Hub-Spoke" dataDxfId="157"/>
    <tableColumn id="5" xr3:uid="{EB4A76F2-6FB9-4548-B773-0DF5CF765B54}" name="Focus-Focus" dataDxfId="156"/>
    <tableColumn id="6" xr3:uid="{819372BD-9323-4340-B597-D98462A4BBA6}" name="Focus-Spoke" dataDxfId="155"/>
  </tableColumns>
  <tableStyleInfo name="TableStyleLight8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C4B8F32F-1FE3-2740-8470-C35ACC5C4401}" name="Table22" displayName="Table22" ref="A1:T21" totalsRowShown="0">
  <autoFilter ref="A1:T21" xr:uid="{C4B8F32F-1FE3-2740-8470-C35ACC5C4401}"/>
  <sortState xmlns:xlrd2="http://schemas.microsoft.com/office/spreadsheetml/2017/richdata2" ref="A2:T21">
    <sortCondition descending="1" ref="F1:F21"/>
  </sortState>
  <tableColumns count="20">
    <tableColumn id="1" xr3:uid="{97574999-D0F5-DE41-883A-3D09D1CB3B22}" name="Name"/>
    <tableColumn id="15" xr3:uid="{E7D1688B-7926-4D4F-862E-B6B707C68E2C}" name="ID" dataDxfId="150"/>
    <tableColumn id="22" xr3:uid="{E3BCF216-103B-064D-9CA6-893997177DE0}" name="City" dataDxfId="149"/>
    <tableColumn id="3" xr3:uid="{3B3BF17F-6A7E-0D4D-A183-E5E6C50F90B3}" name="Label" dataDxfId="148"/>
    <tableColumn id="14" xr3:uid="{B3C8CE36-6270-314D-80B5-26FE31777239}" name="Degree" dataDxfId="147"/>
    <tableColumn id="5" xr3:uid="{3126B1C6-0590-FB45-AEE7-BFD5D733479D}" name="Weighted Degree" dataDxfId="146"/>
    <tableColumn id="4" xr3:uid="{A5881CE6-0627-0F44-99A1-0D8D9824FABE}" name="Companies" dataDxfId="145"/>
    <tableColumn id="6" xr3:uid="{AA80AFD6-73CF-BE42-A98D-5EB8EA252238}" name="Global Threshold" dataDxfId="144">
      <calculatedColumnFormula>IF(ISERROR(VLOOKUP(_xlfn.CONCAT("K",D2),Table24[Label],1,FALSE)),FALSE,TRUE)</calculatedColumnFormula>
    </tableColumn>
    <tableColumn id="7" xr3:uid="{38F57974-67DC-214A-841F-BB31206BED66}" name="Disparity Filter" dataDxfId="143">
      <calculatedColumnFormula>IF(ISERROR(VLOOKUP(_xlfn.CONCAT("K",D2),Table1[Label],1,FALSE)),FALSE,TRUE)</calculatedColumnFormula>
    </tableColumn>
    <tableColumn id="2" xr3:uid="{DF74C7BF-3BD1-804C-9C36-A0D86C0BDBDA}" name="Polya Filter" dataDxfId="142">
      <calculatedColumnFormula>IF(ISERROR(VLOOKUP(_xlfn.CONCAT("K",D2),Table7[Label],1,FALSE)),FALSE,TRUE)</calculatedColumnFormula>
    </tableColumn>
    <tableColumn id="17" xr3:uid="{70AD6F51-1C5B-FA4C-884A-34F63C2C6633}" name="NC Filter" dataDxfId="141">
      <calculatedColumnFormula>IF(ISERROR(VLOOKUP(_xlfn.CONCAT("K",D2),Table6[Label],1,FALSE)),FALSE,TRUE)</calculatedColumnFormula>
    </tableColumn>
    <tableColumn id="18" xr3:uid="{FB8C127E-48D7-A14C-ADA9-F280FBF179C6}" name="ML Filter" dataDxfId="140">
      <calculatedColumnFormula>IF(ISERROR(VLOOKUP(_xlfn.CONCAT("K",D2),Table5[Label],1,FALSE)),FALSE,TRUE)</calculatedColumnFormula>
    </tableColumn>
    <tableColumn id="19" xr3:uid="{66D26824-AC55-9347-AC27-87AD2174FD68}" name="GLOSS Filter" dataDxfId="139">
      <calculatedColumnFormula>IF(ISERROR(VLOOKUP(_xlfn.CONCAT("K",D2),Table3[Label],1,FALSE)),FALSE,TRUE)</calculatedColumnFormula>
    </tableColumn>
    <tableColumn id="8" xr3:uid="{77D3A729-82B5-394D-9C6C-480076E0E478}" name="LANS Filter" dataDxfId="138">
      <calculatedColumnFormula>IF(ISERROR(VLOOKUP(_xlfn.CONCAT("K",D2),Table4[Label],1,FALSE)),FALSE,TRUE)</calculatedColumnFormula>
    </tableColumn>
    <tableColumn id="9" xr3:uid="{FB193618-1801-344E-97F3-41052A40248D}" name="ECM Filter" dataDxfId="137">
      <calculatedColumnFormula>IF(ISERROR(VLOOKUP(_xlfn.CONCAT("K",D2),Table2[Label],1,FALSE)),FALSE,TRUE)</calculatedColumnFormula>
    </tableColumn>
    <tableColumn id="10" xr3:uid="{DDB17206-F5F1-D645-B51B-04DD1AC7A823}" name="Column4" dataDxfId="136">
      <calculatedColumnFormula>IF(ISERROR(VLOOKUP(_xlfn.CONCAT("K",D2),Table4[Label],1,FALSE)),FALSE,TRUE)</calculatedColumnFormula>
    </tableColumn>
    <tableColumn id="11" xr3:uid="{435788C5-2A7C-0545-A2F6-D23EFA855BEE}" name="Column3" dataDxfId="135">
      <calculatedColumnFormula>IF(ISERROR(VLOOKUP(_xlfn.CONCAT("K",D2),Table5[Label],1,FALSE)),FALSE,TRUE)</calculatedColumnFormula>
    </tableColumn>
    <tableColumn id="12" xr3:uid="{FAE58001-3BEC-7D46-86BB-A046C0AD96CC}" name="Column2" dataDxfId="134"/>
    <tableColumn id="13" xr3:uid="{67C44461-E147-2E4F-B0A0-BFDDB185E77A}" name="Column1" dataDxfId="133">
      <calculatedColumnFormula>IF(ISERROR(VLOOKUP(_xlfn.CONCAT("K",D2),Table7[Label],1,FALSE)),FALSE,TRUE)</calculatedColumnFormula>
    </tableColumn>
    <tableColumn id="16" xr3:uid="{5B8A3EB3-A2E0-E54C-9BE5-E90E151BA251}" name="smallest weight" dataDxfId="132"/>
  </tableColumns>
  <tableStyleInfo name="TableStyleLight8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5FAEFFF-2300-294A-84B8-6F334808003F}" name="Table2210" displayName="Table2210" ref="A1:O4" totalsRowShown="0">
  <autoFilter ref="A1:O4" xr:uid="{C4B8F32F-1FE3-2740-8470-C35ACC5C4401}"/>
  <sortState xmlns:xlrd2="http://schemas.microsoft.com/office/spreadsheetml/2017/richdata2" ref="A2:O4">
    <sortCondition descending="1" ref="F1:F4"/>
  </sortState>
  <tableColumns count="15">
    <tableColumn id="1" xr3:uid="{37304B66-D6CC-7549-B575-BFFD05322654}" name="Name"/>
    <tableColumn id="2" xr3:uid="{33A94AEE-B3DA-0C4D-A7C5-CE4BAFF8ED82}" name="City"/>
    <tableColumn id="15" xr3:uid="{0837CFD8-1298-A449-B398-4B8A733D9920}" name="ID" dataDxfId="129"/>
    <tableColumn id="3" xr3:uid="{27CC28EF-8F80-DF4A-A102-A0199BD955DF}" name="Label" dataDxfId="128"/>
    <tableColumn id="14" xr3:uid="{1238CDED-6622-A641-A1CD-D6767C6AA6B3}" name="Degree" dataDxfId="127"/>
    <tableColumn id="5" xr3:uid="{6AB8F123-5777-3C43-AFC8-6C301906F5F4}" name="Weighted Degree" dataDxfId="126"/>
    <tableColumn id="4" xr3:uid="{94AA0FDE-12A9-9946-A1C9-F6B6692E48F5}" name="Companies" dataDxfId="125"/>
    <tableColumn id="6" xr3:uid="{C4ABDE93-42BD-E147-A4D4-E99501636ABA}" name="Global Threshold" dataDxfId="124">
      <calculatedColumnFormula>IF(ISERROR(VLOOKUP(_xlfn.CONCAT("K",D2),Table24[Label],1,FALSE)),FALSE,TRUE)</calculatedColumnFormula>
    </tableColumn>
    <tableColumn id="7" xr3:uid="{43C310EE-CA8E-9B49-A908-7F35AC1421DC}" name="Disparity Filter" dataDxfId="123">
      <calculatedColumnFormula>IF(ISERROR(VLOOKUP(_xlfn.CONCAT("K",D2),Table1[Label],1,FALSE)),FALSE,TRUE)</calculatedColumnFormula>
    </tableColumn>
    <tableColumn id="8" xr3:uid="{EA574146-A0A4-BE40-BFBB-30DD494C80D5}" name="ECM Filter" dataDxfId="122">
      <calculatedColumnFormula>IF(ISERROR(VLOOKUP(_xlfn.CONCAT("K",D2),Table2[Label],1,FALSE)),FALSE,TRUE)</calculatedColumnFormula>
    </tableColumn>
    <tableColumn id="9" xr3:uid="{7132F43D-9628-3142-B62C-1E2696F83157}" name="GLOSS Filter" dataDxfId="121">
      <calculatedColumnFormula>IF(ISERROR(VLOOKUP(_xlfn.CONCAT("K",D2),Table3[Label],1,FALSE)),FALSE,TRUE)</calculatedColumnFormula>
    </tableColumn>
    <tableColumn id="10" xr3:uid="{635E2C6F-D009-314F-96DF-090A78322692}" name="LANS Filter" dataDxfId="120">
      <calculatedColumnFormula>IF(ISERROR(VLOOKUP(_xlfn.CONCAT("K",D2),Table4[Label],1,FALSE)),FALSE,TRUE)</calculatedColumnFormula>
    </tableColumn>
    <tableColumn id="11" xr3:uid="{7C308D2C-7367-CA44-A5B9-06FCD623464F}" name="ML Filter" dataDxfId="119">
      <calculatedColumnFormula>IF(ISERROR(VLOOKUP(_xlfn.CONCAT("K",D2),Table5[Label],1,FALSE)),FALSE,TRUE)</calculatedColumnFormula>
    </tableColumn>
    <tableColumn id="12" xr3:uid="{9C8E1EA5-9CA7-FE4C-99DC-624841B3BAE5}" name="NC Filter" dataDxfId="118">
      <calculatedColumnFormula>IF(ISERROR(VLOOKUP(_xlfn.CONCAT("K",D2),Table6[Label],1,FALSE)),FALSE,TRUE)</calculatedColumnFormula>
    </tableColumn>
    <tableColumn id="13" xr3:uid="{4324AFF8-8C08-7548-BAD6-A48A389D7DE2}" name="Polya Filter" dataDxfId="117">
      <calculatedColumnFormula>IF(ISERROR(VLOOKUP(_xlfn.CONCAT("K",D2),Table7[Label],1,FALSE)),FALSE,TRUE)</calculatedColumnFormula>
    </tableColumn>
  </tableColumns>
  <tableStyleInfo name="TableStyleLight8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914F2FE-12F2-1047-976D-40B14C43698C}" name="Table813" displayName="Table813" ref="A10:J53" totalsRowShown="0">
  <autoFilter ref="A10:J53" xr:uid="{F0E95F49-5861-754B-A591-6B2D5868F1EE}"/>
  <tableColumns count="10">
    <tableColumn id="1" xr3:uid="{8CDC2C84-15D8-1F4F-AFB4-04F7B0006BD3}" name="id"/>
    <tableColumn id="2" xr3:uid="{A576FAA3-5CC4-C340-9A7D-345A76206728}" name="lat"/>
    <tableColumn id="3" xr3:uid="{4774F9CE-BA2A-AD40-909B-62C5E73C8970}" name="lng" dataDxfId="116"/>
    <tableColumn id="4" xr3:uid="{E844B025-ABF3-5D48-B8BE-EB6FD4128F55}" name="Name" dataDxfId="115"/>
    <tableColumn id="5" xr3:uid="{1C76B900-DB7F-7849-87E6-EEF3674CE2F1}" name="City" dataDxfId="114"/>
    <tableColumn id="6" xr3:uid="{C45B3038-3464-1E46-98E6-4A65A37F6912}" name="Country" dataDxfId="113"/>
    <tableColumn id="7" xr3:uid="{B47C5BB0-F86D-324C-8262-EFB1BFF8C3C0}" name="Label" dataDxfId="112"/>
    <tableColumn id="8" xr3:uid="{34167348-8D6C-8A44-8164-3A0ECB405DC7}" name="degree" dataDxfId="111"/>
    <tableColumn id="9" xr3:uid="{A2F29CA2-253A-744E-BCF2-4D23CFAC81FA}" name="weighted_degree" dataDxfId="110"/>
    <tableColumn id="10" xr3:uid="{5B0DC223-EE9E-DB4C-BB39-2D1218416069}" name="component" dataDxfId="109"/>
  </tableColumns>
  <tableStyleInfo name="TableStyleLight8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9FB9708-16F1-9E47-8C65-09B599C2A358}" name="Table2214" displayName="Table2214" ref="A1:O21" totalsRowShown="0">
  <autoFilter ref="A1:O21" xr:uid="{C4B8F32F-1FE3-2740-8470-C35ACC5C4401}"/>
  <sortState xmlns:xlrd2="http://schemas.microsoft.com/office/spreadsheetml/2017/richdata2" ref="A2:O21">
    <sortCondition descending="1" ref="F1:F21"/>
  </sortState>
  <tableColumns count="15">
    <tableColumn id="1" xr3:uid="{ADB8AC7B-3EFA-9F43-B290-882710C91297}" name="Name"/>
    <tableColumn id="2" xr3:uid="{FD7DD7C9-4F19-7A41-BE64-2E1F6CAE6BF1}" name="City"/>
    <tableColumn id="15" xr3:uid="{7C8F5758-D83F-3E42-8A6C-F67EC90630CF}" name="ID" dataDxfId="92"/>
    <tableColumn id="3" xr3:uid="{2487AC77-CB31-CA4E-902C-DBF03B78FDD1}" name="Label" dataDxfId="91"/>
    <tableColumn id="14" xr3:uid="{37BE63C1-2756-9549-B3A3-1151A3FC34C9}" name="Degree" dataDxfId="90"/>
    <tableColumn id="5" xr3:uid="{39C1A2BA-8ABC-1542-AE6E-9B6CCC468C41}" name="Weighted Degree" dataDxfId="89"/>
    <tableColumn id="4" xr3:uid="{BAA8AB62-5841-AF40-A91D-B315E9A12E66}" name="Companies" dataDxfId="88"/>
    <tableColumn id="6" xr3:uid="{826DBB16-9506-AD40-AC86-015F30BA8CDA}" name="Global Threshold" dataDxfId="87">
      <calculatedColumnFormula>IF(ISERROR(VLOOKUP(_xlfn.CONCAT("K",D2),Table24[Label],1,FALSE)),FALSE,TRUE)</calculatedColumnFormula>
    </tableColumn>
    <tableColumn id="7" xr3:uid="{FB613594-E813-8E46-AC60-20FB3794C39C}" name="Disparity Filter" dataDxfId="86">
      <calculatedColumnFormula>IF(ISERROR(VLOOKUP(_xlfn.CONCAT("K",D2),Table1[Label],1,FALSE)),FALSE,TRUE)</calculatedColumnFormula>
    </tableColumn>
    <tableColumn id="8" xr3:uid="{0F898484-8668-4F4E-B9DF-3F9A0BADA3D6}" name="ECM Filter" dataDxfId="85">
      <calculatedColumnFormula>IF(ISERROR(VLOOKUP(_xlfn.CONCAT("K",D2),Table2[Label],1,FALSE)),FALSE,TRUE)</calculatedColumnFormula>
    </tableColumn>
    <tableColumn id="9" xr3:uid="{8650877E-021F-DE41-8ADA-0AE9BCA84890}" name="GLOSS Filter" dataDxfId="84">
      <calculatedColumnFormula>IF(ISERROR(VLOOKUP(_xlfn.CONCAT("K",D2),Table3[Label],1,FALSE)),FALSE,TRUE)</calculatedColumnFormula>
    </tableColumn>
    <tableColumn id="10" xr3:uid="{C2F7360A-379D-5D42-B4E7-00E75E785D7B}" name="LANS Filter" dataDxfId="83">
      <calculatedColumnFormula>IF(ISERROR(VLOOKUP(_xlfn.CONCAT("K",D2),Table4[Label],1,FALSE)),FALSE,TRUE)</calculatedColumnFormula>
    </tableColumn>
    <tableColumn id="11" xr3:uid="{5D7C0BAA-D859-8E40-AAF3-2080C70FB700}" name="ML Filter" dataDxfId="82">
      <calculatedColumnFormula>IF(ISERROR(VLOOKUP(_xlfn.CONCAT("K",D2),Table5[Label],1,FALSE)),FALSE,TRUE)</calculatedColumnFormula>
    </tableColumn>
    <tableColumn id="12" xr3:uid="{E7F0B189-3B2D-514E-B4F7-63E2E83703D9}" name="NC Filter" dataDxfId="81">
      <calculatedColumnFormula>IF(ISERROR(VLOOKUP(_xlfn.CONCAT("K",D2),Table6[Label],1,FALSE)),FALSE,TRUE)</calculatedColumnFormula>
    </tableColumn>
    <tableColumn id="13" xr3:uid="{EA50EEEF-D262-3F4D-AADB-AE9BCFC03A92}" name="Polya Filter" dataDxfId="80">
      <calculatedColumnFormula>IF(ISERROR(VLOOKUP(_xlfn.CONCAT("K",D2),Table7[Label],1,FALSE)),FALSE,TRUE)</calculatedColumnFormula>
    </tableColumn>
  </tableColumns>
  <tableStyleInfo name="TableStyleLight8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453AE77-8CB7-134E-AA14-229B7A8F0ED6}" name="Table815" displayName="Table815" ref="A27:J70" totalsRowShown="0">
  <autoFilter ref="A27:J70" xr:uid="{F0E95F49-5861-754B-A591-6B2D5868F1EE}"/>
  <tableColumns count="10">
    <tableColumn id="1" xr3:uid="{465B6260-7A0F-CD46-802C-4F4D2254CAC0}" name="id"/>
    <tableColumn id="2" xr3:uid="{E8F1E420-DC37-1E48-A7B2-B10B4F19C934}" name="lat"/>
    <tableColumn id="3" xr3:uid="{2C946E34-7B6F-7142-8246-A2EB96E4FD6E}" name="lng" dataDxfId="79"/>
    <tableColumn id="4" xr3:uid="{D674C2D2-2B67-1A45-913C-08CC776DEAFF}" name="Name" dataDxfId="78"/>
    <tableColumn id="5" xr3:uid="{E88E7FB7-E52B-C34D-9933-722627490625}" name="City" dataDxfId="77"/>
    <tableColumn id="6" xr3:uid="{471BD2C5-DDE6-6549-9A7B-CDBE3D374F85}" name="Country" dataDxfId="76"/>
    <tableColumn id="7" xr3:uid="{4E163AEE-1604-0E4A-8CBC-4872AD660327}" name="Label" dataDxfId="75"/>
    <tableColumn id="8" xr3:uid="{E2235FB5-259F-F945-BCCF-5D2CEB0EB4C9}" name="degree" dataDxfId="74"/>
    <tableColumn id="9" xr3:uid="{C437CEEC-7DB6-7D44-825C-EB13A0C2E703}" name="weighted_degree" dataDxfId="73"/>
    <tableColumn id="10" xr3:uid="{BFA96649-6F59-8143-A698-700172BF9199}" name="component" dataDxfId="72"/>
  </tableColumns>
  <tableStyleInfo name="TableStyleLight8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954C87E-A75A-E345-A1E5-D967220810E3}" name="Table1016" displayName="Table1016" ref="A1:P379" totalsRowShown="0">
  <autoFilter ref="A1:P379" xr:uid="{5A422EBE-81F2-E44B-8DEE-6AB93439B9E5}"/>
  <tableColumns count="16">
    <tableColumn id="1" xr3:uid="{CAD8D3ED-1BFE-6B46-A04A-FC54E9A00DCB}" name="source"/>
    <tableColumn id="2" xr3:uid="{92F726CB-988E-7D4D-B856-074ABB0F186C}" name="target"/>
    <tableColumn id="3" xr3:uid="{ECA54219-4E70-C141-8EE0-20764E741FBF}" name="mlf_score"/>
    <tableColumn id="4" xr3:uid="{BFD99781-850B-6A4D-BA60-E1320C5B7F35}" name="df_alpha"/>
    <tableColumn id="5" xr3:uid="{7F42D495-DF72-7C4C-8974-02C65B1BB4B8}" name="nc_alpha"/>
    <tableColumn id="6" xr3:uid="{01068690-5633-F444-81EB-BBBA1A999AFF}" name="pf_alpha"/>
    <tableColumn id="7" xr3:uid="{FED6B5BE-837B-794B-9081-D40FC1EF8147}" name="lans_alpha"/>
    <tableColumn id="8" xr3:uid="{48AFCE8C-0915-F046-AB2E-9A315A324817}" name="ecm_alpha"/>
    <tableColumn id="9" xr3:uid="{E9E9F210-2900-AE44-B735-86F46ADDA9FC}" name="weight"/>
    <tableColumn id="10" xr3:uid="{210F00F0-0F8B-DB49-9406-2ECB2FCB8EBE}" name="global_score"/>
    <tableColumn id="11" xr3:uid="{F21F0861-BD1E-F544-BA07-48A588C880CF}" name="gloss_alpha" dataDxfId="71"/>
    <tableColumn id="12" xr3:uid="{56C7E344-EF94-884A-890E-6AD5C4CFA3A7}" name="Column1"/>
    <tableColumn id="13" xr3:uid="{02B76456-D204-9049-A407-0D2B909B88CD}" name="Column2" dataDxfId="70"/>
    <tableColumn id="14" xr3:uid="{E64A9DED-225E-B845-BA39-79AD8340A46E}" name="Column3"/>
    <tableColumn id="15" xr3:uid="{DF48B3B4-2A2F-6145-865D-397D5EC4C96E}" name="Column4"/>
    <tableColumn id="16" xr3:uid="{B9D0D906-0BB4-D945-8ADF-0E2C1857F469}" name="Column5"/>
  </tableColumns>
  <tableStyleInfo name="TableStyleLight8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F7B1F69-010F-4241-9AD6-75D63FD54D0A}" name="Table18" displayName="Table18" ref="Q185:T214" totalsRowShown="0" headerRowDxfId="69" dataDxfId="68" tableBorderDxfId="67">
  <autoFilter ref="Q185:T214" xr:uid="{9F7B1F69-010F-4241-9AD6-75D63FD54D0A}"/>
  <sortState xmlns:xlrd2="http://schemas.microsoft.com/office/spreadsheetml/2017/richdata2" ref="Q186:T214">
    <sortCondition ref="S185:S214"/>
  </sortState>
  <tableColumns count="4">
    <tableColumn id="1" xr3:uid="{6FFBBF0B-F642-C442-B3DE-B6CA12D43AAE}" name="source node id" dataDxfId="66"/>
    <tableColumn id="2" xr3:uid="{F199ED9E-BAA5-7F4C-8ECE-4EDCBE76EE4B}" name="target node id" dataDxfId="65"/>
    <tableColumn id="3" xr3:uid="{2164E2CB-7116-414C-B9B0-E2F66DA6DB1C}" name="p-vvalue" dataDxfId="64"/>
    <tableColumn id="4" xr3:uid="{548F0CAC-7C91-4349-AA3A-455E6AAD5706}" name="weight" dataDxfId="63"/>
  </tableColumns>
  <tableStyleInfo name="TableStyleLight8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143E2FF-B9C8-CC4E-A9B3-4E7675B0B151}" name="Table19" displayName="Table19" ref="Q216:T248" totalsRowShown="0" headerRowDxfId="62" dataDxfId="61" tableBorderDxfId="60">
  <autoFilter ref="Q216:T248" xr:uid="{2143E2FF-B9C8-CC4E-A9B3-4E7675B0B151}"/>
  <sortState xmlns:xlrd2="http://schemas.microsoft.com/office/spreadsheetml/2017/richdata2" ref="Q217:T248">
    <sortCondition descending="1" ref="T216:T248"/>
  </sortState>
  <tableColumns count="4">
    <tableColumn id="1" xr3:uid="{CED6C343-8847-6742-AD7C-7BD0F3913895}" name="source" dataDxfId="59"/>
    <tableColumn id="2" xr3:uid="{6A9C2B79-0A2C-1E42-B0D0-0553C7454504}" name="target" dataDxfId="58"/>
    <tableColumn id="3" xr3:uid="{D98D6272-7B65-EC42-BF1E-85E9D05AE41C}" name="p-value" dataDxfId="57"/>
    <tableColumn id="4" xr3:uid="{D502E1BA-EFE3-BE45-B85F-DC0F3C259A3B}" name="weight" dataDxfId="5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A422EBE-81F2-E44B-8DEE-6AB93439B9E5}" name="Table10" displayName="Table10" ref="A1:P380" totalsRowCount="1">
  <autoFilter ref="A1:P379" xr:uid="{5A422EBE-81F2-E44B-8DEE-6AB93439B9E5}"/>
  <tableColumns count="16">
    <tableColumn id="1" xr3:uid="{893B0ED1-4889-9645-9B82-8CE4B1C4E1E9}" name="source"/>
    <tableColumn id="2" xr3:uid="{B0F52847-3B4E-DA48-81C4-FBBF54F21159}" name="target"/>
    <tableColumn id="12" xr3:uid="{1EF532DE-193C-5047-80F1-4DB8CE2DDB42}" name="source2" dataDxfId="422" totalsRowDxfId="421">
      <calculatedColumnFormula>VLOOKUP(Table10[[#This Row],[source]],Table2226[[#All],[ID]:[Label]],3,FALSE)</calculatedColumnFormula>
    </tableColumn>
    <tableColumn id="13" xr3:uid="{E416E1C9-C6EE-014A-BD72-AB957DB44AF3}" name="target2" dataDxfId="420" totalsRowDxfId="419">
      <calculatedColumnFormula>VLOOKUP(Table10[[#This Row],[target]],Table2226[[#All],[ID]:[Label]],3,FALSE)</calculatedColumnFormula>
    </tableColumn>
    <tableColumn id="14" xr3:uid="{A8096ED8-D999-2448-AC39-ABF907DD3E5C}" name="source-type">
      <calculatedColumnFormula>IF(ISERROR(VLOOKUP(Table10[[#This Row],[source2]],Table22[Label],1,FALSE)),IF(ISERROR(VLOOKUP(Table10[[#This Row],[source2]],Table2210[Label],1,FALSE)),"SPOKE","FOCUS"),"HUB")</calculatedColumnFormula>
    </tableColumn>
    <tableColumn id="15" xr3:uid="{63A5E367-C84E-9742-8087-CA35376A752B}" name="target-type">
      <calculatedColumnFormula>IF(ISERROR(VLOOKUP(Table10[[#This Row],[target2]],Table22[Label],1,FALSE)),IF(ISERROR(VLOOKUP(Table10[[#This Row],[target2]],Table2210[Label],1,FALSE)),"SPOKE","FOCUS"),"HUB")</calculatedColumnFormula>
    </tableColumn>
    <tableColumn id="16" xr3:uid="{113ED5C2-C93C-EE4E-9A9D-131A74402683}" name="Edge-Type">
      <calculatedColumnFormula>IF(Table10[[#This Row],[source-type]]&lt;Table10[[#This Row],[target-type]],Table10[[#This Row],[target-type]]&amp;"-"&amp;Table10[[#This Row],[source-type]],Table10[[#This Row],[source-type]]&amp;"-"&amp;Table10[[#This Row],[target-type]])</calculatedColumnFormula>
    </tableColumn>
    <tableColumn id="3" xr3:uid="{B369932F-FE51-E546-B758-9D5AE7424752}" name="mlf_score" dataDxfId="418" totalsRowDxfId="417"/>
    <tableColumn id="4" xr3:uid="{A9F072DA-3C01-084B-A4D8-831B1351B755}" name="df_alpha" dataDxfId="416" totalsRowDxfId="415"/>
    <tableColumn id="5" xr3:uid="{62524D39-4B47-1449-B611-6DE4E9BBB1B1}" name="nc_alpha" dataDxfId="414" totalsRowDxfId="413"/>
    <tableColumn id="6" xr3:uid="{9B905B49-C41B-7A4D-9D37-3003C8EE1D2F}" name="pf_alpha" dataDxfId="412" totalsRowDxfId="411"/>
    <tableColumn id="7" xr3:uid="{5AFF2F67-BF26-3D41-90CB-5DF4AAE7F586}" name="lans_alpha" dataDxfId="410" totalsRowDxfId="409"/>
    <tableColumn id="8" xr3:uid="{05B29F11-519A-E047-9380-DAFC43A1962F}" name="ecm_alpha" dataDxfId="408" totalsRowDxfId="407"/>
    <tableColumn id="9" xr3:uid="{CF893515-28BC-FD4B-9623-B132F3FF266B}" name="weight" totalsRowFunction="sum"/>
    <tableColumn id="10" xr3:uid="{B827CE02-C8CA-F749-A2F5-0885D23E3701}" name="global_score"/>
    <tableColumn id="11" xr3:uid="{252E40A4-3F08-4D46-8030-233C84DE5F38}" name="gloss_alpha" dataDxfId="406" totalsRowDxfId="405"/>
  </tableColumns>
  <tableStyleInfo name="TableStyleLight8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BCF2DF4-DBA4-4045-AB5D-3B24FC7194CA}" name="Table20" displayName="Table20" ref="Q252:T283" totalsRowCount="1" headerRowDxfId="55" dataDxfId="54" tableBorderDxfId="53">
  <autoFilter ref="Q252:T282" xr:uid="{5BCF2DF4-DBA4-4045-AB5D-3B24FC7194CA}"/>
  <sortState xmlns:xlrd2="http://schemas.microsoft.com/office/spreadsheetml/2017/richdata2" ref="Q253:T282">
    <sortCondition descending="1" ref="T252:T282"/>
  </sortState>
  <tableColumns count="4">
    <tableColumn id="1" xr3:uid="{2806BD4B-EE74-D443-B3E0-F47D9E8DFB0A}" name="source" dataDxfId="52" totalsRowDxfId="51"/>
    <tableColumn id="2" xr3:uid="{2FB5F3F5-229C-8E40-84D2-B26613831E99}" name="target" dataDxfId="50" totalsRowDxfId="49"/>
    <tableColumn id="3" xr3:uid="{3F338617-5958-5C41-91F2-CDDC1BAC4491}" name="p-value" dataDxfId="48" totalsRowDxfId="47"/>
    <tableColumn id="4" xr3:uid="{355DA5AF-2EEA-C844-BEA6-59BC4320457F}" name="weight" totalsRowFunction="sum" dataDxfId="46" totalsRowDxfId="45"/>
  </tableColumns>
  <tableStyleInfo name="TableStyleLight8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F9352532-D683-8947-92D1-073AB5EC35F7}" name="Table23" displayName="Table23" ref="S9:X37" totalsRowCount="1" headerRowDxfId="44" dataDxfId="43" tableBorderDxfId="42">
  <autoFilter ref="S9:X36" xr:uid="{F9352532-D683-8947-92D1-073AB5EC35F7}"/>
  <sortState xmlns:xlrd2="http://schemas.microsoft.com/office/spreadsheetml/2017/richdata2" ref="S10:V36">
    <sortCondition ref="U9:U36"/>
  </sortState>
  <tableColumns count="6">
    <tableColumn id="1" xr3:uid="{7096E0B0-4D55-0240-BD34-3EFEFBB74EC2}" name="source" dataDxfId="41" totalsRowDxfId="40"/>
    <tableColumn id="2" xr3:uid="{F27B5285-8937-DA4C-BA44-B5A2FBBAFEFD}" name="target" dataDxfId="39" totalsRowDxfId="38"/>
    <tableColumn id="3" xr3:uid="{95F8D56B-A0A3-8249-B332-6D40E270FDA4}" name="p-value" totalsRowLabel="average" dataDxfId="37" totalsRowDxfId="36"/>
    <tableColumn id="4" xr3:uid="{B04AF514-57AF-0840-8556-1661AEC5E03D}" name="weight" totalsRowFunction="average" dataDxfId="35" totalsRowDxfId="34"/>
    <tableColumn id="5" xr3:uid="{AE6CED3A-A1C6-4046-BB00-4797506CCFD6}" name="Normalized Weight" totalsRowFunction="sum" dataDxfId="33" totalsRowDxfId="32">
      <calculatedColumnFormula>Table23[[#This Row],[weight]]/SUM(Table23[weight])</calculatedColumnFormula>
    </tableColumn>
    <tableColumn id="6" xr3:uid="{00149EE4-4F16-6249-9FAF-77A833BAB876}" name="Column1" totalsRowFunction="custom" dataDxfId="31" totalsRowDxfId="30">
      <totalsRowFormula>Table23[[#Totals],[weight]]/SUM(Table23[weight])</totalsRowFormula>
    </tableColumn>
  </tableColumns>
  <tableStyleInfo name="TableStyleLight8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474C54AB-980A-014D-B76F-CEFA5010AC40}" name="Table26" displayName="Table26" ref="Z10:AC36" totalsRowCount="1" headerRowDxfId="29" dataDxfId="28" tableBorderDxfId="27">
  <autoFilter ref="Z10:AC35" xr:uid="{474C54AB-980A-014D-B76F-CEFA5010AC40}"/>
  <sortState xmlns:xlrd2="http://schemas.microsoft.com/office/spreadsheetml/2017/richdata2" ref="Z11:AC35">
    <sortCondition ref="AB10:AB35"/>
  </sortState>
  <tableColumns count="4">
    <tableColumn id="1" xr3:uid="{8F359D6A-A44F-DA4E-AD24-957BA2B94849}" name="source" dataDxfId="26" totalsRowDxfId="25"/>
    <tableColumn id="2" xr3:uid="{9307E93F-360A-AE45-90A6-2E24B0FB12C4}" name="target" dataDxfId="24" totalsRowDxfId="23"/>
    <tableColumn id="3" xr3:uid="{6738DC88-7504-274A-A0EF-549796718092}" name="p-value" totalsRowLabel="average" dataDxfId="22" totalsRowDxfId="21"/>
    <tableColumn id="4" xr3:uid="{8E0AB290-B2FB-2540-BE1A-4F16287D3C3F}" name="weight" totalsRowFunction="average" dataDxfId="20" totalsRowDxfId="19"/>
  </tableColumns>
  <tableStyleInfo name="TableStyleLight8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3856D61E-AB61-0844-A573-9A28463C17BE}" name="Table27" displayName="Table27" ref="M385:P415" totalsRowCount="1" headerRowDxfId="18" dataDxfId="17" tableBorderDxfId="16">
  <autoFilter ref="M385:P414" xr:uid="{3856D61E-AB61-0844-A573-9A28463C17BE}"/>
  <sortState xmlns:xlrd2="http://schemas.microsoft.com/office/spreadsheetml/2017/richdata2" ref="M386:P414">
    <sortCondition ref="O385:O414"/>
  </sortState>
  <tableColumns count="4">
    <tableColumn id="1" xr3:uid="{EB7F7FC2-222C-564A-9507-EA580AD2F267}" name="source" dataDxfId="15" totalsRowDxfId="14"/>
    <tableColumn id="2" xr3:uid="{8B8AC2F0-BCC7-3749-807A-C5A2577D1440}" name="target" dataDxfId="13" totalsRowDxfId="12"/>
    <tableColumn id="3" xr3:uid="{41380F5B-788F-6941-B9E7-115AF3788DAE}" name="p-value" totalsRowLabel="average" dataDxfId="11" totalsRowDxfId="10"/>
    <tableColumn id="4" xr3:uid="{6AF7204E-017E-4C46-9621-CED83298BACA}" name="weight" totalsRowFunction="average" dataDxfId="9" totalsRowDxfId="8"/>
  </tableColumns>
  <tableStyleInfo name="TableStyleLight8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AF3C377-9265-0344-B1DA-10AB8B22EF0E}" name="Table28" displayName="Table28" ref="R385:U413" totalsRowShown="0" headerRowDxfId="7" dataDxfId="6" tableBorderDxfId="5">
  <autoFilter ref="R385:U413" xr:uid="{6AF3C377-9265-0344-B1DA-10AB8B22EF0E}"/>
  <sortState xmlns:xlrd2="http://schemas.microsoft.com/office/spreadsheetml/2017/richdata2" ref="R386:U413">
    <sortCondition ref="T385:T413"/>
  </sortState>
  <tableColumns count="4">
    <tableColumn id="1" xr3:uid="{463C3018-955F-F24B-848F-D4E521853C87}" name="source" dataDxfId="4"/>
    <tableColumn id="2" xr3:uid="{33B211DF-DF63-5B47-9593-0A86E2F3F4B3}" name="target" dataDxfId="3"/>
    <tableColumn id="3" xr3:uid="{F67E492A-40A3-0A4B-9F75-893C0C9D52AF}" name="p-value" dataDxfId="2"/>
    <tableColumn id="4" xr3:uid="{21510882-95AC-024E-8378-793263F6D7C3}" name="weight" dataDxfId="1"/>
  </tableColumns>
  <tableStyleInfo name="TableStyleLight8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5DB8C4F-5775-B243-994D-A665827C9FED}" name="Table24" displayName="Table24" ref="A1:K27" totalsRowShown="0">
  <autoFilter ref="A1:K27" xr:uid="{15DB8C4F-5775-B243-994D-A665827C9FED}"/>
  <tableColumns count="11">
    <tableColumn id="1" xr3:uid="{FC0D415A-E45F-934E-ABB7-430420666215}" name="id"/>
    <tableColumn id="2" xr3:uid="{193F0F7B-BBD0-C24B-BD2E-2D6413D47EB9}" name="lat"/>
    <tableColumn id="3" xr3:uid="{0E00F34C-4B0A-8B4D-A9B5-B114247B9BA1}" name="lng"/>
    <tableColumn id="4" xr3:uid="{F7A5FC5C-2659-724B-822B-76678A2DD195}" name="Name"/>
    <tableColumn id="5" xr3:uid="{15AE4AD7-C2C8-AA47-A78B-16CB31B2925A}" name="City"/>
    <tableColumn id="6" xr3:uid="{E5B78D4F-0287-3641-AD82-53EC0CEF931F}" name="Country"/>
    <tableColumn id="7" xr3:uid="{7B7B68AF-871D-0F4F-9B0B-1D62DFC613E4}" name="Label"/>
    <tableColumn id="8" xr3:uid="{27261B6F-AA42-4C45-B890-CA9ED886B273}" name="degree"/>
    <tableColumn id="9" xr3:uid="{6CDE941F-D726-A04B-8A98-6D601436F7C8}" name="weighted_degree"/>
    <tableColumn id="10" xr3:uid="{3BCEB676-9658-0047-8E0E-77F744E50729}" name="component"/>
    <tableColumn id="12" xr3:uid="{BF047D40-3156-5D49-BA20-60EC4C297B3D}" name="Companies" dataDxfId="0">
      <calculatedColumnFormula>VLOOKUP(RIGHT(G2, SEARCH("K",G2)+2),Table22[[Label]:[Companies]],2,0)</calculatedColumnFormula>
    </tableColumn>
  </tableColumns>
  <tableStyleInfo name="TableStyleLight8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48BCA5-EBEF-D04F-A5E5-DDD1F8497D02}" name="Table1" displayName="Table1" ref="A1:J30" totalsRowShown="0">
  <autoFilter ref="A1:J30" xr:uid="{7348BCA5-EBEF-D04F-A5E5-DDD1F8497D02}"/>
  <tableColumns count="10">
    <tableColumn id="1" xr3:uid="{1A009CFB-38E1-3C41-B4FF-CEEE4FDE2380}" name="id"/>
    <tableColumn id="2" xr3:uid="{20893D84-89E4-5E4A-A95B-2C939F3EA9A0}" name="lat"/>
    <tableColumn id="3" xr3:uid="{74F360EE-52F2-EF42-AADD-E3067D75E328}" name="lng"/>
    <tableColumn id="4" xr3:uid="{0FB6C2BD-D707-0B48-976F-3672B53D8445}" name="Name"/>
    <tableColumn id="5" xr3:uid="{7CD0F7C0-330E-4C46-825E-8DED487439DA}" name="City"/>
    <tableColumn id="6" xr3:uid="{27A50B9C-F717-E14A-9F89-0912D3F51008}" name="Country"/>
    <tableColumn id="7" xr3:uid="{AF4BF7E3-255A-1B49-A14C-0357F4BFC1EC}" name="Label"/>
    <tableColumn id="8" xr3:uid="{5B9DD898-2772-DE4F-BB2D-2951B48076A1}" name="degree"/>
    <tableColumn id="9" xr3:uid="{79E927B6-6828-144B-B95E-DC7C420C90E4}" name="weighted_degree"/>
    <tableColumn id="10" xr3:uid="{93F39EBC-B291-1449-A18A-218F3D84E9B2}" name="component"/>
  </tableColumns>
  <tableStyleInfo name="TableStyleLight8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997C0E-70D2-CC46-A636-6DED3BCACB57}" name="Table2" displayName="Table2" ref="A1:J39" totalsRowShown="0">
  <autoFilter ref="A1:J39" xr:uid="{8C997C0E-70D2-CC46-A636-6DED3BCACB57}"/>
  <tableColumns count="10">
    <tableColumn id="1" xr3:uid="{F243F280-BA88-2C43-8692-01E4C8CC0428}" name="id"/>
    <tableColumn id="2" xr3:uid="{688DBD09-6166-1F40-B4AA-F306415A562C}" name="lat"/>
    <tableColumn id="3" xr3:uid="{56BD468A-18EB-C148-8E68-AF32A70A36E7}" name="lng"/>
    <tableColumn id="4" xr3:uid="{DBB2B252-3865-1940-AC4C-7BA39D739F90}" name="Name"/>
    <tableColumn id="5" xr3:uid="{4964C736-7BDF-264B-8A69-928AE0D5ECF4}" name="City"/>
    <tableColumn id="6" xr3:uid="{9B468768-848A-E74A-991B-7350E99642F4}" name="Country"/>
    <tableColumn id="7" xr3:uid="{2CC584D0-6F93-7444-A1A0-ED43DD0464A4}" name="Label"/>
    <tableColumn id="8" xr3:uid="{0FD70DC2-1D05-1A43-AC03-D495B9CE607F}" name="degree"/>
    <tableColumn id="9" xr3:uid="{164D3919-A2E8-DD44-B947-18F9B7E3FCEC}" name="weighted_degree"/>
    <tableColumn id="10" xr3:uid="{B0367C64-A26E-7140-A092-590F243569CA}" name="component"/>
  </tableColumns>
  <tableStyleInfo name="TableStyleLight8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EF4C25-BE3D-3E4A-B1D1-7368A7BCBD0E}" name="Table3" displayName="Table3" ref="A1:J31" totalsRowShown="0">
  <autoFilter ref="A1:J31" xr:uid="{2DEF4C25-BE3D-3E4A-B1D1-7368A7BCBD0E}"/>
  <tableColumns count="10">
    <tableColumn id="1" xr3:uid="{3152BB5A-7A8F-D54F-A3AC-AB2BA4542528}" name="id"/>
    <tableColumn id="2" xr3:uid="{8CDCBAF7-204D-2244-9DF8-9EFA67E98476}" name="lat"/>
    <tableColumn id="3" xr3:uid="{AA18BED5-F43A-DB4A-A6AA-C96B414934DE}" name="lng"/>
    <tableColumn id="4" xr3:uid="{4FEFED78-DB73-054F-943B-781517CF19AA}" name="Name"/>
    <tableColumn id="5" xr3:uid="{435B4544-28E2-A346-8B30-D385434FF623}" name="City"/>
    <tableColumn id="6" xr3:uid="{7CFE1E02-D5C1-9F47-B5B7-F0508E34897A}" name="Country"/>
    <tableColumn id="7" xr3:uid="{384AF1D0-2036-0740-A74E-8C0478130976}" name="Label"/>
    <tableColumn id="8" xr3:uid="{40C8CF09-E6A7-0547-B774-9F06DA2B6CA8}" name="degree"/>
    <tableColumn id="9" xr3:uid="{7F38979D-185A-1C48-8F66-DB5687DDE933}" name="weighted_degree"/>
    <tableColumn id="10" xr3:uid="{72F9AB65-CF55-9143-952E-D7826E1EB395}" name="component"/>
  </tableColumns>
  <tableStyleInfo name="TableStyleLight8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74CAE9-FCE2-1B47-9DB6-8118B5A627CC}" name="Table4" displayName="Table4" ref="A1:J37" totalsRowShown="0">
  <autoFilter ref="A1:J37" xr:uid="{4674CAE9-FCE2-1B47-9DB6-8118B5A627CC}"/>
  <tableColumns count="10">
    <tableColumn id="1" xr3:uid="{7328589A-E473-DE46-836A-40BECC37AC8D}" name="id"/>
    <tableColumn id="2" xr3:uid="{98107E39-C830-7342-80F8-6D1DA20FFC59}" name="lat"/>
    <tableColumn id="3" xr3:uid="{C66EE999-D2C4-7A4C-98B1-96D412D92DE0}" name="lng"/>
    <tableColumn id="4" xr3:uid="{4A2ABAF3-A0EA-F24C-B939-F23136B985F4}" name="Name"/>
    <tableColumn id="5" xr3:uid="{7C6BFC03-8EE0-A34B-BAB8-EFC08DD70F1A}" name="City"/>
    <tableColumn id="6" xr3:uid="{36A5FB0D-8EEF-4E47-AD4F-0BF0153DE8EE}" name="Country"/>
    <tableColumn id="7" xr3:uid="{1605DFCC-A699-2B4E-8621-1017CA001FBC}" name="Label"/>
    <tableColumn id="8" xr3:uid="{A19CE4C6-6434-4440-AB7F-0C3D0BCF5158}" name="degree"/>
    <tableColumn id="9" xr3:uid="{B129CCD0-76EC-4C48-A67A-21626F9DF0F4}" name="weighted_degree"/>
    <tableColumn id="10" xr3:uid="{ACF7F763-4424-EF4C-8878-417DDA8C0948}" name="component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7763B33-1E26-834C-9626-E1FD4107B816}" name="Table11" displayName="Table11" ref="T2:W26" totalsRowShown="0" headerRowDxfId="404" dataDxfId="403">
  <sortState xmlns:xlrd2="http://schemas.microsoft.com/office/spreadsheetml/2017/richdata2" ref="T3:W26">
    <sortCondition ref="W2:W26"/>
  </sortState>
  <tableColumns count="4">
    <tableColumn id="1" xr3:uid="{C1C71471-5484-B846-BB5C-9573D9168F9C}" name="s" dataDxfId="402"/>
    <tableColumn id="2" xr3:uid="{74400FB1-BD2F-F645-A450-06E05005F761}" name="t" dataDxfId="401"/>
    <tableColumn id="3" xr3:uid="{C4F4582F-2668-1849-9887-D37B6B23FB76}" name="w" dataDxfId="400"/>
    <tableColumn id="4" xr3:uid="{3B2F566F-31B5-1A48-BDEC-3FC52DF821C1}" name="g" dataDxfId="399"/>
  </tableColumns>
  <tableStyleInfo name="TableStyleLight8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295326E-E7B5-7545-8B63-8485BA7DAD68}" name="Table5" displayName="Table5" ref="A1:J30" totalsRowShown="0">
  <autoFilter ref="A1:J30" xr:uid="{4295326E-E7B5-7545-8B63-8485BA7DAD68}"/>
  <tableColumns count="10">
    <tableColumn id="1" xr3:uid="{CA812CC6-DDCE-754E-AB42-F1A67375D4F7}" name="id"/>
    <tableColumn id="2" xr3:uid="{14FD1ADA-22C7-2A4B-A0CA-D78701F35028}" name="lat"/>
    <tableColumn id="3" xr3:uid="{847B8689-E50E-3B4A-A222-5C51C7AF7360}" name="lng"/>
    <tableColumn id="4" xr3:uid="{3A32DA53-2325-C347-85FF-67215F3CEC96}" name="Name"/>
    <tableColumn id="5" xr3:uid="{AF4A247E-F3D0-C34D-95E0-71D23B849166}" name="City"/>
    <tableColumn id="6" xr3:uid="{44EEB276-2F76-D14F-8B87-C1E8A33AF2C1}" name="Country"/>
    <tableColumn id="7" xr3:uid="{C10A3F0E-1011-254A-9713-E1ACC1C8F89F}" name="Label"/>
    <tableColumn id="8" xr3:uid="{0654C257-BD00-FC46-93D0-125C7E4ECDE0}" name="degree"/>
    <tableColumn id="9" xr3:uid="{A4726373-6FCB-9349-8D65-2F0406AFEFE4}" name="weighted_degree"/>
    <tableColumn id="10" xr3:uid="{AB91A5A8-E79D-D645-8469-7E4630BA158E}" name="component"/>
  </tableColumns>
  <tableStyleInfo name="TableStyleLight8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4F742CF-AB9C-0047-A10B-85D0E743CB86}" name="Table6" displayName="Table6" ref="A1:J27" totalsRowShown="0">
  <autoFilter ref="A1:J27" xr:uid="{14F742CF-AB9C-0047-A10B-85D0E743CB86}"/>
  <tableColumns count="10">
    <tableColumn id="1" xr3:uid="{B3574DAB-81DE-2F4E-A699-B5E2E378D284}" name="id"/>
    <tableColumn id="2" xr3:uid="{577A3BC7-BF6F-1B46-8D74-D8CC18CA160E}" name="lat"/>
    <tableColumn id="3" xr3:uid="{C79BCB67-FBFC-0649-B8C7-9A0822AA6AA5}" name="lng"/>
    <tableColumn id="4" xr3:uid="{08E39C3D-491C-8C4B-82C0-80AF2FCA75A8}" name="Name"/>
    <tableColumn id="5" xr3:uid="{8E21D57E-1556-2940-B05A-944A3EAB3525}" name="City"/>
    <tableColumn id="6" xr3:uid="{5DD2AE3E-3162-4243-A6B3-9753E6CCEC50}" name="Country"/>
    <tableColumn id="7" xr3:uid="{D4C8205A-6F5A-754D-B2BC-DAB9A1944133}" name="Label"/>
    <tableColumn id="8" xr3:uid="{D31615B7-EF62-5845-A185-62B794DEA48E}" name="degree"/>
    <tableColumn id="9" xr3:uid="{87BBB102-2348-684A-930F-C4A4206B02B5}" name="weighted_degree"/>
    <tableColumn id="10" xr3:uid="{6CEDED95-0621-DC45-8259-ECD5276A86DA}" name="component"/>
  </tableColumns>
  <tableStyleInfo name="TableStyleLight8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C74FEFA-6617-944A-A910-789BA069CA4E}" name="Table7" displayName="Table7" ref="A1:J26" totalsRowShown="0">
  <autoFilter ref="A1:J26" xr:uid="{4C74FEFA-6617-944A-A910-789BA069CA4E}"/>
  <tableColumns count="10">
    <tableColumn id="1" xr3:uid="{F2B2A5C2-59EA-2B41-BB99-1B8EB255D324}" name="id"/>
    <tableColumn id="2" xr3:uid="{3DF4C053-9141-454D-971D-21391BC483AD}" name="lat"/>
    <tableColumn id="3" xr3:uid="{103EDA06-1AD8-2941-9729-B91586313D91}" name="lng"/>
    <tableColumn id="4" xr3:uid="{8EC8F50F-A997-8A4F-BD67-4DB906FDCAC2}" name="Name"/>
    <tableColumn id="5" xr3:uid="{A70E2FA4-1E41-7C41-865D-97F79BBE0D7A}" name="City"/>
    <tableColumn id="6" xr3:uid="{74C77315-0884-2B48-9336-30FD83BEEC50}" name="Country"/>
    <tableColumn id="7" xr3:uid="{AD9F5ECD-F619-EB48-9292-5F2ADCA4F816}" name="Label"/>
    <tableColumn id="8" xr3:uid="{3CDDD3B4-F194-9E45-A138-4FD6E1A8D76B}" name="degree"/>
    <tableColumn id="9" xr3:uid="{5C870582-7607-D540-ADD8-B879DCA45FA2}" name="weighted_degree"/>
    <tableColumn id="10" xr3:uid="{AE2EF6B8-D11E-1047-BFD5-1F36CC1537F2}" name="component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4F6760-160D-054D-9511-4CEB94954736}" name="Table16" displayName="Table16" ref="AA1:AI31" totalsRowShown="0" dataDxfId="398" tableBorderDxfId="397">
  <autoFilter ref="AA1:AI31" xr:uid="{754F6760-160D-054D-9511-4CEB94954736}"/>
  <sortState xmlns:xlrd2="http://schemas.microsoft.com/office/spreadsheetml/2017/richdata2" ref="AA2:AI31">
    <sortCondition descending="1" ref="AH1:AH31"/>
  </sortState>
  <tableColumns count="9">
    <tableColumn id="1" xr3:uid="{F60FD3D8-64AB-EC4E-8547-80DB6FD2E761}" name="source" dataDxfId="396"/>
    <tableColumn id="2" xr3:uid="{66D40E5D-F31D-744C-A908-300960E72C75}" name="target" dataDxfId="395"/>
    <tableColumn id="3" xr3:uid="{3EC3F91C-8027-6E41-9661-64AD1B5452ED}" name="source2" dataDxfId="394">
      <calculatedColumnFormula>VLOOKUP(Table10[[#This Row],[source]],Table2226[[#All],[ID]:[Label]],3,FALSE)</calculatedColumnFormula>
    </tableColumn>
    <tableColumn id="4" xr3:uid="{B7FDAFB3-DD2D-DB46-BCCD-0C4B6BBA12BD}" name="target2" dataDxfId="393">
      <calculatedColumnFormula>VLOOKUP(Table10[[#This Row],[target]],Table2226[[#All],[ID]:[Label]],3,FALSE)</calculatedColumnFormula>
    </tableColumn>
    <tableColumn id="5" xr3:uid="{B3C06DBE-ECEE-7940-95A7-DCC31199F654}" name="source-type" dataDxfId="392">
      <calculatedColumnFormula>IF(ISERROR(VLOOKUP(Table10[[#This Row],[source2]],Table22[Label],1,FALSE)),IF(ISERROR(VLOOKUP(Table10[[#This Row],[source2]],Table2210[Label],1,FALSE)),"SPOKE","FOCUS"),"HUB")</calculatedColumnFormula>
    </tableColumn>
    <tableColumn id="6" xr3:uid="{1FCCCF6D-B4A9-5E4B-B831-289A9F0D33A9}" name="target-type" dataDxfId="391">
      <calculatedColumnFormula>IF(ISERROR(VLOOKUP(Table10[[#This Row],[target2]],Table22[Label],1,FALSE)),IF(ISERROR(VLOOKUP(Table10[[#This Row],[target2]],Table2210[Label],1,FALSE)),"SPOKE","FOCUS"),"HUB")</calculatedColumnFormula>
    </tableColumn>
    <tableColumn id="7" xr3:uid="{276D95BF-30C0-0145-831C-ED21A2F1E506}" name="Edge-Type" dataDxfId="390">
      <calculatedColumnFormula>IF(Table10[[#This Row],[source-type]]&lt;Table10[[#This Row],[target-type]],Table10[[#This Row],[target-type]]&amp;"-"&amp;Table10[[#This Row],[source-type]],Table10[[#This Row],[source-type]]&amp;"-"&amp;Table10[[#This Row],[target-type]])</calculatedColumnFormula>
    </tableColumn>
    <tableColumn id="14" xr3:uid="{AE432519-ADE5-3F4D-9FC2-7C2E086A4CEA}" name="weight" dataDxfId="389"/>
    <tableColumn id="16" xr3:uid="{E1A73DFE-7F02-C948-A5D8-74439E3FD4E6}" name="gloss_alpha" dataDxfId="388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E6E628CD-CE4B-CC46-9FC1-02EFBC72B85E}" name="Table33" displayName="Table33" ref="A1:I32" totalsRowCount="1" headerRowDxfId="387" dataDxfId="386" tableBorderDxfId="385">
  <autoFilter ref="A1:I31" xr:uid="{E6E628CD-CE4B-CC46-9FC1-02EFBC72B85E}"/>
  <tableColumns count="9">
    <tableColumn id="1" xr3:uid="{95C69960-75FE-2F47-B7DE-B9FEEE0C6E79}" name="source2" dataDxfId="384" totalsRowDxfId="383"/>
    <tableColumn id="2" xr3:uid="{553A7F85-C471-5D48-87C7-6553184BC275}" name="target2" dataDxfId="382" totalsRowDxfId="381"/>
    <tableColumn id="3" xr3:uid="{0896B3DE-E61A-2F44-AE00-41B3E44F4D20}" name="df_alpha" dataDxfId="380" totalsRowDxfId="379"/>
    <tableColumn id="4" xr3:uid="{4DDBDE34-9620-BD4C-91E8-FB546B923D00}" name="weight" totalsRowFunction="sum" dataDxfId="378" totalsRowDxfId="377"/>
    <tableColumn id="5" xr3:uid="{7DAA7B56-5DB3-4C49-AEF2-A37B2F9ACFC4}" name="source-type" dataDxfId="376" totalsRowDxfId="375">
      <calculatedColumnFormula>IF(ISERROR(VLOOKUP(Table33[[#This Row],[source2]],Table22[Label],1,FALSE)),IF(ISERROR(VLOOKUP(Table33[[#This Row],[source2]],Table2210[Label],1,FALSE)),"SPOKE","FOCUS"),"HUB")</calculatedColumnFormula>
    </tableColumn>
    <tableColumn id="6" xr3:uid="{3F9B8A60-7DB3-8642-9A43-0D00E46BCEBB}" name="target-type" dataDxfId="374" totalsRowDxfId="373">
      <calculatedColumnFormula>IF(ISERROR(VLOOKUP(Table33[[#This Row],[target2]],Table22[Label],1,FALSE)),IF(ISERROR(VLOOKUP(Table33[[#This Row],[target2]],Table2210[Label],1,FALSE)),"SPOKE","FOCUS"),"HUB")</calculatedColumnFormula>
    </tableColumn>
    <tableColumn id="7" xr3:uid="{04BCA11B-85F6-0B46-9AE2-25F9730521DC}" name="Edge-Type" dataDxfId="372" totalsRowDxfId="371">
      <calculatedColumnFormula>IF(Table33[[#This Row],[source-type]]&lt;Table33[[#This Row],[target-type]],Table33[[#This Row],[target-type]]&amp;"-"&amp;Table33[[#This Row],[source-type]],Table33[[#This Row],[source-type]]&amp;"-"&amp;Table33[[#This Row],[target-type]])</calculatedColumnFormula>
    </tableColumn>
    <tableColumn id="8" xr3:uid="{FE166316-5294-4B4C-A9C4-102509ED6857}" name="source-wd" dataDxfId="370" totalsRowDxfId="369">
      <calculatedColumnFormula>IF(ISERROR(VLOOKUP(Table33[[#This Row],[source2]],Table22[[Label]:[Weighted Degree]],3,FALSE)),IF(ISERROR(VLOOKUP(Table33[[#This Row],[source2]],Table2210[[Label]:[Weighted Degree]],3,FALSE)),IF(ISERROR(VLOOKUP(Table33[[#This Row],[source2]],Table2214[[Label]:[Weighted Degree]],3,FALSE)),FALSE,VLOOKUP(Table33[[#This Row],[source2]],Table2214[[Label]:[Weighted Degree]],3,FALSE)),VLOOKUP(Table33[[#This Row],[source2]],Table2210[[Label]:[Weighted Degree]],3,FALSE)),VLOOKUP(Table33[[#This Row],[source2]],Table22[[Label]:[Weighted Degree]],3,FALSE))</calculatedColumnFormula>
    </tableColumn>
    <tableColumn id="9" xr3:uid="{750D250A-D577-9247-BC81-13603FCD28D0}" name="target-wd" dataDxfId="368" totalsRowDxfId="367">
      <calculatedColumnFormula>IF(ISERROR(VLOOKUP(Table33[[#This Row],[target2]],Table22[[Label]:[Weighted Degree]],3,FALSE)),IF(ISERROR(VLOOKUP(Table33[[#This Row],[target2]],Table2210[[Label]:[Weighted Degree]],3,FALSE)),IF(ISERROR(VLOOKUP(Table33[[#This Row],[target2]],Table2214[[Label]:[Weighted Degree]],3,FALSE)),FALSE,VLOOKUP(Table33[[#This Row],[target2]],Table2214[[Label]:[Weighted Degree]],3,FALSE)),VLOOKUP(Table33[[#This Row],[target2]],Table2210[[Label]:[Weighted Degree]],3,FALSE)),VLOOKUP(Table33[[#This Row],[target2]],Table22[[Label]:[Weighted Degree]],3,FALSE))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12AEA325-5A1E-CB4F-86B7-9D4953E8EE33}" name="Table34" displayName="Table34" ref="K1:S32" totalsRowCount="1" headerRowDxfId="366" dataDxfId="365" tableBorderDxfId="364">
  <autoFilter ref="K1:S31" xr:uid="{12AEA325-5A1E-CB4F-86B7-9D4953E8EE33}"/>
  <tableColumns count="9">
    <tableColumn id="1" xr3:uid="{BB26CAE8-7BCE-D648-8A34-7FE8AEAA50DE}" name="source2" dataDxfId="363" totalsRowDxfId="362"/>
    <tableColumn id="2" xr3:uid="{506B1F00-ADFD-0F4F-811F-A76B86CF5A0D}" name="target2" dataDxfId="361" totalsRowDxfId="360"/>
    <tableColumn id="3" xr3:uid="{AC3EC216-F05B-5C41-BEF9-5DF48E27DD67}" name="nc_alpha" dataDxfId="359" totalsRowDxfId="358"/>
    <tableColumn id="4" xr3:uid="{59D01B43-C630-1A4E-8E35-769E096F70A1}" name="weight" totalsRowFunction="sum" dataDxfId="357" totalsRowDxfId="356"/>
    <tableColumn id="5" xr3:uid="{77D21B0D-E903-ED4A-8AD4-9F24DEB7AA8F}" name="source-type" dataDxfId="355" totalsRowDxfId="354">
      <calculatedColumnFormula>IF(ISERROR(VLOOKUP(Table34[[#This Row],[source2]],Table22[Label],1,FALSE)),IF(ISERROR(VLOOKUP(Table34[[#This Row],[source2]],Table2210[Label],1,FALSE)),"SPOKE","FOCUS"),"HUB")</calculatedColumnFormula>
    </tableColumn>
    <tableColumn id="6" xr3:uid="{F3DDC4D2-0619-AB41-9E52-C2530DAD4BAE}" name="target-type" dataDxfId="353" totalsRowDxfId="352">
      <calculatedColumnFormula>IF(ISERROR(VLOOKUP(Table34[[#This Row],[target2]],Table22[Label],1,FALSE)),IF(ISERROR(VLOOKUP(Table34[[#This Row],[target2]],Table2210[Label],1,FALSE)),"SPOKE","FOCUS"),"HUB")</calculatedColumnFormula>
    </tableColumn>
    <tableColumn id="7" xr3:uid="{CF7EEE43-4668-9A4B-9CA0-BE0EAB9A22FE}" name="Edge-Type" dataDxfId="351" totalsRowDxfId="350">
      <calculatedColumnFormula>IF(Table34[[#This Row],[source-type]]&lt;Table34[[#This Row],[target-type]],Table34[[#This Row],[target-type]]&amp;"-"&amp;Table34[[#This Row],[source-type]],Table34[[#This Row],[source-type]]&amp;"-"&amp;Table34[[#This Row],[target-type]])</calculatedColumnFormula>
    </tableColumn>
    <tableColumn id="8" xr3:uid="{68B9D6D6-02A0-E64E-B259-06C54F8CDF70}" name="source-wd" dataDxfId="349" totalsRowDxfId="348">
      <calculatedColumnFormula>IF(ISERROR(VLOOKUP(Table34[[#This Row],[source2]],Table22[[Label]:[Weighted Degree]],3,FALSE)),IF(ISERROR(VLOOKUP(Table34[[#This Row],[source2]],Table2210[[Label]:[Weighted Degree]],3,FALSE)),IF(ISERROR(VLOOKUP(Table34[[#This Row],[source2]],Table2214[[Label]:[Weighted Degree]],3,FALSE)),FALSE,VLOOKUP(Table34[[#This Row],[source2]],Table2214[[Label]:[Weighted Degree]],3,FALSE)),VLOOKUP(Table34[[#This Row],[source2]],Table2210[[Label]:[Weighted Degree]],3,FALSE)),VLOOKUP(Table34[[#This Row],[source2]],Table22[[Label]:[Weighted Degree]],3,FALSE))</calculatedColumnFormula>
    </tableColumn>
    <tableColumn id="9" xr3:uid="{C6FFA0E9-1B50-C94B-A774-D82B7A5BA02C}" name="target-wd" dataDxfId="347" totalsRowDxfId="346">
      <calculatedColumnFormula>IF(ISERROR(VLOOKUP(Table34[[#This Row],[target2]],Table22[[Label]:[Weighted Degree]],3,FALSE)),IF(ISERROR(VLOOKUP(Table34[[#This Row],[target2]],Table2210[[Label]:[Weighted Degree]],3,FALSE)),IF(ISERROR(VLOOKUP(Table34[[#This Row],[target2]],Table2214[[Label]:[Weighted Degree]],3,FALSE)),FALSE,VLOOKUP(Table34[[#This Row],[target2]],Table2214[[Label]:[Weighted Degree]],3,FALSE)),VLOOKUP(Table34[[#This Row],[target2]],Table2210[[Label]:[Weighted Degree]],3,FALSE)),VLOOKUP(Table34[[#This Row],[target2]],Table22[[Label]:[Weighted Degree]],3,FALSE))</calculatedColumnFormula>
    </tableColumn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7121E1C1-821D-F445-AAD8-19D701FB916C}" name="Table36" displayName="Table36" ref="U1:AC32" totalsRowCount="1" headerRowDxfId="345" dataDxfId="344" tableBorderDxfId="343">
  <autoFilter ref="U1:AC31" xr:uid="{7121E1C1-821D-F445-AAD8-19D701FB916C}"/>
  <tableColumns count="9">
    <tableColumn id="1" xr3:uid="{FC40D3EF-E0E5-744B-8676-27FE301DE78D}" name="source2" dataDxfId="342" totalsRowDxfId="341"/>
    <tableColumn id="2" xr3:uid="{310A6E77-53CE-134A-AB80-B66A71555377}" name="target2" dataDxfId="340" totalsRowDxfId="339"/>
    <tableColumn id="3" xr3:uid="{597503EB-F238-8240-83DB-D9C91570A4ED}" name="pf_alpha" dataDxfId="338" totalsRowDxfId="337"/>
    <tableColumn id="4" xr3:uid="{AF288111-2CFC-0841-B8E0-F5956190B048}" name="weight" totalsRowFunction="sum" dataDxfId="336" totalsRowDxfId="335"/>
    <tableColumn id="5" xr3:uid="{01283218-8863-2246-AB6B-E79AEC07FB2F}" name="source-type" dataDxfId="334" totalsRowDxfId="333">
      <calculatedColumnFormula>IF(ISERROR(VLOOKUP(Table36[[#This Row],[source2]],Table22[Label],1,FALSE)),IF(ISERROR(VLOOKUP(Table36[[#This Row],[source2]],Table2210[Label],1,FALSE)),"SPOKE","FOCUS"),"HUB")</calculatedColumnFormula>
    </tableColumn>
    <tableColumn id="6" xr3:uid="{8F40FE15-D5C9-C341-8AFE-05AC2F5197FB}" name="target-type" dataDxfId="332" totalsRowDxfId="331">
      <calculatedColumnFormula>IF(ISERROR(VLOOKUP(Table36[[#This Row],[target2]],Table22[Label],1,FALSE)),IF(ISERROR(VLOOKUP(Table36[[#This Row],[target2]],Table2210[Label],1,FALSE)),"SPOKE","FOCUS"),"HUB")</calculatedColumnFormula>
    </tableColumn>
    <tableColumn id="7" xr3:uid="{B1F8BDC4-EBFE-DB4C-9AF3-DF263B78D85F}" name="Edge-Type" dataDxfId="330" totalsRowDxfId="329">
      <calculatedColumnFormula>IF(Table36[[#This Row],[source-type]]&lt;Table36[[#This Row],[target-type]],Table36[[#This Row],[target-type]]&amp;"-"&amp;Table36[[#This Row],[source-type]],Table36[[#This Row],[source-type]]&amp;"-"&amp;Table36[[#This Row],[target-type]])</calculatedColumnFormula>
    </tableColumn>
    <tableColumn id="8" xr3:uid="{1AA22F69-6D94-A145-ADED-6905490A4421}" name="source-wd" dataDxfId="328" totalsRowDxfId="327">
      <calculatedColumnFormula>IF(ISERROR(VLOOKUP(Table36[[#This Row],[source2]],Table22[[Label]:[Weighted Degree]],3,FALSE)),IF(ISERROR(VLOOKUP(Table36[[#This Row],[source2]],Table2210[[Label]:[Weighted Degree]],3,FALSE)),IF(ISERROR(VLOOKUP(Table36[[#This Row],[source2]],Table2214[[Label]:[Weighted Degree]],3,FALSE)),FALSE,VLOOKUP(Table36[[#This Row],[source2]],Table2214[[Label]:[Weighted Degree]],3,FALSE)),VLOOKUP(Table36[[#This Row],[source2]],Table2210[[Label]:[Weighted Degree]],3,FALSE)),VLOOKUP(Table36[[#This Row],[source2]],Table22[[Label]:[Weighted Degree]],3,FALSE))</calculatedColumnFormula>
    </tableColumn>
    <tableColumn id="9" xr3:uid="{9EC5BF0F-C140-6B4F-91C9-D64A02CB1886}" name="target-wd" dataDxfId="326" totalsRowDxfId="325">
      <calculatedColumnFormula>IF(ISERROR(VLOOKUP(Table36[[#This Row],[target2]],Table22[[Label]:[Weighted Degree]],3,FALSE)),IF(ISERROR(VLOOKUP(Table36[[#This Row],[target2]],Table2210[[Label]:[Weighted Degree]],3,FALSE)),IF(ISERROR(VLOOKUP(Table36[[#This Row],[target2]],Table2214[[Label]:[Weighted Degree]],3,FALSE)),FALSE,VLOOKUP(Table36[[#This Row],[target2]],Table2214[[Label]:[Weighted Degree]],3,FALSE)),VLOOKUP(Table36[[#This Row],[target2]],Table2210[[Label]:[Weighted Degree]],3,FALSE)),VLOOKUP(Table36[[#This Row],[target2]],Table22[[Label]:[Weighted Degree]],3,FALSE))</calculatedColumnFormula>
    </tableColumn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6A24CA-BE12-A14A-8F31-D68949C27B8D}" name="Table8" displayName="Table8" ref="A35:I66" totalsRowCount="1" headerRowDxfId="324" dataDxfId="323" tableBorderDxfId="322">
  <autoFilter ref="A35:I65" xr:uid="{446A24CA-BE12-A14A-8F31-D68949C27B8D}"/>
  <tableColumns count="9">
    <tableColumn id="1" xr3:uid="{8DD3C5A0-9871-2E44-AD41-49E61E501241}" name="source2" dataDxfId="321" totalsRowDxfId="320"/>
    <tableColumn id="2" xr3:uid="{47CFA9A8-552F-9D42-816F-11FEA7F80441}" name="target2" dataDxfId="319" totalsRowDxfId="318"/>
    <tableColumn id="3" xr3:uid="{C1F1AF5C-973A-BD43-964B-4BEB35C556BE}" name="mlf_score" dataDxfId="317" totalsRowDxfId="316"/>
    <tableColumn id="4" xr3:uid="{BF675EB9-76CE-D148-943D-C360D126C758}" name="weight" totalsRowFunction="sum" dataDxfId="315" totalsRowDxfId="314"/>
    <tableColumn id="5" xr3:uid="{C157961F-C7F8-9748-B296-E37C94E3A6CF}" name="source-tyoe" dataDxfId="313" totalsRowDxfId="312">
      <calculatedColumnFormula>IF(ISERROR(VLOOKUP(Table8[[#This Row],[source2]],Table22[Label],1,FALSE)),IF(ISERROR(VLOOKUP(Table8[[#This Row],[source2]],Table2210[Label],1,FALSE)),"SPOKE","FOCUS"),"HUB")</calculatedColumnFormula>
    </tableColumn>
    <tableColumn id="6" xr3:uid="{51C80591-09E0-FB44-8AF5-77C93A6AA335}" name="target-type" dataDxfId="311" totalsRowDxfId="310">
      <calculatedColumnFormula>IF(ISERROR(VLOOKUP(Table8[[#This Row],[target2]],Table22[Label],1,FALSE)),IF(ISERROR(VLOOKUP(Table8[[#This Row],[target2]],Table2210[Label],1,FALSE)),"SPOKE","FOCUS"),"HUB")</calculatedColumnFormula>
    </tableColumn>
    <tableColumn id="7" xr3:uid="{3DDF3BE3-511E-A64F-A8BD-58BE50DEC53C}" name="Edge-Type" dataDxfId="309" totalsRowDxfId="308">
      <calculatedColumnFormula>IF(Table8[[#This Row],[source-tyoe]]&lt;Table8[[#This Row],[target-type]],Table8[[#This Row],[target-type]]&amp;"-"&amp;Table8[[#This Row],[source-tyoe]],Table8[[#This Row],[source-tyoe]]&amp;"-"&amp;Table8[[#This Row],[target-type]])</calculatedColumnFormula>
    </tableColumn>
    <tableColumn id="8" xr3:uid="{8A74D4B0-16CC-E244-8497-90EDA24A6CD1}" name="source-wd" dataDxfId="307" totalsRowDxfId="306">
      <calculatedColumnFormula>IF(ISERROR(VLOOKUP(Table8[[#This Row],[source2]],Table22[[Label]:[Weighted Degree]],3,FALSE)),IF(ISERROR(VLOOKUP(Table8[[#This Row],[source2]],Table2210[[Label]:[Weighted Degree]],3,FALSE)),IF(ISERROR(VLOOKUP(Table8[[#This Row],[source2]],Table2214[[Label]:[Weighted Degree]],3,FALSE)),FALSE,VLOOKUP(Table8[[#This Row],[source2]],Table2214[[Label]:[Weighted Degree]],3,FALSE)),VLOOKUP(Table8[[#This Row],[source2]],Table2210[[Label]:[Weighted Degree]],3,FALSE)),VLOOKUP(Table8[[#This Row],[source2]],Table22[[Label]:[Weighted Degree]],3,FALSE))</calculatedColumnFormula>
    </tableColumn>
    <tableColumn id="9" xr3:uid="{AD53BE45-FBAF-BB40-BC63-ACB8DB1A2603}" name="target-wd" dataDxfId="305" totalsRowDxfId="304">
      <calculatedColumnFormula>IF(ISERROR(VLOOKUP(Table8[[#This Row],[target2]],Table22[[Label]:[Weighted Degree]],3,FALSE)),IF(ISERROR(VLOOKUP(Table8[[#This Row],[target2]],Table2210[[Label]:[Weighted Degree]],3,FALSE)),IF(ISERROR(VLOOKUP(Table8[[#This Row],[target2]],Table2214[[Label]:[Weighted Degree]],3,FALSE)),FALSE,VLOOKUP(Table8[[#This Row],[target2]],Table2214[[Label]:[Weighted Degree]],3,FALSE)),VLOOKUP(Table8[[#This Row],[target2]],Table2210[[Label]:[Weighted Degree]],3,FALSE)),VLOOKUP(Table8[[#This Row],[target2]],Table22[[Label]:[Weighted Degree]],3,FALSE))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13" Type="http://schemas.openxmlformats.org/officeDocument/2006/relationships/table" Target="../tables/table17.xml"/><Relationship Id="rId18" Type="http://schemas.openxmlformats.org/officeDocument/2006/relationships/comments" Target="../comments1.xml"/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12" Type="http://schemas.openxmlformats.org/officeDocument/2006/relationships/table" Target="../tables/table16.xml"/><Relationship Id="rId17" Type="http://schemas.openxmlformats.org/officeDocument/2006/relationships/table" Target="../tables/table21.xml"/><Relationship Id="rId2" Type="http://schemas.openxmlformats.org/officeDocument/2006/relationships/table" Target="../tables/table6.xml"/><Relationship Id="rId16" Type="http://schemas.openxmlformats.org/officeDocument/2006/relationships/table" Target="../tables/table20.xml"/><Relationship Id="rId1" Type="http://schemas.openxmlformats.org/officeDocument/2006/relationships/vmlDrawing" Target="../drawings/vmlDrawing1.vml"/><Relationship Id="rId6" Type="http://schemas.openxmlformats.org/officeDocument/2006/relationships/table" Target="../tables/table10.xml"/><Relationship Id="rId11" Type="http://schemas.openxmlformats.org/officeDocument/2006/relationships/table" Target="../tables/table15.xml"/><Relationship Id="rId5" Type="http://schemas.openxmlformats.org/officeDocument/2006/relationships/table" Target="../tables/table9.xml"/><Relationship Id="rId15" Type="http://schemas.openxmlformats.org/officeDocument/2006/relationships/table" Target="../tables/table19.xml"/><Relationship Id="rId10" Type="http://schemas.openxmlformats.org/officeDocument/2006/relationships/table" Target="../tables/table14.xml"/><Relationship Id="rId4" Type="http://schemas.openxmlformats.org/officeDocument/2006/relationships/table" Target="../tables/table8.xml"/><Relationship Id="rId9" Type="http://schemas.openxmlformats.org/officeDocument/2006/relationships/table" Target="../tables/table13.xml"/><Relationship Id="rId14" Type="http://schemas.openxmlformats.org/officeDocument/2006/relationships/table" Target="../tables/table1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3.xml"/><Relationship Id="rId3" Type="http://schemas.openxmlformats.org/officeDocument/2006/relationships/table" Target="../tables/table28.xml"/><Relationship Id="rId7" Type="http://schemas.openxmlformats.org/officeDocument/2006/relationships/table" Target="../tables/table32.xml"/><Relationship Id="rId2" Type="http://schemas.openxmlformats.org/officeDocument/2006/relationships/table" Target="../tables/table27.xml"/><Relationship Id="rId1" Type="http://schemas.openxmlformats.org/officeDocument/2006/relationships/drawing" Target="../drawings/drawing1.xml"/><Relationship Id="rId6" Type="http://schemas.openxmlformats.org/officeDocument/2006/relationships/table" Target="../tables/table31.xml"/><Relationship Id="rId5" Type="http://schemas.openxmlformats.org/officeDocument/2006/relationships/table" Target="../tables/table30.xml"/><Relationship Id="rId4" Type="http://schemas.openxmlformats.org/officeDocument/2006/relationships/table" Target="../tables/table29.xml"/><Relationship Id="rId9" Type="http://schemas.openxmlformats.org/officeDocument/2006/relationships/table" Target="../tables/table3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BA1D0-34E7-4649-9D6F-52458184A406}">
  <dimension ref="A1:H74"/>
  <sheetViews>
    <sheetView tabSelected="1" topLeftCell="A17" workbookViewId="0">
      <selection activeCell="C41" sqref="C41"/>
    </sheetView>
  </sheetViews>
  <sheetFormatPr baseColWidth="10" defaultRowHeight="16" x14ac:dyDescent="0.2"/>
  <cols>
    <col min="1" max="1" width="10.6640625" customWidth="1"/>
    <col min="2" max="2" width="50.33203125" bestFit="1" customWidth="1"/>
    <col min="3" max="3" width="21.33203125" customWidth="1"/>
    <col min="4" max="4" width="21.83203125" bestFit="1" customWidth="1"/>
    <col min="6" max="6" width="52" bestFit="1" customWidth="1"/>
    <col min="7" max="7" width="15.83203125" bestFit="1" customWidth="1"/>
    <col min="8" max="8" width="7.83203125" customWidth="1"/>
    <col min="9" max="9" width="17.33203125" bestFit="1" customWidth="1"/>
  </cols>
  <sheetData>
    <row r="1" spans="1:4" x14ac:dyDescent="0.2">
      <c r="A1" s="1" t="s">
        <v>3</v>
      </c>
      <c r="B1" s="1" t="s">
        <v>4</v>
      </c>
      <c r="C1" s="1" t="s">
        <v>8</v>
      </c>
      <c r="D1" s="1" t="s">
        <v>5</v>
      </c>
    </row>
    <row r="2" spans="1:4" x14ac:dyDescent="0.2">
      <c r="A2" s="1">
        <v>1</v>
      </c>
      <c r="B2" s="1" t="s">
        <v>171</v>
      </c>
      <c r="C2" s="1" t="s">
        <v>168</v>
      </c>
      <c r="D2" s="1" t="s">
        <v>6</v>
      </c>
    </row>
    <row r="3" spans="1:4" x14ac:dyDescent="0.2">
      <c r="A3" s="1">
        <v>2</v>
      </c>
      <c r="B3" s="1" t="s">
        <v>170</v>
      </c>
      <c r="C3" s="1" t="s">
        <v>128</v>
      </c>
      <c r="D3" s="1" t="s">
        <v>6</v>
      </c>
    </row>
    <row r="4" spans="1:4" x14ac:dyDescent="0.2">
      <c r="A4" s="1">
        <v>3</v>
      </c>
      <c r="B4" s="1" t="s">
        <v>42</v>
      </c>
      <c r="C4" s="1" t="s">
        <v>135</v>
      </c>
      <c r="D4" s="1" t="s">
        <v>6</v>
      </c>
    </row>
    <row r="5" spans="1:4" x14ac:dyDescent="0.2">
      <c r="A5" s="1">
        <v>4</v>
      </c>
      <c r="B5" s="1" t="s">
        <v>169</v>
      </c>
      <c r="C5" s="1" t="s">
        <v>133</v>
      </c>
      <c r="D5" s="1" t="s">
        <v>6</v>
      </c>
    </row>
    <row r="6" spans="1:4" x14ac:dyDescent="0.2">
      <c r="A6" s="1">
        <v>5</v>
      </c>
      <c r="B6" s="1" t="s">
        <v>32</v>
      </c>
      <c r="C6" s="1" t="s">
        <v>132</v>
      </c>
      <c r="D6" s="1" t="s">
        <v>6</v>
      </c>
    </row>
    <row r="7" spans="1:4" x14ac:dyDescent="0.2">
      <c r="A7" s="1">
        <v>6</v>
      </c>
      <c r="B7" s="1" t="s">
        <v>61</v>
      </c>
      <c r="C7" s="1" t="s">
        <v>142</v>
      </c>
      <c r="D7" s="1" t="s">
        <v>6</v>
      </c>
    </row>
    <row r="8" spans="1:4" x14ac:dyDescent="0.2">
      <c r="A8" s="1">
        <v>7</v>
      </c>
      <c r="B8" s="1" t="s">
        <v>12</v>
      </c>
      <c r="C8" s="1" t="s">
        <v>125</v>
      </c>
      <c r="D8" s="1" t="s">
        <v>6</v>
      </c>
    </row>
    <row r="9" spans="1:4" x14ac:dyDescent="0.2">
      <c r="A9" s="1">
        <v>8</v>
      </c>
      <c r="B9" s="1" t="s">
        <v>172</v>
      </c>
      <c r="C9" s="1" t="s">
        <v>127</v>
      </c>
      <c r="D9" s="1" t="s">
        <v>6</v>
      </c>
    </row>
    <row r="10" spans="1:4" x14ac:dyDescent="0.2">
      <c r="A10" s="1">
        <v>9</v>
      </c>
      <c r="B10" s="1" t="s">
        <v>52</v>
      </c>
      <c r="C10" s="1" t="s">
        <v>139</v>
      </c>
      <c r="D10" s="1" t="s">
        <v>6</v>
      </c>
    </row>
    <row r="11" spans="1:4" x14ac:dyDescent="0.2">
      <c r="A11" s="1">
        <v>10</v>
      </c>
      <c r="B11" s="1" t="s">
        <v>9</v>
      </c>
      <c r="C11" s="1" t="s">
        <v>124</v>
      </c>
      <c r="D11" s="1" t="s">
        <v>6</v>
      </c>
    </row>
    <row r="12" spans="1:4" x14ac:dyDescent="0.2">
      <c r="A12" s="1">
        <v>1</v>
      </c>
      <c r="B12" s="1" t="s">
        <v>24</v>
      </c>
      <c r="C12" s="1" t="s">
        <v>129</v>
      </c>
      <c r="D12" s="1" t="s">
        <v>38</v>
      </c>
    </row>
    <row r="13" spans="1:4" x14ac:dyDescent="0.2">
      <c r="A13" s="1">
        <v>2</v>
      </c>
      <c r="B13" s="1" t="s">
        <v>64</v>
      </c>
      <c r="C13" s="1" t="s">
        <v>143</v>
      </c>
      <c r="D13" s="1" t="s">
        <v>38</v>
      </c>
    </row>
    <row r="14" spans="1:4" x14ac:dyDescent="0.2">
      <c r="A14" s="1">
        <v>3</v>
      </c>
      <c r="B14" s="1" t="s">
        <v>12</v>
      </c>
      <c r="C14" s="1" t="s">
        <v>125</v>
      </c>
      <c r="D14" s="1" t="s">
        <v>38</v>
      </c>
    </row>
    <row r="15" spans="1:4" x14ac:dyDescent="0.2">
      <c r="A15" s="1">
        <v>4</v>
      </c>
      <c r="B15" s="1" t="s">
        <v>173</v>
      </c>
      <c r="C15" s="1" t="s">
        <v>137</v>
      </c>
      <c r="D15" s="1" t="s">
        <v>38</v>
      </c>
    </row>
    <row r="16" spans="1:4" x14ac:dyDescent="0.2">
      <c r="A16" s="1">
        <v>5</v>
      </c>
      <c r="B16" s="1" t="s">
        <v>49</v>
      </c>
      <c r="C16" s="1" t="s">
        <v>138</v>
      </c>
      <c r="D16" s="1" t="s">
        <v>38</v>
      </c>
    </row>
    <row r="17" spans="1:4" x14ac:dyDescent="0.2">
      <c r="A17" s="1">
        <v>6</v>
      </c>
      <c r="B17" s="1" t="s">
        <v>27</v>
      </c>
      <c r="C17" s="1" t="s">
        <v>130</v>
      </c>
      <c r="D17" s="1" t="s">
        <v>38</v>
      </c>
    </row>
    <row r="18" spans="1:4" x14ac:dyDescent="0.2">
      <c r="A18" s="1">
        <v>7</v>
      </c>
      <c r="B18" s="1" t="s">
        <v>9</v>
      </c>
      <c r="C18" s="1" t="s">
        <v>124</v>
      </c>
      <c r="D18" s="1" t="s">
        <v>38</v>
      </c>
    </row>
    <row r="19" spans="1:4" x14ac:dyDescent="0.2">
      <c r="A19" s="1">
        <v>1</v>
      </c>
      <c r="B19" s="1" t="s">
        <v>174</v>
      </c>
      <c r="C19" s="1" t="s">
        <v>136</v>
      </c>
      <c r="D19" s="1" t="s">
        <v>60</v>
      </c>
    </row>
    <row r="20" spans="1:4" x14ac:dyDescent="0.2">
      <c r="A20" s="1">
        <v>2</v>
      </c>
      <c r="B20" s="1" t="s">
        <v>171</v>
      </c>
      <c r="C20" s="1" t="s">
        <v>168</v>
      </c>
      <c r="D20" s="1" t="s">
        <v>60</v>
      </c>
    </row>
    <row r="21" spans="1:4" x14ac:dyDescent="0.2">
      <c r="A21" s="1">
        <v>3</v>
      </c>
      <c r="B21" s="1" t="s">
        <v>170</v>
      </c>
      <c r="C21" s="1" t="s">
        <v>128</v>
      </c>
      <c r="D21" s="1" t="s">
        <v>60</v>
      </c>
    </row>
    <row r="22" spans="1:4" x14ac:dyDescent="0.2">
      <c r="A22" s="1">
        <v>4</v>
      </c>
      <c r="B22" s="1" t="s">
        <v>182</v>
      </c>
      <c r="C22" s="1" t="s">
        <v>141</v>
      </c>
      <c r="D22" s="1" t="s">
        <v>60</v>
      </c>
    </row>
    <row r="23" spans="1:4" x14ac:dyDescent="0.2">
      <c r="A23" s="1">
        <v>5</v>
      </c>
      <c r="B23" s="1" t="s">
        <v>183</v>
      </c>
      <c r="C23" s="1" t="s">
        <v>175</v>
      </c>
      <c r="D23" s="1" t="s">
        <v>60</v>
      </c>
    </row>
    <row r="24" spans="1:4" x14ac:dyDescent="0.2">
      <c r="A24" s="1">
        <v>6</v>
      </c>
      <c r="B24" s="1" t="s">
        <v>184</v>
      </c>
      <c r="C24" s="1" t="s">
        <v>126</v>
      </c>
      <c r="D24" s="1" t="s">
        <v>60</v>
      </c>
    </row>
    <row r="25" spans="1:4" x14ac:dyDescent="0.2">
      <c r="A25" s="1">
        <v>7</v>
      </c>
      <c r="B25" s="1" t="s">
        <v>185</v>
      </c>
      <c r="C25" s="1" t="s">
        <v>140</v>
      </c>
      <c r="D25" s="1" t="s">
        <v>60</v>
      </c>
    </row>
    <row r="26" spans="1:4" x14ac:dyDescent="0.2">
      <c r="A26" s="1">
        <v>8</v>
      </c>
      <c r="B26" s="1" t="s">
        <v>69</v>
      </c>
      <c r="C26" s="1" t="s">
        <v>145</v>
      </c>
      <c r="D26" s="1" t="s">
        <v>60</v>
      </c>
    </row>
    <row r="27" spans="1:4" x14ac:dyDescent="0.2">
      <c r="A27" s="1">
        <v>9</v>
      </c>
      <c r="B27" s="1" t="s">
        <v>186</v>
      </c>
      <c r="C27" s="1" t="s">
        <v>131</v>
      </c>
      <c r="D27" s="1" t="s">
        <v>60</v>
      </c>
    </row>
    <row r="28" spans="1:4" x14ac:dyDescent="0.2">
      <c r="A28" s="1">
        <v>10</v>
      </c>
      <c r="B28" s="1" t="s">
        <v>9</v>
      </c>
      <c r="C28" s="1" t="s">
        <v>124</v>
      </c>
      <c r="D28" s="1" t="s">
        <v>60</v>
      </c>
    </row>
    <row r="29" spans="1:4" x14ac:dyDescent="0.2">
      <c r="A29" s="1">
        <v>1</v>
      </c>
      <c r="B29" s="1" t="s">
        <v>187</v>
      </c>
      <c r="C29" s="1" t="s">
        <v>176</v>
      </c>
      <c r="D29" s="1" t="s">
        <v>93</v>
      </c>
    </row>
    <row r="30" spans="1:4" x14ac:dyDescent="0.2">
      <c r="A30" s="1">
        <v>2</v>
      </c>
      <c r="B30" s="1" t="s">
        <v>184</v>
      </c>
      <c r="C30" s="1" t="s">
        <v>126</v>
      </c>
      <c r="D30" s="3" t="s">
        <v>93</v>
      </c>
    </row>
    <row r="31" spans="1:4" x14ac:dyDescent="0.2">
      <c r="A31" s="1">
        <v>3</v>
      </c>
      <c r="B31" s="1" t="s">
        <v>66</v>
      </c>
      <c r="C31" s="1" t="s">
        <v>144</v>
      </c>
      <c r="D31" s="3" t="s">
        <v>93</v>
      </c>
    </row>
    <row r="32" spans="1:4" x14ac:dyDescent="0.2">
      <c r="A32" s="1">
        <v>4</v>
      </c>
      <c r="B32" s="1" t="s">
        <v>188</v>
      </c>
      <c r="C32" s="1" t="s">
        <v>146</v>
      </c>
      <c r="D32" s="3" t="s">
        <v>93</v>
      </c>
    </row>
    <row r="33" spans="1:4" x14ac:dyDescent="0.2">
      <c r="A33" s="1">
        <v>5</v>
      </c>
      <c r="B33" s="1" t="s">
        <v>189</v>
      </c>
      <c r="C33" s="1" t="s">
        <v>177</v>
      </c>
      <c r="D33" s="3" t="s">
        <v>93</v>
      </c>
    </row>
    <row r="34" spans="1:4" x14ac:dyDescent="0.2">
      <c r="A34" s="1">
        <v>6</v>
      </c>
      <c r="B34" s="1" t="s">
        <v>190</v>
      </c>
      <c r="C34" s="1" t="s">
        <v>178</v>
      </c>
      <c r="D34" s="3" t="s">
        <v>93</v>
      </c>
    </row>
    <row r="35" spans="1:4" x14ac:dyDescent="0.2">
      <c r="A35" s="1">
        <v>7</v>
      </c>
      <c r="B35" s="1" t="s">
        <v>191</v>
      </c>
      <c r="C35" s="1" t="s">
        <v>179</v>
      </c>
      <c r="D35" s="3" t="s">
        <v>93</v>
      </c>
    </row>
    <row r="36" spans="1:4" x14ac:dyDescent="0.2">
      <c r="A36" s="1">
        <v>8</v>
      </c>
      <c r="B36" s="1" t="s">
        <v>192</v>
      </c>
      <c r="C36" s="1" t="s">
        <v>180</v>
      </c>
      <c r="D36" s="3" t="s">
        <v>93</v>
      </c>
    </row>
    <row r="37" spans="1:4" x14ac:dyDescent="0.2">
      <c r="A37" s="1">
        <v>9</v>
      </c>
      <c r="B37" s="1" t="s">
        <v>193</v>
      </c>
      <c r="C37" s="1" t="s">
        <v>181</v>
      </c>
      <c r="D37" s="3" t="s">
        <v>93</v>
      </c>
    </row>
    <row r="38" spans="1:4" x14ac:dyDescent="0.2">
      <c r="A38" s="1">
        <v>10</v>
      </c>
      <c r="B38" s="1" t="s">
        <v>207</v>
      </c>
      <c r="C38" s="1" t="s">
        <v>194</v>
      </c>
      <c r="D38" s="3" t="s">
        <v>93</v>
      </c>
    </row>
    <row r="39" spans="1:4" x14ac:dyDescent="0.2">
      <c r="A39" s="1">
        <v>11</v>
      </c>
      <c r="B39" s="1" t="s">
        <v>49</v>
      </c>
      <c r="C39" s="1" t="s">
        <v>138</v>
      </c>
      <c r="D39" s="3" t="s">
        <v>93</v>
      </c>
    </row>
    <row r="40" spans="1:4" x14ac:dyDescent="0.2">
      <c r="A40" s="1">
        <v>12</v>
      </c>
      <c r="B40" s="1" t="s">
        <v>39</v>
      </c>
      <c r="C40" s="1" t="s">
        <v>134</v>
      </c>
      <c r="D40" s="3" t="s">
        <v>93</v>
      </c>
    </row>
    <row r="41" spans="1:4" x14ac:dyDescent="0.2">
      <c r="A41" s="1">
        <v>13</v>
      </c>
      <c r="B41" s="1" t="s">
        <v>52</v>
      </c>
      <c r="C41" s="1" t="s">
        <v>139</v>
      </c>
      <c r="D41" s="3" t="s">
        <v>93</v>
      </c>
    </row>
    <row r="42" spans="1:4" x14ac:dyDescent="0.2">
      <c r="A42" s="1">
        <v>14</v>
      </c>
      <c r="B42" s="1" t="s">
        <v>208</v>
      </c>
      <c r="C42" s="1" t="s">
        <v>195</v>
      </c>
      <c r="D42" s="3" t="s">
        <v>93</v>
      </c>
    </row>
    <row r="43" spans="1:4" x14ac:dyDescent="0.2">
      <c r="A43" s="1">
        <v>15</v>
      </c>
      <c r="B43" s="1" t="s">
        <v>9</v>
      </c>
      <c r="C43" s="1" t="s">
        <v>124</v>
      </c>
      <c r="D43" s="3" t="s">
        <v>93</v>
      </c>
    </row>
    <row r="44" spans="1:4" x14ac:dyDescent="0.2">
      <c r="A44" s="1">
        <v>16</v>
      </c>
      <c r="B44" s="1" t="s">
        <v>209</v>
      </c>
      <c r="C44" s="1" t="s">
        <v>196</v>
      </c>
      <c r="D44" s="3" t="s">
        <v>93</v>
      </c>
    </row>
    <row r="45" spans="1:4" x14ac:dyDescent="0.2">
      <c r="A45" s="1">
        <v>17</v>
      </c>
      <c r="B45" s="1" t="s">
        <v>210</v>
      </c>
      <c r="C45" s="1" t="s">
        <v>197</v>
      </c>
      <c r="D45" s="3" t="s">
        <v>93</v>
      </c>
    </row>
    <row r="46" spans="1:4" x14ac:dyDescent="0.2">
      <c r="A46" s="1">
        <v>18</v>
      </c>
      <c r="B46" s="1" t="s">
        <v>211</v>
      </c>
      <c r="C46" s="1" t="s">
        <v>198</v>
      </c>
      <c r="D46" s="3" t="s">
        <v>93</v>
      </c>
    </row>
    <row r="47" spans="1:4" x14ac:dyDescent="0.2">
      <c r="A47" s="1">
        <v>1</v>
      </c>
      <c r="B47" s="1" t="s">
        <v>174</v>
      </c>
      <c r="C47" s="1" t="s">
        <v>136</v>
      </c>
      <c r="D47" s="3" t="s">
        <v>121</v>
      </c>
    </row>
    <row r="48" spans="1:4" x14ac:dyDescent="0.2">
      <c r="A48" s="1">
        <v>2</v>
      </c>
      <c r="B48" s="1" t="s">
        <v>170</v>
      </c>
      <c r="C48" s="1" t="s">
        <v>128</v>
      </c>
      <c r="D48" s="3" t="s">
        <v>121</v>
      </c>
    </row>
    <row r="49" spans="1:4" x14ac:dyDescent="0.2">
      <c r="A49" s="1">
        <v>3</v>
      </c>
      <c r="B49" s="1" t="s">
        <v>66</v>
      </c>
      <c r="C49" s="1" t="s">
        <v>144</v>
      </c>
      <c r="D49" s="3" t="s">
        <v>121</v>
      </c>
    </row>
    <row r="50" spans="1:4" x14ac:dyDescent="0.2">
      <c r="A50" s="1">
        <v>4</v>
      </c>
      <c r="B50" s="1" t="s">
        <v>188</v>
      </c>
      <c r="C50" s="1" t="s">
        <v>146</v>
      </c>
      <c r="D50" s="3" t="s">
        <v>121</v>
      </c>
    </row>
    <row r="51" spans="1:4" x14ac:dyDescent="0.2">
      <c r="A51" s="1">
        <v>5</v>
      </c>
      <c r="B51" s="1" t="s">
        <v>212</v>
      </c>
      <c r="C51" s="1" t="s">
        <v>199</v>
      </c>
      <c r="D51" s="3" t="s">
        <v>121</v>
      </c>
    </row>
    <row r="52" spans="1:4" x14ac:dyDescent="0.2">
      <c r="A52" s="1">
        <v>6</v>
      </c>
      <c r="B52" s="1" t="s">
        <v>213</v>
      </c>
      <c r="C52" s="1" t="s">
        <v>200</v>
      </c>
      <c r="D52" s="3" t="s">
        <v>121</v>
      </c>
    </row>
    <row r="53" spans="1:4" x14ac:dyDescent="0.2">
      <c r="A53" s="1">
        <v>1</v>
      </c>
      <c r="B53" s="1" t="s">
        <v>214</v>
      </c>
      <c r="C53" s="1" t="s">
        <v>201</v>
      </c>
      <c r="D53" s="1" t="s">
        <v>122</v>
      </c>
    </row>
    <row r="54" spans="1:4" x14ac:dyDescent="0.2">
      <c r="A54" s="1">
        <v>2</v>
      </c>
      <c r="B54" s="1" t="s">
        <v>186</v>
      </c>
      <c r="C54" s="1" t="s">
        <v>131</v>
      </c>
      <c r="D54" s="1" t="s">
        <v>122</v>
      </c>
    </row>
    <row r="55" spans="1:4" x14ac:dyDescent="0.2">
      <c r="A55" s="1">
        <v>3</v>
      </c>
      <c r="B55" s="1" t="s">
        <v>215</v>
      </c>
      <c r="C55" s="1" t="s">
        <v>202</v>
      </c>
      <c r="D55" s="1" t="s">
        <v>122</v>
      </c>
    </row>
    <row r="56" spans="1:4" x14ac:dyDescent="0.2">
      <c r="A56" s="1">
        <v>4</v>
      </c>
      <c r="B56" s="1" t="s">
        <v>27</v>
      </c>
      <c r="C56" s="1" t="s">
        <v>130</v>
      </c>
      <c r="D56" s="1" t="s">
        <v>122</v>
      </c>
    </row>
    <row r="57" spans="1:4" x14ac:dyDescent="0.2">
      <c r="A57" s="1">
        <v>5</v>
      </c>
      <c r="B57" s="1" t="s">
        <v>9</v>
      </c>
      <c r="C57" s="1" t="s">
        <v>124</v>
      </c>
      <c r="D57" s="1" t="s">
        <v>122</v>
      </c>
    </row>
    <row r="58" spans="1:4" x14ac:dyDescent="0.2">
      <c r="A58" s="1">
        <v>1</v>
      </c>
      <c r="B58" s="1" t="s">
        <v>216</v>
      </c>
      <c r="C58" s="1" t="s">
        <v>203</v>
      </c>
      <c r="D58" s="1" t="s">
        <v>123</v>
      </c>
    </row>
    <row r="59" spans="1:4" x14ac:dyDescent="0.2">
      <c r="A59" s="1">
        <v>2</v>
      </c>
      <c r="B59" s="1" t="s">
        <v>217</v>
      </c>
      <c r="C59" s="1" t="s">
        <v>204</v>
      </c>
      <c r="D59" s="1" t="s">
        <v>123</v>
      </c>
    </row>
    <row r="60" spans="1:4" x14ac:dyDescent="0.2">
      <c r="A60" s="1">
        <v>3</v>
      </c>
      <c r="B60" s="1" t="s">
        <v>218</v>
      </c>
      <c r="C60" s="1" t="s">
        <v>205</v>
      </c>
      <c r="D60" s="1" t="s">
        <v>123</v>
      </c>
    </row>
    <row r="61" spans="1:4" x14ac:dyDescent="0.2">
      <c r="A61" s="1">
        <v>4</v>
      </c>
      <c r="B61" s="1" t="s">
        <v>219</v>
      </c>
      <c r="C61" s="1" t="s">
        <v>206</v>
      </c>
      <c r="D61" s="1" t="s">
        <v>123</v>
      </c>
    </row>
    <row r="62" spans="1:4" x14ac:dyDescent="0.2">
      <c r="B62" s="2"/>
      <c r="C62" s="2"/>
      <c r="D62" s="2"/>
    </row>
    <row r="63" spans="1:4" x14ac:dyDescent="0.2">
      <c r="B63" s="2"/>
      <c r="C63" s="2"/>
      <c r="D63" s="2"/>
    </row>
    <row r="65" spans="5:8" x14ac:dyDescent="0.2">
      <c r="F65" s="2"/>
      <c r="G65" s="2"/>
      <c r="H65" s="2"/>
    </row>
    <row r="66" spans="5:8" x14ac:dyDescent="0.2">
      <c r="E66" s="2"/>
      <c r="F66" s="2"/>
      <c r="G66" s="2"/>
      <c r="H66" s="2"/>
    </row>
    <row r="67" spans="5:8" x14ac:dyDescent="0.2">
      <c r="E67" s="2"/>
      <c r="F67" s="2"/>
      <c r="G67" s="2"/>
      <c r="H67" s="2"/>
    </row>
    <row r="68" spans="5:8" x14ac:dyDescent="0.2">
      <c r="E68" s="2"/>
      <c r="F68" s="2"/>
      <c r="G68" s="2"/>
      <c r="H68" s="2"/>
    </row>
    <row r="69" spans="5:8" x14ac:dyDescent="0.2">
      <c r="E69" s="2"/>
      <c r="F69" s="2"/>
      <c r="G69" s="2"/>
      <c r="H69" s="2"/>
    </row>
    <row r="70" spans="5:8" x14ac:dyDescent="0.2">
      <c r="E70" s="2"/>
      <c r="F70" s="2"/>
      <c r="G70" s="2"/>
      <c r="H70" s="2"/>
    </row>
    <row r="71" spans="5:8" x14ac:dyDescent="0.2">
      <c r="E71" s="2"/>
      <c r="F71" s="2"/>
      <c r="G71" s="2"/>
      <c r="H71" s="2"/>
    </row>
    <row r="72" spans="5:8" x14ac:dyDescent="0.2">
      <c r="E72" s="2"/>
      <c r="F72" s="2"/>
      <c r="G72" s="2"/>
      <c r="H72" s="2"/>
    </row>
    <row r="73" spans="5:8" x14ac:dyDescent="0.2">
      <c r="E73" s="2"/>
      <c r="F73" s="2"/>
      <c r="G73" s="2"/>
      <c r="H73" s="2"/>
    </row>
    <row r="74" spans="5:8" x14ac:dyDescent="0.2">
      <c r="E74" s="2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0ECB2-72E8-4046-9DE9-4867C06D35E9}">
  <dimension ref="A1:K27"/>
  <sheetViews>
    <sheetView topLeftCell="B1" workbookViewId="0">
      <selection activeCell="E14" sqref="E14"/>
    </sheetView>
  </sheetViews>
  <sheetFormatPr baseColWidth="10" defaultRowHeight="16" x14ac:dyDescent="0.2"/>
  <cols>
    <col min="1" max="1" width="5.1640625" bestFit="1" customWidth="1"/>
    <col min="2" max="2" width="18.83203125" bestFit="1" customWidth="1"/>
    <col min="3" max="3" width="19.5" bestFit="1" customWidth="1"/>
    <col min="4" max="4" width="52" bestFit="1" customWidth="1"/>
    <col min="5" max="5" width="15.83203125" bestFit="1" customWidth="1"/>
    <col min="6" max="6" width="12.33203125" bestFit="1" customWidth="1"/>
    <col min="7" max="7" width="7.83203125" customWidth="1"/>
    <col min="8" max="8" width="9.1640625" customWidth="1"/>
    <col min="9" max="9" width="17.83203125" customWidth="1"/>
    <col min="10" max="10" width="12.6640625" customWidth="1"/>
    <col min="11" max="11" width="26.83203125" customWidth="1"/>
  </cols>
  <sheetData>
    <row r="1" spans="1:11" x14ac:dyDescent="0.2">
      <c r="A1" t="s">
        <v>234</v>
      </c>
      <c r="B1" t="s">
        <v>235</v>
      </c>
      <c r="C1" t="s">
        <v>236</v>
      </c>
      <c r="D1" t="s">
        <v>0</v>
      </c>
      <c r="E1" t="s">
        <v>7</v>
      </c>
      <c r="F1" t="s">
        <v>237</v>
      </c>
      <c r="G1" t="s">
        <v>8</v>
      </c>
      <c r="H1" t="s">
        <v>238</v>
      </c>
      <c r="I1" t="s">
        <v>239</v>
      </c>
      <c r="J1" t="s">
        <v>240</v>
      </c>
      <c r="K1" t="s">
        <v>167</v>
      </c>
    </row>
    <row r="2" spans="1:11" x14ac:dyDescent="0.2">
      <c r="A2">
        <v>648</v>
      </c>
      <c r="B2" t="s">
        <v>241</v>
      </c>
      <c r="C2" t="s">
        <v>242</v>
      </c>
      <c r="D2" t="s">
        <v>9</v>
      </c>
      <c r="E2" t="s">
        <v>10</v>
      </c>
      <c r="F2" t="s">
        <v>243</v>
      </c>
      <c r="G2" t="s">
        <v>11</v>
      </c>
      <c r="H2">
        <v>25</v>
      </c>
      <c r="I2">
        <v>28737</v>
      </c>
      <c r="J2">
        <v>1</v>
      </c>
      <c r="K2">
        <f>VLOOKUP(RIGHT(G2, SEARCH("K",G2)+2),Table22[[Label]:[Companies]],2,0)</f>
        <v>25</v>
      </c>
    </row>
    <row r="3" spans="1:11" x14ac:dyDescent="0.2">
      <c r="A3">
        <v>691</v>
      </c>
      <c r="B3" t="s">
        <v>244</v>
      </c>
      <c r="C3" t="s">
        <v>245</v>
      </c>
      <c r="D3" t="s">
        <v>12</v>
      </c>
      <c r="E3" t="s">
        <v>13</v>
      </c>
      <c r="F3" t="s">
        <v>243</v>
      </c>
      <c r="G3" t="s">
        <v>14</v>
      </c>
      <c r="H3">
        <v>32</v>
      </c>
      <c r="I3">
        <v>29032</v>
      </c>
      <c r="J3">
        <v>1</v>
      </c>
      <c r="K3">
        <f>VLOOKUP(RIGHT(G3, SEARCH("K",G3)+2),Table22[[Label]:[Companies]],2,0)</f>
        <v>32</v>
      </c>
    </row>
    <row r="4" spans="1:11" x14ac:dyDescent="0.2">
      <c r="A4">
        <v>506</v>
      </c>
      <c r="B4" t="s">
        <v>246</v>
      </c>
      <c r="C4" t="s">
        <v>247</v>
      </c>
      <c r="D4" t="s">
        <v>15</v>
      </c>
      <c r="E4" t="s">
        <v>16</v>
      </c>
      <c r="F4" t="s">
        <v>243</v>
      </c>
      <c r="G4" t="s">
        <v>17</v>
      </c>
      <c r="H4">
        <v>32</v>
      </c>
      <c r="I4">
        <v>36050</v>
      </c>
      <c r="J4">
        <v>1</v>
      </c>
      <c r="K4">
        <f>VLOOKUP(RIGHT(G4, SEARCH("K",G4)+2),Table22[[Label]:[Companies]],2,0)</f>
        <v>32</v>
      </c>
    </row>
    <row r="5" spans="1:11" x14ac:dyDescent="0.2">
      <c r="A5">
        <v>575</v>
      </c>
      <c r="B5" t="s">
        <v>248</v>
      </c>
      <c r="C5" t="s">
        <v>249</v>
      </c>
      <c r="D5" t="s">
        <v>18</v>
      </c>
      <c r="E5" t="s">
        <v>19</v>
      </c>
      <c r="F5" t="s">
        <v>243</v>
      </c>
      <c r="G5" t="s">
        <v>20</v>
      </c>
      <c r="H5">
        <v>30</v>
      </c>
      <c r="I5">
        <v>24221</v>
      </c>
      <c r="J5">
        <v>1</v>
      </c>
      <c r="K5">
        <f>VLOOKUP(RIGHT(G5, SEARCH("K",G5)+2),Table22[[Label]:[Companies]],2,0)</f>
        <v>30</v>
      </c>
    </row>
    <row r="6" spans="1:11" x14ac:dyDescent="0.2">
      <c r="A6">
        <v>645</v>
      </c>
      <c r="B6" t="s">
        <v>250</v>
      </c>
      <c r="C6" t="s">
        <v>251</v>
      </c>
      <c r="D6" t="s">
        <v>21</v>
      </c>
      <c r="E6" t="s">
        <v>22</v>
      </c>
      <c r="F6" t="s">
        <v>243</v>
      </c>
      <c r="G6" t="s">
        <v>23</v>
      </c>
      <c r="H6">
        <v>22</v>
      </c>
      <c r="I6">
        <v>14416</v>
      </c>
      <c r="J6">
        <v>1</v>
      </c>
      <c r="K6">
        <f>VLOOKUP(RIGHT(G6, SEARCH("K",G6)+2),Table22[[Label]:[Companies]],2,0)</f>
        <v>22</v>
      </c>
    </row>
    <row r="7" spans="1:11" x14ac:dyDescent="0.2">
      <c r="A7">
        <v>591</v>
      </c>
      <c r="B7" t="s">
        <v>252</v>
      </c>
      <c r="C7" t="s">
        <v>253</v>
      </c>
      <c r="D7" t="s">
        <v>24</v>
      </c>
      <c r="E7" t="s">
        <v>25</v>
      </c>
      <c r="F7" t="s">
        <v>243</v>
      </c>
      <c r="G7" t="s">
        <v>26</v>
      </c>
      <c r="H7">
        <v>28</v>
      </c>
      <c r="I7">
        <v>18390</v>
      </c>
      <c r="J7">
        <v>1</v>
      </c>
      <c r="K7">
        <f>VLOOKUP(RIGHT(G7, SEARCH("K",G7)+2),Table22[[Label]:[Companies]],2,0)</f>
        <v>28</v>
      </c>
    </row>
    <row r="8" spans="1:11" x14ac:dyDescent="0.2">
      <c r="A8">
        <v>733</v>
      </c>
      <c r="B8" t="s">
        <v>254</v>
      </c>
      <c r="C8" t="s">
        <v>255</v>
      </c>
      <c r="D8" t="s">
        <v>27</v>
      </c>
      <c r="E8" t="s">
        <v>2</v>
      </c>
      <c r="F8" t="s">
        <v>243</v>
      </c>
      <c r="G8" t="s">
        <v>28</v>
      </c>
      <c r="H8">
        <v>25</v>
      </c>
      <c r="I8">
        <v>28057</v>
      </c>
      <c r="J8">
        <v>1</v>
      </c>
      <c r="K8">
        <f>VLOOKUP(RIGHT(G8, SEARCH("K",G8)+2),Table22[[Label]:[Companies]],2,0)</f>
        <v>25</v>
      </c>
    </row>
    <row r="9" spans="1:11" x14ac:dyDescent="0.2">
      <c r="A9">
        <v>730</v>
      </c>
      <c r="B9" t="s">
        <v>256</v>
      </c>
      <c r="C9" t="s">
        <v>257</v>
      </c>
      <c r="D9" t="s">
        <v>29</v>
      </c>
      <c r="E9" t="s">
        <v>30</v>
      </c>
      <c r="F9" t="s">
        <v>243</v>
      </c>
      <c r="G9" t="s">
        <v>31</v>
      </c>
      <c r="H9">
        <v>24</v>
      </c>
      <c r="I9">
        <v>44350</v>
      </c>
      <c r="J9">
        <v>1</v>
      </c>
      <c r="K9">
        <f>VLOOKUP(RIGHT(G9, SEARCH("K",G9)+2),Table22[[Label]:[Companies]],2,0)</f>
        <v>24</v>
      </c>
    </row>
    <row r="10" spans="1:11" x14ac:dyDescent="0.2">
      <c r="A10">
        <v>554</v>
      </c>
      <c r="B10" t="s">
        <v>258</v>
      </c>
      <c r="C10" t="s">
        <v>259</v>
      </c>
      <c r="D10" t="s">
        <v>32</v>
      </c>
      <c r="E10" t="s">
        <v>33</v>
      </c>
      <c r="F10" t="s">
        <v>243</v>
      </c>
      <c r="G10" t="s">
        <v>34</v>
      </c>
      <c r="H10">
        <v>29</v>
      </c>
      <c r="I10">
        <v>23813</v>
      </c>
      <c r="J10">
        <v>1</v>
      </c>
      <c r="K10">
        <f>VLOOKUP(RIGHT(G10, SEARCH("K",G10)+2),Table22[[Label]:[Companies]],2,0)</f>
        <v>29</v>
      </c>
    </row>
    <row r="11" spans="1:11" x14ac:dyDescent="0.2">
      <c r="A11">
        <v>571</v>
      </c>
      <c r="B11" t="s">
        <v>260</v>
      </c>
      <c r="C11" t="s">
        <v>261</v>
      </c>
      <c r="D11" t="s">
        <v>35</v>
      </c>
      <c r="E11" t="s">
        <v>36</v>
      </c>
      <c r="F11" t="s">
        <v>243</v>
      </c>
      <c r="G11" t="s">
        <v>37</v>
      </c>
      <c r="H11">
        <v>27</v>
      </c>
      <c r="I11">
        <v>39711</v>
      </c>
      <c r="J11">
        <v>1</v>
      </c>
      <c r="K11">
        <f>VLOOKUP(RIGHT(G11, SEARCH("K",G11)+2),Table22[[Label]:[Companies]],2,0)</f>
        <v>27</v>
      </c>
    </row>
    <row r="12" spans="1:11" x14ac:dyDescent="0.2">
      <c r="A12">
        <v>647</v>
      </c>
      <c r="B12" t="s">
        <v>262</v>
      </c>
      <c r="C12" t="s">
        <v>263</v>
      </c>
      <c r="D12" t="s">
        <v>39</v>
      </c>
      <c r="E12" t="s">
        <v>40</v>
      </c>
      <c r="F12" t="s">
        <v>243</v>
      </c>
      <c r="G12" t="s">
        <v>41</v>
      </c>
      <c r="H12">
        <v>28</v>
      </c>
      <c r="I12">
        <v>26074</v>
      </c>
      <c r="J12">
        <v>1</v>
      </c>
      <c r="K12" t="e">
        <f>VLOOKUP(RIGHT(G12, SEARCH("K",G12)+2),Table22[[Label]:[Companies]],2,0)</f>
        <v>#N/A</v>
      </c>
    </row>
    <row r="13" spans="1:11" x14ac:dyDescent="0.2">
      <c r="A13">
        <v>700</v>
      </c>
      <c r="B13" t="s">
        <v>264</v>
      </c>
      <c r="C13" t="s">
        <v>265</v>
      </c>
      <c r="D13" t="s">
        <v>42</v>
      </c>
      <c r="E13" t="s">
        <v>43</v>
      </c>
      <c r="F13" t="s">
        <v>243</v>
      </c>
      <c r="G13" t="s">
        <v>44</v>
      </c>
      <c r="H13">
        <v>29</v>
      </c>
      <c r="I13">
        <v>23724</v>
      </c>
      <c r="J13">
        <v>1</v>
      </c>
      <c r="K13">
        <f>VLOOKUP(RIGHT(G13, SEARCH("K",G13)+2),Table22[[Label]:[Companies]],2,0)</f>
        <v>29</v>
      </c>
    </row>
    <row r="14" spans="1:11" x14ac:dyDescent="0.2">
      <c r="A14">
        <v>574</v>
      </c>
      <c r="B14" t="s">
        <v>266</v>
      </c>
      <c r="C14" t="s">
        <v>267</v>
      </c>
      <c r="D14" t="s">
        <v>49</v>
      </c>
      <c r="E14" t="s">
        <v>50</v>
      </c>
      <c r="F14" t="s">
        <v>243</v>
      </c>
      <c r="G14" t="s">
        <v>51</v>
      </c>
      <c r="H14">
        <v>30</v>
      </c>
      <c r="I14">
        <v>20047</v>
      </c>
      <c r="J14">
        <v>2</v>
      </c>
      <c r="K14">
        <f>VLOOKUP(RIGHT(G14, SEARCH("K",G14)+2),Table22[[Label]:[Companies]],2,0)</f>
        <v>30</v>
      </c>
    </row>
    <row r="15" spans="1:11" x14ac:dyDescent="0.2">
      <c r="A15">
        <v>702</v>
      </c>
      <c r="B15" t="s">
        <v>268</v>
      </c>
      <c r="C15" t="s">
        <v>269</v>
      </c>
      <c r="D15" t="s">
        <v>52</v>
      </c>
      <c r="E15" t="s">
        <v>53</v>
      </c>
      <c r="F15" t="s">
        <v>243</v>
      </c>
      <c r="G15" t="s">
        <v>54</v>
      </c>
      <c r="H15">
        <v>27</v>
      </c>
      <c r="I15">
        <v>31784</v>
      </c>
      <c r="J15">
        <v>1</v>
      </c>
      <c r="K15">
        <f>VLOOKUP(RIGHT(G15, SEARCH("K",G15)+2),Table22[[Label]:[Companies]],2,0)</f>
        <v>27</v>
      </c>
    </row>
    <row r="16" spans="1:11" x14ac:dyDescent="0.2">
      <c r="A16">
        <v>682</v>
      </c>
      <c r="B16" t="s">
        <v>270</v>
      </c>
      <c r="C16" t="s">
        <v>271</v>
      </c>
      <c r="D16" t="s">
        <v>55</v>
      </c>
      <c r="E16" t="s">
        <v>56</v>
      </c>
      <c r="F16" t="s">
        <v>243</v>
      </c>
      <c r="G16" t="s">
        <v>57</v>
      </c>
      <c r="H16">
        <v>30</v>
      </c>
      <c r="I16">
        <v>21171</v>
      </c>
      <c r="J16">
        <v>1</v>
      </c>
      <c r="K16">
        <f>VLOOKUP(RIGHT(G16, SEARCH("K",G16)+2),Table22[[Label]:[Companies]],2,0)</f>
        <v>30</v>
      </c>
    </row>
    <row r="17" spans="1:11" x14ac:dyDescent="0.2">
      <c r="A17">
        <v>673</v>
      </c>
      <c r="B17" t="s">
        <v>272</v>
      </c>
      <c r="C17" t="s">
        <v>273</v>
      </c>
      <c r="D17" t="s">
        <v>61</v>
      </c>
      <c r="E17" t="s">
        <v>62</v>
      </c>
      <c r="F17" t="s">
        <v>243</v>
      </c>
      <c r="G17" t="s">
        <v>63</v>
      </c>
      <c r="H17">
        <v>22</v>
      </c>
      <c r="I17">
        <v>18349</v>
      </c>
      <c r="J17">
        <v>1</v>
      </c>
      <c r="K17">
        <f>VLOOKUP(RIGHT(G17, SEARCH("K",G17)+2),Table22[[Label]:[Companies]],2,0)</f>
        <v>22</v>
      </c>
    </row>
    <row r="18" spans="1:11" x14ac:dyDescent="0.2">
      <c r="A18">
        <v>625</v>
      </c>
      <c r="B18" t="s">
        <v>274</v>
      </c>
      <c r="C18" t="s">
        <v>275</v>
      </c>
      <c r="D18" t="s">
        <v>64</v>
      </c>
      <c r="E18" t="s">
        <v>36</v>
      </c>
      <c r="F18" t="s">
        <v>243</v>
      </c>
      <c r="G18" t="s">
        <v>65</v>
      </c>
      <c r="H18">
        <v>26</v>
      </c>
      <c r="I18">
        <v>10697</v>
      </c>
      <c r="J18">
        <v>1</v>
      </c>
      <c r="K18">
        <f>VLOOKUP(RIGHT(G18, SEARCH("K",G18)+2),Table22[[Label]:[Companies]],2,0)</f>
        <v>26</v>
      </c>
    </row>
    <row r="19" spans="1:11" x14ac:dyDescent="0.2">
      <c r="A19">
        <v>663</v>
      </c>
      <c r="B19" t="s">
        <v>276</v>
      </c>
      <c r="C19" t="s">
        <v>277</v>
      </c>
      <c r="D19" t="s">
        <v>66</v>
      </c>
      <c r="E19" t="s">
        <v>67</v>
      </c>
      <c r="F19" t="s">
        <v>243</v>
      </c>
      <c r="G19" t="s">
        <v>68</v>
      </c>
      <c r="H19">
        <v>25</v>
      </c>
      <c r="I19">
        <v>22088</v>
      </c>
      <c r="J19">
        <v>1</v>
      </c>
      <c r="K19" t="e">
        <f>VLOOKUP(RIGHT(G19, SEARCH("K",G19)+2),Table22[[Label]:[Companies]],2,0)</f>
        <v>#N/A</v>
      </c>
    </row>
    <row r="20" spans="1:11" x14ac:dyDescent="0.2">
      <c r="A20">
        <v>736</v>
      </c>
      <c r="B20" t="s">
        <v>278</v>
      </c>
      <c r="C20" t="s">
        <v>279</v>
      </c>
      <c r="D20" t="s">
        <v>69</v>
      </c>
      <c r="E20" t="s">
        <v>70</v>
      </c>
      <c r="F20" t="s">
        <v>243</v>
      </c>
      <c r="G20" t="s">
        <v>71</v>
      </c>
      <c r="H20">
        <v>23</v>
      </c>
      <c r="I20">
        <v>23054</v>
      </c>
      <c r="J20">
        <v>1</v>
      </c>
      <c r="K20">
        <f>VLOOKUP(RIGHT(G20, SEARCH("K",G20)+2),Table22[[Label]:[Companies]],2,0)</f>
        <v>23</v>
      </c>
    </row>
    <row r="21" spans="1:11" x14ac:dyDescent="0.2">
      <c r="A21">
        <v>597</v>
      </c>
      <c r="B21" t="s">
        <v>280</v>
      </c>
      <c r="C21" t="s">
        <v>281</v>
      </c>
      <c r="D21" t="s">
        <v>72</v>
      </c>
      <c r="E21" t="s">
        <v>73</v>
      </c>
      <c r="F21" t="s">
        <v>243</v>
      </c>
      <c r="G21" t="s">
        <v>74</v>
      </c>
      <c r="H21">
        <v>24</v>
      </c>
      <c r="I21">
        <v>22882</v>
      </c>
      <c r="J21">
        <v>1</v>
      </c>
      <c r="K21" t="e">
        <f>VLOOKUP(RIGHT(G21, SEARCH("K",G21)+2),Table22[[Label]:[Companies]],2,0)</f>
        <v>#N/A</v>
      </c>
    </row>
    <row r="22" spans="1:11" x14ac:dyDescent="0.2">
      <c r="A22">
        <v>720</v>
      </c>
      <c r="B22" t="s">
        <v>282</v>
      </c>
      <c r="C22" t="s">
        <v>283</v>
      </c>
      <c r="D22" t="s">
        <v>75</v>
      </c>
      <c r="E22" t="s">
        <v>76</v>
      </c>
      <c r="F22" t="s">
        <v>243</v>
      </c>
      <c r="G22" t="s">
        <v>77</v>
      </c>
      <c r="H22">
        <v>15</v>
      </c>
      <c r="I22">
        <v>14467</v>
      </c>
      <c r="J22">
        <v>1</v>
      </c>
      <c r="K22" t="e">
        <f>VLOOKUP(RIGHT(G22, SEARCH("K",G22)+2),Table22[[Label]:[Companies]],2,0)</f>
        <v>#N/A</v>
      </c>
    </row>
    <row r="23" spans="1:11" x14ac:dyDescent="0.2">
      <c r="A23">
        <v>578</v>
      </c>
      <c r="B23" t="s">
        <v>284</v>
      </c>
      <c r="C23" t="s">
        <v>285</v>
      </c>
      <c r="D23" t="s">
        <v>78</v>
      </c>
      <c r="E23" t="s">
        <v>79</v>
      </c>
      <c r="F23" t="s">
        <v>243</v>
      </c>
      <c r="G23" t="s">
        <v>80</v>
      </c>
      <c r="H23">
        <v>12</v>
      </c>
      <c r="I23">
        <v>11263</v>
      </c>
      <c r="J23">
        <v>1</v>
      </c>
      <c r="K23" t="e">
        <f>VLOOKUP(RIGHT(G23, SEARCH("K",G23)+2),Table22[[Label]:[Companies]],2,0)</f>
        <v>#N/A</v>
      </c>
    </row>
    <row r="24" spans="1:11" x14ac:dyDescent="0.2">
      <c r="A24">
        <v>498</v>
      </c>
      <c r="B24" t="s">
        <v>286</v>
      </c>
      <c r="C24" t="s">
        <v>287</v>
      </c>
      <c r="D24" t="s">
        <v>81</v>
      </c>
      <c r="E24" t="s">
        <v>82</v>
      </c>
      <c r="F24" t="s">
        <v>243</v>
      </c>
      <c r="G24" t="s">
        <v>83</v>
      </c>
      <c r="H24">
        <v>13</v>
      </c>
      <c r="I24">
        <v>9447</v>
      </c>
      <c r="J24">
        <v>1</v>
      </c>
      <c r="K24" t="e">
        <f>VLOOKUP(RIGHT(G24, SEARCH("K",G24)+2),Table22[[Label]:[Companies]],2,0)</f>
        <v>#N/A</v>
      </c>
    </row>
    <row r="25" spans="1:11" x14ac:dyDescent="0.2">
      <c r="A25">
        <v>723</v>
      </c>
      <c r="B25" t="s">
        <v>288</v>
      </c>
      <c r="C25" t="s">
        <v>289</v>
      </c>
      <c r="D25" t="s">
        <v>84</v>
      </c>
      <c r="E25" t="s">
        <v>85</v>
      </c>
      <c r="F25" t="s">
        <v>243</v>
      </c>
      <c r="G25" t="s">
        <v>86</v>
      </c>
      <c r="H25">
        <v>12</v>
      </c>
      <c r="I25">
        <v>10215</v>
      </c>
      <c r="J25">
        <v>1</v>
      </c>
      <c r="K25" t="e">
        <f>VLOOKUP(RIGHT(G25, SEARCH("K",G25)+2),Table22[[Label]:[Companies]],2,0)</f>
        <v>#N/A</v>
      </c>
    </row>
    <row r="26" spans="1:11" x14ac:dyDescent="0.2">
      <c r="A26">
        <v>2190</v>
      </c>
      <c r="B26" t="s">
        <v>290</v>
      </c>
      <c r="C26" t="s">
        <v>291</v>
      </c>
      <c r="D26" t="s">
        <v>87</v>
      </c>
      <c r="E26" t="s">
        <v>88</v>
      </c>
      <c r="F26" t="s">
        <v>243</v>
      </c>
      <c r="G26" t="s">
        <v>89</v>
      </c>
      <c r="H26">
        <v>12</v>
      </c>
      <c r="I26">
        <v>9869</v>
      </c>
      <c r="J26">
        <v>1</v>
      </c>
      <c r="K26" t="e">
        <f>VLOOKUP(RIGHT(G26, SEARCH("K",G26)+2),Table22[[Label]:[Companies]],2,0)</f>
        <v>#N/A</v>
      </c>
    </row>
    <row r="27" spans="1:11" x14ac:dyDescent="0.2">
      <c r="A27">
        <v>2191</v>
      </c>
      <c r="B27" t="s">
        <v>292</v>
      </c>
      <c r="C27" t="s">
        <v>293</v>
      </c>
      <c r="D27" t="s">
        <v>90</v>
      </c>
      <c r="E27" t="s">
        <v>91</v>
      </c>
      <c r="F27" t="s">
        <v>243</v>
      </c>
      <c r="G27" t="s">
        <v>92</v>
      </c>
      <c r="H27">
        <v>13</v>
      </c>
      <c r="I27">
        <v>9094</v>
      </c>
      <c r="J27">
        <v>2</v>
      </c>
      <c r="K27" t="e">
        <f>VLOOKUP(RIGHT(G27, SEARCH("K",G27)+2),Table22[[Label]:[Companies]],2,0)</f>
        <v>#N/A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70795-0118-964B-B0B0-663E01557C5C}">
  <dimension ref="A1:J30"/>
  <sheetViews>
    <sheetView workbookViewId="0">
      <selection activeCell="A33" sqref="A33"/>
    </sheetView>
  </sheetViews>
  <sheetFormatPr baseColWidth="10" defaultRowHeight="16" x14ac:dyDescent="0.2"/>
  <cols>
    <col min="1" max="1" width="5.1640625" bestFit="1" customWidth="1"/>
    <col min="2" max="2" width="18.83203125" bestFit="1" customWidth="1"/>
    <col min="3" max="3" width="19.5" bestFit="1" customWidth="1"/>
    <col min="4" max="4" width="52" bestFit="1" customWidth="1"/>
    <col min="5" max="5" width="15.83203125" bestFit="1" customWidth="1"/>
    <col min="6" max="6" width="12.33203125" bestFit="1" customWidth="1"/>
    <col min="7" max="7" width="7.83203125" customWidth="1"/>
    <col min="8" max="8" width="9.1640625" customWidth="1"/>
    <col min="9" max="9" width="17.83203125" customWidth="1"/>
    <col min="10" max="10" width="12.6640625" customWidth="1"/>
  </cols>
  <sheetData>
    <row r="1" spans="1:10" x14ac:dyDescent="0.2">
      <c r="A1" t="s">
        <v>234</v>
      </c>
      <c r="B1" t="s">
        <v>235</v>
      </c>
      <c r="C1" t="s">
        <v>236</v>
      </c>
      <c r="D1" t="s">
        <v>0</v>
      </c>
      <c r="E1" t="s">
        <v>7</v>
      </c>
      <c r="F1" t="s">
        <v>237</v>
      </c>
      <c r="G1" t="s">
        <v>8</v>
      </c>
      <c r="H1" t="s">
        <v>238</v>
      </c>
      <c r="I1" t="s">
        <v>239</v>
      </c>
      <c r="J1" t="s">
        <v>240</v>
      </c>
    </row>
    <row r="2" spans="1:10" x14ac:dyDescent="0.2">
      <c r="A2">
        <v>648</v>
      </c>
      <c r="B2" t="s">
        <v>241</v>
      </c>
      <c r="C2" t="s">
        <v>242</v>
      </c>
      <c r="D2" t="s">
        <v>9</v>
      </c>
      <c r="E2" t="s">
        <v>10</v>
      </c>
      <c r="F2" t="s">
        <v>243</v>
      </c>
      <c r="G2" t="s">
        <v>11</v>
      </c>
      <c r="H2">
        <v>25</v>
      </c>
      <c r="I2">
        <v>28737</v>
      </c>
      <c r="J2">
        <v>1</v>
      </c>
    </row>
    <row r="3" spans="1:10" x14ac:dyDescent="0.2">
      <c r="A3">
        <v>691</v>
      </c>
      <c r="B3" t="s">
        <v>244</v>
      </c>
      <c r="C3" t="s">
        <v>245</v>
      </c>
      <c r="D3" t="s">
        <v>12</v>
      </c>
      <c r="E3" t="s">
        <v>13</v>
      </c>
      <c r="F3" t="s">
        <v>243</v>
      </c>
      <c r="G3" t="s">
        <v>14</v>
      </c>
      <c r="H3">
        <v>32</v>
      </c>
      <c r="I3">
        <v>29032</v>
      </c>
      <c r="J3">
        <v>1</v>
      </c>
    </row>
    <row r="4" spans="1:10" x14ac:dyDescent="0.2">
      <c r="A4">
        <v>506</v>
      </c>
      <c r="B4" t="s">
        <v>246</v>
      </c>
      <c r="C4" t="s">
        <v>247</v>
      </c>
      <c r="D4" t="s">
        <v>15</v>
      </c>
      <c r="E4" t="s">
        <v>16</v>
      </c>
      <c r="F4" t="s">
        <v>243</v>
      </c>
      <c r="G4" t="s">
        <v>17</v>
      </c>
      <c r="H4">
        <v>32</v>
      </c>
      <c r="I4">
        <v>36050</v>
      </c>
      <c r="J4">
        <v>1</v>
      </c>
    </row>
    <row r="5" spans="1:10" x14ac:dyDescent="0.2">
      <c r="A5">
        <v>575</v>
      </c>
      <c r="B5" t="s">
        <v>248</v>
      </c>
      <c r="C5" t="s">
        <v>249</v>
      </c>
      <c r="D5" t="s">
        <v>18</v>
      </c>
      <c r="E5" t="s">
        <v>19</v>
      </c>
      <c r="F5" t="s">
        <v>243</v>
      </c>
      <c r="G5" t="s">
        <v>20</v>
      </c>
      <c r="H5">
        <v>30</v>
      </c>
      <c r="I5">
        <v>24221</v>
      </c>
      <c r="J5">
        <v>2</v>
      </c>
    </row>
    <row r="6" spans="1:10" x14ac:dyDescent="0.2">
      <c r="A6">
        <v>645</v>
      </c>
      <c r="B6" t="s">
        <v>250</v>
      </c>
      <c r="C6" t="s">
        <v>251</v>
      </c>
      <c r="D6" t="s">
        <v>21</v>
      </c>
      <c r="E6" t="s">
        <v>22</v>
      </c>
      <c r="F6" t="s">
        <v>243</v>
      </c>
      <c r="G6" t="s">
        <v>23</v>
      </c>
      <c r="H6">
        <v>22</v>
      </c>
      <c r="I6">
        <v>14416</v>
      </c>
      <c r="J6">
        <v>1</v>
      </c>
    </row>
    <row r="7" spans="1:10" x14ac:dyDescent="0.2">
      <c r="A7">
        <v>591</v>
      </c>
      <c r="B7" t="s">
        <v>252</v>
      </c>
      <c r="C7" t="s">
        <v>253</v>
      </c>
      <c r="D7" t="s">
        <v>24</v>
      </c>
      <c r="E7" t="s">
        <v>25</v>
      </c>
      <c r="F7" t="s">
        <v>243</v>
      </c>
      <c r="G7" t="s">
        <v>26</v>
      </c>
      <c r="H7">
        <v>28</v>
      </c>
      <c r="I7">
        <v>18390</v>
      </c>
      <c r="J7">
        <v>1</v>
      </c>
    </row>
    <row r="8" spans="1:10" x14ac:dyDescent="0.2">
      <c r="A8">
        <v>733</v>
      </c>
      <c r="B8" t="s">
        <v>254</v>
      </c>
      <c r="C8" t="s">
        <v>255</v>
      </c>
      <c r="D8" t="s">
        <v>27</v>
      </c>
      <c r="E8" t="s">
        <v>2</v>
      </c>
      <c r="F8" t="s">
        <v>243</v>
      </c>
      <c r="G8" t="s">
        <v>28</v>
      </c>
      <c r="H8">
        <v>25</v>
      </c>
      <c r="I8">
        <v>28057</v>
      </c>
      <c r="J8">
        <v>1</v>
      </c>
    </row>
    <row r="9" spans="1:10" x14ac:dyDescent="0.2">
      <c r="A9">
        <v>730</v>
      </c>
      <c r="B9" t="s">
        <v>256</v>
      </c>
      <c r="C9" t="s">
        <v>257</v>
      </c>
      <c r="D9" t="s">
        <v>29</v>
      </c>
      <c r="E9" t="s">
        <v>30</v>
      </c>
      <c r="F9" t="s">
        <v>243</v>
      </c>
      <c r="G9" t="s">
        <v>31</v>
      </c>
      <c r="H9">
        <v>24</v>
      </c>
      <c r="I9">
        <v>44350</v>
      </c>
      <c r="J9">
        <v>1</v>
      </c>
    </row>
    <row r="10" spans="1:10" x14ac:dyDescent="0.2">
      <c r="A10">
        <v>554</v>
      </c>
      <c r="B10" t="s">
        <v>258</v>
      </c>
      <c r="C10" t="s">
        <v>259</v>
      </c>
      <c r="D10" t="s">
        <v>32</v>
      </c>
      <c r="E10" t="s">
        <v>33</v>
      </c>
      <c r="F10" t="s">
        <v>243</v>
      </c>
      <c r="G10" t="s">
        <v>34</v>
      </c>
      <c r="H10">
        <v>29</v>
      </c>
      <c r="I10">
        <v>23813</v>
      </c>
      <c r="J10">
        <v>1</v>
      </c>
    </row>
    <row r="11" spans="1:10" x14ac:dyDescent="0.2">
      <c r="A11">
        <v>571</v>
      </c>
      <c r="B11" t="s">
        <v>260</v>
      </c>
      <c r="C11" t="s">
        <v>261</v>
      </c>
      <c r="D11" t="s">
        <v>35</v>
      </c>
      <c r="E11" t="s">
        <v>36</v>
      </c>
      <c r="F11" t="s">
        <v>243</v>
      </c>
      <c r="G11" t="s">
        <v>37</v>
      </c>
      <c r="H11">
        <v>27</v>
      </c>
      <c r="I11">
        <v>39711</v>
      </c>
      <c r="J11">
        <v>1</v>
      </c>
    </row>
    <row r="12" spans="1:10" x14ac:dyDescent="0.2">
      <c r="A12">
        <v>647</v>
      </c>
      <c r="B12" t="s">
        <v>262</v>
      </c>
      <c r="C12" t="s">
        <v>263</v>
      </c>
      <c r="D12" t="s">
        <v>39</v>
      </c>
      <c r="E12" t="s">
        <v>40</v>
      </c>
      <c r="F12" t="s">
        <v>243</v>
      </c>
      <c r="G12" t="s">
        <v>41</v>
      </c>
      <c r="H12">
        <v>28</v>
      </c>
      <c r="I12">
        <v>26074</v>
      </c>
      <c r="J12">
        <v>1</v>
      </c>
    </row>
    <row r="13" spans="1:10" x14ac:dyDescent="0.2">
      <c r="A13">
        <v>700</v>
      </c>
      <c r="B13" t="s">
        <v>264</v>
      </c>
      <c r="C13" t="s">
        <v>265</v>
      </c>
      <c r="D13" t="s">
        <v>42</v>
      </c>
      <c r="E13" t="s">
        <v>43</v>
      </c>
      <c r="F13" t="s">
        <v>243</v>
      </c>
      <c r="G13" t="s">
        <v>44</v>
      </c>
      <c r="H13">
        <v>29</v>
      </c>
      <c r="I13">
        <v>23724</v>
      </c>
      <c r="J13">
        <v>1</v>
      </c>
    </row>
    <row r="14" spans="1:10" x14ac:dyDescent="0.2">
      <c r="A14">
        <v>574</v>
      </c>
      <c r="B14" t="s">
        <v>266</v>
      </c>
      <c r="C14" t="s">
        <v>267</v>
      </c>
      <c r="D14" t="s">
        <v>49</v>
      </c>
      <c r="E14" t="s">
        <v>50</v>
      </c>
      <c r="F14" t="s">
        <v>243</v>
      </c>
      <c r="G14" t="s">
        <v>51</v>
      </c>
      <c r="H14">
        <v>30</v>
      </c>
      <c r="I14">
        <v>20047</v>
      </c>
      <c r="J14">
        <v>3</v>
      </c>
    </row>
    <row r="15" spans="1:10" x14ac:dyDescent="0.2">
      <c r="A15">
        <v>702</v>
      </c>
      <c r="B15" t="s">
        <v>268</v>
      </c>
      <c r="C15" t="s">
        <v>269</v>
      </c>
      <c r="D15" t="s">
        <v>52</v>
      </c>
      <c r="E15" t="s">
        <v>53</v>
      </c>
      <c r="F15" t="s">
        <v>243</v>
      </c>
      <c r="G15" t="s">
        <v>54</v>
      </c>
      <c r="H15">
        <v>27</v>
      </c>
      <c r="I15">
        <v>31784</v>
      </c>
      <c r="J15">
        <v>1</v>
      </c>
    </row>
    <row r="16" spans="1:10" x14ac:dyDescent="0.2">
      <c r="A16">
        <v>682</v>
      </c>
      <c r="B16" t="s">
        <v>270</v>
      </c>
      <c r="C16" t="s">
        <v>271</v>
      </c>
      <c r="D16" t="s">
        <v>55</v>
      </c>
      <c r="E16" t="s">
        <v>56</v>
      </c>
      <c r="F16" t="s">
        <v>243</v>
      </c>
      <c r="G16" t="s">
        <v>57</v>
      </c>
      <c r="H16">
        <v>30</v>
      </c>
      <c r="I16">
        <v>21171</v>
      </c>
      <c r="J16">
        <v>1</v>
      </c>
    </row>
    <row r="17" spans="1:10" x14ac:dyDescent="0.2">
      <c r="A17">
        <v>673</v>
      </c>
      <c r="B17" t="s">
        <v>272</v>
      </c>
      <c r="C17" t="s">
        <v>273</v>
      </c>
      <c r="D17" t="s">
        <v>61</v>
      </c>
      <c r="E17" t="s">
        <v>62</v>
      </c>
      <c r="F17" t="s">
        <v>243</v>
      </c>
      <c r="G17" t="s">
        <v>63</v>
      </c>
      <c r="H17">
        <v>22</v>
      </c>
      <c r="I17">
        <v>18349</v>
      </c>
      <c r="J17">
        <v>1</v>
      </c>
    </row>
    <row r="18" spans="1:10" x14ac:dyDescent="0.2">
      <c r="A18">
        <v>625</v>
      </c>
      <c r="B18" t="s">
        <v>274</v>
      </c>
      <c r="C18" t="s">
        <v>275</v>
      </c>
      <c r="D18" t="s">
        <v>64</v>
      </c>
      <c r="E18" t="s">
        <v>36</v>
      </c>
      <c r="F18" t="s">
        <v>243</v>
      </c>
      <c r="G18" t="s">
        <v>65</v>
      </c>
      <c r="H18">
        <v>26</v>
      </c>
      <c r="I18">
        <v>10697</v>
      </c>
      <c r="J18">
        <v>1</v>
      </c>
    </row>
    <row r="19" spans="1:10" x14ac:dyDescent="0.2">
      <c r="A19">
        <v>663</v>
      </c>
      <c r="B19" t="s">
        <v>276</v>
      </c>
      <c r="C19" t="s">
        <v>277</v>
      </c>
      <c r="D19" t="s">
        <v>66</v>
      </c>
      <c r="E19" t="s">
        <v>67</v>
      </c>
      <c r="F19" t="s">
        <v>243</v>
      </c>
      <c r="G19" t="s">
        <v>68</v>
      </c>
      <c r="H19">
        <v>25</v>
      </c>
      <c r="I19">
        <v>22088</v>
      </c>
      <c r="J19">
        <v>1</v>
      </c>
    </row>
    <row r="20" spans="1:10" x14ac:dyDescent="0.2">
      <c r="A20">
        <v>736</v>
      </c>
      <c r="B20" t="s">
        <v>278</v>
      </c>
      <c r="C20" t="s">
        <v>279</v>
      </c>
      <c r="D20" t="s">
        <v>69</v>
      </c>
      <c r="E20" t="s">
        <v>70</v>
      </c>
      <c r="F20" t="s">
        <v>243</v>
      </c>
      <c r="G20" t="s">
        <v>71</v>
      </c>
      <c r="H20">
        <v>23</v>
      </c>
      <c r="I20">
        <v>23054</v>
      </c>
      <c r="J20">
        <v>1</v>
      </c>
    </row>
    <row r="21" spans="1:10" x14ac:dyDescent="0.2">
      <c r="A21">
        <v>597</v>
      </c>
      <c r="B21" t="s">
        <v>280</v>
      </c>
      <c r="C21" t="s">
        <v>281</v>
      </c>
      <c r="D21" t="s">
        <v>72</v>
      </c>
      <c r="E21" t="s">
        <v>73</v>
      </c>
      <c r="F21" t="s">
        <v>243</v>
      </c>
      <c r="G21" t="s">
        <v>74</v>
      </c>
      <c r="H21">
        <v>24</v>
      </c>
      <c r="I21">
        <v>22882</v>
      </c>
      <c r="J21">
        <v>1</v>
      </c>
    </row>
    <row r="22" spans="1:10" x14ac:dyDescent="0.2">
      <c r="A22">
        <v>720</v>
      </c>
      <c r="B22" t="s">
        <v>282</v>
      </c>
      <c r="C22" t="s">
        <v>283</v>
      </c>
      <c r="D22" t="s">
        <v>75</v>
      </c>
      <c r="E22" t="s">
        <v>76</v>
      </c>
      <c r="F22" t="s">
        <v>243</v>
      </c>
      <c r="G22" t="s">
        <v>77</v>
      </c>
      <c r="H22">
        <v>15</v>
      </c>
      <c r="I22">
        <v>14467</v>
      </c>
      <c r="J22">
        <v>2</v>
      </c>
    </row>
    <row r="23" spans="1:10" x14ac:dyDescent="0.2">
      <c r="A23">
        <v>578</v>
      </c>
      <c r="B23" t="s">
        <v>284</v>
      </c>
      <c r="C23" t="s">
        <v>285</v>
      </c>
      <c r="D23" t="s">
        <v>78</v>
      </c>
      <c r="E23" t="s">
        <v>79</v>
      </c>
      <c r="F23" t="s">
        <v>243</v>
      </c>
      <c r="G23" t="s">
        <v>80</v>
      </c>
      <c r="H23">
        <v>12</v>
      </c>
      <c r="I23">
        <v>11263</v>
      </c>
      <c r="J23">
        <v>1</v>
      </c>
    </row>
    <row r="24" spans="1:10" x14ac:dyDescent="0.2">
      <c r="A24">
        <v>498</v>
      </c>
      <c r="B24" t="s">
        <v>286</v>
      </c>
      <c r="C24" t="s">
        <v>287</v>
      </c>
      <c r="D24" t="s">
        <v>81</v>
      </c>
      <c r="E24" t="s">
        <v>82</v>
      </c>
      <c r="F24" t="s">
        <v>243</v>
      </c>
      <c r="G24" t="s">
        <v>83</v>
      </c>
      <c r="H24">
        <v>13</v>
      </c>
      <c r="I24">
        <v>9447</v>
      </c>
      <c r="J24">
        <v>1</v>
      </c>
    </row>
    <row r="25" spans="1:10" x14ac:dyDescent="0.2">
      <c r="A25">
        <v>723</v>
      </c>
      <c r="B25" t="s">
        <v>288</v>
      </c>
      <c r="C25" t="s">
        <v>289</v>
      </c>
      <c r="D25" t="s">
        <v>84</v>
      </c>
      <c r="E25" t="s">
        <v>85</v>
      </c>
      <c r="F25" t="s">
        <v>243</v>
      </c>
      <c r="G25" t="s">
        <v>86</v>
      </c>
      <c r="H25">
        <v>12</v>
      </c>
      <c r="I25">
        <v>10215</v>
      </c>
      <c r="J25">
        <v>1</v>
      </c>
    </row>
    <row r="26" spans="1:10" x14ac:dyDescent="0.2">
      <c r="A26">
        <v>2190</v>
      </c>
      <c r="B26" t="s">
        <v>290</v>
      </c>
      <c r="C26" t="s">
        <v>291</v>
      </c>
      <c r="D26" t="s">
        <v>87</v>
      </c>
      <c r="E26" t="s">
        <v>88</v>
      </c>
      <c r="F26" t="s">
        <v>243</v>
      </c>
      <c r="G26" t="s">
        <v>89</v>
      </c>
      <c r="H26">
        <v>12</v>
      </c>
      <c r="I26">
        <v>9869</v>
      </c>
      <c r="J26">
        <v>1</v>
      </c>
    </row>
    <row r="27" spans="1:10" x14ac:dyDescent="0.2">
      <c r="A27">
        <v>2191</v>
      </c>
      <c r="B27" t="s">
        <v>292</v>
      </c>
      <c r="C27" t="s">
        <v>293</v>
      </c>
      <c r="D27" t="s">
        <v>90</v>
      </c>
      <c r="E27" t="s">
        <v>91</v>
      </c>
      <c r="F27" t="s">
        <v>243</v>
      </c>
      <c r="G27" t="s">
        <v>92</v>
      </c>
      <c r="H27">
        <v>13</v>
      </c>
      <c r="I27">
        <v>9094</v>
      </c>
      <c r="J27">
        <v>3</v>
      </c>
    </row>
    <row r="28" spans="1:10" x14ac:dyDescent="0.2">
      <c r="A28">
        <v>653</v>
      </c>
      <c r="B28" t="s">
        <v>294</v>
      </c>
      <c r="C28" t="s">
        <v>295</v>
      </c>
      <c r="D28" t="s">
        <v>94</v>
      </c>
      <c r="E28" t="s">
        <v>95</v>
      </c>
      <c r="F28" t="s">
        <v>243</v>
      </c>
      <c r="G28" t="s">
        <v>296</v>
      </c>
      <c r="H28">
        <v>10</v>
      </c>
      <c r="I28">
        <v>6181</v>
      </c>
      <c r="J28">
        <v>1</v>
      </c>
    </row>
    <row r="29" spans="1:10" x14ac:dyDescent="0.2">
      <c r="A29">
        <v>613</v>
      </c>
      <c r="B29" t="s">
        <v>297</v>
      </c>
      <c r="C29" t="s">
        <v>298</v>
      </c>
      <c r="D29" t="s">
        <v>96</v>
      </c>
      <c r="E29" t="s">
        <v>97</v>
      </c>
      <c r="F29" t="s">
        <v>243</v>
      </c>
      <c r="G29" t="s">
        <v>299</v>
      </c>
      <c r="H29">
        <v>11</v>
      </c>
      <c r="I29">
        <v>5341</v>
      </c>
      <c r="J29">
        <v>2</v>
      </c>
    </row>
    <row r="30" spans="1:10" x14ac:dyDescent="0.2">
      <c r="A30">
        <v>712</v>
      </c>
      <c r="B30" t="s">
        <v>300</v>
      </c>
      <c r="C30" t="s">
        <v>301</v>
      </c>
      <c r="D30" t="s">
        <v>98</v>
      </c>
      <c r="E30" t="s">
        <v>99</v>
      </c>
      <c r="F30" t="s">
        <v>243</v>
      </c>
      <c r="G30" t="s">
        <v>302</v>
      </c>
      <c r="H30">
        <v>11</v>
      </c>
      <c r="I30">
        <v>6688</v>
      </c>
      <c r="J30">
        <v>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30777-C0FC-DE44-ABA4-F02230182BD2}">
  <dimension ref="A1:J39"/>
  <sheetViews>
    <sheetView topLeftCell="A9" workbookViewId="0">
      <selection activeCell="E15" sqref="E15"/>
    </sheetView>
  </sheetViews>
  <sheetFormatPr baseColWidth="10" defaultRowHeight="16" x14ac:dyDescent="0.2"/>
  <cols>
    <col min="1" max="1" width="5.1640625" bestFit="1" customWidth="1"/>
    <col min="2" max="2" width="18.83203125" bestFit="1" customWidth="1"/>
    <col min="3" max="3" width="19.5" bestFit="1" customWidth="1"/>
    <col min="4" max="4" width="52" bestFit="1" customWidth="1"/>
    <col min="5" max="5" width="15.83203125" bestFit="1" customWidth="1"/>
    <col min="6" max="6" width="12.33203125" bestFit="1" customWidth="1"/>
    <col min="7" max="7" width="7.83203125" customWidth="1"/>
    <col min="8" max="8" width="9.1640625" customWidth="1"/>
    <col min="9" max="9" width="17.83203125" customWidth="1"/>
    <col min="10" max="10" width="12.6640625" customWidth="1"/>
  </cols>
  <sheetData>
    <row r="1" spans="1:10" x14ac:dyDescent="0.2">
      <c r="A1" t="s">
        <v>234</v>
      </c>
      <c r="B1" t="s">
        <v>235</v>
      </c>
      <c r="C1" t="s">
        <v>236</v>
      </c>
      <c r="D1" t="s">
        <v>0</v>
      </c>
      <c r="E1" t="s">
        <v>7</v>
      </c>
      <c r="F1" t="s">
        <v>237</v>
      </c>
      <c r="G1" t="s">
        <v>8</v>
      </c>
      <c r="H1" t="s">
        <v>238</v>
      </c>
      <c r="I1" t="s">
        <v>239</v>
      </c>
      <c r="J1" t="s">
        <v>240</v>
      </c>
    </row>
    <row r="2" spans="1:10" x14ac:dyDescent="0.2">
      <c r="A2">
        <v>648</v>
      </c>
      <c r="B2" t="s">
        <v>241</v>
      </c>
      <c r="C2" t="s">
        <v>242</v>
      </c>
      <c r="D2" t="s">
        <v>9</v>
      </c>
      <c r="E2" t="s">
        <v>10</v>
      </c>
      <c r="F2" t="s">
        <v>243</v>
      </c>
      <c r="G2" t="s">
        <v>11</v>
      </c>
      <c r="H2">
        <v>25</v>
      </c>
      <c r="I2">
        <v>28737</v>
      </c>
      <c r="J2">
        <v>3</v>
      </c>
    </row>
    <row r="3" spans="1:10" x14ac:dyDescent="0.2">
      <c r="A3">
        <v>691</v>
      </c>
      <c r="B3" t="s">
        <v>244</v>
      </c>
      <c r="C3" t="s">
        <v>245</v>
      </c>
      <c r="D3" t="s">
        <v>12</v>
      </c>
      <c r="E3" t="s">
        <v>13</v>
      </c>
      <c r="F3" t="s">
        <v>243</v>
      </c>
      <c r="G3" t="s">
        <v>14</v>
      </c>
      <c r="H3">
        <v>32</v>
      </c>
      <c r="I3">
        <v>29032</v>
      </c>
      <c r="J3">
        <v>9</v>
      </c>
    </row>
    <row r="4" spans="1:10" x14ac:dyDescent="0.2">
      <c r="A4">
        <v>506</v>
      </c>
      <c r="B4" t="s">
        <v>246</v>
      </c>
      <c r="C4" t="s">
        <v>247</v>
      </c>
      <c r="D4" t="s">
        <v>15</v>
      </c>
      <c r="E4" t="s">
        <v>16</v>
      </c>
      <c r="F4" t="s">
        <v>243</v>
      </c>
      <c r="G4" t="s">
        <v>17</v>
      </c>
      <c r="H4">
        <v>32</v>
      </c>
      <c r="I4">
        <v>36050</v>
      </c>
      <c r="J4">
        <v>2</v>
      </c>
    </row>
    <row r="5" spans="1:10" x14ac:dyDescent="0.2">
      <c r="A5">
        <v>575</v>
      </c>
      <c r="B5" t="s">
        <v>248</v>
      </c>
      <c r="C5" t="s">
        <v>249</v>
      </c>
      <c r="D5" t="s">
        <v>18</v>
      </c>
      <c r="E5" t="s">
        <v>19</v>
      </c>
      <c r="F5" t="s">
        <v>243</v>
      </c>
      <c r="G5" t="s">
        <v>20</v>
      </c>
      <c r="H5">
        <v>30</v>
      </c>
      <c r="I5">
        <v>24221</v>
      </c>
      <c r="J5">
        <v>5</v>
      </c>
    </row>
    <row r="6" spans="1:10" x14ac:dyDescent="0.2">
      <c r="A6">
        <v>645</v>
      </c>
      <c r="B6" t="s">
        <v>250</v>
      </c>
      <c r="C6" t="s">
        <v>251</v>
      </c>
      <c r="D6" t="s">
        <v>21</v>
      </c>
      <c r="E6" t="s">
        <v>22</v>
      </c>
      <c r="F6" t="s">
        <v>243</v>
      </c>
      <c r="G6" t="s">
        <v>23</v>
      </c>
      <c r="H6">
        <v>22</v>
      </c>
      <c r="I6">
        <v>14416</v>
      </c>
      <c r="J6">
        <v>3</v>
      </c>
    </row>
    <row r="7" spans="1:10" x14ac:dyDescent="0.2">
      <c r="A7">
        <v>591</v>
      </c>
      <c r="B7" t="s">
        <v>252</v>
      </c>
      <c r="C7" t="s">
        <v>253</v>
      </c>
      <c r="D7" t="s">
        <v>24</v>
      </c>
      <c r="E7" t="s">
        <v>25</v>
      </c>
      <c r="F7" t="s">
        <v>243</v>
      </c>
      <c r="G7" t="s">
        <v>26</v>
      </c>
      <c r="H7">
        <v>28</v>
      </c>
      <c r="I7">
        <v>18390</v>
      </c>
      <c r="J7">
        <v>2</v>
      </c>
    </row>
    <row r="8" spans="1:10" x14ac:dyDescent="0.2">
      <c r="A8">
        <v>733</v>
      </c>
      <c r="B8" t="s">
        <v>254</v>
      </c>
      <c r="C8" t="s">
        <v>255</v>
      </c>
      <c r="D8" t="s">
        <v>27</v>
      </c>
      <c r="E8" t="s">
        <v>2</v>
      </c>
      <c r="F8" t="s">
        <v>243</v>
      </c>
      <c r="G8" t="s">
        <v>28</v>
      </c>
      <c r="H8">
        <v>25</v>
      </c>
      <c r="I8">
        <v>28057</v>
      </c>
      <c r="J8">
        <v>4</v>
      </c>
    </row>
    <row r="9" spans="1:10" x14ac:dyDescent="0.2">
      <c r="A9">
        <v>730</v>
      </c>
      <c r="B9" t="s">
        <v>256</v>
      </c>
      <c r="C9" t="s">
        <v>257</v>
      </c>
      <c r="D9" t="s">
        <v>29</v>
      </c>
      <c r="E9" t="s">
        <v>30</v>
      </c>
      <c r="F9" t="s">
        <v>243</v>
      </c>
      <c r="G9" t="s">
        <v>31</v>
      </c>
      <c r="H9">
        <v>24</v>
      </c>
      <c r="I9">
        <v>44350</v>
      </c>
      <c r="J9">
        <v>2</v>
      </c>
    </row>
    <row r="10" spans="1:10" x14ac:dyDescent="0.2">
      <c r="A10">
        <v>554</v>
      </c>
      <c r="B10" t="s">
        <v>258</v>
      </c>
      <c r="C10" t="s">
        <v>259</v>
      </c>
      <c r="D10" t="s">
        <v>32</v>
      </c>
      <c r="E10" t="s">
        <v>33</v>
      </c>
      <c r="F10" t="s">
        <v>243</v>
      </c>
      <c r="G10" t="s">
        <v>34</v>
      </c>
      <c r="H10">
        <v>29</v>
      </c>
      <c r="I10">
        <v>23813</v>
      </c>
      <c r="J10">
        <v>2</v>
      </c>
    </row>
    <row r="11" spans="1:10" x14ac:dyDescent="0.2">
      <c r="A11">
        <v>571</v>
      </c>
      <c r="B11" t="s">
        <v>260</v>
      </c>
      <c r="C11" t="s">
        <v>261</v>
      </c>
      <c r="D11" t="s">
        <v>35</v>
      </c>
      <c r="E11" t="s">
        <v>36</v>
      </c>
      <c r="F11" t="s">
        <v>243</v>
      </c>
      <c r="G11" t="s">
        <v>37</v>
      </c>
      <c r="H11">
        <v>27</v>
      </c>
      <c r="I11">
        <v>39711</v>
      </c>
      <c r="J11">
        <v>4</v>
      </c>
    </row>
    <row r="12" spans="1:10" x14ac:dyDescent="0.2">
      <c r="A12">
        <v>647</v>
      </c>
      <c r="B12" t="s">
        <v>262</v>
      </c>
      <c r="C12" t="s">
        <v>263</v>
      </c>
      <c r="D12" t="s">
        <v>39</v>
      </c>
      <c r="E12" t="s">
        <v>40</v>
      </c>
      <c r="F12" t="s">
        <v>243</v>
      </c>
      <c r="G12" t="s">
        <v>41</v>
      </c>
      <c r="H12">
        <v>28</v>
      </c>
      <c r="I12">
        <v>26074</v>
      </c>
      <c r="J12">
        <v>4</v>
      </c>
    </row>
    <row r="13" spans="1:10" x14ac:dyDescent="0.2">
      <c r="A13">
        <v>700</v>
      </c>
      <c r="B13" t="s">
        <v>264</v>
      </c>
      <c r="C13" t="s">
        <v>265</v>
      </c>
      <c r="D13" t="s">
        <v>42</v>
      </c>
      <c r="E13" t="s">
        <v>43</v>
      </c>
      <c r="F13" t="s">
        <v>243</v>
      </c>
      <c r="G13" t="s">
        <v>44</v>
      </c>
      <c r="H13">
        <v>29</v>
      </c>
      <c r="I13">
        <v>23724</v>
      </c>
      <c r="J13">
        <v>2</v>
      </c>
    </row>
    <row r="14" spans="1:10" x14ac:dyDescent="0.2">
      <c r="A14">
        <v>529</v>
      </c>
      <c r="B14" t="s">
        <v>304</v>
      </c>
      <c r="C14" t="s">
        <v>305</v>
      </c>
      <c r="D14" t="s">
        <v>45</v>
      </c>
      <c r="E14" t="s">
        <v>46</v>
      </c>
      <c r="F14" t="s">
        <v>243</v>
      </c>
      <c r="G14" t="s">
        <v>306</v>
      </c>
      <c r="H14">
        <v>27</v>
      </c>
      <c r="I14">
        <v>15952</v>
      </c>
      <c r="J14">
        <v>6</v>
      </c>
    </row>
    <row r="15" spans="1:10" x14ac:dyDescent="0.2">
      <c r="A15">
        <v>627</v>
      </c>
      <c r="B15" t="s">
        <v>307</v>
      </c>
      <c r="C15" t="s">
        <v>308</v>
      </c>
      <c r="D15" t="s">
        <v>47</v>
      </c>
      <c r="E15" t="s">
        <v>48</v>
      </c>
      <c r="F15" t="s">
        <v>243</v>
      </c>
      <c r="G15" t="s">
        <v>309</v>
      </c>
      <c r="H15">
        <v>29</v>
      </c>
      <c r="I15">
        <v>15166</v>
      </c>
      <c r="J15">
        <v>5</v>
      </c>
    </row>
    <row r="16" spans="1:10" x14ac:dyDescent="0.2">
      <c r="A16">
        <v>574</v>
      </c>
      <c r="B16" t="s">
        <v>266</v>
      </c>
      <c r="C16" t="s">
        <v>267</v>
      </c>
      <c r="D16" t="s">
        <v>49</v>
      </c>
      <c r="E16" t="s">
        <v>50</v>
      </c>
      <c r="F16" t="s">
        <v>243</v>
      </c>
      <c r="G16" t="s">
        <v>51</v>
      </c>
      <c r="H16">
        <v>30</v>
      </c>
      <c r="I16">
        <v>20047</v>
      </c>
      <c r="J16">
        <v>8</v>
      </c>
    </row>
    <row r="17" spans="1:10" x14ac:dyDescent="0.2">
      <c r="A17">
        <v>702</v>
      </c>
      <c r="B17" t="s">
        <v>268</v>
      </c>
      <c r="C17" t="s">
        <v>269</v>
      </c>
      <c r="D17" t="s">
        <v>52</v>
      </c>
      <c r="E17" t="s">
        <v>53</v>
      </c>
      <c r="F17" t="s">
        <v>243</v>
      </c>
      <c r="G17" t="s">
        <v>54</v>
      </c>
      <c r="H17">
        <v>27</v>
      </c>
      <c r="I17">
        <v>31784</v>
      </c>
      <c r="J17">
        <v>1</v>
      </c>
    </row>
    <row r="18" spans="1:10" x14ac:dyDescent="0.2">
      <c r="A18">
        <v>682</v>
      </c>
      <c r="B18" t="s">
        <v>270</v>
      </c>
      <c r="C18" t="s">
        <v>271</v>
      </c>
      <c r="D18" t="s">
        <v>55</v>
      </c>
      <c r="E18" t="s">
        <v>56</v>
      </c>
      <c r="F18" t="s">
        <v>243</v>
      </c>
      <c r="G18" t="s">
        <v>57</v>
      </c>
      <c r="H18">
        <v>30</v>
      </c>
      <c r="I18">
        <v>21171</v>
      </c>
      <c r="J18">
        <v>1</v>
      </c>
    </row>
    <row r="19" spans="1:10" x14ac:dyDescent="0.2">
      <c r="A19">
        <v>673</v>
      </c>
      <c r="B19" t="s">
        <v>272</v>
      </c>
      <c r="C19" t="s">
        <v>273</v>
      </c>
      <c r="D19" t="s">
        <v>61</v>
      </c>
      <c r="E19" t="s">
        <v>62</v>
      </c>
      <c r="F19" t="s">
        <v>243</v>
      </c>
      <c r="G19" t="s">
        <v>63</v>
      </c>
      <c r="H19">
        <v>22</v>
      </c>
      <c r="I19">
        <v>18349</v>
      </c>
      <c r="J19">
        <v>7</v>
      </c>
    </row>
    <row r="20" spans="1:10" x14ac:dyDescent="0.2">
      <c r="A20">
        <v>625</v>
      </c>
      <c r="B20" t="s">
        <v>274</v>
      </c>
      <c r="C20" t="s">
        <v>275</v>
      </c>
      <c r="D20" t="s">
        <v>64</v>
      </c>
      <c r="E20" t="s">
        <v>36</v>
      </c>
      <c r="F20" t="s">
        <v>243</v>
      </c>
      <c r="G20" t="s">
        <v>65</v>
      </c>
      <c r="H20">
        <v>26</v>
      </c>
      <c r="I20">
        <v>10697</v>
      </c>
      <c r="J20">
        <v>1</v>
      </c>
    </row>
    <row r="21" spans="1:10" x14ac:dyDescent="0.2">
      <c r="A21">
        <v>663</v>
      </c>
      <c r="B21" t="s">
        <v>276</v>
      </c>
      <c r="C21" t="s">
        <v>277</v>
      </c>
      <c r="D21" t="s">
        <v>66</v>
      </c>
      <c r="E21" t="s">
        <v>67</v>
      </c>
      <c r="F21" t="s">
        <v>243</v>
      </c>
      <c r="G21" t="s">
        <v>68</v>
      </c>
      <c r="H21">
        <v>25</v>
      </c>
      <c r="I21">
        <v>22088</v>
      </c>
      <c r="J21">
        <v>2</v>
      </c>
    </row>
    <row r="22" spans="1:10" x14ac:dyDescent="0.2">
      <c r="A22">
        <v>736</v>
      </c>
      <c r="B22" t="s">
        <v>278</v>
      </c>
      <c r="C22" t="s">
        <v>279</v>
      </c>
      <c r="D22" t="s">
        <v>69</v>
      </c>
      <c r="E22" t="s">
        <v>70</v>
      </c>
      <c r="F22" t="s">
        <v>243</v>
      </c>
      <c r="G22" t="s">
        <v>71</v>
      </c>
      <c r="H22">
        <v>23</v>
      </c>
      <c r="I22">
        <v>23054</v>
      </c>
      <c r="J22">
        <v>2</v>
      </c>
    </row>
    <row r="23" spans="1:10" x14ac:dyDescent="0.2">
      <c r="A23">
        <v>597</v>
      </c>
      <c r="B23" t="s">
        <v>280</v>
      </c>
      <c r="C23" t="s">
        <v>281</v>
      </c>
      <c r="D23" t="s">
        <v>72</v>
      </c>
      <c r="E23" t="s">
        <v>73</v>
      </c>
      <c r="F23" t="s">
        <v>243</v>
      </c>
      <c r="G23" t="s">
        <v>74</v>
      </c>
      <c r="H23">
        <v>24</v>
      </c>
      <c r="I23">
        <v>22882</v>
      </c>
      <c r="J23">
        <v>1</v>
      </c>
    </row>
    <row r="24" spans="1:10" x14ac:dyDescent="0.2">
      <c r="A24">
        <v>720</v>
      </c>
      <c r="B24" t="s">
        <v>282</v>
      </c>
      <c r="C24" t="s">
        <v>283</v>
      </c>
      <c r="D24" t="s">
        <v>75</v>
      </c>
      <c r="E24" t="s">
        <v>76</v>
      </c>
      <c r="F24" t="s">
        <v>243</v>
      </c>
      <c r="G24" t="s">
        <v>77</v>
      </c>
      <c r="H24">
        <v>15</v>
      </c>
      <c r="I24">
        <v>14467</v>
      </c>
      <c r="J24">
        <v>5</v>
      </c>
    </row>
    <row r="25" spans="1:10" x14ac:dyDescent="0.2">
      <c r="A25">
        <v>498</v>
      </c>
      <c r="B25" t="s">
        <v>286</v>
      </c>
      <c r="C25" t="s">
        <v>287</v>
      </c>
      <c r="D25" t="s">
        <v>81</v>
      </c>
      <c r="E25" t="s">
        <v>82</v>
      </c>
      <c r="F25" t="s">
        <v>243</v>
      </c>
      <c r="G25" t="s">
        <v>83</v>
      </c>
      <c r="H25">
        <v>13</v>
      </c>
      <c r="I25">
        <v>9447</v>
      </c>
      <c r="J25">
        <v>1</v>
      </c>
    </row>
    <row r="26" spans="1:10" x14ac:dyDescent="0.2">
      <c r="A26">
        <v>723</v>
      </c>
      <c r="B26" t="s">
        <v>288</v>
      </c>
      <c r="C26" t="s">
        <v>289</v>
      </c>
      <c r="D26" t="s">
        <v>84</v>
      </c>
      <c r="E26" t="s">
        <v>85</v>
      </c>
      <c r="F26" t="s">
        <v>243</v>
      </c>
      <c r="G26" t="s">
        <v>86</v>
      </c>
      <c r="H26">
        <v>12</v>
      </c>
      <c r="I26">
        <v>10215</v>
      </c>
      <c r="J26">
        <v>2</v>
      </c>
    </row>
    <row r="27" spans="1:10" x14ac:dyDescent="0.2">
      <c r="A27">
        <v>2191</v>
      </c>
      <c r="B27" t="s">
        <v>292</v>
      </c>
      <c r="C27" t="s">
        <v>293</v>
      </c>
      <c r="D27" t="s">
        <v>90</v>
      </c>
      <c r="E27" t="s">
        <v>91</v>
      </c>
      <c r="F27" t="s">
        <v>243</v>
      </c>
      <c r="G27" t="s">
        <v>92</v>
      </c>
      <c r="H27">
        <v>13</v>
      </c>
      <c r="I27">
        <v>9094</v>
      </c>
      <c r="J27">
        <v>8</v>
      </c>
    </row>
    <row r="28" spans="1:10" x14ac:dyDescent="0.2">
      <c r="A28">
        <v>613</v>
      </c>
      <c r="B28" t="s">
        <v>297</v>
      </c>
      <c r="C28" t="s">
        <v>298</v>
      </c>
      <c r="D28" t="s">
        <v>96</v>
      </c>
      <c r="E28" t="s">
        <v>97</v>
      </c>
      <c r="F28" t="s">
        <v>243</v>
      </c>
      <c r="G28" t="s">
        <v>299</v>
      </c>
      <c r="H28">
        <v>11</v>
      </c>
      <c r="I28">
        <v>5341</v>
      </c>
      <c r="J28">
        <v>1</v>
      </c>
    </row>
    <row r="29" spans="1:10" x14ac:dyDescent="0.2">
      <c r="A29">
        <v>712</v>
      </c>
      <c r="B29" t="s">
        <v>300</v>
      </c>
      <c r="C29" t="s">
        <v>301</v>
      </c>
      <c r="D29" t="s">
        <v>98</v>
      </c>
      <c r="E29" t="s">
        <v>99</v>
      </c>
      <c r="F29" t="s">
        <v>243</v>
      </c>
      <c r="G29" t="s">
        <v>302</v>
      </c>
      <c r="H29">
        <v>11</v>
      </c>
      <c r="I29">
        <v>6688</v>
      </c>
      <c r="J29">
        <v>9</v>
      </c>
    </row>
    <row r="30" spans="1:10" x14ac:dyDescent="0.2">
      <c r="A30">
        <v>2189</v>
      </c>
      <c r="B30" t="s">
        <v>310</v>
      </c>
      <c r="C30" t="s">
        <v>311</v>
      </c>
      <c r="D30" t="s">
        <v>100</v>
      </c>
      <c r="E30" t="s">
        <v>101</v>
      </c>
      <c r="F30" t="s">
        <v>243</v>
      </c>
      <c r="G30" t="s">
        <v>312</v>
      </c>
      <c r="H30">
        <v>13</v>
      </c>
      <c r="I30">
        <v>8131</v>
      </c>
      <c r="J30">
        <v>7</v>
      </c>
    </row>
    <row r="31" spans="1:10" x14ac:dyDescent="0.2">
      <c r="A31">
        <v>624</v>
      </c>
      <c r="B31" t="s">
        <v>313</v>
      </c>
      <c r="C31" t="s">
        <v>314</v>
      </c>
      <c r="D31" t="s">
        <v>102</v>
      </c>
      <c r="E31" t="s">
        <v>103</v>
      </c>
      <c r="F31" t="s">
        <v>243</v>
      </c>
      <c r="G31" t="s">
        <v>315</v>
      </c>
      <c r="H31">
        <v>1</v>
      </c>
      <c r="I31">
        <v>123</v>
      </c>
      <c r="J31">
        <v>2</v>
      </c>
    </row>
    <row r="32" spans="1:10" x14ac:dyDescent="0.2">
      <c r="A32">
        <v>519</v>
      </c>
      <c r="B32" t="s">
        <v>316</v>
      </c>
      <c r="C32" t="s">
        <v>317</v>
      </c>
      <c r="D32" t="s">
        <v>104</v>
      </c>
      <c r="E32" t="s">
        <v>105</v>
      </c>
      <c r="F32" t="s">
        <v>243</v>
      </c>
      <c r="G32" t="s">
        <v>318</v>
      </c>
      <c r="H32">
        <v>1</v>
      </c>
      <c r="I32">
        <v>113</v>
      </c>
      <c r="J32">
        <v>6</v>
      </c>
    </row>
    <row r="33" spans="1:10" x14ac:dyDescent="0.2">
      <c r="A33">
        <v>2207</v>
      </c>
      <c r="B33" t="s">
        <v>319</v>
      </c>
      <c r="C33" t="s">
        <v>320</v>
      </c>
      <c r="D33" t="s">
        <v>107</v>
      </c>
      <c r="E33" t="s">
        <v>108</v>
      </c>
      <c r="F33" t="s">
        <v>243</v>
      </c>
      <c r="G33" t="s">
        <v>321</v>
      </c>
      <c r="H33">
        <v>1</v>
      </c>
      <c r="I33">
        <v>103</v>
      </c>
      <c r="J33">
        <v>6</v>
      </c>
    </row>
    <row r="34" spans="1:10" x14ac:dyDescent="0.2">
      <c r="A34">
        <v>2219</v>
      </c>
      <c r="B34" t="s">
        <v>322</v>
      </c>
      <c r="C34" t="s">
        <v>323</v>
      </c>
      <c r="D34" t="s">
        <v>109</v>
      </c>
      <c r="E34" t="s">
        <v>110</v>
      </c>
      <c r="F34" t="s">
        <v>243</v>
      </c>
      <c r="G34" t="s">
        <v>324</v>
      </c>
      <c r="H34">
        <v>1</v>
      </c>
      <c r="I34">
        <v>97</v>
      </c>
      <c r="J34">
        <v>8</v>
      </c>
    </row>
    <row r="35" spans="1:10" x14ac:dyDescent="0.2">
      <c r="A35">
        <v>716</v>
      </c>
      <c r="B35" t="s">
        <v>325</v>
      </c>
      <c r="C35" t="s">
        <v>326</v>
      </c>
      <c r="D35" t="s">
        <v>111</v>
      </c>
      <c r="E35" t="s">
        <v>112</v>
      </c>
      <c r="F35" t="s">
        <v>243</v>
      </c>
      <c r="G35" t="s">
        <v>327</v>
      </c>
      <c r="H35">
        <v>1</v>
      </c>
      <c r="I35">
        <v>94</v>
      </c>
      <c r="J35">
        <v>4</v>
      </c>
    </row>
    <row r="36" spans="1:10" x14ac:dyDescent="0.2">
      <c r="A36">
        <v>635</v>
      </c>
      <c r="B36" t="s">
        <v>328</v>
      </c>
      <c r="C36" t="s">
        <v>329</v>
      </c>
      <c r="D36" t="s">
        <v>113</v>
      </c>
      <c r="E36" t="s">
        <v>114</v>
      </c>
      <c r="F36" t="s">
        <v>243</v>
      </c>
      <c r="G36" t="s">
        <v>330</v>
      </c>
      <c r="H36">
        <v>1</v>
      </c>
      <c r="I36">
        <v>88</v>
      </c>
      <c r="J36">
        <v>2</v>
      </c>
    </row>
    <row r="37" spans="1:10" x14ac:dyDescent="0.2">
      <c r="A37">
        <v>534</v>
      </c>
      <c r="B37" t="s">
        <v>331</v>
      </c>
      <c r="C37" t="s">
        <v>332</v>
      </c>
      <c r="D37" t="s">
        <v>115</v>
      </c>
      <c r="E37" t="s">
        <v>116</v>
      </c>
      <c r="F37" t="s">
        <v>243</v>
      </c>
      <c r="G37" t="s">
        <v>333</v>
      </c>
      <c r="H37">
        <v>1</v>
      </c>
      <c r="I37">
        <v>55</v>
      </c>
      <c r="J37">
        <v>2</v>
      </c>
    </row>
    <row r="38" spans="1:10" x14ac:dyDescent="0.2">
      <c r="A38">
        <v>563</v>
      </c>
      <c r="B38" t="s">
        <v>334</v>
      </c>
      <c r="C38" t="s">
        <v>335</v>
      </c>
      <c r="D38" t="s">
        <v>117</v>
      </c>
      <c r="E38" t="s">
        <v>118</v>
      </c>
      <c r="F38" t="s">
        <v>243</v>
      </c>
      <c r="G38" t="s">
        <v>336</v>
      </c>
      <c r="H38">
        <v>1</v>
      </c>
      <c r="I38">
        <v>10</v>
      </c>
      <c r="J38">
        <v>3</v>
      </c>
    </row>
    <row r="39" spans="1:10" x14ac:dyDescent="0.2">
      <c r="A39">
        <v>567</v>
      </c>
      <c r="B39" t="s">
        <v>337</v>
      </c>
      <c r="C39" t="s">
        <v>338</v>
      </c>
      <c r="D39" t="s">
        <v>119</v>
      </c>
      <c r="E39" t="s">
        <v>120</v>
      </c>
      <c r="F39" t="s">
        <v>243</v>
      </c>
      <c r="G39" t="s">
        <v>339</v>
      </c>
      <c r="H39">
        <v>1</v>
      </c>
      <c r="I39">
        <v>7</v>
      </c>
      <c r="J39">
        <v>8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C298B-15C7-F944-906E-C8D033662610}">
  <dimension ref="A1:J31"/>
  <sheetViews>
    <sheetView workbookViewId="0">
      <selection activeCell="E15" sqref="E15"/>
    </sheetView>
  </sheetViews>
  <sheetFormatPr baseColWidth="10" defaultRowHeight="16" x14ac:dyDescent="0.2"/>
  <cols>
    <col min="1" max="1" width="5.1640625" bestFit="1" customWidth="1"/>
    <col min="2" max="2" width="18.83203125" bestFit="1" customWidth="1"/>
    <col min="3" max="3" width="19.5" bestFit="1" customWidth="1"/>
    <col min="4" max="4" width="52" bestFit="1" customWidth="1"/>
    <col min="5" max="5" width="15.83203125" bestFit="1" customWidth="1"/>
    <col min="6" max="6" width="12.33203125" bestFit="1" customWidth="1"/>
    <col min="7" max="7" width="7.83203125" customWidth="1"/>
    <col min="8" max="8" width="9.1640625" customWidth="1"/>
    <col min="9" max="9" width="17.83203125" customWidth="1"/>
    <col min="10" max="10" width="12.6640625" customWidth="1"/>
  </cols>
  <sheetData>
    <row r="1" spans="1:10" x14ac:dyDescent="0.2">
      <c r="A1" t="s">
        <v>234</v>
      </c>
      <c r="B1" t="s">
        <v>235</v>
      </c>
      <c r="C1" t="s">
        <v>236</v>
      </c>
      <c r="D1" t="s">
        <v>0</v>
      </c>
      <c r="E1" t="s">
        <v>7</v>
      </c>
      <c r="F1" t="s">
        <v>237</v>
      </c>
      <c r="G1" t="s">
        <v>8</v>
      </c>
      <c r="H1" t="s">
        <v>238</v>
      </c>
      <c r="I1" t="s">
        <v>239</v>
      </c>
      <c r="J1" t="s">
        <v>240</v>
      </c>
    </row>
    <row r="2" spans="1:10" x14ac:dyDescent="0.2">
      <c r="A2">
        <v>648</v>
      </c>
      <c r="B2" t="s">
        <v>241</v>
      </c>
      <c r="C2" t="s">
        <v>242</v>
      </c>
      <c r="D2" t="s">
        <v>9</v>
      </c>
      <c r="E2" t="s">
        <v>10</v>
      </c>
      <c r="F2" t="s">
        <v>243</v>
      </c>
      <c r="G2" t="s">
        <v>11</v>
      </c>
      <c r="H2">
        <v>25</v>
      </c>
      <c r="I2">
        <v>28737</v>
      </c>
      <c r="J2">
        <v>3</v>
      </c>
    </row>
    <row r="3" spans="1:10" x14ac:dyDescent="0.2">
      <c r="A3">
        <v>691</v>
      </c>
      <c r="B3" t="s">
        <v>244</v>
      </c>
      <c r="C3" t="s">
        <v>245</v>
      </c>
      <c r="D3" t="s">
        <v>12</v>
      </c>
      <c r="E3" t="s">
        <v>13</v>
      </c>
      <c r="F3" t="s">
        <v>243</v>
      </c>
      <c r="G3" t="s">
        <v>14</v>
      </c>
      <c r="H3">
        <v>32</v>
      </c>
      <c r="I3">
        <v>29032</v>
      </c>
      <c r="J3">
        <v>2</v>
      </c>
    </row>
    <row r="4" spans="1:10" x14ac:dyDescent="0.2">
      <c r="A4">
        <v>506</v>
      </c>
      <c r="B4" t="s">
        <v>246</v>
      </c>
      <c r="C4" t="s">
        <v>247</v>
      </c>
      <c r="D4" t="s">
        <v>15</v>
      </c>
      <c r="E4" t="s">
        <v>16</v>
      </c>
      <c r="F4" t="s">
        <v>243</v>
      </c>
      <c r="G4" t="s">
        <v>17</v>
      </c>
      <c r="H4">
        <v>32</v>
      </c>
      <c r="I4">
        <v>36050</v>
      </c>
      <c r="J4">
        <v>2</v>
      </c>
    </row>
    <row r="5" spans="1:10" x14ac:dyDescent="0.2">
      <c r="A5">
        <v>575</v>
      </c>
      <c r="B5" t="s">
        <v>248</v>
      </c>
      <c r="C5" t="s">
        <v>249</v>
      </c>
      <c r="D5" t="s">
        <v>18</v>
      </c>
      <c r="E5" t="s">
        <v>19</v>
      </c>
      <c r="F5" t="s">
        <v>243</v>
      </c>
      <c r="G5" t="s">
        <v>20</v>
      </c>
      <c r="H5">
        <v>30</v>
      </c>
      <c r="I5">
        <v>24221</v>
      </c>
      <c r="J5">
        <v>2</v>
      </c>
    </row>
    <row r="6" spans="1:10" x14ac:dyDescent="0.2">
      <c r="A6">
        <v>645</v>
      </c>
      <c r="B6" t="s">
        <v>250</v>
      </c>
      <c r="C6" t="s">
        <v>251</v>
      </c>
      <c r="D6" t="s">
        <v>21</v>
      </c>
      <c r="E6" t="s">
        <v>22</v>
      </c>
      <c r="F6" t="s">
        <v>243</v>
      </c>
      <c r="G6" t="s">
        <v>23</v>
      </c>
      <c r="H6">
        <v>22</v>
      </c>
      <c r="I6">
        <v>14416</v>
      </c>
      <c r="J6">
        <v>3</v>
      </c>
    </row>
    <row r="7" spans="1:10" x14ac:dyDescent="0.2">
      <c r="A7">
        <v>591</v>
      </c>
      <c r="B7" t="s">
        <v>252</v>
      </c>
      <c r="C7" t="s">
        <v>253</v>
      </c>
      <c r="D7" t="s">
        <v>24</v>
      </c>
      <c r="E7" t="s">
        <v>25</v>
      </c>
      <c r="F7" t="s">
        <v>243</v>
      </c>
      <c r="G7" t="s">
        <v>26</v>
      </c>
      <c r="H7">
        <v>28</v>
      </c>
      <c r="I7">
        <v>18390</v>
      </c>
      <c r="J7">
        <v>1</v>
      </c>
    </row>
    <row r="8" spans="1:10" x14ac:dyDescent="0.2">
      <c r="A8">
        <v>733</v>
      </c>
      <c r="B8" t="s">
        <v>254</v>
      </c>
      <c r="C8" t="s">
        <v>255</v>
      </c>
      <c r="D8" t="s">
        <v>27</v>
      </c>
      <c r="E8" t="s">
        <v>2</v>
      </c>
      <c r="F8" t="s">
        <v>243</v>
      </c>
      <c r="G8" t="s">
        <v>28</v>
      </c>
      <c r="H8">
        <v>25</v>
      </c>
      <c r="I8">
        <v>28057</v>
      </c>
      <c r="J8">
        <v>3</v>
      </c>
    </row>
    <row r="9" spans="1:10" x14ac:dyDescent="0.2">
      <c r="A9">
        <v>554</v>
      </c>
      <c r="B9" t="s">
        <v>258</v>
      </c>
      <c r="C9" t="s">
        <v>259</v>
      </c>
      <c r="D9" t="s">
        <v>32</v>
      </c>
      <c r="E9" t="s">
        <v>33</v>
      </c>
      <c r="F9" t="s">
        <v>243</v>
      </c>
      <c r="G9" t="s">
        <v>34</v>
      </c>
      <c r="H9">
        <v>29</v>
      </c>
      <c r="I9">
        <v>23813</v>
      </c>
      <c r="J9">
        <v>1</v>
      </c>
    </row>
    <row r="10" spans="1:10" x14ac:dyDescent="0.2">
      <c r="A10">
        <v>571</v>
      </c>
      <c r="B10" t="s">
        <v>260</v>
      </c>
      <c r="C10" t="s">
        <v>261</v>
      </c>
      <c r="D10" t="s">
        <v>35</v>
      </c>
      <c r="E10" t="s">
        <v>36</v>
      </c>
      <c r="F10" t="s">
        <v>243</v>
      </c>
      <c r="G10" t="s">
        <v>37</v>
      </c>
      <c r="H10">
        <v>27</v>
      </c>
      <c r="I10">
        <v>39711</v>
      </c>
      <c r="J10">
        <v>4</v>
      </c>
    </row>
    <row r="11" spans="1:10" x14ac:dyDescent="0.2">
      <c r="A11">
        <v>700</v>
      </c>
      <c r="B11" t="s">
        <v>264</v>
      </c>
      <c r="C11" t="s">
        <v>265</v>
      </c>
      <c r="D11" t="s">
        <v>42</v>
      </c>
      <c r="E11" t="s">
        <v>43</v>
      </c>
      <c r="F11" t="s">
        <v>243</v>
      </c>
      <c r="G11" t="s">
        <v>44</v>
      </c>
      <c r="H11">
        <v>29</v>
      </c>
      <c r="I11">
        <v>23724</v>
      </c>
      <c r="J11">
        <v>1</v>
      </c>
    </row>
    <row r="12" spans="1:10" x14ac:dyDescent="0.2">
      <c r="A12">
        <v>529</v>
      </c>
      <c r="B12" t="s">
        <v>304</v>
      </c>
      <c r="C12" t="s">
        <v>305</v>
      </c>
      <c r="D12" t="s">
        <v>45</v>
      </c>
      <c r="E12" t="s">
        <v>46</v>
      </c>
      <c r="F12" t="s">
        <v>243</v>
      </c>
      <c r="G12" t="s">
        <v>306</v>
      </c>
      <c r="H12">
        <v>27</v>
      </c>
      <c r="I12">
        <v>15952</v>
      </c>
      <c r="J12">
        <v>2</v>
      </c>
    </row>
    <row r="13" spans="1:10" x14ac:dyDescent="0.2">
      <c r="A13">
        <v>627</v>
      </c>
      <c r="B13" t="s">
        <v>307</v>
      </c>
      <c r="C13" t="s">
        <v>308</v>
      </c>
      <c r="D13" t="s">
        <v>47</v>
      </c>
      <c r="E13" t="s">
        <v>48</v>
      </c>
      <c r="F13" t="s">
        <v>243</v>
      </c>
      <c r="G13" t="s">
        <v>309</v>
      </c>
      <c r="H13">
        <v>29</v>
      </c>
      <c r="I13">
        <v>15166</v>
      </c>
      <c r="J13">
        <v>2</v>
      </c>
    </row>
    <row r="14" spans="1:10" x14ac:dyDescent="0.2">
      <c r="A14">
        <v>574</v>
      </c>
      <c r="B14" t="s">
        <v>266</v>
      </c>
      <c r="C14" t="s">
        <v>267</v>
      </c>
      <c r="D14" t="s">
        <v>49</v>
      </c>
      <c r="E14" t="s">
        <v>50</v>
      </c>
      <c r="F14" t="s">
        <v>243</v>
      </c>
      <c r="G14" t="s">
        <v>51</v>
      </c>
      <c r="H14">
        <v>30</v>
      </c>
      <c r="I14">
        <v>20047</v>
      </c>
      <c r="J14">
        <v>2</v>
      </c>
    </row>
    <row r="15" spans="1:10" x14ac:dyDescent="0.2">
      <c r="A15">
        <v>702</v>
      </c>
      <c r="B15" t="s">
        <v>268</v>
      </c>
      <c r="C15" t="s">
        <v>269</v>
      </c>
      <c r="D15" t="s">
        <v>52</v>
      </c>
      <c r="E15" t="s">
        <v>53</v>
      </c>
      <c r="F15" t="s">
        <v>243</v>
      </c>
      <c r="G15" t="s">
        <v>54</v>
      </c>
      <c r="H15">
        <v>27</v>
      </c>
      <c r="I15">
        <v>31784</v>
      </c>
      <c r="J15">
        <v>1</v>
      </c>
    </row>
    <row r="16" spans="1:10" x14ac:dyDescent="0.2">
      <c r="A16">
        <v>682</v>
      </c>
      <c r="B16" t="s">
        <v>270</v>
      </c>
      <c r="C16" t="s">
        <v>271</v>
      </c>
      <c r="D16" t="s">
        <v>55</v>
      </c>
      <c r="E16" t="s">
        <v>56</v>
      </c>
      <c r="F16" t="s">
        <v>243</v>
      </c>
      <c r="G16" t="s">
        <v>57</v>
      </c>
      <c r="H16">
        <v>30</v>
      </c>
      <c r="I16">
        <v>21171</v>
      </c>
      <c r="J16">
        <v>2</v>
      </c>
    </row>
    <row r="17" spans="1:10" x14ac:dyDescent="0.2">
      <c r="A17">
        <v>579</v>
      </c>
      <c r="B17" t="s">
        <v>341</v>
      </c>
      <c r="C17" t="s">
        <v>342</v>
      </c>
      <c r="D17" t="s">
        <v>58</v>
      </c>
      <c r="E17" t="s">
        <v>59</v>
      </c>
      <c r="F17" t="s">
        <v>243</v>
      </c>
      <c r="G17" t="s">
        <v>343</v>
      </c>
      <c r="H17">
        <v>30</v>
      </c>
      <c r="I17">
        <v>11690</v>
      </c>
      <c r="J17">
        <v>2</v>
      </c>
    </row>
    <row r="18" spans="1:10" x14ac:dyDescent="0.2">
      <c r="A18">
        <v>673</v>
      </c>
      <c r="B18" t="s">
        <v>272</v>
      </c>
      <c r="C18" t="s">
        <v>273</v>
      </c>
      <c r="D18" t="s">
        <v>61</v>
      </c>
      <c r="E18" t="s">
        <v>62</v>
      </c>
      <c r="F18" t="s">
        <v>243</v>
      </c>
      <c r="G18" t="s">
        <v>63</v>
      </c>
      <c r="H18">
        <v>22</v>
      </c>
      <c r="I18">
        <v>18349</v>
      </c>
      <c r="J18">
        <v>1</v>
      </c>
    </row>
    <row r="19" spans="1:10" x14ac:dyDescent="0.2">
      <c r="A19">
        <v>625</v>
      </c>
      <c r="B19" t="s">
        <v>274</v>
      </c>
      <c r="C19" t="s">
        <v>275</v>
      </c>
      <c r="D19" t="s">
        <v>64</v>
      </c>
      <c r="E19" t="s">
        <v>36</v>
      </c>
      <c r="F19" t="s">
        <v>243</v>
      </c>
      <c r="G19" t="s">
        <v>65</v>
      </c>
      <c r="H19">
        <v>26</v>
      </c>
      <c r="I19">
        <v>10697</v>
      </c>
      <c r="J19">
        <v>1</v>
      </c>
    </row>
    <row r="20" spans="1:10" x14ac:dyDescent="0.2">
      <c r="A20">
        <v>663</v>
      </c>
      <c r="B20" t="s">
        <v>276</v>
      </c>
      <c r="C20" t="s">
        <v>277</v>
      </c>
      <c r="D20" t="s">
        <v>66</v>
      </c>
      <c r="E20" t="s">
        <v>67</v>
      </c>
      <c r="F20" t="s">
        <v>243</v>
      </c>
      <c r="G20" t="s">
        <v>68</v>
      </c>
      <c r="H20">
        <v>25</v>
      </c>
      <c r="I20">
        <v>22088</v>
      </c>
      <c r="J20">
        <v>2</v>
      </c>
    </row>
    <row r="21" spans="1:10" x14ac:dyDescent="0.2">
      <c r="A21">
        <v>736</v>
      </c>
      <c r="B21" t="s">
        <v>278</v>
      </c>
      <c r="C21" t="s">
        <v>279</v>
      </c>
      <c r="D21" t="s">
        <v>69</v>
      </c>
      <c r="E21" t="s">
        <v>70</v>
      </c>
      <c r="F21" t="s">
        <v>243</v>
      </c>
      <c r="G21" t="s">
        <v>71</v>
      </c>
      <c r="H21">
        <v>23</v>
      </c>
      <c r="I21">
        <v>23054</v>
      </c>
      <c r="J21">
        <v>1</v>
      </c>
    </row>
    <row r="22" spans="1:10" x14ac:dyDescent="0.2">
      <c r="A22">
        <v>597</v>
      </c>
      <c r="B22" t="s">
        <v>280</v>
      </c>
      <c r="C22" t="s">
        <v>281</v>
      </c>
      <c r="D22" t="s">
        <v>72</v>
      </c>
      <c r="E22" t="s">
        <v>73</v>
      </c>
      <c r="F22" t="s">
        <v>243</v>
      </c>
      <c r="G22" t="s">
        <v>74</v>
      </c>
      <c r="H22">
        <v>24</v>
      </c>
      <c r="I22">
        <v>22882</v>
      </c>
      <c r="J22">
        <v>2</v>
      </c>
    </row>
    <row r="23" spans="1:10" x14ac:dyDescent="0.2">
      <c r="A23">
        <v>720</v>
      </c>
      <c r="B23" t="s">
        <v>282</v>
      </c>
      <c r="C23" t="s">
        <v>283</v>
      </c>
      <c r="D23" t="s">
        <v>75</v>
      </c>
      <c r="E23" t="s">
        <v>76</v>
      </c>
      <c r="F23" t="s">
        <v>243</v>
      </c>
      <c r="G23" t="s">
        <v>77</v>
      </c>
      <c r="H23">
        <v>15</v>
      </c>
      <c r="I23">
        <v>14467</v>
      </c>
      <c r="J23">
        <v>2</v>
      </c>
    </row>
    <row r="24" spans="1:10" x14ac:dyDescent="0.2">
      <c r="A24">
        <v>498</v>
      </c>
      <c r="B24" t="s">
        <v>286</v>
      </c>
      <c r="C24" t="s">
        <v>287</v>
      </c>
      <c r="D24" t="s">
        <v>81</v>
      </c>
      <c r="E24" t="s">
        <v>82</v>
      </c>
      <c r="F24" t="s">
        <v>243</v>
      </c>
      <c r="G24" t="s">
        <v>83</v>
      </c>
      <c r="H24">
        <v>13</v>
      </c>
      <c r="I24">
        <v>9447</v>
      </c>
      <c r="J24">
        <v>2</v>
      </c>
    </row>
    <row r="25" spans="1:10" x14ac:dyDescent="0.2">
      <c r="A25">
        <v>723</v>
      </c>
      <c r="B25" t="s">
        <v>288</v>
      </c>
      <c r="C25" t="s">
        <v>289</v>
      </c>
      <c r="D25" t="s">
        <v>84</v>
      </c>
      <c r="E25" t="s">
        <v>85</v>
      </c>
      <c r="F25" t="s">
        <v>243</v>
      </c>
      <c r="G25" t="s">
        <v>86</v>
      </c>
      <c r="H25">
        <v>12</v>
      </c>
      <c r="I25">
        <v>10215</v>
      </c>
      <c r="J25">
        <v>2</v>
      </c>
    </row>
    <row r="26" spans="1:10" x14ac:dyDescent="0.2">
      <c r="A26">
        <v>2190</v>
      </c>
      <c r="B26" t="s">
        <v>290</v>
      </c>
      <c r="C26" t="s">
        <v>291</v>
      </c>
      <c r="D26" t="s">
        <v>87</v>
      </c>
      <c r="E26" t="s">
        <v>88</v>
      </c>
      <c r="F26" t="s">
        <v>243</v>
      </c>
      <c r="G26" t="s">
        <v>89</v>
      </c>
      <c r="H26">
        <v>12</v>
      </c>
      <c r="I26">
        <v>9869</v>
      </c>
      <c r="J26">
        <v>2</v>
      </c>
    </row>
    <row r="27" spans="1:10" x14ac:dyDescent="0.2">
      <c r="A27">
        <v>2191</v>
      </c>
      <c r="B27" t="s">
        <v>292</v>
      </c>
      <c r="C27" t="s">
        <v>293</v>
      </c>
      <c r="D27" t="s">
        <v>90</v>
      </c>
      <c r="E27" t="s">
        <v>91</v>
      </c>
      <c r="F27" t="s">
        <v>243</v>
      </c>
      <c r="G27" t="s">
        <v>92</v>
      </c>
      <c r="H27">
        <v>13</v>
      </c>
      <c r="I27">
        <v>9094</v>
      </c>
      <c r="J27">
        <v>2</v>
      </c>
    </row>
    <row r="28" spans="1:10" x14ac:dyDescent="0.2">
      <c r="A28">
        <v>653</v>
      </c>
      <c r="B28" t="s">
        <v>294</v>
      </c>
      <c r="C28" t="s">
        <v>295</v>
      </c>
      <c r="D28" t="s">
        <v>94</v>
      </c>
      <c r="E28" t="s">
        <v>95</v>
      </c>
      <c r="F28" t="s">
        <v>243</v>
      </c>
      <c r="G28" t="s">
        <v>296</v>
      </c>
      <c r="H28">
        <v>10</v>
      </c>
      <c r="I28">
        <v>6181</v>
      </c>
      <c r="J28">
        <v>4</v>
      </c>
    </row>
    <row r="29" spans="1:10" x14ac:dyDescent="0.2">
      <c r="A29">
        <v>613</v>
      </c>
      <c r="B29" t="s">
        <v>297</v>
      </c>
      <c r="C29" t="s">
        <v>298</v>
      </c>
      <c r="D29" t="s">
        <v>96</v>
      </c>
      <c r="E29" t="s">
        <v>97</v>
      </c>
      <c r="F29" t="s">
        <v>243</v>
      </c>
      <c r="G29" t="s">
        <v>299</v>
      </c>
      <c r="H29">
        <v>11</v>
      </c>
      <c r="I29">
        <v>5341</v>
      </c>
      <c r="J29">
        <v>2</v>
      </c>
    </row>
    <row r="30" spans="1:10" x14ac:dyDescent="0.2">
      <c r="A30">
        <v>712</v>
      </c>
      <c r="B30" t="s">
        <v>300</v>
      </c>
      <c r="C30" t="s">
        <v>301</v>
      </c>
      <c r="D30" t="s">
        <v>98</v>
      </c>
      <c r="E30" t="s">
        <v>99</v>
      </c>
      <c r="F30" t="s">
        <v>243</v>
      </c>
      <c r="G30" t="s">
        <v>302</v>
      </c>
      <c r="H30">
        <v>11</v>
      </c>
      <c r="I30">
        <v>6688</v>
      </c>
      <c r="J30">
        <v>2</v>
      </c>
    </row>
    <row r="31" spans="1:10" x14ac:dyDescent="0.2">
      <c r="A31">
        <v>2189</v>
      </c>
      <c r="B31" t="s">
        <v>310</v>
      </c>
      <c r="C31" t="s">
        <v>311</v>
      </c>
      <c r="D31" t="s">
        <v>100</v>
      </c>
      <c r="E31" t="s">
        <v>101</v>
      </c>
      <c r="F31" t="s">
        <v>243</v>
      </c>
      <c r="G31" t="s">
        <v>312</v>
      </c>
      <c r="H31">
        <v>13</v>
      </c>
      <c r="I31">
        <v>8131</v>
      </c>
      <c r="J31">
        <v>1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B30BB-3F67-D445-9E68-992CAE332D7F}">
  <dimension ref="A1:J37"/>
  <sheetViews>
    <sheetView topLeftCell="A9" workbookViewId="0">
      <selection activeCell="E41" sqref="E41"/>
    </sheetView>
  </sheetViews>
  <sheetFormatPr baseColWidth="10" defaultRowHeight="16" x14ac:dyDescent="0.2"/>
  <cols>
    <col min="1" max="1" width="5.1640625" bestFit="1" customWidth="1"/>
    <col min="2" max="2" width="18.83203125" bestFit="1" customWidth="1"/>
    <col min="3" max="3" width="19.5" bestFit="1" customWidth="1"/>
    <col min="4" max="4" width="52" bestFit="1" customWidth="1"/>
    <col min="5" max="5" width="15.83203125" bestFit="1" customWidth="1"/>
    <col min="6" max="6" width="12.33203125" bestFit="1" customWidth="1"/>
    <col min="7" max="7" width="7.83203125" customWidth="1"/>
    <col min="8" max="8" width="9.1640625" customWidth="1"/>
    <col min="9" max="9" width="17.83203125" customWidth="1"/>
    <col min="10" max="10" width="12.6640625" customWidth="1"/>
  </cols>
  <sheetData>
    <row r="1" spans="1:10" x14ac:dyDescent="0.2">
      <c r="A1" t="s">
        <v>234</v>
      </c>
      <c r="B1" t="s">
        <v>235</v>
      </c>
      <c r="C1" t="s">
        <v>236</v>
      </c>
      <c r="D1" t="s">
        <v>0</v>
      </c>
      <c r="E1" t="s">
        <v>7</v>
      </c>
      <c r="F1" t="s">
        <v>237</v>
      </c>
      <c r="G1" t="s">
        <v>8</v>
      </c>
      <c r="H1" t="s">
        <v>238</v>
      </c>
      <c r="I1" t="s">
        <v>239</v>
      </c>
      <c r="J1" t="s">
        <v>240</v>
      </c>
    </row>
    <row r="2" spans="1:10" x14ac:dyDescent="0.2">
      <c r="A2">
        <v>648</v>
      </c>
      <c r="B2" t="s">
        <v>241</v>
      </c>
      <c r="C2" t="s">
        <v>242</v>
      </c>
      <c r="D2" t="s">
        <v>9</v>
      </c>
      <c r="E2" t="s">
        <v>10</v>
      </c>
      <c r="F2" t="s">
        <v>243</v>
      </c>
      <c r="G2" t="s">
        <v>11</v>
      </c>
      <c r="H2">
        <v>25</v>
      </c>
      <c r="I2">
        <v>28737</v>
      </c>
      <c r="J2">
        <v>1</v>
      </c>
    </row>
    <row r="3" spans="1:10" x14ac:dyDescent="0.2">
      <c r="A3">
        <v>691</v>
      </c>
      <c r="B3" t="s">
        <v>244</v>
      </c>
      <c r="C3" t="s">
        <v>245</v>
      </c>
      <c r="D3" t="s">
        <v>12</v>
      </c>
      <c r="E3" t="s">
        <v>13</v>
      </c>
      <c r="F3" t="s">
        <v>243</v>
      </c>
      <c r="G3" t="s">
        <v>14</v>
      </c>
      <c r="H3">
        <v>32</v>
      </c>
      <c r="I3">
        <v>29032</v>
      </c>
      <c r="J3">
        <v>5</v>
      </c>
    </row>
    <row r="4" spans="1:10" x14ac:dyDescent="0.2">
      <c r="A4">
        <v>506</v>
      </c>
      <c r="B4" t="s">
        <v>246</v>
      </c>
      <c r="C4" t="s">
        <v>247</v>
      </c>
      <c r="D4" t="s">
        <v>15</v>
      </c>
      <c r="E4" t="s">
        <v>16</v>
      </c>
      <c r="F4" t="s">
        <v>243</v>
      </c>
      <c r="G4" t="s">
        <v>17</v>
      </c>
      <c r="H4">
        <v>32</v>
      </c>
      <c r="I4">
        <v>36050</v>
      </c>
      <c r="J4">
        <v>5</v>
      </c>
    </row>
    <row r="5" spans="1:10" x14ac:dyDescent="0.2">
      <c r="A5">
        <v>575</v>
      </c>
      <c r="B5" t="s">
        <v>248</v>
      </c>
      <c r="C5" t="s">
        <v>249</v>
      </c>
      <c r="D5" t="s">
        <v>18</v>
      </c>
      <c r="E5" t="s">
        <v>19</v>
      </c>
      <c r="F5" t="s">
        <v>243</v>
      </c>
      <c r="G5" t="s">
        <v>20</v>
      </c>
      <c r="H5">
        <v>30</v>
      </c>
      <c r="I5">
        <v>24221</v>
      </c>
      <c r="J5">
        <v>4</v>
      </c>
    </row>
    <row r="6" spans="1:10" x14ac:dyDescent="0.2">
      <c r="A6">
        <v>645</v>
      </c>
      <c r="B6" t="s">
        <v>250</v>
      </c>
      <c r="C6" t="s">
        <v>251</v>
      </c>
      <c r="D6" t="s">
        <v>21</v>
      </c>
      <c r="E6" t="s">
        <v>22</v>
      </c>
      <c r="F6" t="s">
        <v>243</v>
      </c>
      <c r="G6" t="s">
        <v>23</v>
      </c>
      <c r="H6">
        <v>22</v>
      </c>
      <c r="I6">
        <v>14416</v>
      </c>
      <c r="J6">
        <v>1</v>
      </c>
    </row>
    <row r="7" spans="1:10" x14ac:dyDescent="0.2">
      <c r="A7">
        <v>591</v>
      </c>
      <c r="B7" t="s">
        <v>252</v>
      </c>
      <c r="C7" t="s">
        <v>253</v>
      </c>
      <c r="D7" t="s">
        <v>24</v>
      </c>
      <c r="E7" t="s">
        <v>25</v>
      </c>
      <c r="F7" t="s">
        <v>243</v>
      </c>
      <c r="G7" t="s">
        <v>26</v>
      </c>
      <c r="H7">
        <v>28</v>
      </c>
      <c r="I7">
        <v>18390</v>
      </c>
      <c r="J7">
        <v>2</v>
      </c>
    </row>
    <row r="8" spans="1:10" x14ac:dyDescent="0.2">
      <c r="A8">
        <v>733</v>
      </c>
      <c r="B8" t="s">
        <v>254</v>
      </c>
      <c r="C8" t="s">
        <v>255</v>
      </c>
      <c r="D8" t="s">
        <v>27</v>
      </c>
      <c r="E8" t="s">
        <v>2</v>
      </c>
      <c r="F8" t="s">
        <v>243</v>
      </c>
      <c r="G8" t="s">
        <v>28</v>
      </c>
      <c r="H8">
        <v>25</v>
      </c>
      <c r="I8">
        <v>28057</v>
      </c>
      <c r="J8">
        <v>1</v>
      </c>
    </row>
    <row r="9" spans="1:10" x14ac:dyDescent="0.2">
      <c r="A9">
        <v>730</v>
      </c>
      <c r="B9" t="s">
        <v>256</v>
      </c>
      <c r="C9" t="s">
        <v>257</v>
      </c>
      <c r="D9" t="s">
        <v>29</v>
      </c>
      <c r="E9" t="s">
        <v>30</v>
      </c>
      <c r="F9" t="s">
        <v>243</v>
      </c>
      <c r="G9" t="s">
        <v>31</v>
      </c>
      <c r="H9">
        <v>24</v>
      </c>
      <c r="I9">
        <v>44350</v>
      </c>
      <c r="J9">
        <v>2</v>
      </c>
    </row>
    <row r="10" spans="1:10" x14ac:dyDescent="0.2">
      <c r="A10">
        <v>554</v>
      </c>
      <c r="B10" t="s">
        <v>258</v>
      </c>
      <c r="C10" t="s">
        <v>259</v>
      </c>
      <c r="D10" t="s">
        <v>32</v>
      </c>
      <c r="E10" t="s">
        <v>33</v>
      </c>
      <c r="F10" t="s">
        <v>243</v>
      </c>
      <c r="G10" t="s">
        <v>34</v>
      </c>
      <c r="H10">
        <v>29</v>
      </c>
      <c r="I10">
        <v>23813</v>
      </c>
      <c r="J10">
        <v>2</v>
      </c>
    </row>
    <row r="11" spans="1:10" x14ac:dyDescent="0.2">
      <c r="A11">
        <v>571</v>
      </c>
      <c r="B11" t="s">
        <v>260</v>
      </c>
      <c r="C11" t="s">
        <v>261</v>
      </c>
      <c r="D11" t="s">
        <v>35</v>
      </c>
      <c r="E11" t="s">
        <v>36</v>
      </c>
      <c r="F11" t="s">
        <v>243</v>
      </c>
      <c r="G11" t="s">
        <v>37</v>
      </c>
      <c r="H11">
        <v>27</v>
      </c>
      <c r="I11">
        <v>39711</v>
      </c>
      <c r="J11">
        <v>1</v>
      </c>
    </row>
    <row r="12" spans="1:10" x14ac:dyDescent="0.2">
      <c r="A12">
        <v>647</v>
      </c>
      <c r="B12" t="s">
        <v>262</v>
      </c>
      <c r="C12" t="s">
        <v>263</v>
      </c>
      <c r="D12" t="s">
        <v>39</v>
      </c>
      <c r="E12" t="s">
        <v>40</v>
      </c>
      <c r="F12" t="s">
        <v>243</v>
      </c>
      <c r="G12" t="s">
        <v>41</v>
      </c>
      <c r="H12">
        <v>28</v>
      </c>
      <c r="I12">
        <v>26074</v>
      </c>
      <c r="J12">
        <v>1</v>
      </c>
    </row>
    <row r="13" spans="1:10" x14ac:dyDescent="0.2">
      <c r="A13">
        <v>700</v>
      </c>
      <c r="B13" t="s">
        <v>264</v>
      </c>
      <c r="C13" t="s">
        <v>265</v>
      </c>
      <c r="D13" t="s">
        <v>42</v>
      </c>
      <c r="E13" t="s">
        <v>43</v>
      </c>
      <c r="F13" t="s">
        <v>243</v>
      </c>
      <c r="G13" t="s">
        <v>44</v>
      </c>
      <c r="H13">
        <v>29</v>
      </c>
      <c r="I13">
        <v>23724</v>
      </c>
      <c r="J13">
        <v>2</v>
      </c>
    </row>
    <row r="14" spans="1:10" x14ac:dyDescent="0.2">
      <c r="A14">
        <v>529</v>
      </c>
      <c r="B14" t="s">
        <v>304</v>
      </c>
      <c r="C14" t="s">
        <v>305</v>
      </c>
      <c r="D14" t="s">
        <v>45</v>
      </c>
      <c r="E14" t="s">
        <v>46</v>
      </c>
      <c r="F14" t="s">
        <v>243</v>
      </c>
      <c r="G14" t="s">
        <v>306</v>
      </c>
      <c r="H14">
        <v>27</v>
      </c>
      <c r="I14">
        <v>15952</v>
      </c>
      <c r="J14">
        <v>5</v>
      </c>
    </row>
    <row r="15" spans="1:10" x14ac:dyDescent="0.2">
      <c r="A15">
        <v>627</v>
      </c>
      <c r="B15" t="s">
        <v>307</v>
      </c>
      <c r="C15" t="s">
        <v>308</v>
      </c>
      <c r="D15" t="s">
        <v>47</v>
      </c>
      <c r="E15" t="s">
        <v>48</v>
      </c>
      <c r="F15" t="s">
        <v>243</v>
      </c>
      <c r="G15" t="s">
        <v>309</v>
      </c>
      <c r="H15">
        <v>29</v>
      </c>
      <c r="I15">
        <v>15166</v>
      </c>
      <c r="J15">
        <v>4</v>
      </c>
    </row>
    <row r="16" spans="1:10" x14ac:dyDescent="0.2">
      <c r="A16">
        <v>574</v>
      </c>
      <c r="B16" t="s">
        <v>266</v>
      </c>
      <c r="C16" t="s">
        <v>267</v>
      </c>
      <c r="D16" t="s">
        <v>49</v>
      </c>
      <c r="E16" t="s">
        <v>50</v>
      </c>
      <c r="F16" t="s">
        <v>243</v>
      </c>
      <c r="G16" t="s">
        <v>51</v>
      </c>
      <c r="H16">
        <v>30</v>
      </c>
      <c r="I16">
        <v>20047</v>
      </c>
      <c r="J16">
        <v>6</v>
      </c>
    </row>
    <row r="17" spans="1:10" x14ac:dyDescent="0.2">
      <c r="A17">
        <v>702</v>
      </c>
      <c r="B17" t="s">
        <v>268</v>
      </c>
      <c r="C17" t="s">
        <v>269</v>
      </c>
      <c r="D17" t="s">
        <v>52</v>
      </c>
      <c r="E17" t="s">
        <v>53</v>
      </c>
      <c r="F17" t="s">
        <v>243</v>
      </c>
      <c r="G17" t="s">
        <v>54</v>
      </c>
      <c r="H17">
        <v>27</v>
      </c>
      <c r="I17">
        <v>31784</v>
      </c>
      <c r="J17">
        <v>3</v>
      </c>
    </row>
    <row r="18" spans="1:10" x14ac:dyDescent="0.2">
      <c r="A18">
        <v>682</v>
      </c>
      <c r="B18" t="s">
        <v>270</v>
      </c>
      <c r="C18" t="s">
        <v>271</v>
      </c>
      <c r="D18" t="s">
        <v>55</v>
      </c>
      <c r="E18" t="s">
        <v>56</v>
      </c>
      <c r="F18" t="s">
        <v>243</v>
      </c>
      <c r="G18" t="s">
        <v>57</v>
      </c>
      <c r="H18">
        <v>30</v>
      </c>
      <c r="I18">
        <v>21171</v>
      </c>
      <c r="J18">
        <v>3</v>
      </c>
    </row>
    <row r="19" spans="1:10" x14ac:dyDescent="0.2">
      <c r="A19">
        <v>579</v>
      </c>
      <c r="B19" t="s">
        <v>341</v>
      </c>
      <c r="C19" t="s">
        <v>342</v>
      </c>
      <c r="D19" t="s">
        <v>58</v>
      </c>
      <c r="E19" t="s">
        <v>59</v>
      </c>
      <c r="F19" t="s">
        <v>243</v>
      </c>
      <c r="G19" t="s">
        <v>343</v>
      </c>
      <c r="H19">
        <v>30</v>
      </c>
      <c r="I19">
        <v>11690</v>
      </c>
      <c r="J19">
        <v>5</v>
      </c>
    </row>
    <row r="20" spans="1:10" x14ac:dyDescent="0.2">
      <c r="A20">
        <v>673</v>
      </c>
      <c r="B20" t="s">
        <v>272</v>
      </c>
      <c r="C20" t="s">
        <v>273</v>
      </c>
      <c r="D20" t="s">
        <v>61</v>
      </c>
      <c r="E20" t="s">
        <v>62</v>
      </c>
      <c r="F20" t="s">
        <v>243</v>
      </c>
      <c r="G20" t="s">
        <v>63</v>
      </c>
      <c r="H20">
        <v>22</v>
      </c>
      <c r="I20">
        <v>18349</v>
      </c>
      <c r="J20">
        <v>2</v>
      </c>
    </row>
    <row r="21" spans="1:10" x14ac:dyDescent="0.2">
      <c r="A21">
        <v>625</v>
      </c>
      <c r="B21" t="s">
        <v>274</v>
      </c>
      <c r="C21" t="s">
        <v>275</v>
      </c>
      <c r="D21" t="s">
        <v>64</v>
      </c>
      <c r="E21" t="s">
        <v>36</v>
      </c>
      <c r="F21" t="s">
        <v>243</v>
      </c>
      <c r="G21" t="s">
        <v>65</v>
      </c>
      <c r="H21">
        <v>26</v>
      </c>
      <c r="I21">
        <v>10697</v>
      </c>
      <c r="J21">
        <v>3</v>
      </c>
    </row>
    <row r="22" spans="1:10" x14ac:dyDescent="0.2">
      <c r="A22">
        <v>663</v>
      </c>
      <c r="B22" t="s">
        <v>276</v>
      </c>
      <c r="C22" t="s">
        <v>277</v>
      </c>
      <c r="D22" t="s">
        <v>66</v>
      </c>
      <c r="E22" t="s">
        <v>67</v>
      </c>
      <c r="F22" t="s">
        <v>243</v>
      </c>
      <c r="G22" t="s">
        <v>68</v>
      </c>
      <c r="H22">
        <v>25</v>
      </c>
      <c r="I22">
        <v>22088</v>
      </c>
      <c r="J22">
        <v>2</v>
      </c>
    </row>
    <row r="23" spans="1:10" x14ac:dyDescent="0.2">
      <c r="A23">
        <v>736</v>
      </c>
      <c r="B23" t="s">
        <v>278</v>
      </c>
      <c r="C23" t="s">
        <v>279</v>
      </c>
      <c r="D23" t="s">
        <v>69</v>
      </c>
      <c r="E23" t="s">
        <v>70</v>
      </c>
      <c r="F23" t="s">
        <v>243</v>
      </c>
      <c r="G23" t="s">
        <v>71</v>
      </c>
      <c r="H23">
        <v>23</v>
      </c>
      <c r="I23">
        <v>23054</v>
      </c>
      <c r="J23">
        <v>2</v>
      </c>
    </row>
    <row r="24" spans="1:10" x14ac:dyDescent="0.2">
      <c r="A24">
        <v>597</v>
      </c>
      <c r="B24" t="s">
        <v>280</v>
      </c>
      <c r="C24" t="s">
        <v>281</v>
      </c>
      <c r="D24" t="s">
        <v>72</v>
      </c>
      <c r="E24" t="s">
        <v>73</v>
      </c>
      <c r="F24" t="s">
        <v>243</v>
      </c>
      <c r="G24" t="s">
        <v>74</v>
      </c>
      <c r="H24">
        <v>24</v>
      </c>
      <c r="I24">
        <v>22882</v>
      </c>
      <c r="J24">
        <v>3</v>
      </c>
    </row>
    <row r="25" spans="1:10" x14ac:dyDescent="0.2">
      <c r="A25">
        <v>720</v>
      </c>
      <c r="B25" t="s">
        <v>282</v>
      </c>
      <c r="C25" t="s">
        <v>283</v>
      </c>
      <c r="D25" t="s">
        <v>75</v>
      </c>
      <c r="E25" t="s">
        <v>76</v>
      </c>
      <c r="F25" t="s">
        <v>243</v>
      </c>
      <c r="G25" t="s">
        <v>77</v>
      </c>
      <c r="H25">
        <v>15</v>
      </c>
      <c r="I25">
        <v>14467</v>
      </c>
      <c r="J25">
        <v>4</v>
      </c>
    </row>
    <row r="26" spans="1:10" x14ac:dyDescent="0.2">
      <c r="A26">
        <v>578</v>
      </c>
      <c r="B26" t="s">
        <v>284</v>
      </c>
      <c r="C26" t="s">
        <v>285</v>
      </c>
      <c r="D26" t="s">
        <v>78</v>
      </c>
      <c r="E26" t="s">
        <v>79</v>
      </c>
      <c r="F26" t="s">
        <v>243</v>
      </c>
      <c r="G26" t="s">
        <v>80</v>
      </c>
      <c r="H26">
        <v>12</v>
      </c>
      <c r="I26">
        <v>11263</v>
      </c>
      <c r="J26">
        <v>1</v>
      </c>
    </row>
    <row r="27" spans="1:10" x14ac:dyDescent="0.2">
      <c r="A27">
        <v>498</v>
      </c>
      <c r="B27" t="s">
        <v>286</v>
      </c>
      <c r="C27" t="s">
        <v>287</v>
      </c>
      <c r="D27" t="s">
        <v>81</v>
      </c>
      <c r="E27" t="s">
        <v>82</v>
      </c>
      <c r="F27" t="s">
        <v>243</v>
      </c>
      <c r="G27" t="s">
        <v>83</v>
      </c>
      <c r="H27">
        <v>13</v>
      </c>
      <c r="I27">
        <v>9447</v>
      </c>
      <c r="J27">
        <v>5</v>
      </c>
    </row>
    <row r="28" spans="1:10" x14ac:dyDescent="0.2">
      <c r="A28">
        <v>723</v>
      </c>
      <c r="B28" t="s">
        <v>288</v>
      </c>
      <c r="C28" t="s">
        <v>289</v>
      </c>
      <c r="D28" t="s">
        <v>84</v>
      </c>
      <c r="E28" t="s">
        <v>85</v>
      </c>
      <c r="F28" t="s">
        <v>243</v>
      </c>
      <c r="G28" t="s">
        <v>86</v>
      </c>
      <c r="H28">
        <v>12</v>
      </c>
      <c r="I28">
        <v>10215</v>
      </c>
      <c r="J28">
        <v>5</v>
      </c>
    </row>
    <row r="29" spans="1:10" x14ac:dyDescent="0.2">
      <c r="A29">
        <v>2190</v>
      </c>
      <c r="B29" t="s">
        <v>290</v>
      </c>
      <c r="C29" t="s">
        <v>291</v>
      </c>
      <c r="D29" t="s">
        <v>87</v>
      </c>
      <c r="E29" t="s">
        <v>88</v>
      </c>
      <c r="F29" t="s">
        <v>243</v>
      </c>
      <c r="G29" t="s">
        <v>89</v>
      </c>
      <c r="H29">
        <v>12</v>
      </c>
      <c r="I29">
        <v>9869</v>
      </c>
      <c r="J29">
        <v>5</v>
      </c>
    </row>
    <row r="30" spans="1:10" x14ac:dyDescent="0.2">
      <c r="A30">
        <v>2191</v>
      </c>
      <c r="B30" t="s">
        <v>292</v>
      </c>
      <c r="C30" t="s">
        <v>293</v>
      </c>
      <c r="D30" t="s">
        <v>90</v>
      </c>
      <c r="E30" t="s">
        <v>91</v>
      </c>
      <c r="F30" t="s">
        <v>243</v>
      </c>
      <c r="G30" t="s">
        <v>92</v>
      </c>
      <c r="H30">
        <v>13</v>
      </c>
      <c r="I30">
        <v>9094</v>
      </c>
      <c r="J30">
        <v>6</v>
      </c>
    </row>
    <row r="31" spans="1:10" x14ac:dyDescent="0.2">
      <c r="A31">
        <v>653</v>
      </c>
      <c r="B31" t="s">
        <v>294</v>
      </c>
      <c r="C31" t="s">
        <v>295</v>
      </c>
      <c r="D31" t="s">
        <v>94</v>
      </c>
      <c r="E31" t="s">
        <v>95</v>
      </c>
      <c r="F31" t="s">
        <v>243</v>
      </c>
      <c r="G31" t="s">
        <v>296</v>
      </c>
      <c r="H31">
        <v>10</v>
      </c>
      <c r="I31">
        <v>6181</v>
      </c>
      <c r="J31">
        <v>1</v>
      </c>
    </row>
    <row r="32" spans="1:10" x14ac:dyDescent="0.2">
      <c r="A32">
        <v>613</v>
      </c>
      <c r="B32" t="s">
        <v>297</v>
      </c>
      <c r="C32" t="s">
        <v>298</v>
      </c>
      <c r="D32" t="s">
        <v>96</v>
      </c>
      <c r="E32" t="s">
        <v>97</v>
      </c>
      <c r="F32" t="s">
        <v>243</v>
      </c>
      <c r="G32" t="s">
        <v>299</v>
      </c>
      <c r="H32">
        <v>11</v>
      </c>
      <c r="I32">
        <v>5341</v>
      </c>
      <c r="J32">
        <v>4</v>
      </c>
    </row>
    <row r="33" spans="1:10" x14ac:dyDescent="0.2">
      <c r="A33">
        <v>712</v>
      </c>
      <c r="B33" t="s">
        <v>300</v>
      </c>
      <c r="C33" t="s">
        <v>301</v>
      </c>
      <c r="D33" t="s">
        <v>98</v>
      </c>
      <c r="E33" t="s">
        <v>99</v>
      </c>
      <c r="F33" t="s">
        <v>243</v>
      </c>
      <c r="G33" t="s">
        <v>302</v>
      </c>
      <c r="H33">
        <v>11</v>
      </c>
      <c r="I33">
        <v>6688</v>
      </c>
      <c r="J33">
        <v>5</v>
      </c>
    </row>
    <row r="34" spans="1:10" x14ac:dyDescent="0.2">
      <c r="A34">
        <v>2189</v>
      </c>
      <c r="B34" t="s">
        <v>310</v>
      </c>
      <c r="C34" t="s">
        <v>311</v>
      </c>
      <c r="D34" t="s">
        <v>100</v>
      </c>
      <c r="E34" t="s">
        <v>101</v>
      </c>
      <c r="F34" t="s">
        <v>243</v>
      </c>
      <c r="G34" t="s">
        <v>312</v>
      </c>
      <c r="H34">
        <v>13</v>
      </c>
      <c r="I34">
        <v>8131</v>
      </c>
      <c r="J34">
        <v>2</v>
      </c>
    </row>
    <row r="35" spans="1:10" x14ac:dyDescent="0.2">
      <c r="A35">
        <v>624</v>
      </c>
      <c r="B35" t="s">
        <v>313</v>
      </c>
      <c r="C35" t="s">
        <v>314</v>
      </c>
      <c r="D35" t="s">
        <v>102</v>
      </c>
      <c r="E35" t="s">
        <v>103</v>
      </c>
      <c r="F35" t="s">
        <v>243</v>
      </c>
      <c r="G35" t="s">
        <v>315</v>
      </c>
      <c r="H35">
        <v>1</v>
      </c>
      <c r="I35">
        <v>123</v>
      </c>
      <c r="J35">
        <v>2</v>
      </c>
    </row>
    <row r="36" spans="1:10" x14ac:dyDescent="0.2">
      <c r="A36">
        <v>519</v>
      </c>
      <c r="B36" t="s">
        <v>316</v>
      </c>
      <c r="C36" t="s">
        <v>317</v>
      </c>
      <c r="D36" t="s">
        <v>104</v>
      </c>
      <c r="E36" t="s">
        <v>105</v>
      </c>
      <c r="F36" t="s">
        <v>243</v>
      </c>
      <c r="G36" t="s">
        <v>318</v>
      </c>
      <c r="H36">
        <v>1</v>
      </c>
      <c r="I36">
        <v>113</v>
      </c>
      <c r="J36">
        <v>5</v>
      </c>
    </row>
    <row r="37" spans="1:10" x14ac:dyDescent="0.2">
      <c r="A37">
        <v>490</v>
      </c>
      <c r="B37" t="s">
        <v>345</v>
      </c>
      <c r="C37" t="s">
        <v>346</v>
      </c>
      <c r="D37" t="s">
        <v>106</v>
      </c>
      <c r="E37" t="s">
        <v>82</v>
      </c>
      <c r="F37" t="s">
        <v>243</v>
      </c>
      <c r="G37" t="s">
        <v>347</v>
      </c>
      <c r="H37">
        <v>1</v>
      </c>
      <c r="I37">
        <v>109</v>
      </c>
      <c r="J37">
        <v>5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0B4AA-2860-C747-B094-EA96471DAEBD}">
  <dimension ref="A1:J30"/>
  <sheetViews>
    <sheetView workbookViewId="0">
      <selection activeCell="E13" sqref="E13"/>
    </sheetView>
  </sheetViews>
  <sheetFormatPr baseColWidth="10" defaultRowHeight="16" x14ac:dyDescent="0.2"/>
  <cols>
    <col min="1" max="1" width="5.1640625" bestFit="1" customWidth="1"/>
    <col min="2" max="2" width="18.83203125" bestFit="1" customWidth="1"/>
    <col min="3" max="3" width="19.5" bestFit="1" customWidth="1"/>
    <col min="4" max="4" width="52" bestFit="1" customWidth="1"/>
    <col min="5" max="5" width="15.83203125" bestFit="1" customWidth="1"/>
    <col min="6" max="6" width="12.33203125" bestFit="1" customWidth="1"/>
    <col min="7" max="7" width="7.83203125" customWidth="1"/>
    <col min="8" max="8" width="9.1640625" customWidth="1"/>
    <col min="9" max="9" width="17.83203125" customWidth="1"/>
    <col min="10" max="10" width="12.6640625" customWidth="1"/>
  </cols>
  <sheetData>
    <row r="1" spans="1:10" x14ac:dyDescent="0.2">
      <c r="A1" t="s">
        <v>234</v>
      </c>
      <c r="B1" t="s">
        <v>235</v>
      </c>
      <c r="C1" t="s">
        <v>236</v>
      </c>
      <c r="D1" t="s">
        <v>0</v>
      </c>
      <c r="E1" t="s">
        <v>7</v>
      </c>
      <c r="F1" t="s">
        <v>237</v>
      </c>
      <c r="G1" t="s">
        <v>8</v>
      </c>
      <c r="H1" t="s">
        <v>238</v>
      </c>
      <c r="I1" t="s">
        <v>239</v>
      </c>
      <c r="J1" t="s">
        <v>240</v>
      </c>
    </row>
    <row r="2" spans="1:10" x14ac:dyDescent="0.2">
      <c r="A2">
        <v>648</v>
      </c>
      <c r="B2" t="s">
        <v>241</v>
      </c>
      <c r="C2" t="s">
        <v>242</v>
      </c>
      <c r="D2" t="s">
        <v>9</v>
      </c>
      <c r="E2" t="s">
        <v>10</v>
      </c>
      <c r="F2" t="s">
        <v>243</v>
      </c>
      <c r="G2" t="s">
        <v>11</v>
      </c>
      <c r="H2">
        <v>25</v>
      </c>
      <c r="I2">
        <v>28737</v>
      </c>
      <c r="J2">
        <v>1</v>
      </c>
    </row>
    <row r="3" spans="1:10" x14ac:dyDescent="0.2">
      <c r="A3">
        <v>691</v>
      </c>
      <c r="B3" t="s">
        <v>244</v>
      </c>
      <c r="C3" t="s">
        <v>245</v>
      </c>
      <c r="D3" t="s">
        <v>12</v>
      </c>
      <c r="E3" t="s">
        <v>13</v>
      </c>
      <c r="F3" t="s">
        <v>243</v>
      </c>
      <c r="G3" t="s">
        <v>14</v>
      </c>
      <c r="H3">
        <v>32</v>
      </c>
      <c r="I3">
        <v>29032</v>
      </c>
      <c r="J3">
        <v>1</v>
      </c>
    </row>
    <row r="4" spans="1:10" x14ac:dyDescent="0.2">
      <c r="A4">
        <v>506</v>
      </c>
      <c r="B4" t="s">
        <v>246</v>
      </c>
      <c r="C4" t="s">
        <v>247</v>
      </c>
      <c r="D4" t="s">
        <v>15</v>
      </c>
      <c r="E4" t="s">
        <v>16</v>
      </c>
      <c r="F4" t="s">
        <v>243</v>
      </c>
      <c r="G4" t="s">
        <v>17</v>
      </c>
      <c r="H4">
        <v>32</v>
      </c>
      <c r="I4">
        <v>36050</v>
      </c>
      <c r="J4">
        <v>1</v>
      </c>
    </row>
    <row r="5" spans="1:10" x14ac:dyDescent="0.2">
      <c r="A5">
        <v>575</v>
      </c>
      <c r="B5" t="s">
        <v>248</v>
      </c>
      <c r="C5" t="s">
        <v>249</v>
      </c>
      <c r="D5" t="s">
        <v>18</v>
      </c>
      <c r="E5" t="s">
        <v>19</v>
      </c>
      <c r="F5" t="s">
        <v>243</v>
      </c>
      <c r="G5" t="s">
        <v>20</v>
      </c>
      <c r="H5">
        <v>30</v>
      </c>
      <c r="I5">
        <v>24221</v>
      </c>
      <c r="J5">
        <v>1</v>
      </c>
    </row>
    <row r="6" spans="1:10" x14ac:dyDescent="0.2">
      <c r="A6">
        <v>645</v>
      </c>
      <c r="B6" t="s">
        <v>250</v>
      </c>
      <c r="C6" t="s">
        <v>251</v>
      </c>
      <c r="D6" t="s">
        <v>21</v>
      </c>
      <c r="E6" t="s">
        <v>22</v>
      </c>
      <c r="F6" t="s">
        <v>243</v>
      </c>
      <c r="G6" t="s">
        <v>23</v>
      </c>
      <c r="H6">
        <v>22</v>
      </c>
      <c r="I6">
        <v>14416</v>
      </c>
      <c r="J6">
        <v>1</v>
      </c>
    </row>
    <row r="7" spans="1:10" x14ac:dyDescent="0.2">
      <c r="A7">
        <v>591</v>
      </c>
      <c r="B7" t="s">
        <v>252</v>
      </c>
      <c r="C7" t="s">
        <v>253</v>
      </c>
      <c r="D7" t="s">
        <v>24</v>
      </c>
      <c r="E7" t="s">
        <v>25</v>
      </c>
      <c r="F7" t="s">
        <v>243</v>
      </c>
      <c r="G7" t="s">
        <v>26</v>
      </c>
      <c r="H7">
        <v>28</v>
      </c>
      <c r="I7">
        <v>18390</v>
      </c>
      <c r="J7">
        <v>1</v>
      </c>
    </row>
    <row r="8" spans="1:10" x14ac:dyDescent="0.2">
      <c r="A8">
        <v>733</v>
      </c>
      <c r="B8" t="s">
        <v>254</v>
      </c>
      <c r="C8" t="s">
        <v>255</v>
      </c>
      <c r="D8" t="s">
        <v>27</v>
      </c>
      <c r="E8" t="s">
        <v>2</v>
      </c>
      <c r="F8" t="s">
        <v>243</v>
      </c>
      <c r="G8" t="s">
        <v>28</v>
      </c>
      <c r="H8">
        <v>25</v>
      </c>
      <c r="I8">
        <v>28057</v>
      </c>
      <c r="J8">
        <v>1</v>
      </c>
    </row>
    <row r="9" spans="1:10" x14ac:dyDescent="0.2">
      <c r="A9">
        <v>730</v>
      </c>
      <c r="B9" t="s">
        <v>256</v>
      </c>
      <c r="C9" t="s">
        <v>257</v>
      </c>
      <c r="D9" t="s">
        <v>29</v>
      </c>
      <c r="E9" t="s">
        <v>30</v>
      </c>
      <c r="F9" t="s">
        <v>243</v>
      </c>
      <c r="G9" t="s">
        <v>31</v>
      </c>
      <c r="H9">
        <v>24</v>
      </c>
      <c r="I9">
        <v>44350</v>
      </c>
      <c r="J9">
        <v>1</v>
      </c>
    </row>
    <row r="10" spans="1:10" x14ac:dyDescent="0.2">
      <c r="A10">
        <v>554</v>
      </c>
      <c r="B10" t="s">
        <v>258</v>
      </c>
      <c r="C10" t="s">
        <v>259</v>
      </c>
      <c r="D10" t="s">
        <v>32</v>
      </c>
      <c r="E10" t="s">
        <v>33</v>
      </c>
      <c r="F10" t="s">
        <v>243</v>
      </c>
      <c r="G10" t="s">
        <v>34</v>
      </c>
      <c r="H10">
        <v>29</v>
      </c>
      <c r="I10">
        <v>23813</v>
      </c>
      <c r="J10">
        <v>1</v>
      </c>
    </row>
    <row r="11" spans="1:10" x14ac:dyDescent="0.2">
      <c r="A11">
        <v>571</v>
      </c>
      <c r="B11" t="s">
        <v>260</v>
      </c>
      <c r="C11" t="s">
        <v>261</v>
      </c>
      <c r="D11" t="s">
        <v>35</v>
      </c>
      <c r="E11" t="s">
        <v>36</v>
      </c>
      <c r="F11" t="s">
        <v>243</v>
      </c>
      <c r="G11" t="s">
        <v>37</v>
      </c>
      <c r="H11">
        <v>27</v>
      </c>
      <c r="I11">
        <v>39711</v>
      </c>
      <c r="J11">
        <v>1</v>
      </c>
    </row>
    <row r="12" spans="1:10" x14ac:dyDescent="0.2">
      <c r="A12">
        <v>647</v>
      </c>
      <c r="B12" t="s">
        <v>262</v>
      </c>
      <c r="C12" t="s">
        <v>263</v>
      </c>
      <c r="D12" t="s">
        <v>39</v>
      </c>
      <c r="E12" t="s">
        <v>40</v>
      </c>
      <c r="F12" t="s">
        <v>243</v>
      </c>
      <c r="G12" t="s">
        <v>41</v>
      </c>
      <c r="H12">
        <v>28</v>
      </c>
      <c r="I12">
        <v>26074</v>
      </c>
      <c r="J12">
        <v>1</v>
      </c>
    </row>
    <row r="13" spans="1:10" x14ac:dyDescent="0.2">
      <c r="A13">
        <v>700</v>
      </c>
      <c r="B13" t="s">
        <v>264</v>
      </c>
      <c r="C13" t="s">
        <v>265</v>
      </c>
      <c r="D13" t="s">
        <v>42</v>
      </c>
      <c r="E13" t="s">
        <v>43</v>
      </c>
      <c r="F13" t="s">
        <v>243</v>
      </c>
      <c r="G13" t="s">
        <v>44</v>
      </c>
      <c r="H13">
        <v>29</v>
      </c>
      <c r="I13">
        <v>23724</v>
      </c>
      <c r="J13">
        <v>1</v>
      </c>
    </row>
    <row r="14" spans="1:10" x14ac:dyDescent="0.2">
      <c r="A14">
        <v>627</v>
      </c>
      <c r="B14" t="s">
        <v>307</v>
      </c>
      <c r="C14" t="s">
        <v>308</v>
      </c>
      <c r="D14" t="s">
        <v>47</v>
      </c>
      <c r="E14" t="s">
        <v>48</v>
      </c>
      <c r="F14" t="s">
        <v>243</v>
      </c>
      <c r="G14" t="s">
        <v>309</v>
      </c>
      <c r="H14">
        <v>29</v>
      </c>
      <c r="I14">
        <v>15166</v>
      </c>
      <c r="J14">
        <v>1</v>
      </c>
    </row>
    <row r="15" spans="1:10" x14ac:dyDescent="0.2">
      <c r="A15">
        <v>574</v>
      </c>
      <c r="B15" t="s">
        <v>266</v>
      </c>
      <c r="C15" t="s">
        <v>267</v>
      </c>
      <c r="D15" t="s">
        <v>49</v>
      </c>
      <c r="E15" t="s">
        <v>50</v>
      </c>
      <c r="F15" t="s">
        <v>243</v>
      </c>
      <c r="G15" t="s">
        <v>51</v>
      </c>
      <c r="H15">
        <v>30</v>
      </c>
      <c r="I15">
        <v>20047</v>
      </c>
      <c r="J15">
        <v>2</v>
      </c>
    </row>
    <row r="16" spans="1:10" x14ac:dyDescent="0.2">
      <c r="A16">
        <v>702</v>
      </c>
      <c r="B16" t="s">
        <v>268</v>
      </c>
      <c r="C16" t="s">
        <v>269</v>
      </c>
      <c r="D16" t="s">
        <v>52</v>
      </c>
      <c r="E16" t="s">
        <v>53</v>
      </c>
      <c r="F16" t="s">
        <v>243</v>
      </c>
      <c r="G16" t="s">
        <v>54</v>
      </c>
      <c r="H16">
        <v>27</v>
      </c>
      <c r="I16">
        <v>31784</v>
      </c>
      <c r="J16">
        <v>1</v>
      </c>
    </row>
    <row r="17" spans="1:10" x14ac:dyDescent="0.2">
      <c r="A17">
        <v>682</v>
      </c>
      <c r="B17" t="s">
        <v>270</v>
      </c>
      <c r="C17" t="s">
        <v>271</v>
      </c>
      <c r="D17" t="s">
        <v>55</v>
      </c>
      <c r="E17" t="s">
        <v>56</v>
      </c>
      <c r="F17" t="s">
        <v>243</v>
      </c>
      <c r="G17" t="s">
        <v>57</v>
      </c>
      <c r="H17">
        <v>30</v>
      </c>
      <c r="I17">
        <v>21171</v>
      </c>
      <c r="J17">
        <v>1</v>
      </c>
    </row>
    <row r="18" spans="1:10" x14ac:dyDescent="0.2">
      <c r="A18">
        <v>673</v>
      </c>
      <c r="B18" t="s">
        <v>272</v>
      </c>
      <c r="C18" t="s">
        <v>273</v>
      </c>
      <c r="D18" t="s">
        <v>61</v>
      </c>
      <c r="E18" t="s">
        <v>62</v>
      </c>
      <c r="F18" t="s">
        <v>243</v>
      </c>
      <c r="G18" t="s">
        <v>63</v>
      </c>
      <c r="H18">
        <v>22</v>
      </c>
      <c r="I18">
        <v>18349</v>
      </c>
      <c r="J18">
        <v>1</v>
      </c>
    </row>
    <row r="19" spans="1:10" x14ac:dyDescent="0.2">
      <c r="A19">
        <v>625</v>
      </c>
      <c r="B19" t="s">
        <v>274</v>
      </c>
      <c r="C19" t="s">
        <v>275</v>
      </c>
      <c r="D19" t="s">
        <v>64</v>
      </c>
      <c r="E19" t="s">
        <v>36</v>
      </c>
      <c r="F19" t="s">
        <v>243</v>
      </c>
      <c r="G19" t="s">
        <v>65</v>
      </c>
      <c r="H19">
        <v>26</v>
      </c>
      <c r="I19">
        <v>10697</v>
      </c>
      <c r="J19">
        <v>1</v>
      </c>
    </row>
    <row r="20" spans="1:10" x14ac:dyDescent="0.2">
      <c r="A20">
        <v>663</v>
      </c>
      <c r="B20" t="s">
        <v>276</v>
      </c>
      <c r="C20" t="s">
        <v>277</v>
      </c>
      <c r="D20" t="s">
        <v>66</v>
      </c>
      <c r="E20" t="s">
        <v>67</v>
      </c>
      <c r="F20" t="s">
        <v>243</v>
      </c>
      <c r="G20" t="s">
        <v>68</v>
      </c>
      <c r="H20">
        <v>25</v>
      </c>
      <c r="I20">
        <v>22088</v>
      </c>
      <c r="J20">
        <v>1</v>
      </c>
    </row>
    <row r="21" spans="1:10" x14ac:dyDescent="0.2">
      <c r="A21">
        <v>736</v>
      </c>
      <c r="B21" t="s">
        <v>278</v>
      </c>
      <c r="C21" t="s">
        <v>279</v>
      </c>
      <c r="D21" t="s">
        <v>69</v>
      </c>
      <c r="E21" t="s">
        <v>70</v>
      </c>
      <c r="F21" t="s">
        <v>243</v>
      </c>
      <c r="G21" t="s">
        <v>71</v>
      </c>
      <c r="H21">
        <v>23</v>
      </c>
      <c r="I21">
        <v>23054</v>
      </c>
      <c r="J21">
        <v>1</v>
      </c>
    </row>
    <row r="22" spans="1:10" x14ac:dyDescent="0.2">
      <c r="A22">
        <v>597</v>
      </c>
      <c r="B22" t="s">
        <v>280</v>
      </c>
      <c r="C22" t="s">
        <v>281</v>
      </c>
      <c r="D22" t="s">
        <v>72</v>
      </c>
      <c r="E22" t="s">
        <v>73</v>
      </c>
      <c r="F22" t="s">
        <v>243</v>
      </c>
      <c r="G22" t="s">
        <v>74</v>
      </c>
      <c r="H22">
        <v>24</v>
      </c>
      <c r="I22">
        <v>22882</v>
      </c>
      <c r="J22">
        <v>1</v>
      </c>
    </row>
    <row r="23" spans="1:10" x14ac:dyDescent="0.2">
      <c r="A23">
        <v>720</v>
      </c>
      <c r="B23" t="s">
        <v>282</v>
      </c>
      <c r="C23" t="s">
        <v>283</v>
      </c>
      <c r="D23" t="s">
        <v>75</v>
      </c>
      <c r="E23" t="s">
        <v>76</v>
      </c>
      <c r="F23" t="s">
        <v>243</v>
      </c>
      <c r="G23" t="s">
        <v>77</v>
      </c>
      <c r="H23">
        <v>15</v>
      </c>
      <c r="I23">
        <v>14467</v>
      </c>
      <c r="J23">
        <v>1</v>
      </c>
    </row>
    <row r="24" spans="1:10" x14ac:dyDescent="0.2">
      <c r="A24">
        <v>578</v>
      </c>
      <c r="B24" t="s">
        <v>284</v>
      </c>
      <c r="C24" t="s">
        <v>285</v>
      </c>
      <c r="D24" t="s">
        <v>78</v>
      </c>
      <c r="E24" t="s">
        <v>79</v>
      </c>
      <c r="F24" t="s">
        <v>243</v>
      </c>
      <c r="G24" t="s">
        <v>80</v>
      </c>
      <c r="H24">
        <v>12</v>
      </c>
      <c r="I24">
        <v>11263</v>
      </c>
      <c r="J24">
        <v>1</v>
      </c>
    </row>
    <row r="25" spans="1:10" x14ac:dyDescent="0.2">
      <c r="A25">
        <v>498</v>
      </c>
      <c r="B25" t="s">
        <v>286</v>
      </c>
      <c r="C25" t="s">
        <v>287</v>
      </c>
      <c r="D25" t="s">
        <v>81</v>
      </c>
      <c r="E25" t="s">
        <v>82</v>
      </c>
      <c r="F25" t="s">
        <v>243</v>
      </c>
      <c r="G25" t="s">
        <v>83</v>
      </c>
      <c r="H25">
        <v>13</v>
      </c>
      <c r="I25">
        <v>9447</v>
      </c>
      <c r="J25">
        <v>1</v>
      </c>
    </row>
    <row r="26" spans="1:10" x14ac:dyDescent="0.2">
      <c r="A26">
        <v>723</v>
      </c>
      <c r="B26" t="s">
        <v>288</v>
      </c>
      <c r="C26" t="s">
        <v>289</v>
      </c>
      <c r="D26" t="s">
        <v>84</v>
      </c>
      <c r="E26" t="s">
        <v>85</v>
      </c>
      <c r="F26" t="s">
        <v>243</v>
      </c>
      <c r="G26" t="s">
        <v>86</v>
      </c>
      <c r="H26">
        <v>12</v>
      </c>
      <c r="I26">
        <v>10215</v>
      </c>
      <c r="J26">
        <v>1</v>
      </c>
    </row>
    <row r="27" spans="1:10" x14ac:dyDescent="0.2">
      <c r="A27">
        <v>2190</v>
      </c>
      <c r="B27" t="s">
        <v>290</v>
      </c>
      <c r="C27" t="s">
        <v>291</v>
      </c>
      <c r="D27" t="s">
        <v>87</v>
      </c>
      <c r="E27" t="s">
        <v>88</v>
      </c>
      <c r="F27" t="s">
        <v>243</v>
      </c>
      <c r="G27" t="s">
        <v>89</v>
      </c>
      <c r="H27">
        <v>12</v>
      </c>
      <c r="I27">
        <v>9869</v>
      </c>
      <c r="J27">
        <v>1</v>
      </c>
    </row>
    <row r="28" spans="1:10" x14ac:dyDescent="0.2">
      <c r="A28">
        <v>2191</v>
      </c>
      <c r="B28" t="s">
        <v>292</v>
      </c>
      <c r="C28" t="s">
        <v>293</v>
      </c>
      <c r="D28" t="s">
        <v>90</v>
      </c>
      <c r="E28" t="s">
        <v>91</v>
      </c>
      <c r="F28" t="s">
        <v>243</v>
      </c>
      <c r="G28" t="s">
        <v>92</v>
      </c>
      <c r="H28">
        <v>13</v>
      </c>
      <c r="I28">
        <v>9094</v>
      </c>
      <c r="J28">
        <v>2</v>
      </c>
    </row>
    <row r="29" spans="1:10" x14ac:dyDescent="0.2">
      <c r="A29">
        <v>653</v>
      </c>
      <c r="B29" t="s">
        <v>294</v>
      </c>
      <c r="C29" t="s">
        <v>295</v>
      </c>
      <c r="D29" t="s">
        <v>94</v>
      </c>
      <c r="E29" t="s">
        <v>95</v>
      </c>
      <c r="F29" t="s">
        <v>243</v>
      </c>
      <c r="G29" t="s">
        <v>296</v>
      </c>
      <c r="H29">
        <v>10</v>
      </c>
      <c r="I29">
        <v>6181</v>
      </c>
      <c r="J29">
        <v>1</v>
      </c>
    </row>
    <row r="30" spans="1:10" x14ac:dyDescent="0.2">
      <c r="A30">
        <v>712</v>
      </c>
      <c r="B30" t="s">
        <v>300</v>
      </c>
      <c r="C30" t="s">
        <v>301</v>
      </c>
      <c r="D30" t="s">
        <v>98</v>
      </c>
      <c r="E30" t="s">
        <v>99</v>
      </c>
      <c r="F30" t="s">
        <v>243</v>
      </c>
      <c r="G30" t="s">
        <v>302</v>
      </c>
      <c r="H30">
        <v>11</v>
      </c>
      <c r="I30">
        <v>6688</v>
      </c>
      <c r="J30">
        <v>1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5107C-A45D-F345-976C-EC5FE5207C0E}">
  <dimension ref="A1:J27"/>
  <sheetViews>
    <sheetView workbookViewId="0">
      <selection sqref="A1:J27"/>
    </sheetView>
  </sheetViews>
  <sheetFormatPr baseColWidth="10" defaultRowHeight="16" x14ac:dyDescent="0.2"/>
  <cols>
    <col min="1" max="1" width="5.1640625" bestFit="1" customWidth="1"/>
    <col min="2" max="2" width="18.83203125" bestFit="1" customWidth="1"/>
    <col min="3" max="3" width="19.5" bestFit="1" customWidth="1"/>
    <col min="4" max="4" width="52" bestFit="1" customWidth="1"/>
    <col min="5" max="5" width="15.83203125" bestFit="1" customWidth="1"/>
    <col min="6" max="6" width="12.33203125" bestFit="1" customWidth="1"/>
    <col min="7" max="7" width="7.83203125" customWidth="1"/>
    <col min="8" max="8" width="9.1640625" customWidth="1"/>
    <col min="9" max="9" width="17.83203125" customWidth="1"/>
    <col min="10" max="10" width="12.6640625" customWidth="1"/>
  </cols>
  <sheetData>
    <row r="1" spans="1:10" x14ac:dyDescent="0.2">
      <c r="A1" t="s">
        <v>234</v>
      </c>
      <c r="B1" t="s">
        <v>235</v>
      </c>
      <c r="C1" t="s">
        <v>236</v>
      </c>
      <c r="D1" t="s">
        <v>0</v>
      </c>
      <c r="E1" t="s">
        <v>7</v>
      </c>
      <c r="F1" t="s">
        <v>237</v>
      </c>
      <c r="G1" t="s">
        <v>8</v>
      </c>
      <c r="H1" t="s">
        <v>238</v>
      </c>
      <c r="I1" t="s">
        <v>239</v>
      </c>
      <c r="J1" t="s">
        <v>240</v>
      </c>
    </row>
    <row r="2" spans="1:10" x14ac:dyDescent="0.2">
      <c r="A2">
        <v>648</v>
      </c>
      <c r="B2" t="s">
        <v>241</v>
      </c>
      <c r="C2" t="s">
        <v>242</v>
      </c>
      <c r="D2" t="s">
        <v>9</v>
      </c>
      <c r="E2" t="s">
        <v>10</v>
      </c>
      <c r="F2" t="s">
        <v>243</v>
      </c>
      <c r="G2" t="s">
        <v>11</v>
      </c>
      <c r="H2">
        <v>25</v>
      </c>
      <c r="I2">
        <v>28737</v>
      </c>
      <c r="J2">
        <v>1</v>
      </c>
    </row>
    <row r="3" spans="1:10" x14ac:dyDescent="0.2">
      <c r="A3">
        <v>691</v>
      </c>
      <c r="B3" t="s">
        <v>244</v>
      </c>
      <c r="C3" t="s">
        <v>245</v>
      </c>
      <c r="D3" t="s">
        <v>12</v>
      </c>
      <c r="E3" t="s">
        <v>13</v>
      </c>
      <c r="F3" t="s">
        <v>243</v>
      </c>
      <c r="G3" t="s">
        <v>14</v>
      </c>
      <c r="H3">
        <v>32</v>
      </c>
      <c r="I3">
        <v>29032</v>
      </c>
      <c r="J3">
        <v>1</v>
      </c>
    </row>
    <row r="4" spans="1:10" x14ac:dyDescent="0.2">
      <c r="A4">
        <v>506</v>
      </c>
      <c r="B4" t="s">
        <v>246</v>
      </c>
      <c r="C4" t="s">
        <v>247</v>
      </c>
      <c r="D4" t="s">
        <v>15</v>
      </c>
      <c r="E4" t="s">
        <v>16</v>
      </c>
      <c r="F4" t="s">
        <v>243</v>
      </c>
      <c r="G4" t="s">
        <v>17</v>
      </c>
      <c r="H4">
        <v>32</v>
      </c>
      <c r="I4">
        <v>36050</v>
      </c>
      <c r="J4">
        <v>1</v>
      </c>
    </row>
    <row r="5" spans="1:10" x14ac:dyDescent="0.2">
      <c r="A5">
        <v>575</v>
      </c>
      <c r="B5" t="s">
        <v>248</v>
      </c>
      <c r="C5" t="s">
        <v>249</v>
      </c>
      <c r="D5" t="s">
        <v>18</v>
      </c>
      <c r="E5" t="s">
        <v>19</v>
      </c>
      <c r="F5" t="s">
        <v>243</v>
      </c>
      <c r="G5" t="s">
        <v>20</v>
      </c>
      <c r="H5">
        <v>30</v>
      </c>
      <c r="I5">
        <v>24221</v>
      </c>
      <c r="J5">
        <v>1</v>
      </c>
    </row>
    <row r="6" spans="1:10" x14ac:dyDescent="0.2">
      <c r="A6">
        <v>645</v>
      </c>
      <c r="B6" t="s">
        <v>250</v>
      </c>
      <c r="C6" t="s">
        <v>251</v>
      </c>
      <c r="D6" t="s">
        <v>21</v>
      </c>
      <c r="E6" t="s">
        <v>22</v>
      </c>
      <c r="F6" t="s">
        <v>243</v>
      </c>
      <c r="G6" t="s">
        <v>23</v>
      </c>
      <c r="H6">
        <v>22</v>
      </c>
      <c r="I6">
        <v>14416</v>
      </c>
      <c r="J6">
        <v>1</v>
      </c>
    </row>
    <row r="7" spans="1:10" x14ac:dyDescent="0.2">
      <c r="A7">
        <v>591</v>
      </c>
      <c r="B7" t="s">
        <v>252</v>
      </c>
      <c r="C7" t="s">
        <v>253</v>
      </c>
      <c r="D7" t="s">
        <v>24</v>
      </c>
      <c r="E7" t="s">
        <v>25</v>
      </c>
      <c r="F7" t="s">
        <v>243</v>
      </c>
      <c r="G7" t="s">
        <v>26</v>
      </c>
      <c r="H7">
        <v>28</v>
      </c>
      <c r="I7">
        <v>18390</v>
      </c>
      <c r="J7">
        <v>1</v>
      </c>
    </row>
    <row r="8" spans="1:10" x14ac:dyDescent="0.2">
      <c r="A8">
        <v>733</v>
      </c>
      <c r="B8" t="s">
        <v>254</v>
      </c>
      <c r="C8" t="s">
        <v>255</v>
      </c>
      <c r="D8" t="s">
        <v>27</v>
      </c>
      <c r="E8" t="s">
        <v>2</v>
      </c>
      <c r="F8" t="s">
        <v>243</v>
      </c>
      <c r="G8" t="s">
        <v>28</v>
      </c>
      <c r="H8">
        <v>25</v>
      </c>
      <c r="I8">
        <v>28057</v>
      </c>
      <c r="J8">
        <v>1</v>
      </c>
    </row>
    <row r="9" spans="1:10" x14ac:dyDescent="0.2">
      <c r="A9">
        <v>730</v>
      </c>
      <c r="B9" t="s">
        <v>256</v>
      </c>
      <c r="C9" t="s">
        <v>257</v>
      </c>
      <c r="D9" t="s">
        <v>29</v>
      </c>
      <c r="E9" t="s">
        <v>30</v>
      </c>
      <c r="F9" t="s">
        <v>243</v>
      </c>
      <c r="G9" t="s">
        <v>31</v>
      </c>
      <c r="H9">
        <v>24</v>
      </c>
      <c r="I9">
        <v>44350</v>
      </c>
      <c r="J9">
        <v>1</v>
      </c>
    </row>
    <row r="10" spans="1:10" x14ac:dyDescent="0.2">
      <c r="A10">
        <v>554</v>
      </c>
      <c r="B10" t="s">
        <v>258</v>
      </c>
      <c r="C10" t="s">
        <v>259</v>
      </c>
      <c r="D10" t="s">
        <v>32</v>
      </c>
      <c r="E10" t="s">
        <v>33</v>
      </c>
      <c r="F10" t="s">
        <v>243</v>
      </c>
      <c r="G10" t="s">
        <v>34</v>
      </c>
      <c r="H10">
        <v>29</v>
      </c>
      <c r="I10">
        <v>23813</v>
      </c>
      <c r="J10">
        <v>1</v>
      </c>
    </row>
    <row r="11" spans="1:10" x14ac:dyDescent="0.2">
      <c r="A11">
        <v>571</v>
      </c>
      <c r="B11" t="s">
        <v>260</v>
      </c>
      <c r="C11" t="s">
        <v>261</v>
      </c>
      <c r="D11" t="s">
        <v>35</v>
      </c>
      <c r="E11" t="s">
        <v>36</v>
      </c>
      <c r="F11" t="s">
        <v>243</v>
      </c>
      <c r="G11" t="s">
        <v>37</v>
      </c>
      <c r="H11">
        <v>27</v>
      </c>
      <c r="I11">
        <v>39711</v>
      </c>
      <c r="J11">
        <v>1</v>
      </c>
    </row>
    <row r="12" spans="1:10" x14ac:dyDescent="0.2">
      <c r="A12">
        <v>647</v>
      </c>
      <c r="B12" t="s">
        <v>262</v>
      </c>
      <c r="C12" t="s">
        <v>263</v>
      </c>
      <c r="D12" t="s">
        <v>39</v>
      </c>
      <c r="E12" t="s">
        <v>40</v>
      </c>
      <c r="F12" t="s">
        <v>243</v>
      </c>
      <c r="G12" t="s">
        <v>41</v>
      </c>
      <c r="H12">
        <v>28</v>
      </c>
      <c r="I12">
        <v>26074</v>
      </c>
      <c r="J12">
        <v>1</v>
      </c>
    </row>
    <row r="13" spans="1:10" x14ac:dyDescent="0.2">
      <c r="A13">
        <v>700</v>
      </c>
      <c r="B13" t="s">
        <v>264</v>
      </c>
      <c r="C13" t="s">
        <v>265</v>
      </c>
      <c r="D13" t="s">
        <v>42</v>
      </c>
      <c r="E13" t="s">
        <v>43</v>
      </c>
      <c r="F13" t="s">
        <v>243</v>
      </c>
      <c r="G13" t="s">
        <v>44</v>
      </c>
      <c r="H13">
        <v>29</v>
      </c>
      <c r="I13">
        <v>23724</v>
      </c>
      <c r="J13">
        <v>1</v>
      </c>
    </row>
    <row r="14" spans="1:10" x14ac:dyDescent="0.2">
      <c r="A14">
        <v>574</v>
      </c>
      <c r="B14" t="s">
        <v>266</v>
      </c>
      <c r="C14" t="s">
        <v>267</v>
      </c>
      <c r="D14" t="s">
        <v>49</v>
      </c>
      <c r="E14" t="s">
        <v>50</v>
      </c>
      <c r="F14" t="s">
        <v>243</v>
      </c>
      <c r="G14" t="s">
        <v>51</v>
      </c>
      <c r="H14">
        <v>30</v>
      </c>
      <c r="I14">
        <v>20047</v>
      </c>
      <c r="J14">
        <v>2</v>
      </c>
    </row>
    <row r="15" spans="1:10" x14ac:dyDescent="0.2">
      <c r="A15">
        <v>702</v>
      </c>
      <c r="B15" t="s">
        <v>268</v>
      </c>
      <c r="C15" t="s">
        <v>269</v>
      </c>
      <c r="D15" t="s">
        <v>52</v>
      </c>
      <c r="E15" t="s">
        <v>53</v>
      </c>
      <c r="F15" t="s">
        <v>243</v>
      </c>
      <c r="G15" t="s">
        <v>54</v>
      </c>
      <c r="H15">
        <v>27</v>
      </c>
      <c r="I15">
        <v>31784</v>
      </c>
      <c r="J15">
        <v>1</v>
      </c>
    </row>
    <row r="16" spans="1:10" x14ac:dyDescent="0.2">
      <c r="A16">
        <v>682</v>
      </c>
      <c r="B16" t="s">
        <v>270</v>
      </c>
      <c r="C16" t="s">
        <v>271</v>
      </c>
      <c r="D16" t="s">
        <v>55</v>
      </c>
      <c r="E16" t="s">
        <v>56</v>
      </c>
      <c r="F16" t="s">
        <v>243</v>
      </c>
      <c r="G16" t="s">
        <v>57</v>
      </c>
      <c r="H16">
        <v>30</v>
      </c>
      <c r="I16">
        <v>21171</v>
      </c>
      <c r="J16">
        <v>1</v>
      </c>
    </row>
    <row r="17" spans="1:10" x14ac:dyDescent="0.2">
      <c r="A17">
        <v>673</v>
      </c>
      <c r="B17" t="s">
        <v>272</v>
      </c>
      <c r="C17" t="s">
        <v>273</v>
      </c>
      <c r="D17" t="s">
        <v>61</v>
      </c>
      <c r="E17" t="s">
        <v>62</v>
      </c>
      <c r="F17" t="s">
        <v>243</v>
      </c>
      <c r="G17" t="s">
        <v>63</v>
      </c>
      <c r="H17">
        <v>22</v>
      </c>
      <c r="I17">
        <v>18349</v>
      </c>
      <c r="J17">
        <v>1</v>
      </c>
    </row>
    <row r="18" spans="1:10" x14ac:dyDescent="0.2">
      <c r="A18">
        <v>625</v>
      </c>
      <c r="B18" t="s">
        <v>274</v>
      </c>
      <c r="C18" t="s">
        <v>275</v>
      </c>
      <c r="D18" t="s">
        <v>64</v>
      </c>
      <c r="E18" t="s">
        <v>36</v>
      </c>
      <c r="F18" t="s">
        <v>243</v>
      </c>
      <c r="G18" t="s">
        <v>65</v>
      </c>
      <c r="H18">
        <v>26</v>
      </c>
      <c r="I18">
        <v>10697</v>
      </c>
      <c r="J18">
        <v>1</v>
      </c>
    </row>
    <row r="19" spans="1:10" x14ac:dyDescent="0.2">
      <c r="A19">
        <v>663</v>
      </c>
      <c r="B19" t="s">
        <v>276</v>
      </c>
      <c r="C19" t="s">
        <v>277</v>
      </c>
      <c r="D19" t="s">
        <v>66</v>
      </c>
      <c r="E19" t="s">
        <v>67</v>
      </c>
      <c r="F19" t="s">
        <v>243</v>
      </c>
      <c r="G19" t="s">
        <v>68</v>
      </c>
      <c r="H19">
        <v>25</v>
      </c>
      <c r="I19">
        <v>22088</v>
      </c>
      <c r="J19">
        <v>1</v>
      </c>
    </row>
    <row r="20" spans="1:10" x14ac:dyDescent="0.2">
      <c r="A20">
        <v>736</v>
      </c>
      <c r="B20" t="s">
        <v>278</v>
      </c>
      <c r="C20" t="s">
        <v>279</v>
      </c>
      <c r="D20" t="s">
        <v>69</v>
      </c>
      <c r="E20" t="s">
        <v>70</v>
      </c>
      <c r="F20" t="s">
        <v>243</v>
      </c>
      <c r="G20" t="s">
        <v>71</v>
      </c>
      <c r="H20">
        <v>23</v>
      </c>
      <c r="I20">
        <v>23054</v>
      </c>
      <c r="J20">
        <v>1</v>
      </c>
    </row>
    <row r="21" spans="1:10" x14ac:dyDescent="0.2">
      <c r="A21">
        <v>597</v>
      </c>
      <c r="B21" t="s">
        <v>280</v>
      </c>
      <c r="C21" t="s">
        <v>281</v>
      </c>
      <c r="D21" t="s">
        <v>72</v>
      </c>
      <c r="E21" t="s">
        <v>73</v>
      </c>
      <c r="F21" t="s">
        <v>243</v>
      </c>
      <c r="G21" t="s">
        <v>74</v>
      </c>
      <c r="H21">
        <v>24</v>
      </c>
      <c r="I21">
        <v>22882</v>
      </c>
      <c r="J21">
        <v>1</v>
      </c>
    </row>
    <row r="22" spans="1:10" x14ac:dyDescent="0.2">
      <c r="A22">
        <v>720</v>
      </c>
      <c r="B22" t="s">
        <v>282</v>
      </c>
      <c r="C22" t="s">
        <v>283</v>
      </c>
      <c r="D22" t="s">
        <v>75</v>
      </c>
      <c r="E22" t="s">
        <v>76</v>
      </c>
      <c r="F22" t="s">
        <v>243</v>
      </c>
      <c r="G22" t="s">
        <v>77</v>
      </c>
      <c r="H22">
        <v>15</v>
      </c>
      <c r="I22">
        <v>14467</v>
      </c>
      <c r="J22">
        <v>1</v>
      </c>
    </row>
    <row r="23" spans="1:10" x14ac:dyDescent="0.2">
      <c r="A23">
        <v>578</v>
      </c>
      <c r="B23" t="s">
        <v>284</v>
      </c>
      <c r="C23" t="s">
        <v>285</v>
      </c>
      <c r="D23" t="s">
        <v>78</v>
      </c>
      <c r="E23" t="s">
        <v>79</v>
      </c>
      <c r="F23" t="s">
        <v>243</v>
      </c>
      <c r="G23" t="s">
        <v>80</v>
      </c>
      <c r="H23">
        <v>12</v>
      </c>
      <c r="I23">
        <v>11263</v>
      </c>
      <c r="J23">
        <v>1</v>
      </c>
    </row>
    <row r="24" spans="1:10" x14ac:dyDescent="0.2">
      <c r="A24">
        <v>498</v>
      </c>
      <c r="B24" t="s">
        <v>286</v>
      </c>
      <c r="C24" t="s">
        <v>287</v>
      </c>
      <c r="D24" t="s">
        <v>81</v>
      </c>
      <c r="E24" t="s">
        <v>82</v>
      </c>
      <c r="F24" t="s">
        <v>243</v>
      </c>
      <c r="G24" t="s">
        <v>83</v>
      </c>
      <c r="H24">
        <v>13</v>
      </c>
      <c r="I24">
        <v>9447</v>
      </c>
      <c r="J24">
        <v>1</v>
      </c>
    </row>
    <row r="25" spans="1:10" x14ac:dyDescent="0.2">
      <c r="A25">
        <v>723</v>
      </c>
      <c r="B25" t="s">
        <v>288</v>
      </c>
      <c r="C25" t="s">
        <v>289</v>
      </c>
      <c r="D25" t="s">
        <v>84</v>
      </c>
      <c r="E25" t="s">
        <v>85</v>
      </c>
      <c r="F25" t="s">
        <v>243</v>
      </c>
      <c r="G25" t="s">
        <v>86</v>
      </c>
      <c r="H25">
        <v>12</v>
      </c>
      <c r="I25">
        <v>10215</v>
      </c>
      <c r="J25">
        <v>1</v>
      </c>
    </row>
    <row r="26" spans="1:10" x14ac:dyDescent="0.2">
      <c r="A26">
        <v>2190</v>
      </c>
      <c r="B26" t="s">
        <v>290</v>
      </c>
      <c r="C26" t="s">
        <v>291</v>
      </c>
      <c r="D26" t="s">
        <v>87</v>
      </c>
      <c r="E26" t="s">
        <v>88</v>
      </c>
      <c r="F26" t="s">
        <v>243</v>
      </c>
      <c r="G26" t="s">
        <v>89</v>
      </c>
      <c r="H26">
        <v>12</v>
      </c>
      <c r="I26">
        <v>9869</v>
      </c>
      <c r="J26">
        <v>1</v>
      </c>
    </row>
    <row r="27" spans="1:10" x14ac:dyDescent="0.2">
      <c r="A27">
        <v>2191</v>
      </c>
      <c r="B27" t="s">
        <v>292</v>
      </c>
      <c r="C27" t="s">
        <v>293</v>
      </c>
      <c r="D27" t="s">
        <v>90</v>
      </c>
      <c r="E27" t="s">
        <v>91</v>
      </c>
      <c r="F27" t="s">
        <v>243</v>
      </c>
      <c r="G27" t="s">
        <v>92</v>
      </c>
      <c r="H27">
        <v>13</v>
      </c>
      <c r="I27">
        <v>9094</v>
      </c>
      <c r="J27">
        <v>2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CDB5D-0544-B545-9B0C-220F25834E5D}">
  <dimension ref="A1:J26"/>
  <sheetViews>
    <sheetView workbookViewId="0">
      <selection activeCell="F28" sqref="F28"/>
    </sheetView>
  </sheetViews>
  <sheetFormatPr baseColWidth="10" defaultRowHeight="16" x14ac:dyDescent="0.2"/>
  <cols>
    <col min="1" max="1" width="5.1640625" bestFit="1" customWidth="1"/>
    <col min="2" max="2" width="18.83203125" bestFit="1" customWidth="1"/>
    <col min="3" max="3" width="19.5" bestFit="1" customWidth="1"/>
    <col min="4" max="4" width="52" bestFit="1" customWidth="1"/>
    <col min="5" max="5" width="15.83203125" bestFit="1" customWidth="1"/>
    <col min="6" max="6" width="12.33203125" bestFit="1" customWidth="1"/>
    <col min="7" max="7" width="7.83203125" customWidth="1"/>
    <col min="8" max="8" width="9.1640625" customWidth="1"/>
    <col min="9" max="9" width="17.83203125" customWidth="1"/>
    <col min="10" max="10" width="12.6640625" customWidth="1"/>
  </cols>
  <sheetData>
    <row r="1" spans="1:10" x14ac:dyDescent="0.2">
      <c r="A1" t="s">
        <v>234</v>
      </c>
      <c r="B1" t="s">
        <v>235</v>
      </c>
      <c r="C1" t="s">
        <v>236</v>
      </c>
      <c r="D1" t="s">
        <v>0</v>
      </c>
      <c r="E1" t="s">
        <v>7</v>
      </c>
      <c r="F1" t="s">
        <v>237</v>
      </c>
      <c r="G1" t="s">
        <v>8</v>
      </c>
      <c r="H1" t="s">
        <v>238</v>
      </c>
      <c r="I1" t="s">
        <v>239</v>
      </c>
      <c r="J1" t="s">
        <v>240</v>
      </c>
    </row>
    <row r="2" spans="1:10" x14ac:dyDescent="0.2">
      <c r="A2">
        <v>648</v>
      </c>
      <c r="B2" t="s">
        <v>241</v>
      </c>
      <c r="C2" t="s">
        <v>242</v>
      </c>
      <c r="D2" t="s">
        <v>9</v>
      </c>
      <c r="E2" t="s">
        <v>10</v>
      </c>
      <c r="F2" t="s">
        <v>243</v>
      </c>
      <c r="G2" t="s">
        <v>11</v>
      </c>
      <c r="H2">
        <v>25</v>
      </c>
      <c r="I2">
        <v>28737</v>
      </c>
      <c r="J2">
        <v>1</v>
      </c>
    </row>
    <row r="3" spans="1:10" x14ac:dyDescent="0.2">
      <c r="A3">
        <v>506</v>
      </c>
      <c r="B3" t="s">
        <v>246</v>
      </c>
      <c r="C3" t="s">
        <v>247</v>
      </c>
      <c r="D3" t="s">
        <v>15</v>
      </c>
      <c r="E3" t="s">
        <v>16</v>
      </c>
      <c r="F3" t="s">
        <v>243</v>
      </c>
      <c r="G3" t="s">
        <v>17</v>
      </c>
      <c r="H3">
        <v>32</v>
      </c>
      <c r="I3">
        <v>36050</v>
      </c>
      <c r="J3">
        <v>1</v>
      </c>
    </row>
    <row r="4" spans="1:10" x14ac:dyDescent="0.2">
      <c r="A4">
        <v>575</v>
      </c>
      <c r="B4" t="s">
        <v>248</v>
      </c>
      <c r="C4" t="s">
        <v>249</v>
      </c>
      <c r="D4" t="s">
        <v>18</v>
      </c>
      <c r="E4" t="s">
        <v>19</v>
      </c>
      <c r="F4" t="s">
        <v>243</v>
      </c>
      <c r="G4" t="s">
        <v>20</v>
      </c>
      <c r="H4">
        <v>30</v>
      </c>
      <c r="I4">
        <v>24221</v>
      </c>
      <c r="J4">
        <v>1</v>
      </c>
    </row>
    <row r="5" spans="1:10" x14ac:dyDescent="0.2">
      <c r="A5">
        <v>645</v>
      </c>
      <c r="B5" t="s">
        <v>250</v>
      </c>
      <c r="C5" t="s">
        <v>251</v>
      </c>
      <c r="D5" t="s">
        <v>21</v>
      </c>
      <c r="E5" t="s">
        <v>22</v>
      </c>
      <c r="F5" t="s">
        <v>243</v>
      </c>
      <c r="G5" t="s">
        <v>23</v>
      </c>
      <c r="H5">
        <v>22</v>
      </c>
      <c r="I5">
        <v>14416</v>
      </c>
      <c r="J5">
        <v>1</v>
      </c>
    </row>
    <row r="6" spans="1:10" x14ac:dyDescent="0.2">
      <c r="A6">
        <v>733</v>
      </c>
      <c r="B6" t="s">
        <v>254</v>
      </c>
      <c r="C6" t="s">
        <v>255</v>
      </c>
      <c r="D6" t="s">
        <v>27</v>
      </c>
      <c r="E6" t="s">
        <v>2</v>
      </c>
      <c r="F6" t="s">
        <v>243</v>
      </c>
      <c r="G6" t="s">
        <v>28</v>
      </c>
      <c r="H6">
        <v>25</v>
      </c>
      <c r="I6">
        <v>28057</v>
      </c>
      <c r="J6">
        <v>2</v>
      </c>
    </row>
    <row r="7" spans="1:10" x14ac:dyDescent="0.2">
      <c r="A7">
        <v>730</v>
      </c>
      <c r="B7" t="s">
        <v>256</v>
      </c>
      <c r="C7" t="s">
        <v>257</v>
      </c>
      <c r="D7" t="s">
        <v>29</v>
      </c>
      <c r="E7" t="s">
        <v>30</v>
      </c>
      <c r="F7" t="s">
        <v>243</v>
      </c>
      <c r="G7" t="s">
        <v>31</v>
      </c>
      <c r="H7">
        <v>24</v>
      </c>
      <c r="I7">
        <v>44350</v>
      </c>
      <c r="J7">
        <v>1</v>
      </c>
    </row>
    <row r="8" spans="1:10" x14ac:dyDescent="0.2">
      <c r="A8">
        <v>554</v>
      </c>
      <c r="B8" t="s">
        <v>258</v>
      </c>
      <c r="C8" t="s">
        <v>259</v>
      </c>
      <c r="D8" t="s">
        <v>32</v>
      </c>
      <c r="E8" t="s">
        <v>33</v>
      </c>
      <c r="F8" t="s">
        <v>243</v>
      </c>
      <c r="G8" t="s">
        <v>34</v>
      </c>
      <c r="H8">
        <v>29</v>
      </c>
      <c r="I8">
        <v>23813</v>
      </c>
      <c r="J8">
        <v>1</v>
      </c>
    </row>
    <row r="9" spans="1:10" x14ac:dyDescent="0.2">
      <c r="A9">
        <v>571</v>
      </c>
      <c r="B9" t="s">
        <v>260</v>
      </c>
      <c r="C9" t="s">
        <v>261</v>
      </c>
      <c r="D9" t="s">
        <v>35</v>
      </c>
      <c r="E9" t="s">
        <v>36</v>
      </c>
      <c r="F9" t="s">
        <v>243</v>
      </c>
      <c r="G9" t="s">
        <v>37</v>
      </c>
      <c r="H9">
        <v>27</v>
      </c>
      <c r="I9">
        <v>39711</v>
      </c>
      <c r="J9">
        <v>1</v>
      </c>
    </row>
    <row r="10" spans="1:10" x14ac:dyDescent="0.2">
      <c r="A10">
        <v>647</v>
      </c>
      <c r="B10" t="s">
        <v>262</v>
      </c>
      <c r="C10" t="s">
        <v>263</v>
      </c>
      <c r="D10" t="s">
        <v>39</v>
      </c>
      <c r="E10" t="s">
        <v>40</v>
      </c>
      <c r="F10" t="s">
        <v>243</v>
      </c>
      <c r="G10" t="s">
        <v>41</v>
      </c>
      <c r="H10">
        <v>28</v>
      </c>
      <c r="I10">
        <v>26074</v>
      </c>
      <c r="J10">
        <v>1</v>
      </c>
    </row>
    <row r="11" spans="1:10" x14ac:dyDescent="0.2">
      <c r="A11">
        <v>700</v>
      </c>
      <c r="B11" t="s">
        <v>264</v>
      </c>
      <c r="C11" t="s">
        <v>265</v>
      </c>
      <c r="D11" t="s">
        <v>42</v>
      </c>
      <c r="E11" t="s">
        <v>43</v>
      </c>
      <c r="F11" t="s">
        <v>243</v>
      </c>
      <c r="G11" t="s">
        <v>44</v>
      </c>
      <c r="H11">
        <v>29</v>
      </c>
      <c r="I11">
        <v>23724</v>
      </c>
      <c r="J11">
        <v>1</v>
      </c>
    </row>
    <row r="12" spans="1:10" x14ac:dyDescent="0.2">
      <c r="A12">
        <v>529</v>
      </c>
      <c r="B12" t="s">
        <v>304</v>
      </c>
      <c r="C12" t="s">
        <v>305</v>
      </c>
      <c r="D12" t="s">
        <v>45</v>
      </c>
      <c r="E12" t="s">
        <v>46</v>
      </c>
      <c r="F12" t="s">
        <v>243</v>
      </c>
      <c r="G12" t="s">
        <v>306</v>
      </c>
      <c r="H12">
        <v>27</v>
      </c>
      <c r="I12">
        <v>15952</v>
      </c>
      <c r="J12">
        <v>1</v>
      </c>
    </row>
    <row r="13" spans="1:10" x14ac:dyDescent="0.2">
      <c r="A13">
        <v>627</v>
      </c>
      <c r="B13" t="s">
        <v>307</v>
      </c>
      <c r="C13" t="s">
        <v>308</v>
      </c>
      <c r="D13" t="s">
        <v>47</v>
      </c>
      <c r="E13" t="s">
        <v>48</v>
      </c>
      <c r="F13" t="s">
        <v>243</v>
      </c>
      <c r="G13" t="s">
        <v>309</v>
      </c>
      <c r="H13">
        <v>29</v>
      </c>
      <c r="I13">
        <v>15166</v>
      </c>
      <c r="J13">
        <v>1</v>
      </c>
    </row>
    <row r="14" spans="1:10" x14ac:dyDescent="0.2">
      <c r="A14">
        <v>574</v>
      </c>
      <c r="B14" t="s">
        <v>266</v>
      </c>
      <c r="C14" t="s">
        <v>267</v>
      </c>
      <c r="D14" t="s">
        <v>49</v>
      </c>
      <c r="E14" t="s">
        <v>50</v>
      </c>
      <c r="F14" t="s">
        <v>243</v>
      </c>
      <c r="G14" t="s">
        <v>51</v>
      </c>
      <c r="H14">
        <v>30</v>
      </c>
      <c r="I14">
        <v>20047</v>
      </c>
      <c r="J14">
        <v>1</v>
      </c>
    </row>
    <row r="15" spans="1:10" x14ac:dyDescent="0.2">
      <c r="A15">
        <v>682</v>
      </c>
      <c r="B15" t="s">
        <v>270</v>
      </c>
      <c r="C15" t="s">
        <v>271</v>
      </c>
      <c r="D15" t="s">
        <v>55</v>
      </c>
      <c r="E15" t="s">
        <v>56</v>
      </c>
      <c r="F15" t="s">
        <v>243</v>
      </c>
      <c r="G15" t="s">
        <v>57</v>
      </c>
      <c r="H15">
        <v>30</v>
      </c>
      <c r="I15">
        <v>21171</v>
      </c>
      <c r="J15">
        <v>1</v>
      </c>
    </row>
    <row r="16" spans="1:10" x14ac:dyDescent="0.2">
      <c r="A16">
        <v>579</v>
      </c>
      <c r="B16" t="s">
        <v>341</v>
      </c>
      <c r="C16" t="s">
        <v>342</v>
      </c>
      <c r="D16" t="s">
        <v>58</v>
      </c>
      <c r="E16" t="s">
        <v>59</v>
      </c>
      <c r="F16" t="s">
        <v>243</v>
      </c>
      <c r="G16" t="s">
        <v>343</v>
      </c>
      <c r="H16">
        <v>30</v>
      </c>
      <c r="I16">
        <v>11690</v>
      </c>
      <c r="J16">
        <v>1</v>
      </c>
    </row>
    <row r="17" spans="1:10" x14ac:dyDescent="0.2">
      <c r="A17">
        <v>673</v>
      </c>
      <c r="B17" t="s">
        <v>272</v>
      </c>
      <c r="C17" t="s">
        <v>273</v>
      </c>
      <c r="D17" t="s">
        <v>61</v>
      </c>
      <c r="E17" t="s">
        <v>62</v>
      </c>
      <c r="F17" t="s">
        <v>243</v>
      </c>
      <c r="G17" t="s">
        <v>63</v>
      </c>
      <c r="H17">
        <v>22</v>
      </c>
      <c r="I17">
        <v>18349</v>
      </c>
      <c r="J17">
        <v>1</v>
      </c>
    </row>
    <row r="18" spans="1:10" x14ac:dyDescent="0.2">
      <c r="A18">
        <v>625</v>
      </c>
      <c r="B18" t="s">
        <v>274</v>
      </c>
      <c r="C18" t="s">
        <v>275</v>
      </c>
      <c r="D18" t="s">
        <v>64</v>
      </c>
      <c r="E18" t="s">
        <v>36</v>
      </c>
      <c r="F18" t="s">
        <v>243</v>
      </c>
      <c r="G18" t="s">
        <v>65</v>
      </c>
      <c r="H18">
        <v>26</v>
      </c>
      <c r="I18">
        <v>10697</v>
      </c>
      <c r="J18">
        <v>1</v>
      </c>
    </row>
    <row r="19" spans="1:10" x14ac:dyDescent="0.2">
      <c r="A19">
        <v>663</v>
      </c>
      <c r="B19" t="s">
        <v>276</v>
      </c>
      <c r="C19" t="s">
        <v>277</v>
      </c>
      <c r="D19" t="s">
        <v>66</v>
      </c>
      <c r="E19" t="s">
        <v>67</v>
      </c>
      <c r="F19" t="s">
        <v>243</v>
      </c>
      <c r="G19" t="s">
        <v>68</v>
      </c>
      <c r="H19">
        <v>25</v>
      </c>
      <c r="I19">
        <v>22088</v>
      </c>
      <c r="J19">
        <v>1</v>
      </c>
    </row>
    <row r="20" spans="1:10" x14ac:dyDescent="0.2">
      <c r="A20">
        <v>736</v>
      </c>
      <c r="B20" t="s">
        <v>278</v>
      </c>
      <c r="C20" t="s">
        <v>279</v>
      </c>
      <c r="D20" t="s">
        <v>69</v>
      </c>
      <c r="E20" t="s">
        <v>70</v>
      </c>
      <c r="F20" t="s">
        <v>243</v>
      </c>
      <c r="G20" t="s">
        <v>71</v>
      </c>
      <c r="H20">
        <v>23</v>
      </c>
      <c r="I20">
        <v>23054</v>
      </c>
      <c r="J20">
        <v>1</v>
      </c>
    </row>
    <row r="21" spans="1:10" x14ac:dyDescent="0.2">
      <c r="A21">
        <v>498</v>
      </c>
      <c r="B21" t="s">
        <v>286</v>
      </c>
      <c r="C21" t="s">
        <v>287</v>
      </c>
      <c r="D21" t="s">
        <v>81</v>
      </c>
      <c r="E21" t="s">
        <v>82</v>
      </c>
      <c r="F21" t="s">
        <v>243</v>
      </c>
      <c r="G21" t="s">
        <v>83</v>
      </c>
      <c r="H21">
        <v>13</v>
      </c>
      <c r="I21">
        <v>9447</v>
      </c>
      <c r="J21">
        <v>1</v>
      </c>
    </row>
    <row r="22" spans="1:10" x14ac:dyDescent="0.2">
      <c r="A22">
        <v>723</v>
      </c>
      <c r="B22" t="s">
        <v>288</v>
      </c>
      <c r="C22" t="s">
        <v>289</v>
      </c>
      <c r="D22" t="s">
        <v>84</v>
      </c>
      <c r="E22" t="s">
        <v>85</v>
      </c>
      <c r="F22" t="s">
        <v>243</v>
      </c>
      <c r="G22" t="s">
        <v>86</v>
      </c>
      <c r="H22">
        <v>12</v>
      </c>
      <c r="I22">
        <v>10215</v>
      </c>
      <c r="J22">
        <v>1</v>
      </c>
    </row>
    <row r="23" spans="1:10" x14ac:dyDescent="0.2">
      <c r="A23">
        <v>2190</v>
      </c>
      <c r="B23" t="s">
        <v>290</v>
      </c>
      <c r="C23" t="s">
        <v>291</v>
      </c>
      <c r="D23" t="s">
        <v>87</v>
      </c>
      <c r="E23" t="s">
        <v>88</v>
      </c>
      <c r="F23" t="s">
        <v>243</v>
      </c>
      <c r="G23" t="s">
        <v>89</v>
      </c>
      <c r="H23">
        <v>12</v>
      </c>
      <c r="I23">
        <v>9869</v>
      </c>
      <c r="J23">
        <v>1</v>
      </c>
    </row>
    <row r="24" spans="1:10" x14ac:dyDescent="0.2">
      <c r="A24">
        <v>2191</v>
      </c>
      <c r="B24" t="s">
        <v>292</v>
      </c>
      <c r="C24" t="s">
        <v>293</v>
      </c>
      <c r="D24" t="s">
        <v>90</v>
      </c>
      <c r="E24" t="s">
        <v>91</v>
      </c>
      <c r="F24" t="s">
        <v>243</v>
      </c>
      <c r="G24" t="s">
        <v>92</v>
      </c>
      <c r="H24">
        <v>13</v>
      </c>
      <c r="I24">
        <v>9094</v>
      </c>
      <c r="J24">
        <v>1</v>
      </c>
    </row>
    <row r="25" spans="1:10" x14ac:dyDescent="0.2">
      <c r="A25">
        <v>712</v>
      </c>
      <c r="B25" t="s">
        <v>300</v>
      </c>
      <c r="C25" t="s">
        <v>301</v>
      </c>
      <c r="D25" t="s">
        <v>98</v>
      </c>
      <c r="E25" t="s">
        <v>99</v>
      </c>
      <c r="F25" t="s">
        <v>243</v>
      </c>
      <c r="G25" t="s">
        <v>302</v>
      </c>
      <c r="H25">
        <v>11</v>
      </c>
      <c r="I25">
        <v>6688</v>
      </c>
      <c r="J25">
        <v>2</v>
      </c>
    </row>
    <row r="26" spans="1:10" x14ac:dyDescent="0.2">
      <c r="A26">
        <v>2189</v>
      </c>
      <c r="B26" t="s">
        <v>310</v>
      </c>
      <c r="C26" t="s">
        <v>311</v>
      </c>
      <c r="D26" t="s">
        <v>100</v>
      </c>
      <c r="E26" t="s">
        <v>101</v>
      </c>
      <c r="F26" t="s">
        <v>243</v>
      </c>
      <c r="G26" t="s">
        <v>312</v>
      </c>
      <c r="H26">
        <v>13</v>
      </c>
      <c r="I26">
        <v>8131</v>
      </c>
      <c r="J26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9E09B-8C2B-E54E-8C91-2BF0F4238DB7}">
  <dimension ref="A1:O49"/>
  <sheetViews>
    <sheetView workbookViewId="0">
      <selection activeCell="B22" sqref="B22:B24"/>
    </sheetView>
  </sheetViews>
  <sheetFormatPr baseColWidth="10" defaultRowHeight="16" x14ac:dyDescent="0.2"/>
  <cols>
    <col min="1" max="1" width="29.33203125" customWidth="1"/>
    <col min="2" max="2" width="8.1640625" style="1" customWidth="1"/>
    <col min="3" max="3" width="15.83203125" style="1" bestFit="1" customWidth="1"/>
    <col min="4" max="4" width="10.83203125" style="1" customWidth="1"/>
    <col min="5" max="5" width="8.83203125" style="1" customWidth="1"/>
    <col min="6" max="6" width="13.6640625" style="1" customWidth="1"/>
    <col min="7" max="7" width="21.1640625" style="1" customWidth="1"/>
    <col min="8" max="8" width="14" style="1" bestFit="1" customWidth="1"/>
    <col min="9" max="9" width="18" style="1" customWidth="1"/>
    <col min="10" max="10" width="12.6640625" style="1" customWidth="1"/>
    <col min="11" max="15" width="10.83203125" style="1" customWidth="1"/>
  </cols>
  <sheetData>
    <row r="1" spans="1:15" x14ac:dyDescent="0.2">
      <c r="A1" t="s">
        <v>0</v>
      </c>
      <c r="B1" s="1" t="s">
        <v>728</v>
      </c>
      <c r="C1" s="1" t="s">
        <v>7</v>
      </c>
      <c r="D1" s="1" t="s">
        <v>8</v>
      </c>
      <c r="E1" s="1" t="s">
        <v>353</v>
      </c>
      <c r="F1" s="1" t="s">
        <v>354</v>
      </c>
      <c r="G1" s="1" t="s">
        <v>167</v>
      </c>
      <c r="H1" s="1" t="s">
        <v>352</v>
      </c>
      <c r="I1" s="1" t="s">
        <v>303</v>
      </c>
      <c r="J1" s="1" t="s">
        <v>340</v>
      </c>
      <c r="K1" s="1" t="s">
        <v>344</v>
      </c>
      <c r="L1" s="1" t="s">
        <v>348</v>
      </c>
      <c r="M1" s="1" t="s">
        <v>349</v>
      </c>
      <c r="N1" s="1" t="s">
        <v>350</v>
      </c>
      <c r="O1" s="1" t="s">
        <v>351</v>
      </c>
    </row>
    <row r="2" spans="1:15" x14ac:dyDescent="0.2">
      <c r="A2" t="s">
        <v>27</v>
      </c>
      <c r="B2" s="6">
        <v>733</v>
      </c>
      <c r="C2" t="s">
        <v>2</v>
      </c>
      <c r="D2" s="5" t="s">
        <v>130</v>
      </c>
      <c r="E2" s="6">
        <v>25</v>
      </c>
      <c r="F2" s="6">
        <v>28057</v>
      </c>
      <c r="G2" s="1" t="s">
        <v>226</v>
      </c>
      <c r="H2" s="1" t="b">
        <f>IF(ISERROR(VLOOKUP(_xlfn.CONCAT("K",D2),Table24[Label],1,FALSE)),FALSE,TRUE)</f>
        <v>1</v>
      </c>
      <c r="I2" s="1" t="b">
        <f>IF(ISERROR(VLOOKUP(_xlfn.CONCAT("K",D2),Table1[Label],1,FALSE)),FALSE,TRUE)</f>
        <v>1</v>
      </c>
      <c r="J2" s="1" t="b">
        <f>IF(ISERROR(VLOOKUP(_xlfn.CONCAT("K",D2),Table2[Label],1,FALSE)),FALSE,TRUE)</f>
        <v>1</v>
      </c>
      <c r="K2" s="1" t="b">
        <f>IF(ISERROR(VLOOKUP(_xlfn.CONCAT("K",D2),Table3[Label],1,FALSE)),FALSE,TRUE)</f>
        <v>1</v>
      </c>
      <c r="L2" s="1" t="b">
        <f>IF(ISERROR(VLOOKUP(_xlfn.CONCAT("K",D2),Table4[Label],1,FALSE)),FALSE,TRUE)</f>
        <v>1</v>
      </c>
      <c r="M2" s="1" t="b">
        <f>IF(ISERROR(VLOOKUP(_xlfn.CONCAT("K",D2),Table5[Label],1,FALSE)),FALSE,TRUE)</f>
        <v>1</v>
      </c>
      <c r="N2" s="1" t="b">
        <f>IF(ISERROR(VLOOKUP(_xlfn.CONCAT("K",D2),Table6[Label],1,FALSE)),FALSE,TRUE)</f>
        <v>1</v>
      </c>
      <c r="O2" s="1" t="b">
        <f>IF(ISERROR(VLOOKUP(_xlfn.CONCAT("K",D2),Table7[Label],1,FALSE)),FALSE,TRUE)</f>
        <v>1</v>
      </c>
    </row>
    <row r="3" spans="1:15" x14ac:dyDescent="0.2">
      <c r="A3" t="s">
        <v>49</v>
      </c>
      <c r="B3" s="6">
        <v>574</v>
      </c>
      <c r="C3" t="s">
        <v>50</v>
      </c>
      <c r="D3" s="5" t="s">
        <v>138</v>
      </c>
      <c r="E3" s="6">
        <v>30</v>
      </c>
      <c r="F3" s="6">
        <v>20047</v>
      </c>
      <c r="G3" s="1" t="s">
        <v>230</v>
      </c>
      <c r="H3" s="1" t="b">
        <f>IF(ISERROR(VLOOKUP(_xlfn.CONCAT("K",D3),Table24[Label],1,FALSE)),FALSE,TRUE)</f>
        <v>1</v>
      </c>
      <c r="I3" s="1" t="b">
        <f>IF(ISERROR(VLOOKUP(_xlfn.CONCAT("K",D3),Table1[Label],1,FALSE)),FALSE,TRUE)</f>
        <v>1</v>
      </c>
      <c r="J3" s="1" t="b">
        <f>IF(ISERROR(VLOOKUP(_xlfn.CONCAT("K",D3),Table2[Label],1,FALSE)),FALSE,TRUE)</f>
        <v>1</v>
      </c>
      <c r="K3" s="1" t="b">
        <f>IF(ISERROR(VLOOKUP(_xlfn.CONCAT("K",D3),Table3[Label],1,FALSE)),FALSE,TRUE)</f>
        <v>1</v>
      </c>
      <c r="L3" s="1" t="b">
        <f>IF(ISERROR(VLOOKUP(_xlfn.CONCAT("K",D3),Table4[Label],1,FALSE)),FALSE,TRUE)</f>
        <v>1</v>
      </c>
      <c r="M3" s="1" t="b">
        <f>IF(ISERROR(VLOOKUP(_xlfn.CONCAT("K",D3),Table5[Label],1,FALSE)),FALSE,TRUE)</f>
        <v>1</v>
      </c>
      <c r="N3" s="1" t="b">
        <f>IF(ISERROR(VLOOKUP(_xlfn.CONCAT("K",D3),Table6[Label],1,FALSE)),FALSE,TRUE)</f>
        <v>1</v>
      </c>
      <c r="O3" s="1" t="b">
        <f>IF(ISERROR(VLOOKUP(_xlfn.CONCAT("K",D3),Table7[Label],1,FALSE)),FALSE,TRUE)</f>
        <v>1</v>
      </c>
    </row>
    <row r="4" spans="1:15" x14ac:dyDescent="0.2">
      <c r="A4" t="s">
        <v>24</v>
      </c>
      <c r="B4" s="6">
        <v>591</v>
      </c>
      <c r="C4" t="s">
        <v>25</v>
      </c>
      <c r="D4" s="5" t="s">
        <v>129</v>
      </c>
      <c r="E4" s="6">
        <v>28</v>
      </c>
      <c r="F4" s="6">
        <v>18390</v>
      </c>
      <c r="G4" s="1" t="s">
        <v>225</v>
      </c>
      <c r="H4" s="1" t="b">
        <f>IF(ISERROR(VLOOKUP(_xlfn.CONCAT("K",D4),Table24[Label],1,FALSE)),FALSE,TRUE)</f>
        <v>1</v>
      </c>
      <c r="I4" s="1" t="b">
        <f>IF(ISERROR(VLOOKUP(_xlfn.CONCAT("K",D4),Table1[Label],1,FALSE)),FALSE,TRUE)</f>
        <v>1</v>
      </c>
      <c r="J4" s="1" t="b">
        <f>IF(ISERROR(VLOOKUP(_xlfn.CONCAT("K",D4),Table2[Label],1,FALSE)),FALSE,TRUE)</f>
        <v>1</v>
      </c>
      <c r="K4" s="1" t="b">
        <f>IF(ISERROR(VLOOKUP(_xlfn.CONCAT("K",D4),Table3[Label],1,FALSE)),FALSE,TRUE)</f>
        <v>1</v>
      </c>
      <c r="L4" s="1" t="b">
        <f>IF(ISERROR(VLOOKUP(_xlfn.CONCAT("K",D4),Table4[Label],1,FALSE)),FALSE,TRUE)</f>
        <v>1</v>
      </c>
      <c r="M4" s="1" t="b">
        <f>IF(ISERROR(VLOOKUP(_xlfn.CONCAT("K",D4),Table5[Label],1,FALSE)),FALSE,TRUE)</f>
        <v>1</v>
      </c>
      <c r="N4" s="1" t="b">
        <f>IF(ISERROR(VLOOKUP(_xlfn.CONCAT("K",D4),Table6[Label],1,FALSE)),FALSE,TRUE)</f>
        <v>1</v>
      </c>
      <c r="O4" s="1" t="b">
        <f>IF(ISERROR(VLOOKUP(_xlfn.CONCAT("K",D4),Table7[Label],1,FALSE)),FALSE,TRUE)</f>
        <v>0</v>
      </c>
    </row>
    <row r="5" spans="1:15" x14ac:dyDescent="0.2">
      <c r="A5" t="s">
        <v>47</v>
      </c>
      <c r="B5" s="7">
        <v>627</v>
      </c>
      <c r="C5" s="22" t="s">
        <v>48</v>
      </c>
      <c r="D5" s="8" t="s">
        <v>137</v>
      </c>
      <c r="E5" s="7">
        <v>29</v>
      </c>
      <c r="F5" s="7">
        <v>15166</v>
      </c>
      <c r="G5" s="7" t="s">
        <v>225</v>
      </c>
      <c r="H5" s="1" t="b">
        <f>IF(ISERROR(VLOOKUP(_xlfn.CONCAT("K",D5),Table24[Label],1,FALSE)),FALSE,TRUE)</f>
        <v>0</v>
      </c>
      <c r="I5" s="1" t="b">
        <f>IF(ISERROR(VLOOKUP(_xlfn.CONCAT("K",D5),Table1[Label],1,FALSE)),FALSE,TRUE)</f>
        <v>0</v>
      </c>
      <c r="J5" s="1" t="b">
        <f>IF(ISERROR(VLOOKUP(_xlfn.CONCAT("K",D5),Table2[Label],1,FALSE)),FALSE,TRUE)</f>
        <v>1</v>
      </c>
      <c r="K5" s="1" t="b">
        <f>IF(ISERROR(VLOOKUP(_xlfn.CONCAT("K",D5),Table3[Label],1,FALSE)),FALSE,TRUE)</f>
        <v>1</v>
      </c>
      <c r="L5" s="1" t="b">
        <f>IF(ISERROR(VLOOKUP(_xlfn.CONCAT("K",D5),Table4[Label],1,FALSE)),FALSE,TRUE)</f>
        <v>1</v>
      </c>
      <c r="M5" s="1" t="b">
        <f>IF(ISERROR(VLOOKUP(_xlfn.CONCAT("K",D5),Table5[Label],1,FALSE)),FALSE,TRUE)</f>
        <v>1</v>
      </c>
      <c r="N5" s="1" t="b">
        <f>IF(ISERROR(VLOOKUP(_xlfn.CONCAT("K",D5),Table6[Label],1,FALSE)),FALSE,TRUE)</f>
        <v>0</v>
      </c>
      <c r="O5" s="1" t="b">
        <f>IF(ISERROR(VLOOKUP(_xlfn.CONCAT("K",D5),Table7[Label],1,FALSE)),FALSE,TRUE)</f>
        <v>1</v>
      </c>
    </row>
    <row r="6" spans="1:15" x14ac:dyDescent="0.2">
      <c r="A6" t="s">
        <v>64</v>
      </c>
      <c r="B6" s="6">
        <v>625</v>
      </c>
      <c r="C6" t="s">
        <v>36</v>
      </c>
      <c r="D6" s="5" t="s">
        <v>143</v>
      </c>
      <c r="E6" s="6">
        <v>26</v>
      </c>
      <c r="F6" s="6">
        <v>10697</v>
      </c>
      <c r="G6" s="1" t="s">
        <v>225</v>
      </c>
      <c r="H6" s="1" t="b">
        <f>IF(ISERROR(VLOOKUP(_xlfn.CONCAT("K",D6),Table24[Label],1,FALSE)),FALSE,TRUE)</f>
        <v>1</v>
      </c>
      <c r="I6" s="1" t="b">
        <f>IF(ISERROR(VLOOKUP(_xlfn.CONCAT("K",D6),Table1[Label],1,FALSE)),FALSE,TRUE)</f>
        <v>1</v>
      </c>
      <c r="J6" s="1" t="b">
        <f>IF(ISERROR(VLOOKUP(_xlfn.CONCAT("K",D6),Table2[Label],1,FALSE)),FALSE,TRUE)</f>
        <v>1</v>
      </c>
      <c r="K6" s="1" t="b">
        <f>IF(ISERROR(VLOOKUP(_xlfn.CONCAT("K",D6),Table3[Label],1,FALSE)),FALSE,TRUE)</f>
        <v>1</v>
      </c>
      <c r="L6" s="1" t="b">
        <f>IF(ISERROR(VLOOKUP(_xlfn.CONCAT("K",D6),Table4[Label],1,FALSE)),FALSE,TRUE)</f>
        <v>1</v>
      </c>
      <c r="M6" s="1" t="b">
        <f>IF(ISERROR(VLOOKUP(_xlfn.CONCAT("K",D6),Table5[Label],1,FALSE)),FALSE,TRUE)</f>
        <v>1</v>
      </c>
      <c r="N6" s="1" t="b">
        <f>IF(ISERROR(VLOOKUP(_xlfn.CONCAT("K",D6),Table6[Label],1,FALSE)),FALSE,TRUE)</f>
        <v>1</v>
      </c>
      <c r="O6" s="1" t="b">
        <f>IF(ISERROR(VLOOKUP(_xlfn.CONCAT("K",D6),Table7[Label],1,FALSE)),FALSE,TRUE)</f>
        <v>1</v>
      </c>
    </row>
    <row r="7" spans="1:15" x14ac:dyDescent="0.2">
      <c r="A7" t="s">
        <v>29</v>
      </c>
      <c r="B7" s="6">
        <v>730</v>
      </c>
      <c r="C7" t="s">
        <v>30</v>
      </c>
      <c r="D7" s="5" t="s">
        <v>131</v>
      </c>
      <c r="E7" s="6">
        <v>24</v>
      </c>
      <c r="F7" s="6">
        <v>44350</v>
      </c>
      <c r="G7" s="1" t="s">
        <v>227</v>
      </c>
      <c r="H7" s="1" t="b">
        <f>IF(ISERROR(VLOOKUP(_xlfn.CONCAT("K",D7),Table24[Label],1,FALSE)),FALSE,TRUE)</f>
        <v>1</v>
      </c>
      <c r="I7" s="1" t="b">
        <f>IF(ISERROR(VLOOKUP(_xlfn.CONCAT("K",D7),Table1[Label],1,FALSE)),FALSE,TRUE)</f>
        <v>1</v>
      </c>
      <c r="J7" s="1" t="b">
        <f>IF(ISERROR(VLOOKUP(_xlfn.CONCAT("K",D7),Table2[Label],1,FALSE)),FALSE,TRUE)</f>
        <v>1</v>
      </c>
      <c r="K7" s="1" t="b">
        <f>IF(ISERROR(VLOOKUP(_xlfn.CONCAT("K",D7),Table3[Label],1,FALSE)),FALSE,TRUE)</f>
        <v>0</v>
      </c>
      <c r="L7" s="1" t="b">
        <f>IF(ISERROR(VLOOKUP(_xlfn.CONCAT("K",D7),Table4[Label],1,FALSE)),FALSE,TRUE)</f>
        <v>1</v>
      </c>
      <c r="M7" s="1" t="b">
        <f>IF(ISERROR(VLOOKUP(_xlfn.CONCAT("K",D7),Table5[Label],1,FALSE)),FALSE,TRUE)</f>
        <v>1</v>
      </c>
      <c r="N7" s="1" t="b">
        <f>IF(ISERROR(VLOOKUP(_xlfn.CONCAT("K",D7),Table6[Label],1,FALSE)),FALSE,TRUE)</f>
        <v>1</v>
      </c>
      <c r="O7" s="1" t="b">
        <f>IF(ISERROR(VLOOKUP(_xlfn.CONCAT("K",D7),Table7[Label],1,FALSE)),FALSE,TRUE)</f>
        <v>1</v>
      </c>
    </row>
    <row r="8" spans="1:15" x14ac:dyDescent="0.2">
      <c r="A8" t="s">
        <v>15</v>
      </c>
      <c r="B8" s="6">
        <v>506</v>
      </c>
      <c r="C8" t="s">
        <v>16</v>
      </c>
      <c r="D8" s="5" t="s">
        <v>126</v>
      </c>
      <c r="E8" s="6">
        <v>32</v>
      </c>
      <c r="F8" s="6">
        <v>36050</v>
      </c>
      <c r="G8" s="1" t="s">
        <v>222</v>
      </c>
      <c r="H8" s="1" t="b">
        <f>IF(ISERROR(VLOOKUP(_xlfn.CONCAT("K",D8),Table24[Label],1,FALSE)),FALSE,TRUE)</f>
        <v>1</v>
      </c>
      <c r="I8" s="1" t="b">
        <f>IF(ISERROR(VLOOKUP(_xlfn.CONCAT("K",D8),Table1[Label],1,FALSE)),FALSE,TRUE)</f>
        <v>1</v>
      </c>
      <c r="J8" s="1" t="b">
        <f>IF(ISERROR(VLOOKUP(_xlfn.CONCAT("K",D8),Table2[Label],1,FALSE)),FALSE,TRUE)</f>
        <v>1</v>
      </c>
      <c r="K8" s="1" t="b">
        <f>IF(ISERROR(VLOOKUP(_xlfn.CONCAT("K",D8),Table3[Label],1,FALSE)),FALSE,TRUE)</f>
        <v>1</v>
      </c>
      <c r="L8" s="1" t="b">
        <f>IF(ISERROR(VLOOKUP(_xlfn.CONCAT("K",D8),Table4[Label],1,FALSE)),FALSE,TRUE)</f>
        <v>1</v>
      </c>
      <c r="M8" s="1" t="b">
        <f>IF(ISERROR(VLOOKUP(_xlfn.CONCAT("K",D8),Table5[Label],1,FALSE)),FALSE,TRUE)</f>
        <v>1</v>
      </c>
      <c r="N8" s="1" t="b">
        <f>IF(ISERROR(VLOOKUP(_xlfn.CONCAT("K",D8),Table6[Label],1,FALSE)),FALSE,TRUE)</f>
        <v>1</v>
      </c>
      <c r="O8" s="1" t="b">
        <f>IF(ISERROR(VLOOKUP(_xlfn.CONCAT("K",D8),Table7[Label],1,FALSE)),FALSE,TRUE)</f>
        <v>1</v>
      </c>
    </row>
    <row r="9" spans="1:15" x14ac:dyDescent="0.2">
      <c r="A9" t="s">
        <v>45</v>
      </c>
      <c r="B9" s="7">
        <v>529</v>
      </c>
      <c r="C9" s="22" t="s">
        <v>46</v>
      </c>
      <c r="D9" s="8" t="s">
        <v>136</v>
      </c>
      <c r="E9" s="7">
        <v>27</v>
      </c>
      <c r="F9" s="7">
        <v>15952</v>
      </c>
      <c r="G9" s="7" t="s">
        <v>229</v>
      </c>
      <c r="H9" s="1" t="b">
        <f>IF(ISERROR(VLOOKUP(_xlfn.CONCAT("K",D9),Table24[Label],1,FALSE)),FALSE,TRUE)</f>
        <v>0</v>
      </c>
      <c r="I9" s="1" t="b">
        <f>IF(ISERROR(VLOOKUP(_xlfn.CONCAT("K",D9),Table1[Label],1,FALSE)),FALSE,TRUE)</f>
        <v>0</v>
      </c>
      <c r="J9" s="1" t="b">
        <f>IF(ISERROR(VLOOKUP(_xlfn.CONCAT("K",D9),Table2[Label],1,FALSE)),FALSE,TRUE)</f>
        <v>1</v>
      </c>
      <c r="K9" s="1" t="b">
        <f>IF(ISERROR(VLOOKUP(_xlfn.CONCAT("K",D9),Table3[Label],1,FALSE)),FALSE,TRUE)</f>
        <v>1</v>
      </c>
      <c r="L9" s="1" t="b">
        <f>IF(ISERROR(VLOOKUP(_xlfn.CONCAT("K",D9),Table4[Label],1,FALSE)),FALSE,TRUE)</f>
        <v>1</v>
      </c>
      <c r="M9" s="1" t="b">
        <f>IF(ISERROR(VLOOKUP(_xlfn.CONCAT("K",D9),Table5[Label],1,FALSE)),FALSE,TRUE)</f>
        <v>0</v>
      </c>
      <c r="N9" s="1" t="b">
        <f>IF(ISERROR(VLOOKUP(_xlfn.CONCAT("K",D9),Table6[Label],1,FALSE)),FALSE,TRUE)</f>
        <v>0</v>
      </c>
      <c r="O9" s="1" t="b">
        <f>IF(ISERROR(VLOOKUP(_xlfn.CONCAT("K",D9),Table7[Label],1,FALSE)),FALSE,TRUE)</f>
        <v>1</v>
      </c>
    </row>
    <row r="10" spans="1:15" x14ac:dyDescent="0.2">
      <c r="A10" t="s">
        <v>69</v>
      </c>
      <c r="B10" s="6">
        <v>736</v>
      </c>
      <c r="C10" t="s">
        <v>70</v>
      </c>
      <c r="D10" s="5" t="s">
        <v>145</v>
      </c>
      <c r="E10" s="6">
        <v>23</v>
      </c>
      <c r="F10" s="6">
        <v>23054</v>
      </c>
      <c r="G10" s="1" t="s">
        <v>232</v>
      </c>
      <c r="H10" s="1" t="b">
        <f>IF(ISERROR(VLOOKUP(_xlfn.CONCAT("K",D10),Table24[Label],1,FALSE)),FALSE,TRUE)</f>
        <v>1</v>
      </c>
      <c r="I10" s="1" t="b">
        <f>IF(ISERROR(VLOOKUP(_xlfn.CONCAT("K",D10),Table1[Label],1,FALSE)),FALSE,TRUE)</f>
        <v>1</v>
      </c>
      <c r="J10" s="1" t="b">
        <f>IF(ISERROR(VLOOKUP(_xlfn.CONCAT("K",D10),Table2[Label],1,FALSE)),FALSE,TRUE)</f>
        <v>1</v>
      </c>
      <c r="K10" s="1" t="b">
        <f>IF(ISERROR(VLOOKUP(_xlfn.CONCAT("K",D10),Table3[Label],1,FALSE)),FALSE,TRUE)</f>
        <v>1</v>
      </c>
      <c r="L10" s="1" t="b">
        <f>IF(ISERROR(VLOOKUP(_xlfn.CONCAT("K",D10),Table4[Label],1,FALSE)),FALSE,TRUE)</f>
        <v>1</v>
      </c>
      <c r="M10" s="1" t="b">
        <f>IF(ISERROR(VLOOKUP(_xlfn.CONCAT("K",D10),Table5[Label],1,FALSE)),FALSE,TRUE)</f>
        <v>1</v>
      </c>
      <c r="N10" s="1" t="b">
        <f>IF(ISERROR(VLOOKUP(_xlfn.CONCAT("K",D10),Table6[Label],1,FALSE)),FALSE,TRUE)</f>
        <v>1</v>
      </c>
      <c r="O10" s="1" t="b">
        <f>IF(ISERROR(VLOOKUP(_xlfn.CONCAT("K",D10),Table7[Label],1,FALSE)),FALSE,TRUE)</f>
        <v>1</v>
      </c>
    </row>
    <row r="11" spans="1:15" x14ac:dyDescent="0.2">
      <c r="A11" t="s">
        <v>55</v>
      </c>
      <c r="B11" s="6">
        <v>682</v>
      </c>
      <c r="C11" t="s">
        <v>56</v>
      </c>
      <c r="D11" s="5" t="s">
        <v>140</v>
      </c>
      <c r="E11" s="6">
        <v>30</v>
      </c>
      <c r="F11" s="6">
        <v>21171</v>
      </c>
      <c r="G11" s="1" t="s">
        <v>232</v>
      </c>
      <c r="H11" s="1" t="b">
        <f>IF(ISERROR(VLOOKUP(_xlfn.CONCAT("K",D11),Table24[Label],1,FALSE)),FALSE,TRUE)</f>
        <v>1</v>
      </c>
      <c r="I11" s="1" t="b">
        <f>IF(ISERROR(VLOOKUP(_xlfn.CONCAT("K",D11),Table1[Label],1,FALSE)),FALSE,TRUE)</f>
        <v>1</v>
      </c>
      <c r="J11" s="1" t="b">
        <f>IF(ISERROR(VLOOKUP(_xlfn.CONCAT("K",D11),Table2[Label],1,FALSE)),FALSE,TRUE)</f>
        <v>1</v>
      </c>
      <c r="K11" s="1" t="b">
        <f>IF(ISERROR(VLOOKUP(_xlfn.CONCAT("K",D11),Table3[Label],1,FALSE)),FALSE,TRUE)</f>
        <v>1</v>
      </c>
      <c r="L11" s="1" t="b">
        <f>IF(ISERROR(VLOOKUP(_xlfn.CONCAT("K",D11),Table4[Label],1,FALSE)),FALSE,TRUE)</f>
        <v>1</v>
      </c>
      <c r="M11" s="1" t="b">
        <f>IF(ISERROR(VLOOKUP(_xlfn.CONCAT("K",D11),Table5[Label],1,FALSE)),FALSE,TRUE)</f>
        <v>1</v>
      </c>
      <c r="N11" s="1" t="b">
        <f>IF(ISERROR(VLOOKUP(_xlfn.CONCAT("K",D11),Table6[Label],1,FALSE)),FALSE,TRUE)</f>
        <v>1</v>
      </c>
      <c r="O11" s="1" t="b">
        <f>IF(ISERROR(VLOOKUP(_xlfn.CONCAT("K",D11),Table7[Label],1,FALSE)),FALSE,TRUE)</f>
        <v>1</v>
      </c>
    </row>
    <row r="12" spans="1:15" x14ac:dyDescent="0.2">
      <c r="A12" t="s">
        <v>58</v>
      </c>
      <c r="B12" s="7">
        <v>579</v>
      </c>
      <c r="C12" s="22" t="s">
        <v>59</v>
      </c>
      <c r="D12" s="8" t="s">
        <v>141</v>
      </c>
      <c r="E12" s="7">
        <v>30</v>
      </c>
      <c r="F12" s="7">
        <v>11690</v>
      </c>
      <c r="G12" s="7" t="s">
        <v>232</v>
      </c>
      <c r="H12" s="1" t="b">
        <f>IF(ISERROR(VLOOKUP(_xlfn.CONCAT("K",D12),Table24[Label],1,FALSE)),FALSE,TRUE)</f>
        <v>0</v>
      </c>
      <c r="I12" s="1" t="b">
        <f>IF(ISERROR(VLOOKUP(_xlfn.CONCAT("K",D12),Table1[Label],1,FALSE)),FALSE,TRUE)</f>
        <v>0</v>
      </c>
      <c r="J12" s="1" t="b">
        <f>IF(ISERROR(VLOOKUP(_xlfn.CONCAT("K",D12),Table2[Label],1,FALSE)),FALSE,TRUE)</f>
        <v>0</v>
      </c>
      <c r="K12" s="1" t="b">
        <f>IF(ISERROR(VLOOKUP(_xlfn.CONCAT("K",D12),Table3[Label],1,FALSE)),FALSE,TRUE)</f>
        <v>1</v>
      </c>
      <c r="L12" s="1" t="b">
        <f>IF(ISERROR(VLOOKUP(_xlfn.CONCAT("K",D12),Table4[Label],1,FALSE)),FALSE,TRUE)</f>
        <v>1</v>
      </c>
      <c r="M12" s="1" t="b">
        <f>IF(ISERROR(VLOOKUP(_xlfn.CONCAT("K",D12),Table5[Label],1,FALSE)),FALSE,TRUE)</f>
        <v>0</v>
      </c>
      <c r="N12" s="1" t="b">
        <f>IF(ISERROR(VLOOKUP(_xlfn.CONCAT("K",D12),Table6[Label],1,FALSE)),FALSE,TRUE)</f>
        <v>0</v>
      </c>
      <c r="O12" s="1" t="b">
        <f>IF(ISERROR(VLOOKUP(_xlfn.CONCAT("K",D12),Table7[Label],1,FALSE)),FALSE,TRUE)</f>
        <v>1</v>
      </c>
    </row>
    <row r="13" spans="1:15" x14ac:dyDescent="0.2">
      <c r="A13" t="s">
        <v>9</v>
      </c>
      <c r="B13" s="6">
        <v>648</v>
      </c>
      <c r="C13" t="s">
        <v>10</v>
      </c>
      <c r="D13" s="5" t="s">
        <v>124</v>
      </c>
      <c r="E13" s="6">
        <v>25</v>
      </c>
      <c r="F13" s="6">
        <v>28737</v>
      </c>
      <c r="G13" s="1" t="s">
        <v>220</v>
      </c>
      <c r="H13" s="1" t="b">
        <f>IF(ISERROR(VLOOKUP(_xlfn.CONCAT("K",D13),Table24[Label],1,FALSE)),FALSE,TRUE)</f>
        <v>1</v>
      </c>
      <c r="I13" s="1" t="b">
        <f>IF(ISERROR(VLOOKUP(_xlfn.CONCAT("K",D13),Table1[Label],1,FALSE)),FALSE,TRUE)</f>
        <v>1</v>
      </c>
      <c r="J13" s="1" t="b">
        <f>IF(ISERROR(VLOOKUP(_xlfn.CONCAT("K",D13),Table2[Label],1,FALSE)),FALSE,TRUE)</f>
        <v>1</v>
      </c>
      <c r="K13" s="1" t="b">
        <f>IF(ISERROR(VLOOKUP(_xlfn.CONCAT("K",D13),Table3[Label],1,FALSE)),FALSE,TRUE)</f>
        <v>1</v>
      </c>
      <c r="L13" s="1" t="b">
        <f>IF(ISERROR(VLOOKUP(_xlfn.CONCAT("K",D13),Table4[Label],1,FALSE)),FALSE,TRUE)</f>
        <v>1</v>
      </c>
      <c r="M13" s="1" t="b">
        <f>IF(ISERROR(VLOOKUP(_xlfn.CONCAT("K",D13),Table5[Label],1,FALSE)),FALSE,TRUE)</f>
        <v>1</v>
      </c>
      <c r="N13" s="1" t="b">
        <f>IF(ISERROR(VLOOKUP(_xlfn.CONCAT("K",D13),Table6[Label],1,FALSE)),FALSE,TRUE)</f>
        <v>1</v>
      </c>
      <c r="O13" s="1" t="b">
        <f>IF(ISERROR(VLOOKUP(_xlfn.CONCAT("K",D13),Table7[Label],1,FALSE)),FALSE,TRUE)</f>
        <v>1</v>
      </c>
    </row>
    <row r="14" spans="1:15" x14ac:dyDescent="0.2">
      <c r="A14" t="s">
        <v>12</v>
      </c>
      <c r="B14" s="6">
        <v>691</v>
      </c>
      <c r="C14" t="s">
        <v>13</v>
      </c>
      <c r="D14" s="5" t="s">
        <v>125</v>
      </c>
      <c r="E14" s="6">
        <v>32</v>
      </c>
      <c r="F14" s="6">
        <v>29032</v>
      </c>
      <c r="G14" s="1" t="s">
        <v>221</v>
      </c>
      <c r="H14" s="1" t="b">
        <f>IF(ISERROR(VLOOKUP(_xlfn.CONCAT("K",D14),Table24[Label],1,FALSE)),FALSE,TRUE)</f>
        <v>1</v>
      </c>
      <c r="I14" s="1" t="b">
        <f>IF(ISERROR(VLOOKUP(_xlfn.CONCAT("K",D14),Table1[Label],1,FALSE)),FALSE,TRUE)</f>
        <v>1</v>
      </c>
      <c r="J14" s="1" t="b">
        <f>IF(ISERROR(VLOOKUP(_xlfn.CONCAT("K",D14),Table2[Label],1,FALSE)),FALSE,TRUE)</f>
        <v>1</v>
      </c>
      <c r="K14" s="1" t="b">
        <f>IF(ISERROR(VLOOKUP(_xlfn.CONCAT("K",D14),Table3[Label],1,FALSE)),FALSE,TRUE)</f>
        <v>1</v>
      </c>
      <c r="L14" s="1" t="b">
        <f>IF(ISERROR(VLOOKUP(_xlfn.CONCAT("K",D14),Table4[Label],1,FALSE)),FALSE,TRUE)</f>
        <v>1</v>
      </c>
      <c r="M14" s="1" t="b">
        <f>IF(ISERROR(VLOOKUP(_xlfn.CONCAT("K",D14),Table5[Label],1,FALSE)),FALSE,TRUE)</f>
        <v>1</v>
      </c>
      <c r="N14" s="1" t="b">
        <f>IF(ISERROR(VLOOKUP(_xlfn.CONCAT("K",D14),Table6[Label],1,FALSE)),FALSE,TRUE)</f>
        <v>1</v>
      </c>
      <c r="O14" s="1" t="b">
        <f>IF(ISERROR(VLOOKUP(_xlfn.CONCAT("K",D14),Table7[Label],1,FALSE)),FALSE,TRUE)</f>
        <v>0</v>
      </c>
    </row>
    <row r="15" spans="1:15" x14ac:dyDescent="0.2">
      <c r="A15" t="s">
        <v>21</v>
      </c>
      <c r="B15" s="6">
        <v>645</v>
      </c>
      <c r="C15" t="s">
        <v>22</v>
      </c>
      <c r="D15" s="5" t="s">
        <v>128</v>
      </c>
      <c r="E15" s="6">
        <v>22</v>
      </c>
      <c r="F15" s="6">
        <v>14416</v>
      </c>
      <c r="G15" s="1" t="s">
        <v>224</v>
      </c>
      <c r="H15" s="1" t="b">
        <f>IF(ISERROR(VLOOKUP(_xlfn.CONCAT("K",D15),Table24[Label],1,FALSE)),FALSE,TRUE)</f>
        <v>1</v>
      </c>
      <c r="I15" s="1" t="b">
        <f>IF(ISERROR(VLOOKUP(_xlfn.CONCAT("K",D15),Table1[Label],1,FALSE)),FALSE,TRUE)</f>
        <v>1</v>
      </c>
      <c r="J15" s="1" t="b">
        <f>IF(ISERROR(VLOOKUP(_xlfn.CONCAT("K",D15),Table2[Label],1,FALSE)),FALSE,TRUE)</f>
        <v>1</v>
      </c>
      <c r="K15" s="1" t="b">
        <f>IF(ISERROR(VLOOKUP(_xlfn.CONCAT("K",D15),Table3[Label],1,FALSE)),FALSE,TRUE)</f>
        <v>1</v>
      </c>
      <c r="L15" s="1" t="b">
        <f>IF(ISERROR(VLOOKUP(_xlfn.CONCAT("K",D15),Table4[Label],1,FALSE)),FALSE,TRUE)</f>
        <v>1</v>
      </c>
      <c r="M15" s="1" t="b">
        <f>IF(ISERROR(VLOOKUP(_xlfn.CONCAT("K",D15),Table5[Label],1,FALSE)),FALSE,TRUE)</f>
        <v>1</v>
      </c>
      <c r="N15" s="1" t="b">
        <f>IF(ISERROR(VLOOKUP(_xlfn.CONCAT("K",D15),Table6[Label],1,FALSE)),FALSE,TRUE)</f>
        <v>1</v>
      </c>
      <c r="O15" s="1" t="b">
        <f>IF(ISERROR(VLOOKUP(_xlfn.CONCAT("K",D15),Table7[Label],1,FALSE)),FALSE,TRUE)</f>
        <v>1</v>
      </c>
    </row>
    <row r="16" spans="1:15" x14ac:dyDescent="0.2">
      <c r="A16" t="s">
        <v>52</v>
      </c>
      <c r="B16" s="6">
        <v>702</v>
      </c>
      <c r="C16" t="s">
        <v>53</v>
      </c>
      <c r="D16" s="5" t="s">
        <v>139</v>
      </c>
      <c r="E16" s="6">
        <v>27</v>
      </c>
      <c r="F16" s="6">
        <v>31784</v>
      </c>
      <c r="G16" s="1" t="s">
        <v>231</v>
      </c>
      <c r="H16" s="1" t="b">
        <f>IF(ISERROR(VLOOKUP(_xlfn.CONCAT("K",D16),Table24[Label],1,FALSE)),FALSE,TRUE)</f>
        <v>1</v>
      </c>
      <c r="I16" s="1" t="b">
        <f>IF(ISERROR(VLOOKUP(_xlfn.CONCAT("K",D16),Table1[Label],1,FALSE)),FALSE,TRUE)</f>
        <v>1</v>
      </c>
      <c r="J16" s="1" t="b">
        <f>IF(ISERROR(VLOOKUP(_xlfn.CONCAT("K",D16),Table2[Label],1,FALSE)),FALSE,TRUE)</f>
        <v>1</v>
      </c>
      <c r="K16" s="1" t="b">
        <f>IF(ISERROR(VLOOKUP(_xlfn.CONCAT("K",D16),Table3[Label],1,FALSE)),FALSE,TRUE)</f>
        <v>1</v>
      </c>
      <c r="L16" s="1" t="b">
        <f>IF(ISERROR(VLOOKUP(_xlfn.CONCAT("K",D16),Table4[Label],1,FALSE)),FALSE,TRUE)</f>
        <v>1</v>
      </c>
      <c r="M16" s="1" t="b">
        <f>IF(ISERROR(VLOOKUP(_xlfn.CONCAT("K",D16),Table5[Label],1,FALSE)),FALSE,TRUE)</f>
        <v>1</v>
      </c>
      <c r="N16" s="1" t="b">
        <f>IF(ISERROR(VLOOKUP(_xlfn.CONCAT("K",D16),Table6[Label],1,FALSE)),FALSE,TRUE)</f>
        <v>1</v>
      </c>
      <c r="O16" s="1" t="b">
        <f>IF(ISERROR(VLOOKUP(_xlfn.CONCAT("K",D16),Table7[Label],1,FALSE)),FALSE,TRUE)</f>
        <v>0</v>
      </c>
    </row>
    <row r="17" spans="1:15" x14ac:dyDescent="0.2">
      <c r="A17" t="s">
        <v>35</v>
      </c>
      <c r="B17" s="6">
        <v>571</v>
      </c>
      <c r="C17" t="s">
        <v>36</v>
      </c>
      <c r="D17" s="5" t="s">
        <v>133</v>
      </c>
      <c r="E17" s="6">
        <v>27</v>
      </c>
      <c r="F17" s="6">
        <v>39711</v>
      </c>
      <c r="G17" s="1" t="s">
        <v>223</v>
      </c>
      <c r="H17" s="1" t="b">
        <f>IF(ISERROR(VLOOKUP(_xlfn.CONCAT("K",D17),Table24[Label],1,FALSE)),FALSE,TRUE)</f>
        <v>1</v>
      </c>
      <c r="I17" s="1" t="b">
        <f>IF(ISERROR(VLOOKUP(_xlfn.CONCAT("K",D17),Table1[Label],1,FALSE)),FALSE,TRUE)</f>
        <v>1</v>
      </c>
      <c r="J17" s="1" t="b">
        <f>IF(ISERROR(VLOOKUP(_xlfn.CONCAT("K",D17),Table2[Label],1,FALSE)),FALSE,TRUE)</f>
        <v>1</v>
      </c>
      <c r="K17" s="1" t="b">
        <f>IF(ISERROR(VLOOKUP(_xlfn.CONCAT("K",D17),Table3[Label],1,FALSE)),FALSE,TRUE)</f>
        <v>1</v>
      </c>
      <c r="L17" s="1" t="b">
        <f>IF(ISERROR(VLOOKUP(_xlfn.CONCAT("K",D17),Table4[Label],1,FALSE)),FALSE,TRUE)</f>
        <v>1</v>
      </c>
      <c r="M17" s="1" t="b">
        <f>IF(ISERROR(VLOOKUP(_xlfn.CONCAT("K",D17),Table5[Label],1,FALSE)),FALSE,TRUE)</f>
        <v>1</v>
      </c>
      <c r="N17" s="1" t="b">
        <f>IF(ISERROR(VLOOKUP(_xlfn.CONCAT("K",D17),Table6[Label],1,FALSE)),FALSE,TRUE)</f>
        <v>1</v>
      </c>
      <c r="O17" s="1" t="b">
        <f>IF(ISERROR(VLOOKUP(_xlfn.CONCAT("K",D17),Table7[Label],1,FALSE)),FALSE,TRUE)</f>
        <v>1</v>
      </c>
    </row>
    <row r="18" spans="1:15" x14ac:dyDescent="0.2">
      <c r="A18" t="s">
        <v>18</v>
      </c>
      <c r="B18" s="6">
        <v>575</v>
      </c>
      <c r="C18" t="s">
        <v>19</v>
      </c>
      <c r="D18" s="5" t="s">
        <v>127</v>
      </c>
      <c r="E18" s="6">
        <v>30</v>
      </c>
      <c r="F18" s="6">
        <v>24221</v>
      </c>
      <c r="G18" s="1" t="s">
        <v>223</v>
      </c>
      <c r="H18" s="1" t="b">
        <f>IF(ISERROR(VLOOKUP(_xlfn.CONCAT("K",D18),Table24[Label],1,FALSE)),FALSE,TRUE)</f>
        <v>1</v>
      </c>
      <c r="I18" s="1" t="b">
        <f>IF(ISERROR(VLOOKUP(_xlfn.CONCAT("K",D18),Table1[Label],1,FALSE)),FALSE,TRUE)</f>
        <v>1</v>
      </c>
      <c r="J18" s="1" t="b">
        <f>IF(ISERROR(VLOOKUP(_xlfn.CONCAT("K",D18),Table2[Label],1,FALSE)),FALSE,TRUE)</f>
        <v>1</v>
      </c>
      <c r="K18" s="1" t="b">
        <f>IF(ISERROR(VLOOKUP(_xlfn.CONCAT("K",D18),Table3[Label],1,FALSE)),FALSE,TRUE)</f>
        <v>1</v>
      </c>
      <c r="L18" s="1" t="b">
        <f>IF(ISERROR(VLOOKUP(_xlfn.CONCAT("K",D18),Table4[Label],1,FALSE)),FALSE,TRUE)</f>
        <v>1</v>
      </c>
      <c r="M18" s="1" t="b">
        <f>IF(ISERROR(VLOOKUP(_xlfn.CONCAT("K",D18),Table5[Label],1,FALSE)),FALSE,TRUE)</f>
        <v>1</v>
      </c>
      <c r="N18" s="1" t="b">
        <f>IF(ISERROR(VLOOKUP(_xlfn.CONCAT("K",D18),Table6[Label],1,FALSE)),FALSE,TRUE)</f>
        <v>1</v>
      </c>
      <c r="O18" s="1" t="b">
        <f>IF(ISERROR(VLOOKUP(_xlfn.CONCAT("K",D18),Table7[Label],1,FALSE)),FALSE,TRUE)</f>
        <v>1</v>
      </c>
    </row>
    <row r="19" spans="1:15" x14ac:dyDescent="0.2">
      <c r="A19" t="s">
        <v>32</v>
      </c>
      <c r="B19" s="6">
        <v>554</v>
      </c>
      <c r="C19" t="s">
        <v>33</v>
      </c>
      <c r="D19" s="5" t="s">
        <v>132</v>
      </c>
      <c r="E19" s="6">
        <v>29</v>
      </c>
      <c r="F19" s="6">
        <v>23813</v>
      </c>
      <c r="G19" s="1" t="s">
        <v>223</v>
      </c>
      <c r="H19" s="1" t="b">
        <f>IF(ISERROR(VLOOKUP(_xlfn.CONCAT("K",D19),Table24[Label],1,FALSE)),FALSE,TRUE)</f>
        <v>1</v>
      </c>
      <c r="I19" s="1" t="b">
        <f>IF(ISERROR(VLOOKUP(_xlfn.CONCAT("K",D19),Table1[Label],1,FALSE)),FALSE,TRUE)</f>
        <v>1</v>
      </c>
      <c r="J19" s="1" t="b">
        <f>IF(ISERROR(VLOOKUP(_xlfn.CONCAT("K",D19),Table2[Label],1,FALSE)),FALSE,TRUE)</f>
        <v>1</v>
      </c>
      <c r="K19" s="1" t="b">
        <f>IF(ISERROR(VLOOKUP(_xlfn.CONCAT("K",D19),Table3[Label],1,FALSE)),FALSE,TRUE)</f>
        <v>1</v>
      </c>
      <c r="L19" s="1" t="b">
        <f>IF(ISERROR(VLOOKUP(_xlfn.CONCAT("K",D19),Table4[Label],1,FALSE)),FALSE,TRUE)</f>
        <v>1</v>
      </c>
      <c r="M19" s="1" t="b">
        <f>IF(ISERROR(VLOOKUP(_xlfn.CONCAT("K",D19),Table5[Label],1,FALSE)),FALSE,TRUE)</f>
        <v>1</v>
      </c>
      <c r="N19" s="1" t="b">
        <f>IF(ISERROR(VLOOKUP(_xlfn.CONCAT("K",D19),Table6[Label],1,FALSE)),FALSE,TRUE)</f>
        <v>1</v>
      </c>
      <c r="O19" s="1" t="b">
        <f>IF(ISERROR(VLOOKUP(_xlfn.CONCAT("K",D19),Table7[Label],1,FALSE)),FALSE,TRUE)</f>
        <v>1</v>
      </c>
    </row>
    <row r="20" spans="1:15" x14ac:dyDescent="0.2">
      <c r="A20" t="s">
        <v>42</v>
      </c>
      <c r="B20" s="6">
        <v>700</v>
      </c>
      <c r="C20" t="s">
        <v>43</v>
      </c>
      <c r="D20" s="5" t="s">
        <v>135</v>
      </c>
      <c r="E20" s="6">
        <v>29</v>
      </c>
      <c r="F20" s="6">
        <v>23724</v>
      </c>
      <c r="G20" s="1" t="s">
        <v>223</v>
      </c>
      <c r="H20" s="1" t="b">
        <f>IF(ISERROR(VLOOKUP(_xlfn.CONCAT("K",D20),Table24[Label],1,FALSE)),FALSE,TRUE)</f>
        <v>1</v>
      </c>
      <c r="I20" s="1" t="b">
        <f>IF(ISERROR(VLOOKUP(_xlfn.CONCAT("K",D20),Table1[Label],1,FALSE)),FALSE,TRUE)</f>
        <v>1</v>
      </c>
      <c r="J20" s="1" t="b">
        <f>IF(ISERROR(VLOOKUP(_xlfn.CONCAT("K",D20),Table2[Label],1,FALSE)),FALSE,TRUE)</f>
        <v>1</v>
      </c>
      <c r="K20" s="1" t="b">
        <f>IF(ISERROR(VLOOKUP(_xlfn.CONCAT("K",D20),Table3[Label],1,FALSE)),FALSE,TRUE)</f>
        <v>1</v>
      </c>
      <c r="L20" s="1" t="b">
        <f>IF(ISERROR(VLOOKUP(_xlfn.CONCAT("K",D20),Table4[Label],1,FALSE)),FALSE,TRUE)</f>
        <v>1</v>
      </c>
      <c r="M20" s="1" t="b">
        <f>IF(ISERROR(VLOOKUP(_xlfn.CONCAT("K",D20),Table5[Label],1,FALSE)),FALSE,TRUE)</f>
        <v>1</v>
      </c>
      <c r="N20" s="1" t="b">
        <f>IF(ISERROR(VLOOKUP(_xlfn.CONCAT("K",D20),Table6[Label],1,FALSE)),FALSE,TRUE)</f>
        <v>1</v>
      </c>
      <c r="O20" s="1" t="b">
        <f>IF(ISERROR(VLOOKUP(_xlfn.CONCAT("K",D20),Table7[Label],1,FALSE)),FALSE,TRUE)</f>
        <v>1</v>
      </c>
    </row>
    <row r="21" spans="1:15" x14ac:dyDescent="0.2">
      <c r="A21" t="s">
        <v>61</v>
      </c>
      <c r="B21" s="6">
        <v>673</v>
      </c>
      <c r="C21" t="s">
        <v>62</v>
      </c>
      <c r="D21" s="5" t="s">
        <v>142</v>
      </c>
      <c r="E21" s="6">
        <v>22</v>
      </c>
      <c r="F21" s="6">
        <v>18349</v>
      </c>
      <c r="G21" s="1" t="s">
        <v>223</v>
      </c>
      <c r="H21" s="1" t="b">
        <f>IF(ISERROR(VLOOKUP(_xlfn.CONCAT("K",D21),Table24[Label],1,FALSE)),FALSE,TRUE)</f>
        <v>1</v>
      </c>
      <c r="I21" s="1" t="b">
        <f>IF(ISERROR(VLOOKUP(_xlfn.CONCAT("K",D21),Table1[Label],1,FALSE)),FALSE,TRUE)</f>
        <v>1</v>
      </c>
      <c r="J21" s="1" t="b">
        <f>IF(ISERROR(VLOOKUP(_xlfn.CONCAT("K",D21),Table2[Label],1,FALSE)),FALSE,TRUE)</f>
        <v>1</v>
      </c>
      <c r="K21" s="1" t="b">
        <f>IF(ISERROR(VLOOKUP(_xlfn.CONCAT("K",D21),Table3[Label],1,FALSE)),FALSE,TRUE)</f>
        <v>1</v>
      </c>
      <c r="L21" s="1" t="b">
        <f>IF(ISERROR(VLOOKUP(_xlfn.CONCAT("K",D21),Table4[Label],1,FALSE)),FALSE,TRUE)</f>
        <v>1</v>
      </c>
      <c r="M21" s="1" t="b">
        <f>IF(ISERROR(VLOOKUP(_xlfn.CONCAT("K",D21),Table5[Label],1,FALSE)),FALSE,TRUE)</f>
        <v>1</v>
      </c>
      <c r="N21" s="1" t="b">
        <f>IF(ISERROR(VLOOKUP(_xlfn.CONCAT("K",D21),Table6[Label],1,FALSE)),FALSE,TRUE)</f>
        <v>1</v>
      </c>
      <c r="O21" s="1" t="b">
        <f>IF(ISERROR(VLOOKUP(_xlfn.CONCAT("K",D21),Table7[Label],1,FALSE)),FALSE,TRUE)</f>
        <v>1</v>
      </c>
    </row>
    <row r="22" spans="1:15" x14ac:dyDescent="0.2">
      <c r="A22" t="s">
        <v>72</v>
      </c>
      <c r="B22" s="1">
        <v>597</v>
      </c>
      <c r="C22" t="s">
        <v>73</v>
      </c>
      <c r="D22" s="5" t="s">
        <v>146</v>
      </c>
      <c r="E22" s="1">
        <v>24</v>
      </c>
      <c r="F22" s="1">
        <v>22882</v>
      </c>
      <c r="G22" s="1" t="s">
        <v>233</v>
      </c>
      <c r="H22" s="1" t="b">
        <f>IF(ISERROR(VLOOKUP(_xlfn.CONCAT("K",D22),Table24[Label],1,FALSE)),FALSE,TRUE)</f>
        <v>1</v>
      </c>
      <c r="I22" s="1" t="b">
        <f>IF(ISERROR(VLOOKUP(_xlfn.CONCAT("K",D22),Table1[Label],1,FALSE)),FALSE,TRUE)</f>
        <v>1</v>
      </c>
      <c r="J22" s="1" t="b">
        <f>IF(ISERROR(VLOOKUP(_xlfn.CONCAT("K",D22),Table2[Label],1,FALSE)),FALSE,TRUE)</f>
        <v>1</v>
      </c>
      <c r="K22" s="1" t="b">
        <f>IF(ISERROR(VLOOKUP(_xlfn.CONCAT("K",D22),Table3[Label],1,FALSE)),FALSE,TRUE)</f>
        <v>1</v>
      </c>
      <c r="L22" s="1" t="b">
        <f>IF(ISERROR(VLOOKUP(_xlfn.CONCAT("K",D22),Table4[Label],1,FALSE)),FALSE,TRUE)</f>
        <v>1</v>
      </c>
      <c r="M22" s="1" t="b">
        <f>IF(ISERROR(VLOOKUP(_xlfn.CONCAT("K",D22),Table5[Label],1,FALSE)),FALSE,TRUE)</f>
        <v>1</v>
      </c>
      <c r="N22" s="1" t="b">
        <f>IF(ISERROR(VLOOKUP(_xlfn.CONCAT("K",D22),Table6[Label],1,FALSE)),FALSE,TRUE)</f>
        <v>1</v>
      </c>
      <c r="O22" s="1" t="b">
        <f>IF(ISERROR(VLOOKUP(_xlfn.CONCAT("K",D22),Table7[Label],1,FALSE)),FALSE,TRUE)</f>
        <v>0</v>
      </c>
    </row>
    <row r="23" spans="1:15" x14ac:dyDescent="0.2">
      <c r="A23" t="s">
        <v>66</v>
      </c>
      <c r="B23" s="1">
        <v>663</v>
      </c>
      <c r="C23" t="s">
        <v>67</v>
      </c>
      <c r="D23" s="5" t="s">
        <v>144</v>
      </c>
      <c r="E23" s="1">
        <v>25</v>
      </c>
      <c r="F23" s="1">
        <v>22088</v>
      </c>
      <c r="G23" s="1" t="s">
        <v>233</v>
      </c>
      <c r="H23" s="1" t="b">
        <f>IF(ISERROR(VLOOKUP(_xlfn.CONCAT("K",D23),Table24[Label],1,FALSE)),FALSE,TRUE)</f>
        <v>1</v>
      </c>
      <c r="I23" s="1" t="b">
        <f>IF(ISERROR(VLOOKUP(_xlfn.CONCAT("K",D23),Table1[Label],1,FALSE)),FALSE,TRUE)</f>
        <v>1</v>
      </c>
      <c r="J23" s="1" t="b">
        <f>IF(ISERROR(VLOOKUP(_xlfn.CONCAT("K",D23),Table2[Label],1,FALSE)),FALSE,TRUE)</f>
        <v>1</v>
      </c>
      <c r="K23" s="1" t="b">
        <f>IF(ISERROR(VLOOKUP(_xlfn.CONCAT("K",D23),Table3[Label],1,FALSE)),FALSE,TRUE)</f>
        <v>1</v>
      </c>
      <c r="L23" s="1" t="b">
        <f>IF(ISERROR(VLOOKUP(_xlfn.CONCAT("K",D23),Table4[Label],1,FALSE)),FALSE,TRUE)</f>
        <v>1</v>
      </c>
      <c r="M23" s="1" t="b">
        <f>IF(ISERROR(VLOOKUP(_xlfn.CONCAT("K",D23),Table5[Label],1,FALSE)),FALSE,TRUE)</f>
        <v>1</v>
      </c>
      <c r="N23" s="1" t="b">
        <f>IF(ISERROR(VLOOKUP(_xlfn.CONCAT("K",D23),Table6[Label],1,FALSE)),FALSE,TRUE)</f>
        <v>1</v>
      </c>
      <c r="O23" s="1" t="b">
        <f>IF(ISERROR(VLOOKUP(_xlfn.CONCAT("K",D23),Table7[Label],1,FALSE)),FALSE,TRUE)</f>
        <v>1</v>
      </c>
    </row>
    <row r="24" spans="1:15" x14ac:dyDescent="0.2">
      <c r="A24" t="s">
        <v>39</v>
      </c>
      <c r="B24" s="1">
        <v>647</v>
      </c>
      <c r="C24" t="s">
        <v>40</v>
      </c>
      <c r="D24" s="5" t="s">
        <v>134</v>
      </c>
      <c r="E24" s="1">
        <v>28</v>
      </c>
      <c r="F24" s="1">
        <v>26074</v>
      </c>
      <c r="G24" s="1" t="s">
        <v>228</v>
      </c>
      <c r="H24" s="1" t="b">
        <f>IF(ISERROR(VLOOKUP(_xlfn.CONCAT("K",D24),Table24[Label],1,FALSE)),FALSE,TRUE)</f>
        <v>1</v>
      </c>
      <c r="I24" s="1" t="b">
        <f>IF(ISERROR(VLOOKUP(_xlfn.CONCAT("K",D24),Table1[Label],1,FALSE)),FALSE,TRUE)</f>
        <v>1</v>
      </c>
      <c r="J24" s="1" t="b">
        <f>IF(ISERROR(VLOOKUP(_xlfn.CONCAT("K",D24),Table2[Label],1,FALSE)),FALSE,TRUE)</f>
        <v>1</v>
      </c>
      <c r="K24" s="1" t="b">
        <f>IF(ISERROR(VLOOKUP(_xlfn.CONCAT("K",D24),Table3[Label],1,FALSE)),FALSE,TRUE)</f>
        <v>0</v>
      </c>
      <c r="L24" s="1" t="b">
        <f>IF(ISERROR(VLOOKUP(_xlfn.CONCAT("K",D24),Table4[Label],1,FALSE)),FALSE,TRUE)</f>
        <v>1</v>
      </c>
      <c r="M24" s="1" t="b">
        <f>IF(ISERROR(VLOOKUP(_xlfn.CONCAT("K",D24),Table5[Label],1,FALSE)),FALSE,TRUE)</f>
        <v>1</v>
      </c>
      <c r="N24" s="1" t="b">
        <f>IF(ISERROR(VLOOKUP(_xlfn.CONCAT("K",D24),Table6[Label],1,FALSE)),FALSE,TRUE)</f>
        <v>1</v>
      </c>
      <c r="O24" s="1" t="b">
        <f>IF(ISERROR(VLOOKUP(_xlfn.CONCAT("K",D24),Table7[Label],1,FALSE)),FALSE,TRUE)</f>
        <v>1</v>
      </c>
    </row>
    <row r="25" spans="1:15" x14ac:dyDescent="0.2">
      <c r="A25" t="s">
        <v>75</v>
      </c>
      <c r="B25" s="9">
        <v>720</v>
      </c>
      <c r="C25" t="s">
        <v>76</v>
      </c>
      <c r="D25" s="10" t="s">
        <v>147</v>
      </c>
      <c r="E25" s="9">
        <v>15</v>
      </c>
      <c r="F25" s="9">
        <v>14467</v>
      </c>
      <c r="G25" s="1" t="s">
        <v>1</v>
      </c>
      <c r="H25" s="1" t="b">
        <f>IF(ISERROR(VLOOKUP(_xlfn.CONCAT("K",D25),Table24[Label],1,FALSE)),FALSE,TRUE)</f>
        <v>1</v>
      </c>
      <c r="I25" s="1" t="b">
        <f>IF(ISERROR(VLOOKUP(_xlfn.CONCAT("K",D25),Table1[Label],1,FALSE)),FALSE,TRUE)</f>
        <v>1</v>
      </c>
      <c r="J25" s="1" t="b">
        <f>IF(ISERROR(VLOOKUP(_xlfn.CONCAT("K",D25),Table2[Label],1,FALSE)),FALSE,TRUE)</f>
        <v>1</v>
      </c>
      <c r="K25" s="1" t="b">
        <f>IF(ISERROR(VLOOKUP(_xlfn.CONCAT("K",D25),Table3[Label],1,FALSE)),FALSE,TRUE)</f>
        <v>1</v>
      </c>
      <c r="L25" s="1" t="b">
        <f>IF(ISERROR(VLOOKUP(_xlfn.CONCAT("K",D25),Table4[Label],1,FALSE)),FALSE,TRUE)</f>
        <v>1</v>
      </c>
      <c r="M25" s="1" t="b">
        <f>IF(ISERROR(VLOOKUP(_xlfn.CONCAT("K",D25),Table5[Label],1,FALSE)),FALSE,TRUE)</f>
        <v>1</v>
      </c>
      <c r="N25" s="1" t="b">
        <f>IF(ISERROR(VLOOKUP(_xlfn.CONCAT("K",D25),Table6[Label],1,FALSE)),FALSE,TRUE)</f>
        <v>1</v>
      </c>
      <c r="O25" s="1" t="b">
        <f>IF(ISERROR(VLOOKUP(_xlfn.CONCAT("K",D25),Table7[Label],1,FALSE)),FALSE,TRUE)</f>
        <v>0</v>
      </c>
    </row>
    <row r="26" spans="1:15" x14ac:dyDescent="0.2">
      <c r="A26" t="s">
        <v>78</v>
      </c>
      <c r="B26" s="1">
        <v>578</v>
      </c>
      <c r="C26" t="s">
        <v>79</v>
      </c>
      <c r="D26" s="1" t="s">
        <v>148</v>
      </c>
      <c r="E26" s="1">
        <v>12</v>
      </c>
      <c r="F26" s="1">
        <v>11263</v>
      </c>
      <c r="G26" s="1" t="s">
        <v>1</v>
      </c>
      <c r="H26" s="1" t="b">
        <f>IF(ISERROR(VLOOKUP(_xlfn.CONCAT("K",D26),Table24[Label],1,FALSE)),FALSE,TRUE)</f>
        <v>1</v>
      </c>
      <c r="I26" s="1" t="b">
        <f>IF(ISERROR(VLOOKUP(_xlfn.CONCAT("K",D26),Table1[Label],1,FALSE)),FALSE,TRUE)</f>
        <v>1</v>
      </c>
      <c r="J26" s="1" t="b">
        <f>IF(ISERROR(VLOOKUP(_xlfn.CONCAT("K",D26),Table2[Label],1,FALSE)),FALSE,TRUE)</f>
        <v>0</v>
      </c>
      <c r="K26" s="1" t="b">
        <f>IF(ISERROR(VLOOKUP(_xlfn.CONCAT("K",D26),Table3[Label],1,FALSE)),FALSE,TRUE)</f>
        <v>0</v>
      </c>
      <c r="L26" s="1" t="b">
        <f>IF(ISERROR(VLOOKUP(_xlfn.CONCAT("K",D26),Table4[Label],1,FALSE)),FALSE,TRUE)</f>
        <v>1</v>
      </c>
      <c r="M26" s="1" t="b">
        <f>IF(ISERROR(VLOOKUP(_xlfn.CONCAT("K",D26),Table5[Label],1,FALSE)),FALSE,TRUE)</f>
        <v>1</v>
      </c>
      <c r="N26" s="1" t="b">
        <f>IF(ISERROR(VLOOKUP(_xlfn.CONCAT("K",D26),Table6[Label],1,FALSE)),FALSE,TRUE)</f>
        <v>1</v>
      </c>
      <c r="O26" s="1" t="b">
        <f>IF(ISERROR(VLOOKUP(_xlfn.CONCAT("K",D26),Table7[Label],1,FALSE)),FALSE,TRUE)</f>
        <v>0</v>
      </c>
    </row>
    <row r="27" spans="1:15" x14ac:dyDescent="0.2">
      <c r="A27" t="s">
        <v>84</v>
      </c>
      <c r="B27" s="7">
        <v>723</v>
      </c>
      <c r="C27" t="s">
        <v>85</v>
      </c>
      <c r="D27" s="7" t="s">
        <v>150</v>
      </c>
      <c r="E27" s="7">
        <v>12</v>
      </c>
      <c r="F27" s="7">
        <v>10215</v>
      </c>
      <c r="G27" s="1" t="s">
        <v>1</v>
      </c>
      <c r="H27" s="1" t="b">
        <f>IF(ISERROR(VLOOKUP(_xlfn.CONCAT("K",D27),Table24[Label],1,FALSE)),FALSE,TRUE)</f>
        <v>1</v>
      </c>
      <c r="I27" s="1" t="b">
        <f>IF(ISERROR(VLOOKUP(_xlfn.CONCAT("K",D27),Table1[Label],1,FALSE)),FALSE,TRUE)</f>
        <v>1</v>
      </c>
      <c r="J27" s="1" t="b">
        <f>IF(ISERROR(VLOOKUP(_xlfn.CONCAT("K",D27),Table2[Label],1,FALSE)),FALSE,TRUE)</f>
        <v>1</v>
      </c>
      <c r="K27" s="1" t="b">
        <f>IF(ISERROR(VLOOKUP(_xlfn.CONCAT("K",D27),Table3[Label],1,FALSE)),FALSE,TRUE)</f>
        <v>1</v>
      </c>
      <c r="L27" s="1" t="b">
        <f>IF(ISERROR(VLOOKUP(_xlfn.CONCAT("K",D27),Table4[Label],1,FALSE)),FALSE,TRUE)</f>
        <v>1</v>
      </c>
      <c r="M27" s="1" t="b">
        <f>IF(ISERROR(VLOOKUP(_xlfn.CONCAT("K",D27),Table5[Label],1,FALSE)),FALSE,TRUE)</f>
        <v>1</v>
      </c>
      <c r="N27" s="1" t="b">
        <f>IF(ISERROR(VLOOKUP(_xlfn.CONCAT("K",D27),Table6[Label],1,FALSE)),FALSE,TRUE)</f>
        <v>1</v>
      </c>
      <c r="O27" s="1" t="b">
        <f>IF(ISERROR(VLOOKUP(_xlfn.CONCAT("K",D27),Table7[Label],1,FALSE)),FALSE,TRUE)</f>
        <v>1</v>
      </c>
    </row>
    <row r="28" spans="1:15" x14ac:dyDescent="0.2">
      <c r="A28" t="s">
        <v>87</v>
      </c>
      <c r="B28" s="1">
        <v>2190</v>
      </c>
      <c r="C28" t="s">
        <v>88</v>
      </c>
      <c r="D28" s="1" t="s">
        <v>151</v>
      </c>
      <c r="E28" s="1">
        <v>12</v>
      </c>
      <c r="F28" s="1">
        <v>9869</v>
      </c>
      <c r="G28" s="1" t="s">
        <v>1</v>
      </c>
      <c r="H28" s="1" t="b">
        <f>IF(ISERROR(VLOOKUP(_xlfn.CONCAT("K",D28),Table24[Label],1,FALSE)),FALSE,TRUE)</f>
        <v>1</v>
      </c>
      <c r="I28" s="1" t="b">
        <f>IF(ISERROR(VLOOKUP(_xlfn.CONCAT("K",D28),Table1[Label],1,FALSE)),FALSE,TRUE)</f>
        <v>1</v>
      </c>
      <c r="J28" s="1" t="b">
        <f>IF(ISERROR(VLOOKUP(_xlfn.CONCAT("K",D28),Table2[Label],1,FALSE)),FALSE,TRUE)</f>
        <v>0</v>
      </c>
      <c r="K28" s="1" t="b">
        <f>IF(ISERROR(VLOOKUP(_xlfn.CONCAT("K",D28),Table3[Label],1,FALSE)),FALSE,TRUE)</f>
        <v>1</v>
      </c>
      <c r="L28" s="1" t="b">
        <f>IF(ISERROR(VLOOKUP(_xlfn.CONCAT("K",D28),Table4[Label],1,FALSE)),FALSE,TRUE)</f>
        <v>1</v>
      </c>
      <c r="M28" s="1" t="b">
        <f>IF(ISERROR(VLOOKUP(_xlfn.CONCAT("K",D28),Table5[Label],1,FALSE)),FALSE,TRUE)</f>
        <v>1</v>
      </c>
      <c r="N28" s="1" t="b">
        <f>IF(ISERROR(VLOOKUP(_xlfn.CONCAT("K",D28),Table6[Label],1,FALSE)),FALSE,TRUE)</f>
        <v>1</v>
      </c>
      <c r="O28" s="1" t="b">
        <f>IF(ISERROR(VLOOKUP(_xlfn.CONCAT("K",D28),Table7[Label],1,FALSE)),FALSE,TRUE)</f>
        <v>1</v>
      </c>
    </row>
    <row r="29" spans="1:15" x14ac:dyDescent="0.2">
      <c r="A29" t="s">
        <v>81</v>
      </c>
      <c r="B29" s="1">
        <v>498</v>
      </c>
      <c r="C29" t="s">
        <v>82</v>
      </c>
      <c r="D29" s="1" t="s">
        <v>149</v>
      </c>
      <c r="E29" s="1">
        <v>13</v>
      </c>
      <c r="F29" s="1">
        <v>9447</v>
      </c>
      <c r="G29" s="1" t="s">
        <v>1</v>
      </c>
      <c r="H29" s="1" t="b">
        <f>IF(ISERROR(VLOOKUP(_xlfn.CONCAT("K",D29),Table24[Label],1,FALSE)),FALSE,TRUE)</f>
        <v>1</v>
      </c>
      <c r="I29" s="1" t="b">
        <f>IF(ISERROR(VLOOKUP(_xlfn.CONCAT("K",D29),Table1[Label],1,FALSE)),FALSE,TRUE)</f>
        <v>1</v>
      </c>
      <c r="J29" s="1" t="b">
        <f>IF(ISERROR(VLOOKUP(_xlfn.CONCAT("K",D29),Table2[Label],1,FALSE)),FALSE,TRUE)</f>
        <v>1</v>
      </c>
      <c r="K29" s="1" t="b">
        <f>IF(ISERROR(VLOOKUP(_xlfn.CONCAT("K",D29),Table3[Label],1,FALSE)),FALSE,TRUE)</f>
        <v>1</v>
      </c>
      <c r="L29" s="1" t="b">
        <f>IF(ISERROR(VLOOKUP(_xlfn.CONCAT("K",D29),Table4[Label],1,FALSE)),FALSE,TRUE)</f>
        <v>1</v>
      </c>
      <c r="M29" s="1" t="b">
        <f>IF(ISERROR(VLOOKUP(_xlfn.CONCAT("K",D29),Table5[Label],1,FALSE)),FALSE,TRUE)</f>
        <v>1</v>
      </c>
      <c r="N29" s="1" t="b">
        <f>IF(ISERROR(VLOOKUP(_xlfn.CONCAT("K",D29),Table6[Label],1,FALSE)),FALSE,TRUE)</f>
        <v>1</v>
      </c>
      <c r="O29" s="1" t="b">
        <f>IF(ISERROR(VLOOKUP(_xlfn.CONCAT("K",D29),Table7[Label],1,FALSE)),FALSE,TRUE)</f>
        <v>1</v>
      </c>
    </row>
    <row r="30" spans="1:15" x14ac:dyDescent="0.2">
      <c r="A30" t="s">
        <v>90</v>
      </c>
      <c r="B30" s="1">
        <v>2191</v>
      </c>
      <c r="C30" t="s">
        <v>91</v>
      </c>
      <c r="D30" s="1" t="s">
        <v>152</v>
      </c>
      <c r="E30" s="1">
        <v>13</v>
      </c>
      <c r="F30" s="1">
        <v>9094</v>
      </c>
      <c r="G30" s="1" t="s">
        <v>1</v>
      </c>
      <c r="H30" s="1" t="b">
        <f>IF(ISERROR(VLOOKUP(_xlfn.CONCAT("K",D30),Table24[Label],1,FALSE)),FALSE,TRUE)</f>
        <v>1</v>
      </c>
      <c r="I30" s="1" t="b">
        <f>IF(ISERROR(VLOOKUP(_xlfn.CONCAT("K",D30),Table1[Label],1,FALSE)),FALSE,TRUE)</f>
        <v>1</v>
      </c>
      <c r="J30" s="1" t="b">
        <f>IF(ISERROR(VLOOKUP(_xlfn.CONCAT("K",D30),Table2[Label],1,FALSE)),FALSE,TRUE)</f>
        <v>1</v>
      </c>
      <c r="K30" s="1" t="b">
        <f>IF(ISERROR(VLOOKUP(_xlfn.CONCAT("K",D30),Table3[Label],1,FALSE)),FALSE,TRUE)</f>
        <v>1</v>
      </c>
      <c r="L30" s="1" t="b">
        <f>IF(ISERROR(VLOOKUP(_xlfn.CONCAT("K",D30),Table4[Label],1,FALSE)),FALSE,TRUE)</f>
        <v>1</v>
      </c>
      <c r="M30" s="1" t="b">
        <f>IF(ISERROR(VLOOKUP(_xlfn.CONCAT("K",D30),Table5[Label],1,FALSE)),FALSE,TRUE)</f>
        <v>1</v>
      </c>
      <c r="N30" s="1" t="b">
        <f>IF(ISERROR(VLOOKUP(_xlfn.CONCAT("K",D30),Table6[Label],1,FALSE)),FALSE,TRUE)</f>
        <v>1</v>
      </c>
      <c r="O30" s="1" t="b">
        <f>IF(ISERROR(VLOOKUP(_xlfn.CONCAT("K",D30),Table7[Label],1,FALSE)),FALSE,TRUE)</f>
        <v>1</v>
      </c>
    </row>
    <row r="31" spans="1:15" x14ac:dyDescent="0.2">
      <c r="A31" t="s">
        <v>100</v>
      </c>
      <c r="B31" s="1">
        <v>2189</v>
      </c>
      <c r="C31" t="s">
        <v>101</v>
      </c>
      <c r="D31" s="1" t="s">
        <v>156</v>
      </c>
      <c r="E31" s="1">
        <v>13</v>
      </c>
      <c r="F31" s="1">
        <v>8131</v>
      </c>
      <c r="G31" s="1" t="s">
        <v>1</v>
      </c>
      <c r="H31" s="1" t="b">
        <f>IF(ISERROR(VLOOKUP(_xlfn.CONCAT("K",D31),Table24[Label],1,FALSE)),FALSE,TRUE)</f>
        <v>0</v>
      </c>
      <c r="I31" s="1" t="b">
        <f>IF(ISERROR(VLOOKUP(_xlfn.CONCAT("K",D31),Table1[Label],1,FALSE)),FALSE,TRUE)</f>
        <v>0</v>
      </c>
      <c r="J31" s="1" t="b">
        <f>IF(ISERROR(VLOOKUP(_xlfn.CONCAT("K",D31),Table2[Label],1,FALSE)),FALSE,TRUE)</f>
        <v>1</v>
      </c>
      <c r="K31" s="1" t="b">
        <f>IF(ISERROR(VLOOKUP(_xlfn.CONCAT("K",D31),Table3[Label],1,FALSE)),FALSE,TRUE)</f>
        <v>1</v>
      </c>
      <c r="L31" s="1" t="b">
        <f>IF(ISERROR(VLOOKUP(_xlfn.CONCAT("K",D31),Table4[Label],1,FALSE)),FALSE,TRUE)</f>
        <v>1</v>
      </c>
      <c r="M31" s="1" t="b">
        <f>IF(ISERROR(VLOOKUP(_xlfn.CONCAT("K",D31),Table5[Label],1,FALSE)),FALSE,TRUE)</f>
        <v>0</v>
      </c>
      <c r="N31" s="1" t="b">
        <f>IF(ISERROR(VLOOKUP(_xlfn.CONCAT("K",D31),Table6[Label],1,FALSE)),FALSE,TRUE)</f>
        <v>0</v>
      </c>
      <c r="O31" s="1" t="b">
        <f>IF(ISERROR(VLOOKUP(_xlfn.CONCAT("K",D31),Table7[Label],1,FALSE)),FALSE,TRUE)</f>
        <v>1</v>
      </c>
    </row>
    <row r="32" spans="1:15" x14ac:dyDescent="0.2">
      <c r="A32" t="s">
        <v>98</v>
      </c>
      <c r="B32" s="1">
        <v>712</v>
      </c>
      <c r="C32" t="s">
        <v>99</v>
      </c>
      <c r="D32" s="1" t="s">
        <v>155</v>
      </c>
      <c r="E32" s="1">
        <v>11</v>
      </c>
      <c r="F32" s="1">
        <v>6688</v>
      </c>
      <c r="G32" s="1" t="s">
        <v>1</v>
      </c>
      <c r="H32" s="1" t="b">
        <f>IF(ISERROR(VLOOKUP(_xlfn.CONCAT("K",D32),Table24[Label],1,FALSE)),FALSE,TRUE)</f>
        <v>0</v>
      </c>
      <c r="I32" s="1" t="b">
        <f>IF(ISERROR(VLOOKUP(_xlfn.CONCAT("K",D32),Table1[Label],1,FALSE)),FALSE,TRUE)</f>
        <v>1</v>
      </c>
      <c r="J32" s="1" t="b">
        <f>IF(ISERROR(VLOOKUP(_xlfn.CONCAT("K",D32),Table2[Label],1,FALSE)),FALSE,TRUE)</f>
        <v>1</v>
      </c>
      <c r="K32" s="1" t="b">
        <f>IF(ISERROR(VLOOKUP(_xlfn.CONCAT("K",D32),Table3[Label],1,FALSE)),FALSE,TRUE)</f>
        <v>1</v>
      </c>
      <c r="L32" s="1" t="b">
        <f>IF(ISERROR(VLOOKUP(_xlfn.CONCAT("K",D32),Table4[Label],1,FALSE)),FALSE,TRUE)</f>
        <v>1</v>
      </c>
      <c r="M32" s="1" t="b">
        <f>IF(ISERROR(VLOOKUP(_xlfn.CONCAT("K",D32),Table5[Label],1,FALSE)),FALSE,TRUE)</f>
        <v>1</v>
      </c>
      <c r="N32" s="1" t="b">
        <f>IF(ISERROR(VLOOKUP(_xlfn.CONCAT("K",D32),Table6[Label],1,FALSE)),FALSE,TRUE)</f>
        <v>0</v>
      </c>
      <c r="O32" s="1" t="b">
        <f>IF(ISERROR(VLOOKUP(_xlfn.CONCAT("K",D32),Table7[Label],1,FALSE)),FALSE,TRUE)</f>
        <v>1</v>
      </c>
    </row>
    <row r="33" spans="1:15" x14ac:dyDescent="0.2">
      <c r="A33" t="s">
        <v>94</v>
      </c>
      <c r="B33" s="1">
        <v>653</v>
      </c>
      <c r="C33" t="s">
        <v>95</v>
      </c>
      <c r="D33" s="1" t="s">
        <v>153</v>
      </c>
      <c r="E33" s="1">
        <v>10</v>
      </c>
      <c r="F33" s="1">
        <v>6181</v>
      </c>
      <c r="G33" s="1" t="s">
        <v>1</v>
      </c>
      <c r="H33" s="1" t="b">
        <f>IF(ISERROR(VLOOKUP(_xlfn.CONCAT("K",D33),Table24[Label],1,FALSE)),FALSE,TRUE)</f>
        <v>0</v>
      </c>
      <c r="I33" s="1" t="b">
        <f>IF(ISERROR(VLOOKUP(_xlfn.CONCAT("K",D33),Table1[Label],1,FALSE)),FALSE,TRUE)</f>
        <v>1</v>
      </c>
      <c r="J33" s="1" t="b">
        <f>IF(ISERROR(VLOOKUP(_xlfn.CONCAT("K",D33),Table2[Label],1,FALSE)),FALSE,TRUE)</f>
        <v>0</v>
      </c>
      <c r="K33" s="1" t="b">
        <f>IF(ISERROR(VLOOKUP(_xlfn.CONCAT("K",D33),Table3[Label],1,FALSE)),FALSE,TRUE)</f>
        <v>1</v>
      </c>
      <c r="L33" s="1" t="b">
        <f>IF(ISERROR(VLOOKUP(_xlfn.CONCAT("K",D33),Table4[Label],1,FALSE)),FALSE,TRUE)</f>
        <v>1</v>
      </c>
      <c r="M33" s="1" t="b">
        <f>IF(ISERROR(VLOOKUP(_xlfn.CONCAT("K",D33),Table5[Label],1,FALSE)),FALSE,TRUE)</f>
        <v>1</v>
      </c>
      <c r="N33" s="1" t="b">
        <f>IF(ISERROR(VLOOKUP(_xlfn.CONCAT("K",D33),Table6[Label],1,FALSE)),FALSE,TRUE)</f>
        <v>0</v>
      </c>
      <c r="O33" s="1" t="b">
        <f>IF(ISERROR(VLOOKUP(_xlfn.CONCAT("K",D33),Table7[Label],1,FALSE)),FALSE,TRUE)</f>
        <v>0</v>
      </c>
    </row>
    <row r="34" spans="1:15" x14ac:dyDescent="0.2">
      <c r="A34" t="s">
        <v>96</v>
      </c>
      <c r="B34" s="1">
        <v>613</v>
      </c>
      <c r="C34" t="s">
        <v>97</v>
      </c>
      <c r="D34" s="1" t="s">
        <v>154</v>
      </c>
      <c r="E34" s="1">
        <v>11</v>
      </c>
      <c r="F34" s="1">
        <v>5341</v>
      </c>
      <c r="G34" s="1" t="s">
        <v>1</v>
      </c>
      <c r="H34" s="1" t="b">
        <f>IF(ISERROR(VLOOKUP(_xlfn.CONCAT("K",D34),Table24[Label],1,FALSE)),FALSE,TRUE)</f>
        <v>0</v>
      </c>
      <c r="I34" s="1" t="b">
        <f>IF(ISERROR(VLOOKUP(_xlfn.CONCAT("K",D34),Table1[Label],1,FALSE)),FALSE,TRUE)</f>
        <v>1</v>
      </c>
      <c r="J34" s="1" t="b">
        <f>IF(ISERROR(VLOOKUP(_xlfn.CONCAT("K",D34),Table2[Label],1,FALSE)),FALSE,TRUE)</f>
        <v>1</v>
      </c>
      <c r="K34" s="1" t="b">
        <f>IF(ISERROR(VLOOKUP(_xlfn.CONCAT("K",D34),Table3[Label],1,FALSE)),FALSE,TRUE)</f>
        <v>1</v>
      </c>
      <c r="L34" s="1" t="b">
        <f>IF(ISERROR(VLOOKUP(_xlfn.CONCAT("K",D34),Table4[Label],1,FALSE)),FALSE,TRUE)</f>
        <v>1</v>
      </c>
      <c r="M34" s="1" t="b">
        <f>IF(ISERROR(VLOOKUP(_xlfn.CONCAT("K",D34),Table5[Label],1,FALSE)),FALSE,TRUE)</f>
        <v>0</v>
      </c>
      <c r="N34" s="1" t="b">
        <f>IF(ISERROR(VLOOKUP(_xlfn.CONCAT("K",D34),Table6[Label],1,FALSE)),FALSE,TRUE)</f>
        <v>0</v>
      </c>
      <c r="O34" s="1" t="b">
        <f>IF(ISERROR(VLOOKUP(_xlfn.CONCAT("K",D34),Table7[Label],1,FALSE)),FALSE,TRUE)</f>
        <v>0</v>
      </c>
    </row>
    <row r="35" spans="1:15" x14ac:dyDescent="0.2">
      <c r="A35" t="s">
        <v>102</v>
      </c>
      <c r="B35" s="1">
        <v>624</v>
      </c>
      <c r="C35" t="s">
        <v>103</v>
      </c>
      <c r="D35" s="1" t="s">
        <v>157</v>
      </c>
      <c r="E35" s="1">
        <v>1</v>
      </c>
      <c r="F35" s="1">
        <v>123</v>
      </c>
      <c r="G35" s="1" t="s">
        <v>1</v>
      </c>
      <c r="H35" s="1" t="b">
        <f>IF(ISERROR(VLOOKUP(_xlfn.CONCAT("K",D35),Table24[Label],1,FALSE)),FALSE,TRUE)</f>
        <v>0</v>
      </c>
      <c r="I35" s="1" t="b">
        <f>IF(ISERROR(VLOOKUP(_xlfn.CONCAT("K",D35),Table1[Label],1,FALSE)),FALSE,TRUE)</f>
        <v>0</v>
      </c>
      <c r="J35" s="1" t="b">
        <f>IF(ISERROR(VLOOKUP(_xlfn.CONCAT("K",D35),Table2[Label],1,FALSE)),FALSE,TRUE)</f>
        <v>1</v>
      </c>
      <c r="K35" s="1" t="b">
        <f>IF(ISERROR(VLOOKUP(_xlfn.CONCAT("K",D35),Table3[Label],1,FALSE)),FALSE,TRUE)</f>
        <v>0</v>
      </c>
      <c r="L35" s="1" t="b">
        <f>IF(ISERROR(VLOOKUP(_xlfn.CONCAT("K",D35),Table4[Label],1,FALSE)),FALSE,TRUE)</f>
        <v>1</v>
      </c>
      <c r="M35" s="1" t="b">
        <f>IF(ISERROR(VLOOKUP(_xlfn.CONCAT("K",D35),Table5[Label],1,FALSE)),FALSE,TRUE)</f>
        <v>0</v>
      </c>
      <c r="N35" s="1" t="b">
        <f>IF(ISERROR(VLOOKUP(_xlfn.CONCAT("K",D35),Table6[Label],1,FALSE)),FALSE,TRUE)</f>
        <v>0</v>
      </c>
      <c r="O35" s="1" t="b">
        <f>IF(ISERROR(VLOOKUP(_xlfn.CONCAT("K",D35),Table7[Label],1,FALSE)),FALSE,TRUE)</f>
        <v>0</v>
      </c>
    </row>
    <row r="36" spans="1:15" x14ac:dyDescent="0.2">
      <c r="A36" t="s">
        <v>104</v>
      </c>
      <c r="B36" s="1">
        <v>519</v>
      </c>
      <c r="C36" t="s">
        <v>105</v>
      </c>
      <c r="D36" s="1" t="s">
        <v>158</v>
      </c>
      <c r="E36" s="1">
        <v>1</v>
      </c>
      <c r="F36" s="1">
        <v>113</v>
      </c>
      <c r="G36" s="1" t="s">
        <v>1</v>
      </c>
      <c r="H36" s="1" t="b">
        <f>IF(ISERROR(VLOOKUP(_xlfn.CONCAT("K",D36),Table24[Label],1,FALSE)),FALSE,TRUE)</f>
        <v>0</v>
      </c>
      <c r="I36" s="1" t="b">
        <f>IF(ISERROR(VLOOKUP(_xlfn.CONCAT("K",D36),Table1[Label],1,FALSE)),FALSE,TRUE)</f>
        <v>0</v>
      </c>
      <c r="J36" s="1" t="b">
        <f>IF(ISERROR(VLOOKUP(_xlfn.CONCAT("K",D36),Table2[Label],1,FALSE)),FALSE,TRUE)</f>
        <v>1</v>
      </c>
      <c r="K36" s="1" t="b">
        <f>IF(ISERROR(VLOOKUP(_xlfn.CONCAT("K",D36),Table3[Label],1,FALSE)),FALSE,TRUE)</f>
        <v>0</v>
      </c>
      <c r="L36" s="1" t="b">
        <f>IF(ISERROR(VLOOKUP(_xlfn.CONCAT("K",D36),Table4[Label],1,FALSE)),FALSE,TRUE)</f>
        <v>1</v>
      </c>
      <c r="M36" s="1" t="b">
        <f>IF(ISERROR(VLOOKUP(_xlfn.CONCAT("K",D36),Table5[Label],1,FALSE)),FALSE,TRUE)</f>
        <v>0</v>
      </c>
      <c r="N36" s="1" t="b">
        <f>IF(ISERROR(VLOOKUP(_xlfn.CONCAT("K",D36),Table6[Label],1,FALSE)),FALSE,TRUE)</f>
        <v>0</v>
      </c>
      <c r="O36" s="1" t="b">
        <f>IF(ISERROR(VLOOKUP(_xlfn.CONCAT("K",D36),Table7[Label],1,FALSE)),FALSE,TRUE)</f>
        <v>0</v>
      </c>
    </row>
    <row r="37" spans="1:15" x14ac:dyDescent="0.2">
      <c r="A37" t="s">
        <v>106</v>
      </c>
      <c r="B37" s="1">
        <v>490</v>
      </c>
      <c r="C37" t="s">
        <v>82</v>
      </c>
      <c r="D37" s="1" t="s">
        <v>159</v>
      </c>
      <c r="E37" s="1">
        <v>1</v>
      </c>
      <c r="F37" s="1">
        <v>109</v>
      </c>
      <c r="G37" s="1" t="s">
        <v>1</v>
      </c>
      <c r="H37" s="1" t="b">
        <f>IF(ISERROR(VLOOKUP(_xlfn.CONCAT("K",D37),Table24[Label],1,FALSE)),FALSE,TRUE)</f>
        <v>0</v>
      </c>
      <c r="I37" s="1" t="b">
        <f>IF(ISERROR(VLOOKUP(_xlfn.CONCAT("K",D37),Table1[Label],1,FALSE)),FALSE,TRUE)</f>
        <v>0</v>
      </c>
      <c r="J37" s="1" t="b">
        <f>IF(ISERROR(VLOOKUP(_xlfn.CONCAT("K",D37),Table2[Label],1,FALSE)),FALSE,TRUE)</f>
        <v>0</v>
      </c>
      <c r="K37" s="1" t="b">
        <f>IF(ISERROR(VLOOKUP(_xlfn.CONCAT("K",D37),Table3[Label],1,FALSE)),FALSE,TRUE)</f>
        <v>0</v>
      </c>
      <c r="L37" s="1" t="b">
        <f>IF(ISERROR(VLOOKUP(_xlfn.CONCAT("K",D37),Table4[Label],1,FALSE)),FALSE,TRUE)</f>
        <v>1</v>
      </c>
      <c r="M37" s="1" t="b">
        <f>IF(ISERROR(VLOOKUP(_xlfn.CONCAT("K",D37),Table5[Label],1,FALSE)),FALSE,TRUE)</f>
        <v>0</v>
      </c>
      <c r="N37" s="1" t="b">
        <f>IF(ISERROR(VLOOKUP(_xlfn.CONCAT("K",D37),Table6[Label],1,FALSE)),FALSE,TRUE)</f>
        <v>0</v>
      </c>
      <c r="O37" s="1" t="b">
        <f>IF(ISERROR(VLOOKUP(_xlfn.CONCAT("K",D37),Table7[Label],1,FALSE)),FALSE,TRUE)</f>
        <v>0</v>
      </c>
    </row>
    <row r="38" spans="1:15" x14ac:dyDescent="0.2">
      <c r="A38" t="s">
        <v>107</v>
      </c>
      <c r="B38" s="1">
        <v>2207</v>
      </c>
      <c r="C38" t="s">
        <v>108</v>
      </c>
      <c r="D38" s="1" t="s">
        <v>160</v>
      </c>
      <c r="E38" s="1">
        <v>1</v>
      </c>
      <c r="F38" s="1">
        <v>103</v>
      </c>
      <c r="G38" s="1" t="s">
        <v>1</v>
      </c>
      <c r="H38" s="1" t="b">
        <f>IF(ISERROR(VLOOKUP(_xlfn.CONCAT("K",D38),Table24[Label],1,FALSE)),FALSE,TRUE)</f>
        <v>0</v>
      </c>
      <c r="I38" s="1" t="b">
        <f>IF(ISERROR(VLOOKUP(_xlfn.CONCAT("K",D38),Table1[Label],1,FALSE)),FALSE,TRUE)</f>
        <v>0</v>
      </c>
      <c r="J38" s="1" t="b">
        <f>IF(ISERROR(VLOOKUP(_xlfn.CONCAT("K",D38),Table2[Label],1,FALSE)),FALSE,TRUE)</f>
        <v>1</v>
      </c>
      <c r="K38" s="1" t="b">
        <f>IF(ISERROR(VLOOKUP(_xlfn.CONCAT("K",D38),Table3[Label],1,FALSE)),FALSE,TRUE)</f>
        <v>0</v>
      </c>
      <c r="L38" s="1" t="b">
        <f>IF(ISERROR(VLOOKUP(_xlfn.CONCAT("K",D38),Table4[Label],1,FALSE)),FALSE,TRUE)</f>
        <v>0</v>
      </c>
      <c r="M38" s="1" t="b">
        <f>IF(ISERROR(VLOOKUP(_xlfn.CONCAT("K",D38),Table5[Label],1,FALSE)),FALSE,TRUE)</f>
        <v>0</v>
      </c>
      <c r="N38" s="1" t="b">
        <f>IF(ISERROR(VLOOKUP(_xlfn.CONCAT("K",D38),Table6[Label],1,FALSE)),FALSE,TRUE)</f>
        <v>0</v>
      </c>
      <c r="O38" s="1" t="b">
        <f>IF(ISERROR(VLOOKUP(_xlfn.CONCAT("K",D38),Table7[Label],1,FALSE)),FALSE,TRUE)</f>
        <v>0</v>
      </c>
    </row>
    <row r="39" spans="1:15" x14ac:dyDescent="0.2">
      <c r="A39" t="s">
        <v>109</v>
      </c>
      <c r="B39" s="1">
        <v>2219</v>
      </c>
      <c r="C39" t="s">
        <v>110</v>
      </c>
      <c r="D39" s="1" t="s">
        <v>161</v>
      </c>
      <c r="E39" s="1">
        <v>1</v>
      </c>
      <c r="F39" s="1">
        <v>97</v>
      </c>
      <c r="G39" s="1" t="s">
        <v>1</v>
      </c>
      <c r="H39" s="1" t="b">
        <f>IF(ISERROR(VLOOKUP(_xlfn.CONCAT("K",D39),Table24[Label],1,FALSE)),FALSE,TRUE)</f>
        <v>0</v>
      </c>
      <c r="I39" s="1" t="b">
        <f>IF(ISERROR(VLOOKUP(_xlfn.CONCAT("K",D39),Table1[Label],1,FALSE)),FALSE,TRUE)</f>
        <v>0</v>
      </c>
      <c r="J39" s="1" t="b">
        <f>IF(ISERROR(VLOOKUP(_xlfn.CONCAT("K",D39),Table2[Label],1,FALSE)),FALSE,TRUE)</f>
        <v>1</v>
      </c>
      <c r="K39" s="1" t="b">
        <f>IF(ISERROR(VLOOKUP(_xlfn.CONCAT("K",D39),Table3[Label],1,FALSE)),FALSE,TRUE)</f>
        <v>0</v>
      </c>
      <c r="L39" s="1" t="b">
        <f>IF(ISERROR(VLOOKUP(_xlfn.CONCAT("K",D39),Table4[Label],1,FALSE)),FALSE,TRUE)</f>
        <v>0</v>
      </c>
      <c r="M39" s="1" t="b">
        <f>IF(ISERROR(VLOOKUP(_xlfn.CONCAT("K",D39),Table5[Label],1,FALSE)),FALSE,TRUE)</f>
        <v>0</v>
      </c>
      <c r="N39" s="1" t="b">
        <f>IF(ISERROR(VLOOKUP(_xlfn.CONCAT("K",D39),Table6[Label],1,FALSE)),FALSE,TRUE)</f>
        <v>0</v>
      </c>
      <c r="O39" s="1" t="b">
        <f>IF(ISERROR(VLOOKUP(_xlfn.CONCAT("K",D39),Table7[Label],1,FALSE)),FALSE,TRUE)</f>
        <v>0</v>
      </c>
    </row>
    <row r="40" spans="1:15" x14ac:dyDescent="0.2">
      <c r="A40" t="s">
        <v>111</v>
      </c>
      <c r="B40" s="1">
        <v>716</v>
      </c>
      <c r="C40" t="s">
        <v>112</v>
      </c>
      <c r="D40" s="1" t="s">
        <v>162</v>
      </c>
      <c r="E40" s="1">
        <v>1</v>
      </c>
      <c r="F40" s="1">
        <v>94</v>
      </c>
      <c r="G40" s="1" t="s">
        <v>1</v>
      </c>
      <c r="H40" s="1" t="b">
        <f>IF(ISERROR(VLOOKUP(_xlfn.CONCAT("K",D40),Table24[Label],1,FALSE)),FALSE,TRUE)</f>
        <v>0</v>
      </c>
      <c r="I40" s="1" t="b">
        <f>IF(ISERROR(VLOOKUP(_xlfn.CONCAT("K",D40),Table1[Label],1,FALSE)),FALSE,TRUE)</f>
        <v>0</v>
      </c>
      <c r="J40" s="1" t="b">
        <f>IF(ISERROR(VLOOKUP(_xlfn.CONCAT("K",D40),Table2[Label],1,FALSE)),FALSE,TRUE)</f>
        <v>1</v>
      </c>
      <c r="K40" s="1" t="b">
        <f>IF(ISERROR(VLOOKUP(_xlfn.CONCAT("K",D40),Table3[Label],1,FALSE)),FALSE,TRUE)</f>
        <v>0</v>
      </c>
      <c r="L40" s="1" t="b">
        <f>IF(ISERROR(VLOOKUP(_xlfn.CONCAT("K",D40),Table4[Label],1,FALSE)),FALSE,TRUE)</f>
        <v>0</v>
      </c>
      <c r="M40" s="1" t="b">
        <f>IF(ISERROR(VLOOKUP(_xlfn.CONCAT("K",D40),Table5[Label],1,FALSE)),FALSE,TRUE)</f>
        <v>0</v>
      </c>
      <c r="N40" s="1" t="b">
        <f>IF(ISERROR(VLOOKUP(_xlfn.CONCAT("K",D40),Table6[Label],1,FALSE)),FALSE,TRUE)</f>
        <v>0</v>
      </c>
      <c r="O40" s="1" t="b">
        <f>IF(ISERROR(VLOOKUP(_xlfn.CONCAT("K",D40),Table7[Label],1,FALSE)),FALSE,TRUE)</f>
        <v>0</v>
      </c>
    </row>
    <row r="41" spans="1:15" x14ac:dyDescent="0.2">
      <c r="A41" t="s">
        <v>113</v>
      </c>
      <c r="B41" s="1">
        <v>635</v>
      </c>
      <c r="C41" t="s">
        <v>114</v>
      </c>
      <c r="D41" s="1" t="s">
        <v>163</v>
      </c>
      <c r="E41" s="1">
        <v>1</v>
      </c>
      <c r="F41" s="1">
        <v>88</v>
      </c>
      <c r="G41" s="1" t="s">
        <v>1</v>
      </c>
      <c r="H41" s="1" t="b">
        <f>IF(ISERROR(VLOOKUP(_xlfn.CONCAT("K",D41),Table24[Label],1,FALSE)),FALSE,TRUE)</f>
        <v>0</v>
      </c>
      <c r="I41" s="1" t="b">
        <f>IF(ISERROR(VLOOKUP(_xlfn.CONCAT("K",D41),Table1[Label],1,FALSE)),FALSE,TRUE)</f>
        <v>0</v>
      </c>
      <c r="J41" s="1" t="b">
        <f>IF(ISERROR(VLOOKUP(_xlfn.CONCAT("K",D41),Table2[Label],1,FALSE)),FALSE,TRUE)</f>
        <v>1</v>
      </c>
      <c r="K41" s="1" t="b">
        <f>IF(ISERROR(VLOOKUP(_xlfn.CONCAT("K",D41),Table3[Label],1,FALSE)),FALSE,TRUE)</f>
        <v>0</v>
      </c>
      <c r="L41" s="1" t="b">
        <f>IF(ISERROR(VLOOKUP(_xlfn.CONCAT("K",D41),Table4[Label],1,FALSE)),FALSE,TRUE)</f>
        <v>0</v>
      </c>
      <c r="M41" s="1" t="b">
        <f>IF(ISERROR(VLOOKUP(_xlfn.CONCAT("K",D41),Table5[Label],1,FALSE)),FALSE,TRUE)</f>
        <v>0</v>
      </c>
      <c r="N41" s="1" t="b">
        <f>IF(ISERROR(VLOOKUP(_xlfn.CONCAT("K",D41),Table6[Label],1,FALSE)),FALSE,TRUE)</f>
        <v>0</v>
      </c>
      <c r="O41" s="1" t="b">
        <f>IF(ISERROR(VLOOKUP(_xlfn.CONCAT("K",D41),Table7[Label],1,FALSE)),FALSE,TRUE)</f>
        <v>0</v>
      </c>
    </row>
    <row r="42" spans="1:15" x14ac:dyDescent="0.2">
      <c r="A42" t="s">
        <v>115</v>
      </c>
      <c r="B42" s="1">
        <v>534</v>
      </c>
      <c r="C42" t="s">
        <v>116</v>
      </c>
      <c r="D42" s="1" t="s">
        <v>164</v>
      </c>
      <c r="E42" s="1">
        <v>1</v>
      </c>
      <c r="F42" s="1">
        <v>55</v>
      </c>
      <c r="G42" s="1" t="s">
        <v>1</v>
      </c>
      <c r="H42" s="1" t="b">
        <f>IF(ISERROR(VLOOKUP(_xlfn.CONCAT("K",D42),Table24[Label],1,FALSE)),FALSE,TRUE)</f>
        <v>0</v>
      </c>
      <c r="I42" s="1" t="b">
        <f>IF(ISERROR(VLOOKUP(_xlfn.CONCAT("K",D42),Table1[Label],1,FALSE)),FALSE,TRUE)</f>
        <v>0</v>
      </c>
      <c r="J42" s="1" t="b">
        <f>IF(ISERROR(VLOOKUP(_xlfn.CONCAT("K",D42),Table2[Label],1,FALSE)),FALSE,TRUE)</f>
        <v>1</v>
      </c>
      <c r="K42" s="1" t="b">
        <f>IF(ISERROR(VLOOKUP(_xlfn.CONCAT("K",D42),Table3[Label],1,FALSE)),FALSE,TRUE)</f>
        <v>0</v>
      </c>
      <c r="L42" s="1" t="b">
        <f>IF(ISERROR(VLOOKUP(_xlfn.CONCAT("K",D42),Table4[Label],1,FALSE)),FALSE,TRUE)</f>
        <v>0</v>
      </c>
      <c r="M42" s="1" t="b">
        <f>IF(ISERROR(VLOOKUP(_xlfn.CONCAT("K",D42),Table5[Label],1,FALSE)),FALSE,TRUE)</f>
        <v>0</v>
      </c>
      <c r="N42" s="1" t="b">
        <f>IF(ISERROR(VLOOKUP(_xlfn.CONCAT("K",D42),Table6[Label],1,FALSE)),FALSE,TRUE)</f>
        <v>0</v>
      </c>
      <c r="O42" s="1" t="b">
        <f>IF(ISERROR(VLOOKUP(_xlfn.CONCAT("K",D42),Table7[Label],1,FALSE)),FALSE,TRUE)</f>
        <v>0</v>
      </c>
    </row>
    <row r="43" spans="1:15" x14ac:dyDescent="0.2">
      <c r="A43" t="s">
        <v>117</v>
      </c>
      <c r="B43" s="1">
        <v>563</v>
      </c>
      <c r="C43" t="s">
        <v>118</v>
      </c>
      <c r="D43" s="1" t="s">
        <v>165</v>
      </c>
      <c r="E43" s="1">
        <v>1</v>
      </c>
      <c r="F43" s="1">
        <v>10</v>
      </c>
      <c r="G43" s="1" t="s">
        <v>1</v>
      </c>
      <c r="H43" s="1" t="b">
        <f>IF(ISERROR(VLOOKUP(_xlfn.CONCAT("K",D43),Table24[Label],1,FALSE)),FALSE,TRUE)</f>
        <v>0</v>
      </c>
      <c r="I43" s="1" t="b">
        <f>IF(ISERROR(VLOOKUP(_xlfn.CONCAT("K",D43),Table1[Label],1,FALSE)),FALSE,TRUE)</f>
        <v>0</v>
      </c>
      <c r="J43" s="1" t="b">
        <f>IF(ISERROR(VLOOKUP(_xlfn.CONCAT("K",D43),Table2[Label],1,FALSE)),FALSE,TRUE)</f>
        <v>1</v>
      </c>
      <c r="K43" s="1" t="b">
        <f>IF(ISERROR(VLOOKUP(_xlfn.CONCAT("K",D43),Table3[Label],1,FALSE)),FALSE,TRUE)</f>
        <v>0</v>
      </c>
      <c r="L43" s="1" t="b">
        <f>IF(ISERROR(VLOOKUP(_xlfn.CONCAT("K",D43),Table4[Label],1,FALSE)),FALSE,TRUE)</f>
        <v>0</v>
      </c>
      <c r="M43" s="1" t="b">
        <f>IF(ISERROR(VLOOKUP(_xlfn.CONCAT("K",D43),Table5[Label],1,FALSE)),FALSE,TRUE)</f>
        <v>0</v>
      </c>
      <c r="N43" s="1" t="b">
        <f>IF(ISERROR(VLOOKUP(_xlfn.CONCAT("K",D43),Table6[Label],1,FALSE)),FALSE,TRUE)</f>
        <v>0</v>
      </c>
      <c r="O43" s="1" t="b">
        <f>IF(ISERROR(VLOOKUP(_xlfn.CONCAT("K",D43),Table7[Label],1,FALSE)),FALSE,TRUE)</f>
        <v>0</v>
      </c>
    </row>
    <row r="44" spans="1:15" x14ac:dyDescent="0.2">
      <c r="A44" t="s">
        <v>119</v>
      </c>
      <c r="B44" s="1">
        <v>567</v>
      </c>
      <c r="C44" t="s">
        <v>120</v>
      </c>
      <c r="D44" s="1" t="s">
        <v>166</v>
      </c>
      <c r="E44" s="1">
        <v>1</v>
      </c>
      <c r="F44" s="1">
        <v>7</v>
      </c>
      <c r="G44" s="1" t="s">
        <v>1</v>
      </c>
      <c r="H44" s="1" t="b">
        <f>IF(ISERROR(VLOOKUP(_xlfn.CONCAT("K",D44),Table24[Label],1,FALSE)),FALSE,TRUE)</f>
        <v>0</v>
      </c>
      <c r="I44" s="1" t="b">
        <f>IF(ISERROR(VLOOKUP(_xlfn.CONCAT("K",D44),Table1[Label],1,FALSE)),FALSE,TRUE)</f>
        <v>0</v>
      </c>
      <c r="J44" s="1" t="b">
        <f>IF(ISERROR(VLOOKUP(_xlfn.CONCAT("K",D44),Table2[Label],1,FALSE)),FALSE,TRUE)</f>
        <v>1</v>
      </c>
      <c r="K44" s="1" t="b">
        <f>IF(ISERROR(VLOOKUP(_xlfn.CONCAT("K",D44),Table3[Label],1,FALSE)),FALSE,TRUE)</f>
        <v>0</v>
      </c>
      <c r="L44" s="1" t="b">
        <f>IF(ISERROR(VLOOKUP(_xlfn.CONCAT("K",D44),Table4[Label],1,FALSE)),FALSE,TRUE)</f>
        <v>0</v>
      </c>
      <c r="M44" s="1" t="b">
        <f>IF(ISERROR(VLOOKUP(_xlfn.CONCAT("K",D44),Table5[Label],1,FALSE)),FALSE,TRUE)</f>
        <v>0</v>
      </c>
      <c r="N44" s="1" t="b">
        <f>IF(ISERROR(VLOOKUP(_xlfn.CONCAT("K",D44),Table6[Label],1,FALSE)),FALSE,TRUE)</f>
        <v>0</v>
      </c>
      <c r="O44" s="1" t="b">
        <f>IF(ISERROR(VLOOKUP(_xlfn.CONCAT("K",D44),Table7[Label],1,FALSE)),FALSE,TRUE)</f>
        <v>0</v>
      </c>
    </row>
    <row r="45" spans="1:15" x14ac:dyDescent="0.2">
      <c r="E45" s="6"/>
    </row>
    <row r="46" spans="1:15" x14ac:dyDescent="0.2">
      <c r="E46" s="6"/>
    </row>
    <row r="47" spans="1:15" x14ac:dyDescent="0.2">
      <c r="E47" s="6"/>
    </row>
    <row r="48" spans="1:15" x14ac:dyDescent="0.2">
      <c r="E48" s="6"/>
    </row>
    <row r="49" spans="5:5" x14ac:dyDescent="0.2">
      <c r="E49" s="6"/>
    </row>
  </sheetData>
  <conditionalFormatting sqref="E45:E1048576 H1:H44">
    <cfRule type="cellIs" dxfId="452" priority="15" operator="equal">
      <formula>FALSE</formula>
    </cfRule>
    <cfRule type="cellIs" dxfId="451" priority="16" operator="equal">
      <formula>TRUE</formula>
    </cfRule>
  </conditionalFormatting>
  <conditionalFormatting sqref="I2:I44">
    <cfRule type="cellIs" dxfId="450" priority="13" operator="equal">
      <formula>FALSE</formula>
    </cfRule>
    <cfRule type="cellIs" dxfId="449" priority="14" operator="equal">
      <formula>TRUE</formula>
    </cfRule>
  </conditionalFormatting>
  <conditionalFormatting sqref="J2:J44">
    <cfRule type="cellIs" dxfId="448" priority="11" operator="equal">
      <formula>FALSE</formula>
    </cfRule>
    <cfRule type="cellIs" dxfId="447" priority="12" operator="equal">
      <formula>TRUE</formula>
    </cfRule>
  </conditionalFormatting>
  <conditionalFormatting sqref="K2:K44">
    <cfRule type="cellIs" dxfId="446" priority="9" operator="equal">
      <formula>FALSE</formula>
    </cfRule>
    <cfRule type="cellIs" dxfId="445" priority="10" operator="equal">
      <formula>TRUE</formula>
    </cfRule>
  </conditionalFormatting>
  <conditionalFormatting sqref="L2:L44">
    <cfRule type="cellIs" dxfId="444" priority="7" operator="equal">
      <formula>FALSE</formula>
    </cfRule>
    <cfRule type="cellIs" dxfId="443" priority="8" operator="equal">
      <formula>TRUE</formula>
    </cfRule>
  </conditionalFormatting>
  <conditionalFormatting sqref="M2:M44">
    <cfRule type="cellIs" dxfId="442" priority="5" operator="equal">
      <formula>FALSE</formula>
    </cfRule>
    <cfRule type="cellIs" dxfId="441" priority="6" operator="equal">
      <formula>TRUE</formula>
    </cfRule>
  </conditionalFormatting>
  <conditionalFormatting sqref="N2:N44">
    <cfRule type="cellIs" dxfId="440" priority="3" operator="equal">
      <formula>FALSE</formula>
    </cfRule>
    <cfRule type="cellIs" dxfId="439" priority="4" operator="equal">
      <formula>TRUE</formula>
    </cfRule>
  </conditionalFormatting>
  <conditionalFormatting sqref="O2:O44">
    <cfRule type="cellIs" dxfId="438" priority="1" operator="equal">
      <formula>FALSE</formula>
    </cfRule>
    <cfRule type="cellIs" dxfId="437" priority="2" operator="equal">
      <formula>TRUE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3D0C8-FB18-744A-ADCB-7623316D151B}">
  <dimension ref="A1:AI383"/>
  <sheetViews>
    <sheetView topLeftCell="Q1" workbookViewId="0">
      <selection activeCell="AE16" sqref="AE16"/>
    </sheetView>
  </sheetViews>
  <sheetFormatPr baseColWidth="10" defaultRowHeight="16" x14ac:dyDescent="0.2"/>
  <cols>
    <col min="1" max="1" width="8.83203125" customWidth="1"/>
    <col min="2" max="2" width="8.5" customWidth="1"/>
    <col min="3" max="4" width="15.83203125" hidden="1" customWidth="1"/>
    <col min="5" max="7" width="15.83203125" customWidth="1"/>
    <col min="8" max="8" width="23" style="46" hidden="1" customWidth="1"/>
    <col min="9" max="9" width="22" style="47" hidden="1" customWidth="1"/>
    <col min="10" max="10" width="23" style="47" hidden="1" customWidth="1"/>
    <col min="11" max="11" width="20.5" style="47" hidden="1" customWidth="1"/>
    <col min="12" max="12" width="20.83203125" style="47" hidden="1" customWidth="1"/>
    <col min="13" max="13" width="22" style="47" hidden="1" customWidth="1"/>
    <col min="14" max="14" width="9.1640625" customWidth="1"/>
    <col min="15" max="15" width="13.83203125" hidden="1" customWidth="1"/>
    <col min="16" max="16" width="13.1640625" style="11" customWidth="1"/>
    <col min="28" max="28" width="10.83203125" style="11"/>
    <col min="31" max="31" width="13.1640625" customWidth="1"/>
    <col min="32" max="32" width="12.83203125" customWidth="1"/>
    <col min="33" max="33" width="12.1640625" customWidth="1"/>
    <col min="35" max="35" width="13.1640625" customWidth="1"/>
  </cols>
  <sheetData>
    <row r="1" spans="1:35" x14ac:dyDescent="0.2">
      <c r="A1" t="s">
        <v>355</v>
      </c>
      <c r="B1" t="s">
        <v>356</v>
      </c>
      <c r="C1" t="s">
        <v>2378</v>
      </c>
      <c r="D1" t="s">
        <v>2379</v>
      </c>
      <c r="E1" s="19" t="s">
        <v>2380</v>
      </c>
      <c r="F1" s="19" t="s">
        <v>2381</v>
      </c>
      <c r="G1" s="19" t="s">
        <v>2383</v>
      </c>
      <c r="H1" s="46" t="s">
        <v>729</v>
      </c>
      <c r="I1" s="47" t="s">
        <v>730</v>
      </c>
      <c r="J1" s="47" t="s">
        <v>731</v>
      </c>
      <c r="K1" s="47" t="s">
        <v>732</v>
      </c>
      <c r="L1" s="47" t="s">
        <v>733</v>
      </c>
      <c r="M1" s="47" t="s">
        <v>734</v>
      </c>
      <c r="N1" t="s">
        <v>357</v>
      </c>
      <c r="O1" t="s">
        <v>735</v>
      </c>
      <c r="P1" s="11" t="s">
        <v>358</v>
      </c>
      <c r="AA1" s="19" t="s">
        <v>355</v>
      </c>
      <c r="AB1" s="19" t="s">
        <v>356</v>
      </c>
      <c r="AC1" s="19" t="s">
        <v>2378</v>
      </c>
      <c r="AD1" s="19" t="s">
        <v>2379</v>
      </c>
      <c r="AE1" s="19" t="s">
        <v>2380</v>
      </c>
      <c r="AF1" s="19" t="s">
        <v>2381</v>
      </c>
      <c r="AG1" s="19" t="s">
        <v>2383</v>
      </c>
      <c r="AH1" s="19" t="s">
        <v>357</v>
      </c>
      <c r="AI1" s="129" t="s">
        <v>358</v>
      </c>
    </row>
    <row r="2" spans="1:35" x14ac:dyDescent="0.2">
      <c r="A2">
        <v>625</v>
      </c>
      <c r="B2">
        <v>702</v>
      </c>
      <c r="C2" t="str">
        <f>VLOOKUP(Table10[[#This Row],[source]],Table2226[[#All],[ID]:[Label]],3,FALSE)</f>
        <v>IAD</v>
      </c>
      <c r="D2" t="str">
        <f>VLOOKUP(Table10[[#This Row],[target]],Table2226[[#All],[ID]:[Label]],3,FALSE)</f>
        <v>PHX</v>
      </c>
      <c r="E2" s="32" t="str">
        <f>IF(ISERROR(VLOOKUP(Table10[[#This Row],[source2]],Table22[Label],1,FALSE)),IF(ISERROR(VLOOKUP(Table10[[#This Row],[source2]],Table2210[Label],1,FALSE)),"SPOKE","FOCUS"),"HUB")</f>
        <v>HUB</v>
      </c>
      <c r="F2" s="32" t="str">
        <f>IF(ISERROR(VLOOKUP(Table10[[#This Row],[target2]],Table22[Label],1,FALSE)),IF(ISERROR(VLOOKUP(Table10[[#This Row],[target2]],Table2210[Label],1,FALSE)),"SPOKE","FOCUS"),"HUB")</f>
        <v>HUB</v>
      </c>
      <c r="G2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2" s="46" t="s">
        <v>771</v>
      </c>
      <c r="I2" s="47" t="s">
        <v>1030</v>
      </c>
      <c r="J2" s="47" t="s">
        <v>738</v>
      </c>
      <c r="K2" s="47" t="s">
        <v>1031</v>
      </c>
      <c r="L2" s="47" t="s">
        <v>738</v>
      </c>
      <c r="M2" s="47" t="s">
        <v>1032</v>
      </c>
      <c r="N2">
        <v>3011</v>
      </c>
      <c r="O2">
        <v>3011</v>
      </c>
      <c r="P2" s="11" t="s">
        <v>359</v>
      </c>
      <c r="R2">
        <v>4</v>
      </c>
      <c r="T2" s="1" t="s">
        <v>2357</v>
      </c>
      <c r="U2" s="1" t="s">
        <v>2358</v>
      </c>
      <c r="V2" s="1" t="s">
        <v>2359</v>
      </c>
      <c r="W2" s="12" t="s">
        <v>2360</v>
      </c>
      <c r="AA2" s="18">
        <v>700</v>
      </c>
      <c r="AB2" s="18">
        <v>736</v>
      </c>
      <c r="AC2" s="18" t="str">
        <f>VLOOKUP(Table10[[#This Row],[source]],Table2226[[#All],[ID]:[Label]],3,FALSE)</f>
        <v>IAD</v>
      </c>
      <c r="AD2" s="18" t="str">
        <f>VLOOKUP(Table10[[#This Row],[target]],Table2226[[#All],[ID]:[Label]],3,FALSE)</f>
        <v>PHX</v>
      </c>
      <c r="AE2" s="18" t="str">
        <f>IF(ISERROR(VLOOKUP(Table10[[#This Row],[source2]],Table22[Label],1,FALSE)),IF(ISERROR(VLOOKUP(Table10[[#This Row],[source2]],Table2210[Label],1,FALSE)),"SPOKE","FOCUS"),"HUB")</f>
        <v>HUB</v>
      </c>
      <c r="AF2" s="18" t="str">
        <f>IF(ISERROR(VLOOKUP(Table10[[#This Row],[target2]],Table22[Label],1,FALSE)),IF(ISERROR(VLOOKUP(Table10[[#This Row],[target2]],Table2210[Label],1,FALSE)),"SPOKE","FOCUS"),"HUB")</f>
        <v>HUB</v>
      </c>
      <c r="AG2" s="18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AH2" s="18">
        <v>4778</v>
      </c>
      <c r="AI2" s="43" t="s">
        <v>366</v>
      </c>
    </row>
    <row r="3" spans="1:35" x14ac:dyDescent="0.2">
      <c r="A3">
        <v>627</v>
      </c>
      <c r="B3">
        <v>720</v>
      </c>
      <c r="C3" t="str">
        <f>VLOOKUP(Table10[[#This Row],[source]],Table2226[[#All],[ID]:[Label]],3,FALSE)</f>
        <v>IAH</v>
      </c>
      <c r="D3" t="str">
        <f>VLOOKUP(Table10[[#This Row],[target]],Table2226[[#All],[ID]:[Label]],3,FALSE)</f>
        <v>RIC</v>
      </c>
      <c r="E3" s="32" t="str">
        <f>IF(ISERROR(VLOOKUP(Table10[[#This Row],[source2]],Table22[Label],1,FALSE)),IF(ISERROR(VLOOKUP(Table10[[#This Row],[source2]],Table2210[Label],1,FALSE)),"SPOKE","FOCUS"),"HUB")</f>
        <v>HUB</v>
      </c>
      <c r="F3" s="32" t="str">
        <f>IF(ISERROR(VLOOKUP(Table10[[#This Row],[target2]],Table22[Label],1,FALSE)),IF(ISERROR(VLOOKUP(Table10[[#This Row],[target2]],Table2210[Label],1,FALSE)),"SPOKE","FOCUS"),"HUB")</f>
        <v>SPOKE</v>
      </c>
      <c r="G3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3" s="46" t="s">
        <v>771</v>
      </c>
      <c r="I3" s="47" t="s">
        <v>1825</v>
      </c>
      <c r="J3" s="47" t="s">
        <v>738</v>
      </c>
      <c r="K3" s="47" t="s">
        <v>1826</v>
      </c>
      <c r="L3" s="47" t="s">
        <v>738</v>
      </c>
      <c r="M3" s="47" t="s">
        <v>1827</v>
      </c>
      <c r="N3">
        <v>2039</v>
      </c>
      <c r="O3">
        <v>2039</v>
      </c>
      <c r="P3" s="11" t="s">
        <v>360</v>
      </c>
      <c r="T3" s="13">
        <v>730</v>
      </c>
      <c r="U3" s="14">
        <v>700</v>
      </c>
      <c r="V3" s="14">
        <v>6956</v>
      </c>
      <c r="W3" s="15" t="s">
        <v>405</v>
      </c>
      <c r="AA3" s="18">
        <v>554</v>
      </c>
      <c r="AB3" s="18">
        <v>736</v>
      </c>
      <c r="AC3" s="18" t="str">
        <f>VLOOKUP(Table10[[#This Row],[source]],Table2226[[#All],[ID]:[Label]],3,FALSE)</f>
        <v>IAH</v>
      </c>
      <c r="AD3" s="18" t="str">
        <f>VLOOKUP(Table10[[#This Row],[target]],Table2226[[#All],[ID]:[Label]],3,FALSE)</f>
        <v>RIC</v>
      </c>
      <c r="AE3" s="18" t="str">
        <f>IF(ISERROR(VLOOKUP(Table10[[#This Row],[source2]],Table22[Label],1,FALSE)),IF(ISERROR(VLOOKUP(Table10[[#This Row],[source2]],Table2210[Label],1,FALSE)),"SPOKE","FOCUS"),"HUB")</f>
        <v>HUB</v>
      </c>
      <c r="AF3" s="18" t="str">
        <f>IF(ISERROR(VLOOKUP(Table10[[#This Row],[target2]],Table22[Label],1,FALSE)),IF(ISERROR(VLOOKUP(Table10[[#This Row],[target2]],Table2210[Label],1,FALSE)),"SPOKE","FOCUS"),"HUB")</f>
        <v>SPOKE</v>
      </c>
      <c r="AG3" s="18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AH3" s="18">
        <v>4506</v>
      </c>
      <c r="AI3" s="43" t="s">
        <v>367</v>
      </c>
    </row>
    <row r="4" spans="1:35" x14ac:dyDescent="0.2">
      <c r="A4">
        <v>691</v>
      </c>
      <c r="B4">
        <v>712</v>
      </c>
      <c r="C4" t="str">
        <f>VLOOKUP(Table10[[#This Row],[source]],Table2226[[#All],[ID]:[Label]],3,FALSE)</f>
        <v>ORD</v>
      </c>
      <c r="D4" t="str">
        <f>VLOOKUP(Table10[[#This Row],[target]],Table2226[[#All],[ID]:[Label]],3,FALSE)</f>
        <v>PSP</v>
      </c>
      <c r="E4" s="32" t="str">
        <f>IF(ISERROR(VLOOKUP(Table10[[#This Row],[source2]],Table22[Label],1,FALSE)),IF(ISERROR(VLOOKUP(Table10[[#This Row],[source2]],Table2210[Label],1,FALSE)),"SPOKE","FOCUS"),"HUB")</f>
        <v>HUB</v>
      </c>
      <c r="F4" s="32" t="str">
        <f>IF(ISERROR(VLOOKUP(Table10[[#This Row],[target2]],Table22[Label],1,FALSE)),IF(ISERROR(VLOOKUP(Table10[[#This Row],[target2]],Table2210[Label],1,FALSE)),"SPOKE","FOCUS"),"HUB")</f>
        <v>SPOKE</v>
      </c>
      <c r="G4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4" s="46" t="s">
        <v>771</v>
      </c>
      <c r="I4" s="47" t="s">
        <v>1601</v>
      </c>
      <c r="J4" s="47" t="s">
        <v>738</v>
      </c>
      <c r="K4" s="47" t="s">
        <v>1602</v>
      </c>
      <c r="L4" s="47" t="s">
        <v>738</v>
      </c>
      <c r="M4" s="47" t="s">
        <v>1603</v>
      </c>
      <c r="N4">
        <v>2113</v>
      </c>
      <c r="O4">
        <v>2113</v>
      </c>
      <c r="P4" s="11" t="s">
        <v>361</v>
      </c>
      <c r="R4" t="b">
        <f>IF(I2&gt;R2,TRUE,FALSE)</f>
        <v>1</v>
      </c>
      <c r="T4" s="13">
        <v>730</v>
      </c>
      <c r="U4" s="14">
        <v>673</v>
      </c>
      <c r="V4" s="14">
        <v>4457</v>
      </c>
      <c r="W4" s="15" t="s">
        <v>423</v>
      </c>
      <c r="AA4" s="18">
        <v>575</v>
      </c>
      <c r="AB4" s="18">
        <v>720</v>
      </c>
      <c r="AC4" s="18" t="str">
        <f>VLOOKUP(Table10[[#This Row],[source]],Table2226[[#All],[ID]:[Label]],3,FALSE)</f>
        <v>ORD</v>
      </c>
      <c r="AD4" s="18" t="str">
        <f>VLOOKUP(Table10[[#This Row],[target]],Table2226[[#All],[ID]:[Label]],3,FALSE)</f>
        <v>PSP</v>
      </c>
      <c r="AE4" s="18" t="str">
        <f>IF(ISERROR(VLOOKUP(Table10[[#This Row],[source2]],Table22[Label],1,FALSE)),IF(ISERROR(VLOOKUP(Table10[[#This Row],[source2]],Table2210[Label],1,FALSE)),"SPOKE","FOCUS"),"HUB")</f>
        <v>HUB</v>
      </c>
      <c r="AF4" s="18" t="str">
        <f>IF(ISERROR(VLOOKUP(Table10[[#This Row],[target2]],Table22[Label],1,FALSE)),IF(ISERROR(VLOOKUP(Table10[[#This Row],[target2]],Table2210[Label],1,FALSE)),"SPOKE","FOCUS"),"HUB")</f>
        <v>SPOKE</v>
      </c>
      <c r="AG4" s="18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AH4" s="18">
        <v>4081</v>
      </c>
      <c r="AI4" s="43" t="s">
        <v>369</v>
      </c>
    </row>
    <row r="5" spans="1:35" x14ac:dyDescent="0.2">
      <c r="A5">
        <v>645</v>
      </c>
      <c r="B5">
        <v>648</v>
      </c>
      <c r="C5" t="str">
        <f>VLOOKUP(Table10[[#This Row],[source]],Table2226[[#All],[ID]:[Label]],3,FALSE)</f>
        <v>JFK</v>
      </c>
      <c r="D5" t="str">
        <f>VLOOKUP(Table10[[#This Row],[target]],Table2226[[#All],[ID]:[Label]],3,FALSE)</f>
        <v>LAX</v>
      </c>
      <c r="E5" s="32" t="str">
        <f>IF(ISERROR(VLOOKUP(Table10[[#This Row],[source2]],Table22[Label],1,FALSE)),IF(ISERROR(VLOOKUP(Table10[[#This Row],[source2]],Table2210[Label],1,FALSE)),"SPOKE","FOCUS"),"HUB")</f>
        <v>HUB</v>
      </c>
      <c r="F5" s="32" t="str">
        <f>IF(ISERROR(VLOOKUP(Table10[[#This Row],[target2]],Table22[Label],1,FALSE)),IF(ISERROR(VLOOKUP(Table10[[#This Row],[target2]],Table2210[Label],1,FALSE)),"SPOKE","FOCUS"),"HUB")</f>
        <v>HUB</v>
      </c>
      <c r="G5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5" s="46" t="s">
        <v>771</v>
      </c>
      <c r="I5" s="47" t="s">
        <v>2249</v>
      </c>
      <c r="J5" s="47" t="s">
        <v>738</v>
      </c>
      <c r="K5" s="47" t="s">
        <v>2250</v>
      </c>
      <c r="L5" s="47" t="s">
        <v>738</v>
      </c>
      <c r="M5" s="47" t="s">
        <v>2251</v>
      </c>
      <c r="N5">
        <v>3288</v>
      </c>
      <c r="O5">
        <v>3288</v>
      </c>
      <c r="P5" s="11" t="s">
        <v>362</v>
      </c>
      <c r="T5" s="13">
        <v>730</v>
      </c>
      <c r="U5" s="14">
        <v>663</v>
      </c>
      <c r="V5" s="14">
        <v>6626</v>
      </c>
      <c r="W5" s="15" t="s">
        <v>428</v>
      </c>
      <c r="AA5" s="18">
        <v>506</v>
      </c>
      <c r="AB5" s="18">
        <v>723</v>
      </c>
      <c r="AC5" s="18" t="str">
        <f>VLOOKUP(Table10[[#This Row],[source]],Table2226[[#All],[ID]:[Label]],3,FALSE)</f>
        <v>JFK</v>
      </c>
      <c r="AD5" s="18" t="str">
        <f>VLOOKUP(Table10[[#This Row],[target]],Table2226[[#All],[ID]:[Label]],3,FALSE)</f>
        <v>LAX</v>
      </c>
      <c r="AE5" s="18" t="str">
        <f>IF(ISERROR(VLOOKUP(Table10[[#This Row],[source2]],Table22[Label],1,FALSE)),IF(ISERROR(VLOOKUP(Table10[[#This Row],[source2]],Table2210[Label],1,FALSE)),"SPOKE","FOCUS"),"HUB")</f>
        <v>HUB</v>
      </c>
      <c r="AF5" s="18" t="str">
        <f>IF(ISERROR(VLOOKUP(Table10[[#This Row],[target2]],Table22[Label],1,FALSE)),IF(ISERROR(VLOOKUP(Table10[[#This Row],[target2]],Table2210[Label],1,FALSE)),"SPOKE","FOCUS"),"HUB")</f>
        <v>HUB</v>
      </c>
      <c r="AG5" s="18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AH5" s="18">
        <v>3563</v>
      </c>
      <c r="AI5" s="43" t="s">
        <v>376</v>
      </c>
    </row>
    <row r="6" spans="1:35" x14ac:dyDescent="0.2">
      <c r="A6">
        <v>579</v>
      </c>
      <c r="B6">
        <v>691</v>
      </c>
      <c r="C6" t="str">
        <f>VLOOKUP(Table10[[#This Row],[source]],Table2226[[#All],[ID]:[Label]],3,FALSE)</f>
        <v>DTW</v>
      </c>
      <c r="D6" t="str">
        <f>VLOOKUP(Table10[[#This Row],[target]],Table2226[[#All],[ID]:[Label]],3,FALSE)</f>
        <v>ORD</v>
      </c>
      <c r="E6" s="32" t="str">
        <f>IF(ISERROR(VLOOKUP(Table10[[#This Row],[source2]],Table22[Label],1,FALSE)),IF(ISERROR(VLOOKUP(Table10[[#This Row],[source2]],Table2210[Label],1,FALSE)),"SPOKE","FOCUS"),"HUB")</f>
        <v>HUB</v>
      </c>
      <c r="F6" s="32" t="str">
        <f>IF(ISERROR(VLOOKUP(Table10[[#This Row],[target2]],Table22[Label],1,FALSE)),IF(ISERROR(VLOOKUP(Table10[[#This Row],[target2]],Table2210[Label],1,FALSE)),"SPOKE","FOCUS"),"HUB")</f>
        <v>HUB</v>
      </c>
      <c r="G6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6" s="46" t="s">
        <v>1270</v>
      </c>
      <c r="I6" s="47" t="s">
        <v>1271</v>
      </c>
      <c r="J6" s="47" t="s">
        <v>738</v>
      </c>
      <c r="K6" s="47" t="s">
        <v>1272</v>
      </c>
      <c r="L6" s="47" t="s">
        <v>738</v>
      </c>
      <c r="M6" s="47" t="s">
        <v>1273</v>
      </c>
      <c r="N6">
        <v>1005</v>
      </c>
      <c r="O6">
        <v>1005</v>
      </c>
      <c r="P6" s="11" t="s">
        <v>363</v>
      </c>
      <c r="T6" s="13">
        <v>730</v>
      </c>
      <c r="U6" s="14">
        <v>554</v>
      </c>
      <c r="V6" s="14">
        <v>5468</v>
      </c>
      <c r="W6" s="15" t="s">
        <v>431</v>
      </c>
      <c r="AA6" s="18">
        <v>645</v>
      </c>
      <c r="AB6" s="18">
        <v>648</v>
      </c>
      <c r="AC6" s="18" t="str">
        <f>VLOOKUP(Table10[[#This Row],[source]],Table2226[[#All],[ID]:[Label]],3,FALSE)</f>
        <v>DTW</v>
      </c>
      <c r="AD6" s="18" t="str">
        <f>VLOOKUP(Table10[[#This Row],[target]],Table2226[[#All],[ID]:[Label]],3,FALSE)</f>
        <v>ORD</v>
      </c>
      <c r="AE6" s="18" t="str">
        <f>IF(ISERROR(VLOOKUP(Table10[[#This Row],[source2]],Table22[Label],1,FALSE)),IF(ISERROR(VLOOKUP(Table10[[#This Row],[source2]],Table2210[Label],1,FALSE)),"SPOKE","FOCUS"),"HUB")</f>
        <v>HUB</v>
      </c>
      <c r="AF6" s="18" t="str">
        <f>IF(ISERROR(VLOOKUP(Table10[[#This Row],[target2]],Table22[Label],1,FALSE)),IF(ISERROR(VLOOKUP(Table10[[#This Row],[target2]],Table2210[Label],1,FALSE)),"SPOKE","FOCUS"),"HUB")</f>
        <v>HUB</v>
      </c>
      <c r="AG6" s="18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AH6" s="18">
        <v>3288</v>
      </c>
      <c r="AI6" s="43" t="s">
        <v>362</v>
      </c>
    </row>
    <row r="7" spans="1:35" x14ac:dyDescent="0.2">
      <c r="A7">
        <v>2191</v>
      </c>
      <c r="B7">
        <v>574</v>
      </c>
      <c r="C7" t="str">
        <f>VLOOKUP(Table10[[#This Row],[source]],Table2226[[#All],[ID]:[Label]],3,FALSE)</f>
        <v>TYS</v>
      </c>
      <c r="D7" t="str">
        <f>VLOOKUP(Table10[[#This Row],[target]],Table2226[[#All],[ID]:[Label]],3,FALSE)</f>
        <v>DEN</v>
      </c>
      <c r="E7" s="32" t="str">
        <f>IF(ISERROR(VLOOKUP(Table10[[#This Row],[source2]],Table22[Label],1,FALSE)),IF(ISERROR(VLOOKUP(Table10[[#This Row],[source2]],Table2210[Label],1,FALSE)),"SPOKE","FOCUS"),"HUB")</f>
        <v>SPOKE</v>
      </c>
      <c r="F7" s="32" t="str">
        <f>IF(ISERROR(VLOOKUP(Table10[[#This Row],[target2]],Table22[Label],1,FALSE)),IF(ISERROR(VLOOKUP(Table10[[#This Row],[target2]],Table2210[Label],1,FALSE)),"SPOKE","FOCUS"),"HUB")</f>
        <v>HUB</v>
      </c>
      <c r="G7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7" s="46" t="s">
        <v>771</v>
      </c>
      <c r="I7" s="47" t="s">
        <v>772</v>
      </c>
      <c r="J7" s="47" t="s">
        <v>738</v>
      </c>
      <c r="K7" s="47" t="s">
        <v>773</v>
      </c>
      <c r="L7" s="47" t="s">
        <v>738</v>
      </c>
      <c r="M7" s="47" t="s">
        <v>774</v>
      </c>
      <c r="N7">
        <v>2252</v>
      </c>
      <c r="O7">
        <v>2252</v>
      </c>
      <c r="P7" s="11" t="s">
        <v>364</v>
      </c>
      <c r="T7" s="13">
        <v>730</v>
      </c>
      <c r="U7" s="14">
        <v>2190</v>
      </c>
      <c r="V7" s="14">
        <v>1651</v>
      </c>
      <c r="W7" s="15" t="s">
        <v>471</v>
      </c>
      <c r="AA7" s="18">
        <v>663</v>
      </c>
      <c r="AB7" s="18">
        <v>723</v>
      </c>
      <c r="AC7" s="18" t="str">
        <f>VLOOKUP(Table10[[#This Row],[source]],Table2226[[#All],[ID]:[Label]],3,FALSE)</f>
        <v>TYS</v>
      </c>
      <c r="AD7" s="18" t="str">
        <f>VLOOKUP(Table10[[#This Row],[target]],Table2226[[#All],[ID]:[Label]],3,FALSE)</f>
        <v>DEN</v>
      </c>
      <c r="AE7" s="18" t="str">
        <f>IF(ISERROR(VLOOKUP(Table10[[#This Row],[source2]],Table22[Label],1,FALSE)),IF(ISERROR(VLOOKUP(Table10[[#This Row],[source2]],Table2210[Label],1,FALSE)),"SPOKE","FOCUS"),"HUB")</f>
        <v>SPOKE</v>
      </c>
      <c r="AF7" s="18" t="str">
        <f>IF(ISERROR(VLOOKUP(Table10[[#This Row],[target2]],Table22[Label],1,FALSE)),IF(ISERROR(VLOOKUP(Table10[[#This Row],[target2]],Table2210[Label],1,FALSE)),"SPOKE","FOCUS"),"HUB")</f>
        <v>HUB</v>
      </c>
      <c r="AG7" s="18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AH7" s="18">
        <v>3164</v>
      </c>
      <c r="AI7" s="43" t="s">
        <v>373</v>
      </c>
    </row>
    <row r="8" spans="1:35" x14ac:dyDescent="0.2">
      <c r="A8">
        <v>575</v>
      </c>
      <c r="B8">
        <v>613</v>
      </c>
      <c r="C8" t="str">
        <f>VLOOKUP(Table10[[#This Row],[source]],Table2226[[#All],[ID]:[Label]],3,FALSE)</f>
        <v>DFW</v>
      </c>
      <c r="D8" t="str">
        <f>VLOOKUP(Table10[[#This Row],[target]],Table2226[[#All],[ID]:[Label]],3,FALSE)</f>
        <v>GSP</v>
      </c>
      <c r="E8" s="32" t="str">
        <f>IF(ISERROR(VLOOKUP(Table10[[#This Row],[source2]],Table22[Label],1,FALSE)),IF(ISERROR(VLOOKUP(Table10[[#This Row],[source2]],Table2210[Label],1,FALSE)),"SPOKE","FOCUS"),"HUB")</f>
        <v>HUB</v>
      </c>
      <c r="F8" s="32" t="str">
        <f>IF(ISERROR(VLOOKUP(Table10[[#This Row],[target2]],Table22[Label],1,FALSE)),IF(ISERROR(VLOOKUP(Table10[[#This Row],[target2]],Table2210[Label],1,FALSE)),"SPOKE","FOCUS"),"HUB")</f>
        <v>SPOKE</v>
      </c>
      <c r="G8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8" s="46" t="s">
        <v>771</v>
      </c>
      <c r="I8" s="47" t="s">
        <v>1974</v>
      </c>
      <c r="J8" s="47" t="s">
        <v>738</v>
      </c>
      <c r="K8" s="47" t="s">
        <v>1975</v>
      </c>
      <c r="L8" s="47" t="s">
        <v>738</v>
      </c>
      <c r="M8" s="47" t="s">
        <v>1976</v>
      </c>
      <c r="N8">
        <v>1390</v>
      </c>
      <c r="O8">
        <v>1390</v>
      </c>
      <c r="P8" s="11" t="s">
        <v>365</v>
      </c>
      <c r="T8" s="13">
        <v>730</v>
      </c>
      <c r="U8" s="14">
        <v>574</v>
      </c>
      <c r="V8" s="14">
        <v>1131</v>
      </c>
      <c r="W8" s="15" t="s">
        <v>479</v>
      </c>
      <c r="AA8" s="18">
        <v>625</v>
      </c>
      <c r="AB8" s="18">
        <v>702</v>
      </c>
      <c r="AC8" s="18" t="str">
        <f>VLOOKUP(Table10[[#This Row],[source]],Table2226[[#All],[ID]:[Label]],3,FALSE)</f>
        <v>DFW</v>
      </c>
      <c r="AD8" s="18" t="str">
        <f>VLOOKUP(Table10[[#This Row],[target]],Table2226[[#All],[ID]:[Label]],3,FALSE)</f>
        <v>GSP</v>
      </c>
      <c r="AE8" s="18" t="str">
        <f>IF(ISERROR(VLOOKUP(Table10[[#This Row],[source2]],Table22[Label],1,FALSE)),IF(ISERROR(VLOOKUP(Table10[[#This Row],[source2]],Table2210[Label],1,FALSE)),"SPOKE","FOCUS"),"HUB")</f>
        <v>HUB</v>
      </c>
      <c r="AF8" s="18" t="str">
        <f>IF(ISERROR(VLOOKUP(Table10[[#This Row],[target2]],Table22[Label],1,FALSE)),IF(ISERROR(VLOOKUP(Table10[[#This Row],[target2]],Table2210[Label],1,FALSE)),"SPOKE","FOCUS"),"HUB")</f>
        <v>SPOKE</v>
      </c>
      <c r="AG8" s="18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AH8" s="18">
        <v>3011</v>
      </c>
      <c r="AI8" s="43" t="s">
        <v>359</v>
      </c>
    </row>
    <row r="9" spans="1:35" x14ac:dyDescent="0.2">
      <c r="A9">
        <v>700</v>
      </c>
      <c r="B9">
        <v>736</v>
      </c>
      <c r="C9" t="str">
        <f>VLOOKUP(Table10[[#This Row],[source]],Table2226[[#All],[ID]:[Label]],3,FALSE)</f>
        <v>PHL</v>
      </c>
      <c r="D9" t="str">
        <f>VLOOKUP(Table10[[#This Row],[target]],Table2226[[#All],[ID]:[Label]],3,FALSE)</f>
        <v>SLC</v>
      </c>
      <c r="E9" s="32" t="str">
        <f>IF(ISERROR(VLOOKUP(Table10[[#This Row],[source2]],Table22[Label],1,FALSE)),IF(ISERROR(VLOOKUP(Table10[[#This Row],[source2]],Table2210[Label],1,FALSE)),"SPOKE","FOCUS"),"HUB")</f>
        <v>HUB</v>
      </c>
      <c r="F9" s="32" t="str">
        <f>IF(ISERROR(VLOOKUP(Table10[[#This Row],[target2]],Table22[Label],1,FALSE)),IF(ISERROR(VLOOKUP(Table10[[#This Row],[target2]],Table2210[Label],1,FALSE)),"SPOKE","FOCUS"),"HUB")</f>
        <v>HUB</v>
      </c>
      <c r="G9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9" s="46" t="s">
        <v>771</v>
      </c>
      <c r="I9" s="47" t="s">
        <v>1013</v>
      </c>
      <c r="J9" s="47" t="s">
        <v>738</v>
      </c>
      <c r="K9" s="47" t="s">
        <v>1014</v>
      </c>
      <c r="L9" s="47" t="s">
        <v>738</v>
      </c>
      <c r="M9" s="47" t="s">
        <v>1015</v>
      </c>
      <c r="N9">
        <v>4778</v>
      </c>
      <c r="O9">
        <v>4778</v>
      </c>
      <c r="P9" s="11" t="s">
        <v>366</v>
      </c>
      <c r="T9" s="13">
        <v>730</v>
      </c>
      <c r="U9" s="14">
        <v>627</v>
      </c>
      <c r="V9" s="14">
        <v>497</v>
      </c>
      <c r="W9" s="15" t="s">
        <v>522</v>
      </c>
      <c r="AA9" s="18">
        <v>591</v>
      </c>
      <c r="AB9" s="18">
        <v>736</v>
      </c>
      <c r="AC9" s="18" t="str">
        <f>VLOOKUP(Table10[[#This Row],[source]],Table2226[[#All],[ID]:[Label]],3,FALSE)</f>
        <v>PHL</v>
      </c>
      <c r="AD9" s="18" t="str">
        <f>VLOOKUP(Table10[[#This Row],[target]],Table2226[[#All],[ID]:[Label]],3,FALSE)</f>
        <v>SLC</v>
      </c>
      <c r="AE9" s="18" t="str">
        <f>IF(ISERROR(VLOOKUP(Table10[[#This Row],[source2]],Table22[Label],1,FALSE)),IF(ISERROR(VLOOKUP(Table10[[#This Row],[source2]],Table2210[Label],1,FALSE)),"SPOKE","FOCUS"),"HUB")</f>
        <v>HUB</v>
      </c>
      <c r="AF9" s="18" t="str">
        <f>IF(ISERROR(VLOOKUP(Table10[[#This Row],[target2]],Table22[Label],1,FALSE)),IF(ISERROR(VLOOKUP(Table10[[#This Row],[target2]],Table2210[Label],1,FALSE)),"SPOKE","FOCUS"),"HUB")</f>
        <v>HUB</v>
      </c>
      <c r="AG9" s="18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AH9" s="18">
        <v>2659</v>
      </c>
      <c r="AI9" s="43" t="s">
        <v>368</v>
      </c>
    </row>
    <row r="10" spans="1:35" x14ac:dyDescent="0.2">
      <c r="A10">
        <v>554</v>
      </c>
      <c r="B10">
        <v>736</v>
      </c>
      <c r="C10" t="str">
        <f>VLOOKUP(Table10[[#This Row],[source]],Table2226[[#All],[ID]:[Label]],3,FALSE)</f>
        <v>CLT</v>
      </c>
      <c r="D10" t="str">
        <f>VLOOKUP(Table10[[#This Row],[target]],Table2226[[#All],[ID]:[Label]],3,FALSE)</f>
        <v>SLC</v>
      </c>
      <c r="E10" s="32" t="str">
        <f>IF(ISERROR(VLOOKUP(Table10[[#This Row],[source2]],Table22[Label],1,FALSE)),IF(ISERROR(VLOOKUP(Table10[[#This Row],[source2]],Table2210[Label],1,FALSE)),"SPOKE","FOCUS"),"HUB")</f>
        <v>HUB</v>
      </c>
      <c r="F10" s="32" t="str">
        <f>IF(ISERROR(VLOOKUP(Table10[[#This Row],[target2]],Table22[Label],1,FALSE)),IF(ISERROR(VLOOKUP(Table10[[#This Row],[target2]],Table2210[Label],1,FALSE)),"SPOKE","FOCUS"),"HUB")</f>
        <v>HUB</v>
      </c>
      <c r="G10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10" s="46" t="s">
        <v>771</v>
      </c>
      <c r="I10" s="47" t="s">
        <v>1740</v>
      </c>
      <c r="J10" s="47" t="s">
        <v>738</v>
      </c>
      <c r="K10" s="47" t="s">
        <v>1741</v>
      </c>
      <c r="L10" s="47" t="s">
        <v>1742</v>
      </c>
      <c r="M10" s="47" t="s">
        <v>1743</v>
      </c>
      <c r="N10">
        <v>4506</v>
      </c>
      <c r="O10">
        <v>4506</v>
      </c>
      <c r="P10" s="11" t="s">
        <v>367</v>
      </c>
      <c r="T10" s="13">
        <v>730</v>
      </c>
      <c r="U10" s="14">
        <v>645</v>
      </c>
      <c r="V10" s="14">
        <v>589</v>
      </c>
      <c r="W10" s="15" t="s">
        <v>540</v>
      </c>
      <c r="AA10" s="18">
        <v>597</v>
      </c>
      <c r="AB10" s="18">
        <v>682</v>
      </c>
      <c r="AC10" s="18" t="str">
        <f>VLOOKUP(Table10[[#This Row],[source]],Table2226[[#All],[ID]:[Label]],3,FALSE)</f>
        <v>CLT</v>
      </c>
      <c r="AD10" s="18" t="str">
        <f>VLOOKUP(Table10[[#This Row],[target]],Table2226[[#All],[ID]:[Label]],3,FALSE)</f>
        <v>SLC</v>
      </c>
      <c r="AE10" s="18" t="str">
        <f>IF(ISERROR(VLOOKUP(Table10[[#This Row],[source2]],Table22[Label],1,FALSE)),IF(ISERROR(VLOOKUP(Table10[[#This Row],[source2]],Table2210[Label],1,FALSE)),"SPOKE","FOCUS"),"HUB")</f>
        <v>HUB</v>
      </c>
      <c r="AF10" s="18" t="str">
        <f>IF(ISERROR(VLOOKUP(Table10[[#This Row],[target2]],Table22[Label],1,FALSE)),IF(ISERROR(VLOOKUP(Table10[[#This Row],[target2]],Table2210[Label],1,FALSE)),"SPOKE","FOCUS"),"HUB")</f>
        <v>HUB</v>
      </c>
      <c r="AG10" s="18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AH10" s="18">
        <v>2645</v>
      </c>
      <c r="AI10" s="43" t="s">
        <v>371</v>
      </c>
    </row>
    <row r="11" spans="1:35" x14ac:dyDescent="0.2">
      <c r="A11">
        <v>591</v>
      </c>
      <c r="B11">
        <v>736</v>
      </c>
      <c r="C11" t="str">
        <f>VLOOKUP(Table10[[#This Row],[source]],Table2226[[#All],[ID]:[Label]],3,FALSE)</f>
        <v>EWR</v>
      </c>
      <c r="D11" t="str">
        <f>VLOOKUP(Table10[[#This Row],[target]],Table2226[[#All],[ID]:[Label]],3,FALSE)</f>
        <v>SLC</v>
      </c>
      <c r="E11" s="32" t="str">
        <f>IF(ISERROR(VLOOKUP(Table10[[#This Row],[source2]],Table22[Label],1,FALSE)),IF(ISERROR(VLOOKUP(Table10[[#This Row],[source2]],Table2210[Label],1,FALSE)),"SPOKE","FOCUS"),"HUB")</f>
        <v>HUB</v>
      </c>
      <c r="F11" s="32" t="str">
        <f>IF(ISERROR(VLOOKUP(Table10[[#This Row],[target2]],Table22[Label],1,FALSE)),IF(ISERROR(VLOOKUP(Table10[[#This Row],[target2]],Table2210[Label],1,FALSE)),"SPOKE","FOCUS"),"HUB")</f>
        <v>HUB</v>
      </c>
      <c r="G11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11" s="46" t="s">
        <v>771</v>
      </c>
      <c r="I11" s="47" t="s">
        <v>1877</v>
      </c>
      <c r="J11" s="47" t="s">
        <v>738</v>
      </c>
      <c r="K11" s="47" t="s">
        <v>1878</v>
      </c>
      <c r="L11" s="47" t="s">
        <v>738</v>
      </c>
      <c r="M11" s="47" t="s">
        <v>1879</v>
      </c>
      <c r="N11">
        <v>2659</v>
      </c>
      <c r="O11">
        <v>2659</v>
      </c>
      <c r="P11" s="11" t="s">
        <v>368</v>
      </c>
      <c r="T11" s="16">
        <v>730</v>
      </c>
      <c r="U11" s="16">
        <v>712</v>
      </c>
      <c r="V11" s="16">
        <v>590</v>
      </c>
      <c r="W11" s="17" t="s">
        <v>544</v>
      </c>
      <c r="AA11" s="18">
        <v>506</v>
      </c>
      <c r="AB11" s="18">
        <v>498</v>
      </c>
      <c r="AC11" s="18" t="str">
        <f>VLOOKUP(Table10[[#This Row],[source]],Table2226[[#All],[ID]:[Label]],3,FALSE)</f>
        <v>EWR</v>
      </c>
      <c r="AD11" s="18" t="str">
        <f>VLOOKUP(Table10[[#This Row],[target]],Table2226[[#All],[ID]:[Label]],3,FALSE)</f>
        <v>SLC</v>
      </c>
      <c r="AE11" s="18" t="str">
        <f>IF(ISERROR(VLOOKUP(Table10[[#This Row],[source2]],Table22[Label],1,FALSE)),IF(ISERROR(VLOOKUP(Table10[[#This Row],[source2]],Table2210[Label],1,FALSE)),"SPOKE","FOCUS"),"HUB")</f>
        <v>HUB</v>
      </c>
      <c r="AF11" s="18" t="str">
        <f>IF(ISERROR(VLOOKUP(Table10[[#This Row],[target2]],Table22[Label],1,FALSE)),IF(ISERROR(VLOOKUP(Table10[[#This Row],[target2]],Table2210[Label],1,FALSE)),"SPOKE","FOCUS"),"HUB")</f>
        <v>HUB</v>
      </c>
      <c r="AG11" s="18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AH11" s="18">
        <v>2532</v>
      </c>
      <c r="AI11" s="43" t="s">
        <v>374</v>
      </c>
    </row>
    <row r="12" spans="1:35" x14ac:dyDescent="0.2">
      <c r="A12">
        <v>575</v>
      </c>
      <c r="B12">
        <v>720</v>
      </c>
      <c r="C12" t="str">
        <f>VLOOKUP(Table10[[#This Row],[source]],Table2226[[#All],[ID]:[Label]],3,FALSE)</f>
        <v>DFW</v>
      </c>
      <c r="D12" t="str">
        <f>VLOOKUP(Table10[[#This Row],[target]],Table2226[[#All],[ID]:[Label]],3,FALSE)</f>
        <v>RIC</v>
      </c>
      <c r="E12" s="32" t="str">
        <f>IF(ISERROR(VLOOKUP(Table10[[#This Row],[source2]],Table22[Label],1,FALSE)),IF(ISERROR(VLOOKUP(Table10[[#This Row],[source2]],Table2210[Label],1,FALSE)),"SPOKE","FOCUS"),"HUB")</f>
        <v>HUB</v>
      </c>
      <c r="F12" s="32" t="str">
        <f>IF(ISERROR(VLOOKUP(Table10[[#This Row],[target2]],Table22[Label],1,FALSE)),IF(ISERROR(VLOOKUP(Table10[[#This Row],[target2]],Table2210[Label],1,FALSE)),"SPOKE","FOCUS"),"HUB")</f>
        <v>SPOKE</v>
      </c>
      <c r="G12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12" s="46" t="s">
        <v>771</v>
      </c>
      <c r="I12" s="47" t="s">
        <v>1993</v>
      </c>
      <c r="J12" s="47" t="s">
        <v>738</v>
      </c>
      <c r="K12" s="47" t="s">
        <v>1994</v>
      </c>
      <c r="L12" s="47" t="s">
        <v>738</v>
      </c>
      <c r="M12" s="47" t="s">
        <v>1995</v>
      </c>
      <c r="N12">
        <v>4081</v>
      </c>
      <c r="O12">
        <v>4081</v>
      </c>
      <c r="P12" s="11" t="s">
        <v>369</v>
      </c>
      <c r="T12" s="16">
        <v>730</v>
      </c>
      <c r="U12" s="16">
        <v>597</v>
      </c>
      <c r="V12" s="16">
        <v>2933</v>
      </c>
      <c r="W12" s="15" t="s">
        <v>553</v>
      </c>
      <c r="AA12" s="18">
        <v>691</v>
      </c>
      <c r="AB12" s="18">
        <v>2190</v>
      </c>
      <c r="AC12" s="18" t="str">
        <f>VLOOKUP(Table10[[#This Row],[source]],Table2226[[#All],[ID]:[Label]],3,FALSE)</f>
        <v>DFW</v>
      </c>
      <c r="AD12" s="18" t="str">
        <f>VLOOKUP(Table10[[#This Row],[target]],Table2226[[#All],[ID]:[Label]],3,FALSE)</f>
        <v>RIC</v>
      </c>
      <c r="AE12" s="18" t="str">
        <f>IF(ISERROR(VLOOKUP(Table10[[#This Row],[source2]],Table22[Label],1,FALSE)),IF(ISERROR(VLOOKUP(Table10[[#This Row],[source2]],Table2210[Label],1,FALSE)),"SPOKE","FOCUS"),"HUB")</f>
        <v>HUB</v>
      </c>
      <c r="AF12" s="18" t="str">
        <f>IF(ISERROR(VLOOKUP(Table10[[#This Row],[target2]],Table22[Label],1,FALSE)),IF(ISERROR(VLOOKUP(Table10[[#This Row],[target2]],Table2210[Label],1,FALSE)),"SPOKE","FOCUS"),"HUB")</f>
        <v>SPOKE</v>
      </c>
      <c r="AG12" s="18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AH12" s="18">
        <v>2470</v>
      </c>
      <c r="AI12" s="43" t="s">
        <v>388</v>
      </c>
    </row>
    <row r="13" spans="1:35" x14ac:dyDescent="0.2">
      <c r="A13">
        <v>579</v>
      </c>
      <c r="B13">
        <v>506</v>
      </c>
      <c r="C13" t="str">
        <f>VLOOKUP(Table10[[#This Row],[source]],Table2226[[#All],[ID]:[Label]],3,FALSE)</f>
        <v>DTW</v>
      </c>
      <c r="D13" t="str">
        <f>VLOOKUP(Table10[[#This Row],[target]],Table2226[[#All],[ID]:[Label]],3,FALSE)</f>
        <v>ATL</v>
      </c>
      <c r="E13" s="32" t="str">
        <f>IF(ISERROR(VLOOKUP(Table10[[#This Row],[source2]],Table22[Label],1,FALSE)),IF(ISERROR(VLOOKUP(Table10[[#This Row],[source2]],Table2210[Label],1,FALSE)),"SPOKE","FOCUS"),"HUB")</f>
        <v>HUB</v>
      </c>
      <c r="F13" s="32" t="str">
        <f>IF(ISERROR(VLOOKUP(Table10[[#This Row],[target2]],Table22[Label],1,FALSE)),IF(ISERROR(VLOOKUP(Table10[[#This Row],[target2]],Table2210[Label],1,FALSE)),"SPOKE","FOCUS"),"HUB")</f>
        <v>HUB</v>
      </c>
      <c r="G13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13" s="46" t="s">
        <v>1351</v>
      </c>
      <c r="I13" s="47" t="s">
        <v>1352</v>
      </c>
      <c r="J13" s="47" t="s">
        <v>738</v>
      </c>
      <c r="K13" s="47" t="s">
        <v>1353</v>
      </c>
      <c r="L13" s="47" t="s">
        <v>1354</v>
      </c>
      <c r="M13" s="47" t="s">
        <v>1355</v>
      </c>
      <c r="N13">
        <v>927</v>
      </c>
      <c r="O13">
        <v>927</v>
      </c>
      <c r="P13" s="11" t="s">
        <v>370</v>
      </c>
      <c r="T13" s="16">
        <v>730</v>
      </c>
      <c r="U13" s="16">
        <v>529</v>
      </c>
      <c r="V13" s="16">
        <v>384</v>
      </c>
      <c r="W13" s="15" t="s">
        <v>579</v>
      </c>
      <c r="AA13" s="18">
        <v>2191</v>
      </c>
      <c r="AB13" s="18">
        <v>574</v>
      </c>
      <c r="AC13" s="18" t="str">
        <f>VLOOKUP(Table10[[#This Row],[source]],Table2226[[#All],[ID]:[Label]],3,FALSE)</f>
        <v>DTW</v>
      </c>
      <c r="AD13" s="18" t="str">
        <f>VLOOKUP(Table10[[#This Row],[target]],Table2226[[#All],[ID]:[Label]],3,FALSE)</f>
        <v>ATL</v>
      </c>
      <c r="AE13" s="18" t="str">
        <f>IF(ISERROR(VLOOKUP(Table10[[#This Row],[source2]],Table22[Label],1,FALSE)),IF(ISERROR(VLOOKUP(Table10[[#This Row],[source2]],Table2210[Label],1,FALSE)),"SPOKE","FOCUS"),"HUB")</f>
        <v>HUB</v>
      </c>
      <c r="AF13" s="18" t="str">
        <f>IF(ISERROR(VLOOKUP(Table10[[#This Row],[target2]],Table22[Label],1,FALSE)),IF(ISERROR(VLOOKUP(Table10[[#This Row],[target2]],Table2210[Label],1,FALSE)),"SPOKE","FOCUS"),"HUB")</f>
        <v>HUB</v>
      </c>
      <c r="AG13" s="18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AH13" s="18">
        <v>2252</v>
      </c>
      <c r="AI13" s="43" t="s">
        <v>364</v>
      </c>
    </row>
    <row r="14" spans="1:35" x14ac:dyDescent="0.2">
      <c r="A14">
        <v>597</v>
      </c>
      <c r="B14">
        <v>682</v>
      </c>
      <c r="C14" t="str">
        <f>VLOOKUP(Table10[[#This Row],[source]],Table2226[[#All],[ID]:[Label]],3,FALSE)</f>
        <v>FLL</v>
      </c>
      <c r="D14" t="str">
        <f>VLOOKUP(Table10[[#This Row],[target]],Table2226[[#All],[ID]:[Label]],3,FALSE)</f>
        <v>MSP</v>
      </c>
      <c r="E14" s="32" t="str">
        <f>IF(ISERROR(VLOOKUP(Table10[[#This Row],[source2]],Table22[Label],1,FALSE)),IF(ISERROR(VLOOKUP(Table10[[#This Row],[source2]],Table2210[Label],1,FALSE)),"SPOKE","FOCUS"),"HUB")</f>
        <v>FOCUS</v>
      </c>
      <c r="F14" s="32" t="str">
        <f>IF(ISERROR(VLOOKUP(Table10[[#This Row],[target2]],Table22[Label],1,FALSE)),IF(ISERROR(VLOOKUP(Table10[[#This Row],[target2]],Table2210[Label],1,FALSE)),"SPOKE","FOCUS"),"HUB")</f>
        <v>HUB</v>
      </c>
      <c r="G14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HUB-FOCUS</v>
      </c>
      <c r="H14" s="46" t="s">
        <v>771</v>
      </c>
      <c r="I14" s="47" t="s">
        <v>838</v>
      </c>
      <c r="J14" s="47" t="s">
        <v>738</v>
      </c>
      <c r="K14" s="47" t="s">
        <v>839</v>
      </c>
      <c r="L14" s="47" t="s">
        <v>738</v>
      </c>
      <c r="M14" s="47" t="s">
        <v>840</v>
      </c>
      <c r="N14">
        <v>2645</v>
      </c>
      <c r="O14">
        <v>2645</v>
      </c>
      <c r="P14" s="11" t="s">
        <v>371</v>
      </c>
      <c r="T14" s="16">
        <v>730</v>
      </c>
      <c r="U14" s="16">
        <v>682</v>
      </c>
      <c r="V14" s="16">
        <v>539</v>
      </c>
      <c r="W14" s="15" t="s">
        <v>581</v>
      </c>
      <c r="AA14" s="18">
        <v>682</v>
      </c>
      <c r="AB14" s="18">
        <v>720</v>
      </c>
      <c r="AC14" s="18" t="str">
        <f>VLOOKUP(Table10[[#This Row],[source]],Table2226[[#All],[ID]:[Label]],3,FALSE)</f>
        <v>FLL</v>
      </c>
      <c r="AD14" s="18" t="str">
        <f>VLOOKUP(Table10[[#This Row],[target]],Table2226[[#All],[ID]:[Label]],3,FALSE)</f>
        <v>MSP</v>
      </c>
      <c r="AE14" s="18" t="str">
        <f>IF(ISERROR(VLOOKUP(Table10[[#This Row],[source2]],Table22[Label],1,FALSE)),IF(ISERROR(VLOOKUP(Table10[[#This Row],[source2]],Table2210[Label],1,FALSE)),"SPOKE","FOCUS"),"HUB")</f>
        <v>FOCUS</v>
      </c>
      <c r="AF14" s="18" t="str">
        <f>IF(ISERROR(VLOOKUP(Table10[[#This Row],[target2]],Table22[Label],1,FALSE)),IF(ISERROR(VLOOKUP(Table10[[#This Row],[target2]],Table2210[Label],1,FALSE)),"SPOKE","FOCUS"),"HUB")</f>
        <v>HUB</v>
      </c>
      <c r="AG14" s="18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HUB-FOCUS</v>
      </c>
      <c r="AH14" s="18">
        <v>2139</v>
      </c>
      <c r="AI14" s="43" t="s">
        <v>382</v>
      </c>
    </row>
    <row r="15" spans="1:35" x14ac:dyDescent="0.2">
      <c r="A15">
        <v>2189</v>
      </c>
      <c r="B15">
        <v>673</v>
      </c>
      <c r="C15" t="str">
        <f>VLOOKUP(Table10[[#This Row],[source]],Table2226[[#All],[ID]:[Label]],3,FALSE)</f>
        <v>TUL</v>
      </c>
      <c r="D15" t="str">
        <f>VLOOKUP(Table10[[#This Row],[target]],Table2226[[#All],[ID]:[Label]],3,FALSE)</f>
        <v>MIA</v>
      </c>
      <c r="E15" s="32" t="str">
        <f>IF(ISERROR(VLOOKUP(Table10[[#This Row],[source2]],Table22[Label],1,FALSE)),IF(ISERROR(VLOOKUP(Table10[[#This Row],[source2]],Table2210[Label],1,FALSE)),"SPOKE","FOCUS"),"HUB")</f>
        <v>SPOKE</v>
      </c>
      <c r="F15" s="32" t="str">
        <f>IF(ISERROR(VLOOKUP(Table10[[#This Row],[target2]],Table22[Label],1,FALSE)),IF(ISERROR(VLOOKUP(Table10[[#This Row],[target2]],Table2210[Label],1,FALSE)),"SPOKE","FOCUS"),"HUB")</f>
        <v>HUB</v>
      </c>
      <c r="G15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15" s="46" t="s">
        <v>771</v>
      </c>
      <c r="I15" s="47" t="s">
        <v>2335</v>
      </c>
      <c r="J15" s="47" t="s">
        <v>738</v>
      </c>
      <c r="K15" s="47" t="s">
        <v>2336</v>
      </c>
      <c r="L15" s="47" t="s">
        <v>738</v>
      </c>
      <c r="M15" s="47" t="s">
        <v>2337</v>
      </c>
      <c r="N15">
        <v>1628</v>
      </c>
      <c r="O15">
        <v>1628</v>
      </c>
      <c r="P15" s="11" t="s">
        <v>372</v>
      </c>
      <c r="T15" s="16">
        <v>730</v>
      </c>
      <c r="U15" s="16">
        <v>575</v>
      </c>
      <c r="V15" s="16">
        <v>735</v>
      </c>
      <c r="W15" s="15" t="s">
        <v>597</v>
      </c>
      <c r="AA15" s="18">
        <v>506</v>
      </c>
      <c r="AB15" s="18">
        <v>691</v>
      </c>
      <c r="AC15" s="18" t="str">
        <f>VLOOKUP(Table10[[#This Row],[source]],Table2226[[#All],[ID]:[Label]],3,FALSE)</f>
        <v>TUL</v>
      </c>
      <c r="AD15" s="18" t="str">
        <f>VLOOKUP(Table10[[#This Row],[target]],Table2226[[#All],[ID]:[Label]],3,FALSE)</f>
        <v>MIA</v>
      </c>
      <c r="AE15" s="18" t="str">
        <f>IF(ISERROR(VLOOKUP(Table10[[#This Row],[source2]],Table22[Label],1,FALSE)),IF(ISERROR(VLOOKUP(Table10[[#This Row],[source2]],Table2210[Label],1,FALSE)),"SPOKE","FOCUS"),"HUB")</f>
        <v>SPOKE</v>
      </c>
      <c r="AF15" s="18" t="str">
        <f>IF(ISERROR(VLOOKUP(Table10[[#This Row],[target2]],Table22[Label],1,FALSE)),IF(ISERROR(VLOOKUP(Table10[[#This Row],[target2]],Table2210[Label],1,FALSE)),"SPOKE","FOCUS"),"HUB")</f>
        <v>HUB</v>
      </c>
      <c r="AG15" s="18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AH15" s="18">
        <v>2130</v>
      </c>
      <c r="AI15" s="43" t="s">
        <v>387</v>
      </c>
    </row>
    <row r="16" spans="1:35" x14ac:dyDescent="0.2">
      <c r="A16">
        <v>663</v>
      </c>
      <c r="B16">
        <v>723</v>
      </c>
      <c r="C16" t="str">
        <f>VLOOKUP(Table10[[#This Row],[source]],Table2226[[#All],[ID]:[Label]],3,FALSE)</f>
        <v>MCO</v>
      </c>
      <c r="D16" t="str">
        <f>VLOOKUP(Table10[[#This Row],[target]],Table2226[[#All],[ID]:[Label]],3,FALSE)</f>
        <v>ROC</v>
      </c>
      <c r="E16" s="32" t="str">
        <f>IF(ISERROR(VLOOKUP(Table10[[#This Row],[source2]],Table22[Label],1,FALSE)),IF(ISERROR(VLOOKUP(Table10[[#This Row],[source2]],Table2210[Label],1,FALSE)),"SPOKE","FOCUS"),"HUB")</f>
        <v>FOCUS</v>
      </c>
      <c r="F16" s="32" t="str">
        <f>IF(ISERROR(VLOOKUP(Table10[[#This Row],[target2]],Table22[Label],1,FALSE)),IF(ISERROR(VLOOKUP(Table10[[#This Row],[target2]],Table2210[Label],1,FALSE)),"SPOKE","FOCUS"),"HUB")</f>
        <v>SPOKE</v>
      </c>
      <c r="G16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SPOKE-FOCUS</v>
      </c>
      <c r="H16" s="46" t="s">
        <v>771</v>
      </c>
      <c r="I16" s="47" t="s">
        <v>2309</v>
      </c>
      <c r="J16" s="47" t="s">
        <v>738</v>
      </c>
      <c r="K16" s="47" t="s">
        <v>2310</v>
      </c>
      <c r="L16" s="47" t="s">
        <v>2311</v>
      </c>
      <c r="M16" s="47" t="s">
        <v>2312</v>
      </c>
      <c r="N16">
        <v>3164</v>
      </c>
      <c r="O16">
        <v>3164</v>
      </c>
      <c r="P16" s="11" t="s">
        <v>373</v>
      </c>
      <c r="T16" s="16">
        <v>730</v>
      </c>
      <c r="U16" s="16">
        <v>591</v>
      </c>
      <c r="V16" s="16">
        <v>351</v>
      </c>
      <c r="W16" s="15" t="s">
        <v>624</v>
      </c>
      <c r="AA16" s="18">
        <v>691</v>
      </c>
      <c r="AB16" s="18">
        <v>712</v>
      </c>
      <c r="AC16" s="18" t="str">
        <f>VLOOKUP(Table10[[#This Row],[source]],Table2226[[#All],[ID]:[Label]],3,FALSE)</f>
        <v>MCO</v>
      </c>
      <c r="AD16" s="18" t="str">
        <f>VLOOKUP(Table10[[#This Row],[target]],Table2226[[#All],[ID]:[Label]],3,FALSE)</f>
        <v>ROC</v>
      </c>
      <c r="AE16" s="18" t="str">
        <f>IF(ISERROR(VLOOKUP(Table10[[#This Row],[source2]],Table22[Label],1,FALSE)),IF(ISERROR(VLOOKUP(Table10[[#This Row],[source2]],Table2210[Label],1,FALSE)),"SPOKE","FOCUS"),"HUB")</f>
        <v>FOCUS</v>
      </c>
      <c r="AF16" s="18" t="str">
        <f>IF(ISERROR(VLOOKUP(Table10[[#This Row],[target2]],Table22[Label],1,FALSE)),IF(ISERROR(VLOOKUP(Table10[[#This Row],[target2]],Table2210[Label],1,FALSE)),"SPOKE","FOCUS"),"HUB")</f>
        <v>SPOKE</v>
      </c>
      <c r="AG16" s="18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SPOKE-FOCUS</v>
      </c>
      <c r="AH16" s="18">
        <v>2113</v>
      </c>
      <c r="AI16" s="43" t="s">
        <v>361</v>
      </c>
    </row>
    <row r="17" spans="1:35" x14ac:dyDescent="0.2">
      <c r="A17">
        <v>506</v>
      </c>
      <c r="B17">
        <v>498</v>
      </c>
      <c r="C17" t="str">
        <f>VLOOKUP(Table10[[#This Row],[source]],Table2226[[#All],[ID]:[Label]],3,FALSE)</f>
        <v>ATL</v>
      </c>
      <c r="D17" t="str">
        <f>VLOOKUP(Table10[[#This Row],[target]],Table2226[[#All],[ID]:[Label]],3,FALSE)</f>
        <v>ALB</v>
      </c>
      <c r="E17" s="32" t="str">
        <f>IF(ISERROR(VLOOKUP(Table10[[#This Row],[source2]],Table22[Label],1,FALSE)),IF(ISERROR(VLOOKUP(Table10[[#This Row],[source2]],Table2210[Label],1,FALSE)),"SPOKE","FOCUS"),"HUB")</f>
        <v>HUB</v>
      </c>
      <c r="F17" s="32" t="str">
        <f>IF(ISERROR(VLOOKUP(Table10[[#This Row],[target2]],Table22[Label],1,FALSE)),IF(ISERROR(VLOOKUP(Table10[[#This Row],[target2]],Table2210[Label],1,FALSE)),"SPOKE","FOCUS"),"HUB")</f>
        <v>SPOKE</v>
      </c>
      <c r="G17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17" s="46" t="s">
        <v>771</v>
      </c>
      <c r="I17" s="47" t="s">
        <v>1380</v>
      </c>
      <c r="J17" s="47" t="s">
        <v>738</v>
      </c>
      <c r="K17" s="47" t="s">
        <v>1381</v>
      </c>
      <c r="L17" s="47" t="s">
        <v>738</v>
      </c>
      <c r="M17" s="47" t="s">
        <v>1382</v>
      </c>
      <c r="N17">
        <v>2532</v>
      </c>
      <c r="O17">
        <v>2532</v>
      </c>
      <c r="P17" s="11" t="s">
        <v>374</v>
      </c>
      <c r="T17" s="16">
        <v>730</v>
      </c>
      <c r="U17" s="16">
        <v>647</v>
      </c>
      <c r="V17" s="16">
        <v>919</v>
      </c>
      <c r="W17" s="15" t="s">
        <v>639</v>
      </c>
      <c r="AA17" s="18">
        <v>627</v>
      </c>
      <c r="AB17" s="18">
        <v>720</v>
      </c>
      <c r="AC17" s="18" t="str">
        <f>VLOOKUP(Table10[[#This Row],[source]],Table2226[[#All],[ID]:[Label]],3,FALSE)</f>
        <v>ATL</v>
      </c>
      <c r="AD17" s="18" t="str">
        <f>VLOOKUP(Table10[[#This Row],[target]],Table2226[[#All],[ID]:[Label]],3,FALSE)</f>
        <v>ALB</v>
      </c>
      <c r="AE17" s="18" t="str">
        <f>IF(ISERROR(VLOOKUP(Table10[[#This Row],[source2]],Table22[Label],1,FALSE)),IF(ISERROR(VLOOKUP(Table10[[#This Row],[source2]],Table2210[Label],1,FALSE)),"SPOKE","FOCUS"),"HUB")</f>
        <v>HUB</v>
      </c>
      <c r="AF17" s="18" t="str">
        <f>IF(ISERROR(VLOOKUP(Table10[[#This Row],[target2]],Table22[Label],1,FALSE)),IF(ISERROR(VLOOKUP(Table10[[#This Row],[target2]],Table2210[Label],1,FALSE)),"SPOKE","FOCUS"),"HUB")</f>
        <v>SPOKE</v>
      </c>
      <c r="AG17" s="18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AH17" s="18">
        <v>2039</v>
      </c>
      <c r="AI17" s="43" t="s">
        <v>360</v>
      </c>
    </row>
    <row r="18" spans="1:35" x14ac:dyDescent="0.2">
      <c r="A18">
        <v>691</v>
      </c>
      <c r="B18">
        <v>529</v>
      </c>
      <c r="C18" t="str">
        <f>VLOOKUP(Table10[[#This Row],[source]],Table2226[[#All],[ID]:[Label]],3,FALSE)</f>
        <v>ORD</v>
      </c>
      <c r="D18" t="str">
        <f>VLOOKUP(Table10[[#This Row],[target]],Table2226[[#All],[ID]:[Label]],3,FALSE)</f>
        <v>BOS</v>
      </c>
      <c r="E18" s="32" t="str">
        <f>IF(ISERROR(VLOOKUP(Table10[[#This Row],[source2]],Table22[Label],1,FALSE)),IF(ISERROR(VLOOKUP(Table10[[#This Row],[source2]],Table2210[Label],1,FALSE)),"SPOKE","FOCUS"),"HUB")</f>
        <v>HUB</v>
      </c>
      <c r="F18" s="32" t="str">
        <f>IF(ISERROR(VLOOKUP(Table10[[#This Row],[target2]],Table22[Label],1,FALSE)),IF(ISERROR(VLOOKUP(Table10[[#This Row],[target2]],Table2210[Label],1,FALSE)),"SPOKE","FOCUS"),"HUB")</f>
        <v>HUB</v>
      </c>
      <c r="G18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18" s="46" t="s">
        <v>1582</v>
      </c>
      <c r="I18" s="47" t="s">
        <v>1583</v>
      </c>
      <c r="J18" s="47" t="s">
        <v>738</v>
      </c>
      <c r="K18" s="47" t="s">
        <v>1584</v>
      </c>
      <c r="L18" s="47" t="s">
        <v>738</v>
      </c>
      <c r="M18" s="47" t="s">
        <v>1585</v>
      </c>
      <c r="N18">
        <v>1387</v>
      </c>
      <c r="O18">
        <v>1387</v>
      </c>
      <c r="P18" s="11" t="s">
        <v>375</v>
      </c>
      <c r="T18" s="16">
        <v>730</v>
      </c>
      <c r="U18" s="16">
        <v>691</v>
      </c>
      <c r="V18" s="16">
        <v>1038</v>
      </c>
      <c r="W18" s="15" t="s">
        <v>640</v>
      </c>
      <c r="AA18" s="18">
        <v>733</v>
      </c>
      <c r="AB18" s="18">
        <v>645</v>
      </c>
      <c r="AC18" s="18" t="str">
        <f>VLOOKUP(Table10[[#This Row],[source]],Table2226[[#All],[ID]:[Label]],3,FALSE)</f>
        <v>ORD</v>
      </c>
      <c r="AD18" s="18" t="str">
        <f>VLOOKUP(Table10[[#This Row],[target]],Table2226[[#All],[ID]:[Label]],3,FALSE)</f>
        <v>BOS</v>
      </c>
      <c r="AE18" s="18" t="str">
        <f>IF(ISERROR(VLOOKUP(Table10[[#This Row],[source2]],Table22[Label],1,FALSE)),IF(ISERROR(VLOOKUP(Table10[[#This Row],[source2]],Table2210[Label],1,FALSE)),"SPOKE","FOCUS"),"HUB")</f>
        <v>HUB</v>
      </c>
      <c r="AF18" s="18" t="str">
        <f>IF(ISERROR(VLOOKUP(Table10[[#This Row],[target2]],Table22[Label],1,FALSE)),IF(ISERROR(VLOOKUP(Table10[[#This Row],[target2]],Table2210[Label],1,FALSE)),"SPOKE","FOCUS"),"HUB")</f>
        <v>HUB</v>
      </c>
      <c r="AG18" s="18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AH18" s="18">
        <v>2004</v>
      </c>
      <c r="AI18" s="43" t="s">
        <v>379</v>
      </c>
    </row>
    <row r="19" spans="1:35" x14ac:dyDescent="0.2">
      <c r="A19">
        <v>506</v>
      </c>
      <c r="B19">
        <v>723</v>
      </c>
      <c r="C19" t="str">
        <f>VLOOKUP(Table10[[#This Row],[source]],Table2226[[#All],[ID]:[Label]],3,FALSE)</f>
        <v>ATL</v>
      </c>
      <c r="D19" t="str">
        <f>VLOOKUP(Table10[[#This Row],[target]],Table2226[[#All],[ID]:[Label]],3,FALSE)</f>
        <v>ROC</v>
      </c>
      <c r="E19" s="32" t="str">
        <f>IF(ISERROR(VLOOKUP(Table10[[#This Row],[source2]],Table22[Label],1,FALSE)),IF(ISERROR(VLOOKUP(Table10[[#This Row],[source2]],Table2210[Label],1,FALSE)),"SPOKE","FOCUS"),"HUB")</f>
        <v>HUB</v>
      </c>
      <c r="F19" s="32" t="str">
        <f>IF(ISERROR(VLOOKUP(Table10[[#This Row],[target2]],Table22[Label],1,FALSE)),IF(ISERROR(VLOOKUP(Table10[[#This Row],[target2]],Table2210[Label],1,FALSE)),"SPOKE","FOCUS"),"HUB")</f>
        <v>SPOKE</v>
      </c>
      <c r="G19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19" s="46" t="s">
        <v>771</v>
      </c>
      <c r="I19" s="47" t="s">
        <v>1422</v>
      </c>
      <c r="J19" s="47" t="s">
        <v>738</v>
      </c>
      <c r="K19" s="47" t="s">
        <v>1423</v>
      </c>
      <c r="L19" s="47" t="s">
        <v>738</v>
      </c>
      <c r="M19" s="47" t="s">
        <v>1424</v>
      </c>
      <c r="N19">
        <v>3563</v>
      </c>
      <c r="O19">
        <v>3563</v>
      </c>
      <c r="P19" s="11" t="s">
        <v>376</v>
      </c>
      <c r="T19" s="16">
        <v>730</v>
      </c>
      <c r="U19" s="16">
        <v>625</v>
      </c>
      <c r="V19" s="16">
        <v>141</v>
      </c>
      <c r="W19" s="15" t="s">
        <v>670</v>
      </c>
      <c r="AA19" s="18">
        <v>571</v>
      </c>
      <c r="AB19" s="18">
        <v>653</v>
      </c>
      <c r="AC19" s="18" t="str">
        <f>VLOOKUP(Table10[[#This Row],[source]],Table2226[[#All],[ID]:[Label]],3,FALSE)</f>
        <v>ATL</v>
      </c>
      <c r="AD19" s="18" t="str">
        <f>VLOOKUP(Table10[[#This Row],[target]],Table2226[[#All],[ID]:[Label]],3,FALSE)</f>
        <v>ROC</v>
      </c>
      <c r="AE19" s="18" t="str">
        <f>IF(ISERROR(VLOOKUP(Table10[[#This Row],[source2]],Table22[Label],1,FALSE)),IF(ISERROR(VLOOKUP(Table10[[#This Row],[source2]],Table2210[Label],1,FALSE)),"SPOKE","FOCUS"),"HUB")</f>
        <v>HUB</v>
      </c>
      <c r="AF19" s="18" t="str">
        <f>IF(ISERROR(VLOOKUP(Table10[[#This Row],[target2]],Table22[Label],1,FALSE)),IF(ISERROR(VLOOKUP(Table10[[#This Row],[target2]],Table2210[Label],1,FALSE)),"SPOKE","FOCUS"),"HUB")</f>
        <v>SPOKE</v>
      </c>
      <c r="AG19" s="18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AH19" s="18">
        <v>1691</v>
      </c>
      <c r="AI19" s="43" t="s">
        <v>386</v>
      </c>
    </row>
    <row r="20" spans="1:35" x14ac:dyDescent="0.2">
      <c r="A20">
        <v>691</v>
      </c>
      <c r="B20">
        <v>575</v>
      </c>
      <c r="C20" t="str">
        <f>VLOOKUP(Table10[[#This Row],[source]],Table2226[[#All],[ID]:[Label]],3,FALSE)</f>
        <v>ORD</v>
      </c>
      <c r="D20" t="str">
        <f>VLOOKUP(Table10[[#This Row],[target]],Table2226[[#All],[ID]:[Label]],3,FALSE)</f>
        <v>DFW</v>
      </c>
      <c r="E20" s="32" t="str">
        <f>IF(ISERROR(VLOOKUP(Table10[[#This Row],[source2]],Table22[Label],1,FALSE)),IF(ISERROR(VLOOKUP(Table10[[#This Row],[source2]],Table2210[Label],1,FALSE)),"SPOKE","FOCUS"),"HUB")</f>
        <v>HUB</v>
      </c>
      <c r="F20" s="32" t="str">
        <f>IF(ISERROR(VLOOKUP(Table10[[#This Row],[target2]],Table22[Label],1,FALSE)),IF(ISERROR(VLOOKUP(Table10[[#This Row],[target2]],Table2210[Label],1,FALSE)),"SPOKE","FOCUS"),"HUB")</f>
        <v>HUB</v>
      </c>
      <c r="G20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20" s="46" t="s">
        <v>1665</v>
      </c>
      <c r="I20" s="47" t="s">
        <v>1666</v>
      </c>
      <c r="J20" s="47" t="s">
        <v>738</v>
      </c>
      <c r="K20" s="47" t="s">
        <v>1667</v>
      </c>
      <c r="L20" s="47" t="s">
        <v>1313</v>
      </c>
      <c r="M20" s="47" t="s">
        <v>1668</v>
      </c>
      <c r="N20">
        <v>1423</v>
      </c>
      <c r="O20">
        <v>1423</v>
      </c>
      <c r="P20" s="11" t="s">
        <v>377</v>
      </c>
      <c r="T20" s="16">
        <v>730</v>
      </c>
      <c r="U20" s="16">
        <v>579</v>
      </c>
      <c r="V20" s="16">
        <v>247</v>
      </c>
      <c r="W20" s="15" t="s">
        <v>684</v>
      </c>
      <c r="AA20" s="18">
        <v>2189</v>
      </c>
      <c r="AB20" s="18">
        <v>673</v>
      </c>
      <c r="AC20" s="18" t="str">
        <f>VLOOKUP(Table10[[#This Row],[source]],Table2226[[#All],[ID]:[Label]],3,FALSE)</f>
        <v>ORD</v>
      </c>
      <c r="AD20" s="18" t="str">
        <f>VLOOKUP(Table10[[#This Row],[target]],Table2226[[#All],[ID]:[Label]],3,FALSE)</f>
        <v>DFW</v>
      </c>
      <c r="AE20" s="18" t="str">
        <f>IF(ISERROR(VLOOKUP(Table10[[#This Row],[source2]],Table22[Label],1,FALSE)),IF(ISERROR(VLOOKUP(Table10[[#This Row],[source2]],Table2210[Label],1,FALSE)),"SPOKE","FOCUS"),"HUB")</f>
        <v>HUB</v>
      </c>
      <c r="AF20" s="18" t="str">
        <f>IF(ISERROR(VLOOKUP(Table10[[#This Row],[target2]],Table22[Label],1,FALSE)),IF(ISERROR(VLOOKUP(Table10[[#This Row],[target2]],Table2210[Label],1,FALSE)),"SPOKE","FOCUS"),"HUB")</f>
        <v>HUB</v>
      </c>
      <c r="AG20" s="18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AH20" s="18">
        <v>1628</v>
      </c>
      <c r="AI20" s="43" t="s">
        <v>372</v>
      </c>
    </row>
    <row r="21" spans="1:35" x14ac:dyDescent="0.2">
      <c r="A21">
        <v>625</v>
      </c>
      <c r="B21">
        <v>2189</v>
      </c>
      <c r="C21" t="str">
        <f>VLOOKUP(Table10[[#This Row],[source]],Table2226[[#All],[ID]:[Label]],3,FALSE)</f>
        <v>IAD</v>
      </c>
      <c r="D21" t="str">
        <f>VLOOKUP(Table10[[#This Row],[target]],Table2226[[#All],[ID]:[Label]],3,FALSE)</f>
        <v>TUL</v>
      </c>
      <c r="E21" s="32" t="str">
        <f>IF(ISERROR(VLOOKUP(Table10[[#This Row],[source2]],Table22[Label],1,FALSE)),IF(ISERROR(VLOOKUP(Table10[[#This Row],[source2]],Table2210[Label],1,FALSE)),"SPOKE","FOCUS"),"HUB")</f>
        <v>HUB</v>
      </c>
      <c r="F21" s="32" t="str">
        <f>IF(ISERROR(VLOOKUP(Table10[[#This Row],[target2]],Table22[Label],1,FALSE)),IF(ISERROR(VLOOKUP(Table10[[#This Row],[target2]],Table2210[Label],1,FALSE)),"SPOKE","FOCUS"),"HUB")</f>
        <v>SPOKE</v>
      </c>
      <c r="G21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21" s="46" t="s">
        <v>771</v>
      </c>
      <c r="I21" s="47" t="s">
        <v>1126</v>
      </c>
      <c r="J21" s="47" t="s">
        <v>738</v>
      </c>
      <c r="K21" s="47" t="s">
        <v>1127</v>
      </c>
      <c r="L21" s="47" t="s">
        <v>1128</v>
      </c>
      <c r="M21" s="47" t="s">
        <v>1129</v>
      </c>
      <c r="N21">
        <v>829</v>
      </c>
      <c r="O21">
        <v>829</v>
      </c>
      <c r="P21" s="11" t="s">
        <v>378</v>
      </c>
      <c r="T21" s="16">
        <v>730</v>
      </c>
      <c r="U21" s="16">
        <v>736</v>
      </c>
      <c r="V21" s="16">
        <v>549</v>
      </c>
      <c r="W21" s="15" t="s">
        <v>687</v>
      </c>
      <c r="AA21" s="18">
        <v>691</v>
      </c>
      <c r="AB21" s="18">
        <v>575</v>
      </c>
      <c r="AC21" s="18" t="str">
        <f>VLOOKUP(Table10[[#This Row],[source]],Table2226[[#All],[ID]:[Label]],3,FALSE)</f>
        <v>IAD</v>
      </c>
      <c r="AD21" s="18" t="str">
        <f>VLOOKUP(Table10[[#This Row],[target]],Table2226[[#All],[ID]:[Label]],3,FALSE)</f>
        <v>TUL</v>
      </c>
      <c r="AE21" s="18" t="str">
        <f>IF(ISERROR(VLOOKUP(Table10[[#This Row],[source2]],Table22[Label],1,FALSE)),IF(ISERROR(VLOOKUP(Table10[[#This Row],[source2]],Table2210[Label],1,FALSE)),"SPOKE","FOCUS"),"HUB")</f>
        <v>HUB</v>
      </c>
      <c r="AF21" s="18" t="str">
        <f>IF(ISERROR(VLOOKUP(Table10[[#This Row],[target2]],Table22[Label],1,FALSE)),IF(ISERROR(VLOOKUP(Table10[[#This Row],[target2]],Table2210[Label],1,FALSE)),"SPOKE","FOCUS"),"HUB")</f>
        <v>SPOKE</v>
      </c>
      <c r="AG21" s="18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AH21" s="18">
        <v>1423</v>
      </c>
      <c r="AI21" s="43" t="s">
        <v>377</v>
      </c>
    </row>
    <row r="22" spans="1:35" x14ac:dyDescent="0.2">
      <c r="A22">
        <v>733</v>
      </c>
      <c r="B22">
        <v>645</v>
      </c>
      <c r="C22" t="str">
        <f>VLOOKUP(Table10[[#This Row],[source]],Table2226[[#All],[ID]:[Label]],3,FALSE)</f>
        <v>SFO</v>
      </c>
      <c r="D22" t="str">
        <f>VLOOKUP(Table10[[#This Row],[target]],Table2226[[#All],[ID]:[Label]],3,FALSE)</f>
        <v>JFK</v>
      </c>
      <c r="E22" s="32" t="str">
        <f>IF(ISERROR(VLOOKUP(Table10[[#This Row],[source2]],Table22[Label],1,FALSE)),IF(ISERROR(VLOOKUP(Table10[[#This Row],[source2]],Table2210[Label],1,FALSE)),"SPOKE","FOCUS"),"HUB")</f>
        <v>HUB</v>
      </c>
      <c r="F22" s="32" t="str">
        <f>IF(ISERROR(VLOOKUP(Table10[[#This Row],[target2]],Table22[Label],1,FALSE)),IF(ISERROR(VLOOKUP(Table10[[#This Row],[target2]],Table2210[Label],1,FALSE)),"SPOKE","FOCUS"),"HUB")</f>
        <v>HUB</v>
      </c>
      <c r="G22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22" s="46" t="s">
        <v>771</v>
      </c>
      <c r="I22" s="47" t="s">
        <v>2117</v>
      </c>
      <c r="J22" s="47" t="s">
        <v>738</v>
      </c>
      <c r="K22" s="47" t="s">
        <v>2118</v>
      </c>
      <c r="L22" s="47" t="s">
        <v>2083</v>
      </c>
      <c r="M22" s="47" t="s">
        <v>2119</v>
      </c>
      <c r="N22">
        <v>2004</v>
      </c>
      <c r="O22">
        <v>2004</v>
      </c>
      <c r="P22" s="11" t="s">
        <v>379</v>
      </c>
      <c r="T22" s="16">
        <v>730</v>
      </c>
      <c r="U22" s="16">
        <v>733</v>
      </c>
      <c r="V22" s="16">
        <v>1599</v>
      </c>
      <c r="W22" s="15" t="s">
        <v>699</v>
      </c>
      <c r="AA22" s="18">
        <v>575</v>
      </c>
      <c r="AB22" s="18">
        <v>613</v>
      </c>
      <c r="AC22" s="18" t="str">
        <f>VLOOKUP(Table10[[#This Row],[source]],Table2226[[#All],[ID]:[Label]],3,FALSE)</f>
        <v>SFO</v>
      </c>
      <c r="AD22" s="18" t="str">
        <f>VLOOKUP(Table10[[#This Row],[target]],Table2226[[#All],[ID]:[Label]],3,FALSE)</f>
        <v>JFK</v>
      </c>
      <c r="AE22" s="18" t="str">
        <f>IF(ISERROR(VLOOKUP(Table10[[#This Row],[source2]],Table22[Label],1,FALSE)),IF(ISERROR(VLOOKUP(Table10[[#This Row],[source2]],Table2210[Label],1,FALSE)),"SPOKE","FOCUS"),"HUB")</f>
        <v>HUB</v>
      </c>
      <c r="AF22" s="18" t="str">
        <f>IF(ISERROR(VLOOKUP(Table10[[#This Row],[target2]],Table22[Label],1,FALSE)),IF(ISERROR(VLOOKUP(Table10[[#This Row],[target2]],Table2210[Label],1,FALSE)),"SPOKE","FOCUS"),"HUB")</f>
        <v>HUB</v>
      </c>
      <c r="AG22" s="18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AH22" s="18">
        <v>1390</v>
      </c>
      <c r="AI22" s="43" t="s">
        <v>365</v>
      </c>
    </row>
    <row r="23" spans="1:35" x14ac:dyDescent="0.2">
      <c r="A23">
        <v>574</v>
      </c>
      <c r="B23">
        <v>682</v>
      </c>
      <c r="C23" t="str">
        <f>VLOOKUP(Table10[[#This Row],[source]],Table2226[[#All],[ID]:[Label]],3,FALSE)</f>
        <v>DEN</v>
      </c>
      <c r="D23" t="str">
        <f>VLOOKUP(Table10[[#This Row],[target]],Table2226[[#All],[ID]:[Label]],3,FALSE)</f>
        <v>MSP</v>
      </c>
      <c r="E23" s="32" t="str">
        <f>IF(ISERROR(VLOOKUP(Table10[[#This Row],[source2]],Table22[Label],1,FALSE)),IF(ISERROR(VLOOKUP(Table10[[#This Row],[source2]],Table2210[Label],1,FALSE)),"SPOKE","FOCUS"),"HUB")</f>
        <v>HUB</v>
      </c>
      <c r="F23" s="32" t="str">
        <f>IF(ISERROR(VLOOKUP(Table10[[#This Row],[target2]],Table22[Label],1,FALSE)),IF(ISERROR(VLOOKUP(Table10[[#This Row],[target2]],Table2210[Label],1,FALSE)),"SPOKE","FOCUS"),"HUB")</f>
        <v>HUB</v>
      </c>
      <c r="G23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23" s="46" t="s">
        <v>1570</v>
      </c>
      <c r="I23" s="47" t="s">
        <v>1571</v>
      </c>
      <c r="J23" s="47" t="s">
        <v>738</v>
      </c>
      <c r="K23" s="47" t="s">
        <v>1572</v>
      </c>
      <c r="L23" s="47" t="s">
        <v>874</v>
      </c>
      <c r="M23" s="47" t="s">
        <v>1573</v>
      </c>
      <c r="N23">
        <v>1050</v>
      </c>
      <c r="O23">
        <v>1050</v>
      </c>
      <c r="P23" s="11" t="s">
        <v>380</v>
      </c>
      <c r="T23" s="16">
        <v>730</v>
      </c>
      <c r="U23" s="16">
        <v>648</v>
      </c>
      <c r="V23" s="16">
        <v>1757</v>
      </c>
      <c r="W23" s="15" t="s">
        <v>709</v>
      </c>
      <c r="AA23" s="18">
        <v>691</v>
      </c>
      <c r="AB23" s="18">
        <v>529</v>
      </c>
      <c r="AC23" s="18" t="str">
        <f>VLOOKUP(Table10[[#This Row],[source]],Table2226[[#All],[ID]:[Label]],3,FALSE)</f>
        <v>DEN</v>
      </c>
      <c r="AD23" s="18" t="str">
        <f>VLOOKUP(Table10[[#This Row],[target]],Table2226[[#All],[ID]:[Label]],3,FALSE)</f>
        <v>MSP</v>
      </c>
      <c r="AE23" s="18" t="str">
        <f>IF(ISERROR(VLOOKUP(Table10[[#This Row],[source2]],Table22[Label],1,FALSE)),IF(ISERROR(VLOOKUP(Table10[[#This Row],[source2]],Table2210[Label],1,FALSE)),"SPOKE","FOCUS"),"HUB")</f>
        <v>HUB</v>
      </c>
      <c r="AF23" s="18" t="str">
        <f>IF(ISERROR(VLOOKUP(Table10[[#This Row],[target2]],Table22[Label],1,FALSE)),IF(ISERROR(VLOOKUP(Table10[[#This Row],[target2]],Table2210[Label],1,FALSE)),"SPOKE","FOCUS"),"HUB")</f>
        <v>HUB</v>
      </c>
      <c r="AG23" s="18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AH23" s="18">
        <v>1387</v>
      </c>
      <c r="AI23" s="43" t="s">
        <v>375</v>
      </c>
    </row>
    <row r="24" spans="1:35" x14ac:dyDescent="0.2">
      <c r="A24">
        <v>591</v>
      </c>
      <c r="B24">
        <v>2189</v>
      </c>
      <c r="C24" t="str">
        <f>VLOOKUP(Table10[[#This Row],[source]],Table2226[[#All],[ID]:[Label]],3,FALSE)</f>
        <v>EWR</v>
      </c>
      <c r="D24" t="str">
        <f>VLOOKUP(Table10[[#This Row],[target]],Table2226[[#All],[ID]:[Label]],3,FALSE)</f>
        <v>TUL</v>
      </c>
      <c r="E24" s="32" t="str">
        <f>IF(ISERROR(VLOOKUP(Table10[[#This Row],[source2]],Table22[Label],1,FALSE)),IF(ISERROR(VLOOKUP(Table10[[#This Row],[source2]],Table2210[Label],1,FALSE)),"SPOKE","FOCUS"),"HUB")</f>
        <v>HUB</v>
      </c>
      <c r="F24" s="32" t="str">
        <f>IF(ISERROR(VLOOKUP(Table10[[#This Row],[target2]],Table22[Label],1,FALSE)),IF(ISERROR(VLOOKUP(Table10[[#This Row],[target2]],Table2210[Label],1,FALSE)),"SPOKE","FOCUS"),"HUB")</f>
        <v>SPOKE</v>
      </c>
      <c r="G24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24" s="46" t="s">
        <v>771</v>
      </c>
      <c r="I24" s="47" t="s">
        <v>1899</v>
      </c>
      <c r="J24" s="47" t="s">
        <v>738</v>
      </c>
      <c r="K24" s="47" t="s">
        <v>1900</v>
      </c>
      <c r="L24" s="47" t="s">
        <v>799</v>
      </c>
      <c r="M24" s="47" t="s">
        <v>1901</v>
      </c>
      <c r="N24">
        <v>1236</v>
      </c>
      <c r="O24">
        <v>1236</v>
      </c>
      <c r="P24" s="11" t="s">
        <v>381</v>
      </c>
      <c r="T24" s="16">
        <v>730</v>
      </c>
      <c r="U24" s="16">
        <v>702</v>
      </c>
      <c r="V24" s="16">
        <v>1012</v>
      </c>
      <c r="W24" s="15" t="s">
        <v>721</v>
      </c>
      <c r="AA24" s="18">
        <v>591</v>
      </c>
      <c r="AB24" s="18">
        <v>2189</v>
      </c>
      <c r="AC24" s="18" t="str">
        <f>VLOOKUP(Table10[[#This Row],[source]],Table2226[[#All],[ID]:[Label]],3,FALSE)</f>
        <v>EWR</v>
      </c>
      <c r="AD24" s="18" t="str">
        <f>VLOOKUP(Table10[[#This Row],[target]],Table2226[[#All],[ID]:[Label]],3,FALSE)</f>
        <v>TUL</v>
      </c>
      <c r="AE24" s="18" t="str">
        <f>IF(ISERROR(VLOOKUP(Table10[[#This Row],[source2]],Table22[Label],1,FALSE)),IF(ISERROR(VLOOKUP(Table10[[#This Row],[source2]],Table2210[Label],1,FALSE)),"SPOKE","FOCUS"),"HUB")</f>
        <v>HUB</v>
      </c>
      <c r="AF24" s="18" t="str">
        <f>IF(ISERROR(VLOOKUP(Table10[[#This Row],[target2]],Table22[Label],1,FALSE)),IF(ISERROR(VLOOKUP(Table10[[#This Row],[target2]],Table2210[Label],1,FALSE)),"SPOKE","FOCUS"),"HUB")</f>
        <v>SPOKE</v>
      </c>
      <c r="AG24" s="18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AH24" s="18">
        <v>1236</v>
      </c>
      <c r="AI24" s="43" t="s">
        <v>381</v>
      </c>
    </row>
    <row r="25" spans="1:35" x14ac:dyDescent="0.2">
      <c r="A25">
        <v>682</v>
      </c>
      <c r="B25">
        <v>720</v>
      </c>
      <c r="C25" t="str">
        <f>VLOOKUP(Table10[[#This Row],[source]],Table2226[[#All],[ID]:[Label]],3,FALSE)</f>
        <v>MSP</v>
      </c>
      <c r="D25" t="str">
        <f>VLOOKUP(Table10[[#This Row],[target]],Table2226[[#All],[ID]:[Label]],3,FALSE)</f>
        <v>RIC</v>
      </c>
      <c r="E25" s="32" t="str">
        <f>IF(ISERROR(VLOOKUP(Table10[[#This Row],[source2]],Table22[Label],1,FALSE)),IF(ISERROR(VLOOKUP(Table10[[#This Row],[source2]],Table2210[Label],1,FALSE)),"SPOKE","FOCUS"),"HUB")</f>
        <v>HUB</v>
      </c>
      <c r="F25" s="32" t="str">
        <f>IF(ISERROR(VLOOKUP(Table10[[#This Row],[target2]],Table22[Label],1,FALSE)),IF(ISERROR(VLOOKUP(Table10[[#This Row],[target2]],Table2210[Label],1,FALSE)),"SPOKE","FOCUS"),"HUB")</f>
        <v>SPOKE</v>
      </c>
      <c r="G25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25" s="46" t="s">
        <v>771</v>
      </c>
      <c r="I25" s="47" t="s">
        <v>1944</v>
      </c>
      <c r="J25" s="47" t="s">
        <v>738</v>
      </c>
      <c r="K25" s="47" t="s">
        <v>1945</v>
      </c>
      <c r="L25" s="47" t="s">
        <v>1354</v>
      </c>
      <c r="M25" s="47" t="s">
        <v>1946</v>
      </c>
      <c r="N25">
        <v>2139</v>
      </c>
      <c r="O25">
        <v>2139</v>
      </c>
      <c r="P25" s="11" t="s">
        <v>382</v>
      </c>
      <c r="T25" s="16"/>
      <c r="U25" s="16"/>
      <c r="V25" s="16"/>
      <c r="W25" s="15"/>
      <c r="AA25" s="18">
        <v>506</v>
      </c>
      <c r="AB25" s="18">
        <v>574</v>
      </c>
      <c r="AC25" s="18" t="str">
        <f>VLOOKUP(Table10[[#This Row],[source]],Table2226[[#All],[ID]:[Label]],3,FALSE)</f>
        <v>MSP</v>
      </c>
      <c r="AD25" s="18" t="str">
        <f>VLOOKUP(Table10[[#This Row],[target]],Table2226[[#All],[ID]:[Label]],3,FALSE)</f>
        <v>RIC</v>
      </c>
      <c r="AE25" s="18" t="str">
        <f>IF(ISERROR(VLOOKUP(Table10[[#This Row],[source2]],Table22[Label],1,FALSE)),IF(ISERROR(VLOOKUP(Table10[[#This Row],[source2]],Table2210[Label],1,FALSE)),"SPOKE","FOCUS"),"HUB")</f>
        <v>HUB</v>
      </c>
      <c r="AF25" s="18" t="str">
        <f>IF(ISERROR(VLOOKUP(Table10[[#This Row],[target2]],Table22[Label],1,FALSE)),IF(ISERROR(VLOOKUP(Table10[[#This Row],[target2]],Table2210[Label],1,FALSE)),"SPOKE","FOCUS"),"HUB")</f>
        <v>SPOKE</v>
      </c>
      <c r="AG25" s="18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AH25" s="18">
        <v>1218</v>
      </c>
      <c r="AI25" s="43" t="s">
        <v>385</v>
      </c>
    </row>
    <row r="26" spans="1:35" x14ac:dyDescent="0.2">
      <c r="A26">
        <v>691</v>
      </c>
      <c r="B26">
        <v>627</v>
      </c>
      <c r="C26" t="str">
        <f>VLOOKUP(Table10[[#This Row],[source]],Table2226[[#All],[ID]:[Label]],3,FALSE)</f>
        <v>ORD</v>
      </c>
      <c r="D26" t="str">
        <f>VLOOKUP(Table10[[#This Row],[target]],Table2226[[#All],[ID]:[Label]],3,FALSE)</f>
        <v>IAH</v>
      </c>
      <c r="E26" s="32" t="str">
        <f>IF(ISERROR(VLOOKUP(Table10[[#This Row],[source2]],Table22[Label],1,FALSE)),IF(ISERROR(VLOOKUP(Table10[[#This Row],[source2]],Table2210[Label],1,FALSE)),"SPOKE","FOCUS"),"HUB")</f>
        <v>HUB</v>
      </c>
      <c r="F26" s="32" t="str">
        <f>IF(ISERROR(VLOOKUP(Table10[[#This Row],[target2]],Table22[Label],1,FALSE)),IF(ISERROR(VLOOKUP(Table10[[#This Row],[target2]],Table2210[Label],1,FALSE)),"SPOKE","FOCUS"),"HUB")</f>
        <v>HUB</v>
      </c>
      <c r="G26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26" s="46" t="s">
        <v>1574</v>
      </c>
      <c r="I26" s="47" t="s">
        <v>1575</v>
      </c>
      <c r="J26" s="47" t="s">
        <v>738</v>
      </c>
      <c r="K26" s="47" t="s">
        <v>1576</v>
      </c>
      <c r="L26" s="47" t="s">
        <v>979</v>
      </c>
      <c r="M26" s="47" t="s">
        <v>1577</v>
      </c>
      <c r="N26">
        <v>1024</v>
      </c>
      <c r="O26">
        <v>1024</v>
      </c>
      <c r="P26" s="11" t="s">
        <v>383</v>
      </c>
      <c r="T26" s="16">
        <v>730</v>
      </c>
      <c r="U26" s="16">
        <v>571</v>
      </c>
      <c r="V26" s="16">
        <v>3664</v>
      </c>
      <c r="W26" s="17" t="s">
        <v>725</v>
      </c>
      <c r="AA26" s="18">
        <v>574</v>
      </c>
      <c r="AB26" s="18">
        <v>691</v>
      </c>
      <c r="AC26" s="18" t="str">
        <f>VLOOKUP(Table10[[#This Row],[source]],Table2226[[#All],[ID]:[Label]],3,FALSE)</f>
        <v>ORD</v>
      </c>
      <c r="AD26" s="18" t="str">
        <f>VLOOKUP(Table10[[#This Row],[target]],Table2226[[#All],[ID]:[Label]],3,FALSE)</f>
        <v>IAH</v>
      </c>
      <c r="AE26" s="18" t="str">
        <f>IF(ISERROR(VLOOKUP(Table10[[#This Row],[source2]],Table22[Label],1,FALSE)),IF(ISERROR(VLOOKUP(Table10[[#This Row],[source2]],Table2210[Label],1,FALSE)),"SPOKE","FOCUS"),"HUB")</f>
        <v>HUB</v>
      </c>
      <c r="AF26" s="18" t="str">
        <f>IF(ISERROR(VLOOKUP(Table10[[#This Row],[target2]],Table22[Label],1,FALSE)),IF(ISERROR(VLOOKUP(Table10[[#This Row],[target2]],Table2210[Label],1,FALSE)),"SPOKE","FOCUS"),"HUB")</f>
        <v>HUB</v>
      </c>
      <c r="AG26" s="18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AH26" s="18">
        <v>1141</v>
      </c>
      <c r="AI26" s="43" t="s">
        <v>384</v>
      </c>
    </row>
    <row r="27" spans="1:35" x14ac:dyDescent="0.2">
      <c r="A27">
        <v>574</v>
      </c>
      <c r="B27">
        <v>691</v>
      </c>
      <c r="C27" t="str">
        <f>VLOOKUP(Table10[[#This Row],[source]],Table2226[[#All],[ID]:[Label]],3,FALSE)</f>
        <v>DEN</v>
      </c>
      <c r="D27" t="str">
        <f>VLOOKUP(Table10[[#This Row],[target]],Table2226[[#All],[ID]:[Label]],3,FALSE)</f>
        <v>ORD</v>
      </c>
      <c r="E27" s="32" t="str">
        <f>IF(ISERROR(VLOOKUP(Table10[[#This Row],[source2]],Table22[Label],1,FALSE)),IF(ISERROR(VLOOKUP(Table10[[#This Row],[source2]],Table2210[Label],1,FALSE)),"SPOKE","FOCUS"),"HUB")</f>
        <v>HUB</v>
      </c>
      <c r="F27" s="32" t="str">
        <f>IF(ISERROR(VLOOKUP(Table10[[#This Row],[target2]],Table22[Label],1,FALSE)),IF(ISERROR(VLOOKUP(Table10[[#This Row],[target2]],Table2210[Label],1,FALSE)),"SPOKE","FOCUS"),"HUB")</f>
        <v>HUB</v>
      </c>
      <c r="G27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27" s="46" t="s">
        <v>1507</v>
      </c>
      <c r="I27" s="47" t="s">
        <v>1508</v>
      </c>
      <c r="J27" s="47" t="s">
        <v>1509</v>
      </c>
      <c r="K27" s="47" t="s">
        <v>1510</v>
      </c>
      <c r="L27" s="47" t="s">
        <v>874</v>
      </c>
      <c r="M27" s="47" t="s">
        <v>1511</v>
      </c>
      <c r="N27">
        <v>1141</v>
      </c>
      <c r="O27">
        <v>1141</v>
      </c>
      <c r="P27" s="11" t="s">
        <v>384</v>
      </c>
      <c r="AA27" s="18">
        <v>574</v>
      </c>
      <c r="AB27" s="18">
        <v>682</v>
      </c>
      <c r="AC27" s="18" t="str">
        <f>VLOOKUP(Table10[[#This Row],[source]],Table2226[[#All],[ID]:[Label]],3,FALSE)</f>
        <v>DEN</v>
      </c>
      <c r="AD27" s="18" t="str">
        <f>VLOOKUP(Table10[[#This Row],[target]],Table2226[[#All],[ID]:[Label]],3,FALSE)</f>
        <v>ORD</v>
      </c>
      <c r="AE27" s="18" t="str">
        <f>IF(ISERROR(VLOOKUP(Table10[[#This Row],[source2]],Table22[Label],1,FALSE)),IF(ISERROR(VLOOKUP(Table10[[#This Row],[source2]],Table2210[Label],1,FALSE)),"SPOKE","FOCUS"),"HUB")</f>
        <v>HUB</v>
      </c>
      <c r="AF27" s="18" t="str">
        <f>IF(ISERROR(VLOOKUP(Table10[[#This Row],[target2]],Table22[Label],1,FALSE)),IF(ISERROR(VLOOKUP(Table10[[#This Row],[target2]],Table2210[Label],1,FALSE)),"SPOKE","FOCUS"),"HUB")</f>
        <v>HUB</v>
      </c>
      <c r="AG27" s="18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AH27" s="18">
        <v>1050</v>
      </c>
      <c r="AI27" s="43" t="s">
        <v>380</v>
      </c>
    </row>
    <row r="28" spans="1:35" x14ac:dyDescent="0.2">
      <c r="A28">
        <v>506</v>
      </c>
      <c r="B28">
        <v>574</v>
      </c>
      <c r="C28" t="str">
        <f>VLOOKUP(Table10[[#This Row],[source]],Table2226[[#All],[ID]:[Label]],3,FALSE)</f>
        <v>ATL</v>
      </c>
      <c r="D28" t="str">
        <f>VLOOKUP(Table10[[#This Row],[target]],Table2226[[#All],[ID]:[Label]],3,FALSE)</f>
        <v>DEN</v>
      </c>
      <c r="E28" s="32" t="str">
        <f>IF(ISERROR(VLOOKUP(Table10[[#This Row],[source2]],Table22[Label],1,FALSE)),IF(ISERROR(VLOOKUP(Table10[[#This Row],[source2]],Table2210[Label],1,FALSE)),"SPOKE","FOCUS"),"HUB")</f>
        <v>HUB</v>
      </c>
      <c r="F28" s="32" t="str">
        <f>IF(ISERROR(VLOOKUP(Table10[[#This Row],[target2]],Table22[Label],1,FALSE)),IF(ISERROR(VLOOKUP(Table10[[#This Row],[target2]],Table2210[Label],1,FALSE)),"SPOKE","FOCUS"),"HUB")</f>
        <v>HUB</v>
      </c>
      <c r="G28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28" s="46" t="s">
        <v>1369</v>
      </c>
      <c r="I28" s="47" t="s">
        <v>1370</v>
      </c>
      <c r="J28" s="47" t="s">
        <v>1371</v>
      </c>
      <c r="K28" s="47" t="s">
        <v>1372</v>
      </c>
      <c r="L28" s="47" t="s">
        <v>1313</v>
      </c>
      <c r="M28" s="47" t="s">
        <v>1373</v>
      </c>
      <c r="N28">
        <v>1218</v>
      </c>
      <c r="O28">
        <v>1218</v>
      </c>
      <c r="P28" s="11" t="s">
        <v>385</v>
      </c>
      <c r="AA28" s="18">
        <v>691</v>
      </c>
      <c r="AB28" s="18">
        <v>627</v>
      </c>
      <c r="AC28" s="18" t="str">
        <f>VLOOKUP(Table10[[#This Row],[source]],Table2226[[#All],[ID]:[Label]],3,FALSE)</f>
        <v>ATL</v>
      </c>
      <c r="AD28" s="18" t="str">
        <f>VLOOKUP(Table10[[#This Row],[target]],Table2226[[#All],[ID]:[Label]],3,FALSE)</f>
        <v>DEN</v>
      </c>
      <c r="AE28" s="18" t="str">
        <f>IF(ISERROR(VLOOKUP(Table10[[#This Row],[source2]],Table22[Label],1,FALSE)),IF(ISERROR(VLOOKUP(Table10[[#This Row],[source2]],Table2210[Label],1,FALSE)),"SPOKE","FOCUS"),"HUB")</f>
        <v>HUB</v>
      </c>
      <c r="AF28" s="18" t="str">
        <f>IF(ISERROR(VLOOKUP(Table10[[#This Row],[target2]],Table22[Label],1,FALSE)),IF(ISERROR(VLOOKUP(Table10[[#This Row],[target2]],Table2210[Label],1,FALSE)),"SPOKE","FOCUS"),"HUB")</f>
        <v>HUB</v>
      </c>
      <c r="AG28" s="18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AH28" s="18">
        <v>1024</v>
      </c>
      <c r="AI28" s="43" t="s">
        <v>383</v>
      </c>
    </row>
    <row r="29" spans="1:35" x14ac:dyDescent="0.2">
      <c r="A29">
        <v>571</v>
      </c>
      <c r="B29">
        <v>653</v>
      </c>
      <c r="C29" t="str">
        <f>VLOOKUP(Table10[[#This Row],[source]],Table2226[[#All],[ID]:[Label]],3,FALSE)</f>
        <v>DCA</v>
      </c>
      <c r="D29" t="str">
        <f>VLOOKUP(Table10[[#This Row],[target]],Table2226[[#All],[ID]:[Label]],3,FALSE)</f>
        <v>LIT</v>
      </c>
      <c r="E29" s="32" t="str">
        <f>IF(ISERROR(VLOOKUP(Table10[[#This Row],[source2]],Table22[Label],1,FALSE)),IF(ISERROR(VLOOKUP(Table10[[#This Row],[source2]],Table2210[Label],1,FALSE)),"SPOKE","FOCUS"),"HUB")</f>
        <v>HUB</v>
      </c>
      <c r="F29" s="32" t="str">
        <f>IF(ISERROR(VLOOKUP(Table10[[#This Row],[target2]],Table22[Label],1,FALSE)),IF(ISERROR(VLOOKUP(Table10[[#This Row],[target2]],Table2210[Label],1,FALSE)),"SPOKE","FOCUS"),"HUB")</f>
        <v>SPOKE</v>
      </c>
      <c r="G29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29" s="46" t="s">
        <v>771</v>
      </c>
      <c r="I29" s="47" t="s">
        <v>1197</v>
      </c>
      <c r="J29" s="47" t="s">
        <v>738</v>
      </c>
      <c r="K29" s="47" t="s">
        <v>1198</v>
      </c>
      <c r="L29" s="47" t="s">
        <v>738</v>
      </c>
      <c r="M29" s="47" t="s">
        <v>1199</v>
      </c>
      <c r="N29">
        <v>1691</v>
      </c>
      <c r="O29">
        <v>1691</v>
      </c>
      <c r="P29" s="11" t="s">
        <v>386</v>
      </c>
      <c r="AA29" s="18">
        <v>579</v>
      </c>
      <c r="AB29" s="18">
        <v>691</v>
      </c>
      <c r="AC29" s="18" t="str">
        <f>VLOOKUP(Table10[[#This Row],[source]],Table2226[[#All],[ID]:[Label]],3,FALSE)</f>
        <v>DCA</v>
      </c>
      <c r="AD29" s="18" t="str">
        <f>VLOOKUP(Table10[[#This Row],[target]],Table2226[[#All],[ID]:[Label]],3,FALSE)</f>
        <v>LIT</v>
      </c>
      <c r="AE29" s="18" t="str">
        <f>IF(ISERROR(VLOOKUP(Table10[[#This Row],[source2]],Table22[Label],1,FALSE)),IF(ISERROR(VLOOKUP(Table10[[#This Row],[source2]],Table2210[Label],1,FALSE)),"SPOKE","FOCUS"),"HUB")</f>
        <v>HUB</v>
      </c>
      <c r="AF29" s="18" t="str">
        <f>IF(ISERROR(VLOOKUP(Table10[[#This Row],[target2]],Table22[Label],1,FALSE)),IF(ISERROR(VLOOKUP(Table10[[#This Row],[target2]],Table2210[Label],1,FALSE)),"SPOKE","FOCUS"),"HUB")</f>
        <v>SPOKE</v>
      </c>
      <c r="AG29" s="18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AH29" s="18">
        <v>1005</v>
      </c>
      <c r="AI29" s="43" t="s">
        <v>363</v>
      </c>
    </row>
    <row r="30" spans="1:35" x14ac:dyDescent="0.2">
      <c r="A30">
        <v>506</v>
      </c>
      <c r="B30">
        <v>691</v>
      </c>
      <c r="C30" t="str">
        <f>VLOOKUP(Table10[[#This Row],[source]],Table2226[[#All],[ID]:[Label]],3,FALSE)</f>
        <v>ATL</v>
      </c>
      <c r="D30" t="str">
        <f>VLOOKUP(Table10[[#This Row],[target]],Table2226[[#All],[ID]:[Label]],3,FALSE)</f>
        <v>ORD</v>
      </c>
      <c r="E30" s="32" t="str">
        <f>IF(ISERROR(VLOOKUP(Table10[[#This Row],[source2]],Table22[Label],1,FALSE)),IF(ISERROR(VLOOKUP(Table10[[#This Row],[source2]],Table2210[Label],1,FALSE)),"SPOKE","FOCUS"),"HUB")</f>
        <v>HUB</v>
      </c>
      <c r="F30" s="32" t="str">
        <f>IF(ISERROR(VLOOKUP(Table10[[#This Row],[target2]],Table22[Label],1,FALSE)),IF(ISERROR(VLOOKUP(Table10[[#This Row],[target2]],Table2210[Label],1,FALSE)),"SPOKE","FOCUS"),"HUB")</f>
        <v>HUB</v>
      </c>
      <c r="G30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30" s="46" t="s">
        <v>1389</v>
      </c>
      <c r="I30" s="47" t="s">
        <v>1390</v>
      </c>
      <c r="J30" s="47" t="s">
        <v>738</v>
      </c>
      <c r="K30" s="47" t="s">
        <v>1391</v>
      </c>
      <c r="L30" s="47" t="s">
        <v>1392</v>
      </c>
      <c r="M30" s="47" t="s">
        <v>1393</v>
      </c>
      <c r="N30">
        <v>2130</v>
      </c>
      <c r="O30">
        <v>2130</v>
      </c>
      <c r="P30" s="11" t="s">
        <v>387</v>
      </c>
      <c r="AA30" s="18">
        <v>579</v>
      </c>
      <c r="AB30" s="18">
        <v>506</v>
      </c>
      <c r="AC30" s="18" t="str">
        <f>VLOOKUP(Table10[[#This Row],[source]],Table2226[[#All],[ID]:[Label]],3,FALSE)</f>
        <v>ATL</v>
      </c>
      <c r="AD30" s="18" t="str">
        <f>VLOOKUP(Table10[[#This Row],[target]],Table2226[[#All],[ID]:[Label]],3,FALSE)</f>
        <v>ORD</v>
      </c>
      <c r="AE30" s="18" t="str">
        <f>IF(ISERROR(VLOOKUP(Table10[[#This Row],[source2]],Table22[Label],1,FALSE)),IF(ISERROR(VLOOKUP(Table10[[#This Row],[source2]],Table2210[Label],1,FALSE)),"SPOKE","FOCUS"),"HUB")</f>
        <v>HUB</v>
      </c>
      <c r="AF30" s="18" t="str">
        <f>IF(ISERROR(VLOOKUP(Table10[[#This Row],[target2]],Table22[Label],1,FALSE)),IF(ISERROR(VLOOKUP(Table10[[#This Row],[target2]],Table2210[Label],1,FALSE)),"SPOKE","FOCUS"),"HUB")</f>
        <v>HUB</v>
      </c>
      <c r="AG30" s="18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AH30" s="18">
        <v>927</v>
      </c>
      <c r="AI30" s="43" t="s">
        <v>370</v>
      </c>
    </row>
    <row r="31" spans="1:35" x14ac:dyDescent="0.2">
      <c r="A31">
        <v>691</v>
      </c>
      <c r="B31">
        <v>2190</v>
      </c>
      <c r="C31" t="str">
        <f>VLOOKUP(Table10[[#This Row],[source]],Table2226[[#All],[ID]:[Label]],3,FALSE)</f>
        <v>ORD</v>
      </c>
      <c r="D31" t="str">
        <f>VLOOKUP(Table10[[#This Row],[target]],Table2226[[#All],[ID]:[Label]],3,FALSE)</f>
        <v>TUS</v>
      </c>
      <c r="E31" s="32" t="str">
        <f>IF(ISERROR(VLOOKUP(Table10[[#This Row],[source2]],Table22[Label],1,FALSE)),IF(ISERROR(VLOOKUP(Table10[[#This Row],[source2]],Table2210[Label],1,FALSE)),"SPOKE","FOCUS"),"HUB")</f>
        <v>HUB</v>
      </c>
      <c r="F31" s="32" t="str">
        <f>IF(ISERROR(VLOOKUP(Table10[[#This Row],[target2]],Table22[Label],1,FALSE)),IF(ISERROR(VLOOKUP(Table10[[#This Row],[target2]],Table2210[Label],1,FALSE)),"SPOKE","FOCUS"),"HUB")</f>
        <v>SPOKE</v>
      </c>
      <c r="G31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31" s="46" t="s">
        <v>771</v>
      </c>
      <c r="I31" s="47" t="s">
        <v>1627</v>
      </c>
      <c r="J31" s="47" t="s">
        <v>738</v>
      </c>
      <c r="K31" s="47" t="s">
        <v>1628</v>
      </c>
      <c r="L31" s="47" t="s">
        <v>738</v>
      </c>
      <c r="M31" s="47" t="s">
        <v>1629</v>
      </c>
      <c r="N31">
        <v>2470</v>
      </c>
      <c r="O31">
        <v>2470</v>
      </c>
      <c r="P31" s="11" t="s">
        <v>388</v>
      </c>
      <c r="AA31" s="18">
        <v>625</v>
      </c>
      <c r="AB31" s="18">
        <v>2189</v>
      </c>
      <c r="AC31" s="18" t="str">
        <f>VLOOKUP(Table10[[#This Row],[source]],Table2226[[#All],[ID]:[Label]],3,FALSE)</f>
        <v>ORD</v>
      </c>
      <c r="AD31" s="18" t="str">
        <f>VLOOKUP(Table10[[#This Row],[target]],Table2226[[#All],[ID]:[Label]],3,FALSE)</f>
        <v>TUS</v>
      </c>
      <c r="AE31" s="18" t="str">
        <f>IF(ISERROR(VLOOKUP(Table10[[#This Row],[source2]],Table22[Label],1,FALSE)),IF(ISERROR(VLOOKUP(Table10[[#This Row],[source2]],Table2210[Label],1,FALSE)),"SPOKE","FOCUS"),"HUB")</f>
        <v>HUB</v>
      </c>
      <c r="AF31" s="18" t="str">
        <f>IF(ISERROR(VLOOKUP(Table10[[#This Row],[target2]],Table22[Label],1,FALSE)),IF(ISERROR(VLOOKUP(Table10[[#This Row],[target2]],Table2210[Label],1,FALSE)),"SPOKE","FOCUS"),"HUB")</f>
        <v>SPOKE</v>
      </c>
      <c r="AG31" s="18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AH31" s="18">
        <v>829</v>
      </c>
      <c r="AI31" s="43" t="s">
        <v>378</v>
      </c>
    </row>
    <row r="32" spans="1:35" x14ac:dyDescent="0.2">
      <c r="A32">
        <v>597</v>
      </c>
      <c r="B32">
        <v>498</v>
      </c>
      <c r="C32" t="str">
        <f>VLOOKUP(Table10[[#This Row],[source]],Table2226[[#All],[ID]:[Label]],3,FALSE)</f>
        <v>FLL</v>
      </c>
      <c r="D32" t="str">
        <f>VLOOKUP(Table10[[#This Row],[target]],Table2226[[#All],[ID]:[Label]],3,FALSE)</f>
        <v>ALB</v>
      </c>
      <c r="E32" s="32" t="str">
        <f>IF(ISERROR(VLOOKUP(Table10[[#This Row],[source2]],Table22[Label],1,FALSE)),IF(ISERROR(VLOOKUP(Table10[[#This Row],[source2]],Table2210[Label],1,FALSE)),"SPOKE","FOCUS"),"HUB")</f>
        <v>FOCUS</v>
      </c>
      <c r="F32" s="32" t="str">
        <f>IF(ISERROR(VLOOKUP(Table10[[#This Row],[target2]],Table22[Label],1,FALSE)),IF(ISERROR(VLOOKUP(Table10[[#This Row],[target2]],Table2210[Label],1,FALSE)),"SPOKE","FOCUS"),"HUB")</f>
        <v>SPOKE</v>
      </c>
      <c r="G32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SPOKE-FOCUS</v>
      </c>
      <c r="H32" s="46" t="s">
        <v>771</v>
      </c>
      <c r="I32" s="47" t="s">
        <v>835</v>
      </c>
      <c r="J32" s="47" t="s">
        <v>738</v>
      </c>
      <c r="K32" s="47" t="s">
        <v>836</v>
      </c>
      <c r="L32" s="47" t="s">
        <v>799</v>
      </c>
      <c r="M32" s="47" t="s">
        <v>837</v>
      </c>
      <c r="N32">
        <v>1896</v>
      </c>
      <c r="O32">
        <v>1896</v>
      </c>
      <c r="P32" s="11" t="s">
        <v>389</v>
      </c>
    </row>
    <row r="33" spans="1:16" x14ac:dyDescent="0.2">
      <c r="A33">
        <v>506</v>
      </c>
      <c r="B33">
        <v>575</v>
      </c>
      <c r="C33" t="str">
        <f>VLOOKUP(Table10[[#This Row],[source]],Table2226[[#All],[ID]:[Label]],3,FALSE)</f>
        <v>ATL</v>
      </c>
      <c r="D33" t="str">
        <f>VLOOKUP(Table10[[#This Row],[target]],Table2226[[#All],[ID]:[Label]],3,FALSE)</f>
        <v>DFW</v>
      </c>
      <c r="E33" s="32" t="str">
        <f>IF(ISERROR(VLOOKUP(Table10[[#This Row],[source2]],Table22[Label],1,FALSE)),IF(ISERROR(VLOOKUP(Table10[[#This Row],[source2]],Table2210[Label],1,FALSE)),"SPOKE","FOCUS"),"HUB")</f>
        <v>HUB</v>
      </c>
      <c r="F33" s="32" t="str">
        <f>IF(ISERROR(VLOOKUP(Table10[[#This Row],[target2]],Table22[Label],1,FALSE)),IF(ISERROR(VLOOKUP(Table10[[#This Row],[target2]],Table2210[Label],1,FALSE)),"SPOKE","FOCUS"),"HUB")</f>
        <v>HUB</v>
      </c>
      <c r="G33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33" s="46" t="s">
        <v>1455</v>
      </c>
      <c r="I33" s="47" t="s">
        <v>1456</v>
      </c>
      <c r="J33" s="47" t="s">
        <v>1457</v>
      </c>
      <c r="K33" s="47" t="s">
        <v>1458</v>
      </c>
      <c r="L33" s="47" t="s">
        <v>1354</v>
      </c>
      <c r="M33" s="47" t="s">
        <v>1459</v>
      </c>
      <c r="N33">
        <v>1564</v>
      </c>
      <c r="O33">
        <v>1564</v>
      </c>
      <c r="P33" s="11" t="s">
        <v>390</v>
      </c>
    </row>
    <row r="34" spans="1:16" x14ac:dyDescent="0.2">
      <c r="A34">
        <v>691</v>
      </c>
      <c r="B34">
        <v>682</v>
      </c>
      <c r="C34" t="str">
        <f>VLOOKUP(Table10[[#This Row],[source]],Table2226[[#All],[ID]:[Label]],3,FALSE)</f>
        <v>ORD</v>
      </c>
      <c r="D34" t="str">
        <f>VLOOKUP(Table10[[#This Row],[target]],Table2226[[#All],[ID]:[Label]],3,FALSE)</f>
        <v>MSP</v>
      </c>
      <c r="E34" s="32" t="str">
        <f>IF(ISERROR(VLOOKUP(Table10[[#This Row],[source2]],Table22[Label],1,FALSE)),IF(ISERROR(VLOOKUP(Table10[[#This Row],[source2]],Table2210[Label],1,FALSE)),"SPOKE","FOCUS"),"HUB")</f>
        <v>HUB</v>
      </c>
      <c r="F34" s="32" t="str">
        <f>IF(ISERROR(VLOOKUP(Table10[[#This Row],[target2]],Table22[Label],1,FALSE)),IF(ISERROR(VLOOKUP(Table10[[#This Row],[target2]],Table2210[Label],1,FALSE)),"SPOKE","FOCUS"),"HUB")</f>
        <v>HUB</v>
      </c>
      <c r="G34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34" s="46" t="s">
        <v>1655</v>
      </c>
      <c r="I34" s="47" t="s">
        <v>1656</v>
      </c>
      <c r="J34" s="47" t="s">
        <v>1657</v>
      </c>
      <c r="K34" s="47" t="s">
        <v>1658</v>
      </c>
      <c r="L34" s="47" t="s">
        <v>1251</v>
      </c>
      <c r="M34" s="47" t="s">
        <v>1659</v>
      </c>
      <c r="N34">
        <v>1153</v>
      </c>
      <c r="O34">
        <v>1153</v>
      </c>
      <c r="P34" s="11" t="s">
        <v>391</v>
      </c>
    </row>
    <row r="35" spans="1:16" x14ac:dyDescent="0.2">
      <c r="A35">
        <v>648</v>
      </c>
      <c r="B35">
        <v>529</v>
      </c>
      <c r="C35" t="str">
        <f>VLOOKUP(Table10[[#This Row],[source]],Table2226[[#All],[ID]:[Label]],3,FALSE)</f>
        <v>LAX</v>
      </c>
      <c r="D35" t="str">
        <f>VLOOKUP(Table10[[#This Row],[target]],Table2226[[#All],[ID]:[Label]],3,FALSE)</f>
        <v>BOS</v>
      </c>
      <c r="E35" s="32" t="str">
        <f>IF(ISERROR(VLOOKUP(Table10[[#This Row],[source2]],Table22[Label],1,FALSE)),IF(ISERROR(VLOOKUP(Table10[[#This Row],[source2]],Table2210[Label],1,FALSE)),"SPOKE","FOCUS"),"HUB")</f>
        <v>HUB</v>
      </c>
      <c r="F35" s="32" t="str">
        <f>IF(ISERROR(VLOOKUP(Table10[[#This Row],[target2]],Table22[Label],1,FALSE)),IF(ISERROR(VLOOKUP(Table10[[#This Row],[target2]],Table2210[Label],1,FALSE)),"SPOKE","FOCUS"),"HUB")</f>
        <v>HUB</v>
      </c>
      <c r="G35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35" s="46" t="s">
        <v>2265</v>
      </c>
      <c r="I35" s="47" t="s">
        <v>2266</v>
      </c>
      <c r="J35" s="47" t="s">
        <v>738</v>
      </c>
      <c r="K35" s="47" t="s">
        <v>2267</v>
      </c>
      <c r="L35" s="47" t="s">
        <v>1148</v>
      </c>
      <c r="M35" s="47" t="s">
        <v>2268</v>
      </c>
      <c r="N35">
        <v>1378</v>
      </c>
      <c r="O35">
        <v>1378</v>
      </c>
      <c r="P35" s="11" t="s">
        <v>392</v>
      </c>
    </row>
    <row r="36" spans="1:16" x14ac:dyDescent="0.2">
      <c r="A36">
        <v>506</v>
      </c>
      <c r="B36">
        <v>529</v>
      </c>
      <c r="C36" t="str">
        <f>VLOOKUP(Table10[[#This Row],[source]],Table2226[[#All],[ID]:[Label]],3,FALSE)</f>
        <v>ATL</v>
      </c>
      <c r="D36" t="str">
        <f>VLOOKUP(Table10[[#This Row],[target]],Table2226[[#All],[ID]:[Label]],3,FALSE)</f>
        <v>BOS</v>
      </c>
      <c r="E36" s="32" t="str">
        <f>IF(ISERROR(VLOOKUP(Table10[[#This Row],[source2]],Table22[Label],1,FALSE)),IF(ISERROR(VLOOKUP(Table10[[#This Row],[source2]],Table2210[Label],1,FALSE)),"SPOKE","FOCUS"),"HUB")</f>
        <v>HUB</v>
      </c>
      <c r="F36" s="32" t="str">
        <f>IF(ISERROR(VLOOKUP(Table10[[#This Row],[target2]],Table22[Label],1,FALSE)),IF(ISERROR(VLOOKUP(Table10[[#This Row],[target2]],Table2210[Label],1,FALSE)),"SPOKE","FOCUS"),"HUB")</f>
        <v>HUB</v>
      </c>
      <c r="G36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36" s="46" t="s">
        <v>1364</v>
      </c>
      <c r="I36" s="47" t="s">
        <v>1365</v>
      </c>
      <c r="J36" s="47" t="s">
        <v>738</v>
      </c>
      <c r="K36" s="47" t="s">
        <v>1366</v>
      </c>
      <c r="L36" s="47" t="s">
        <v>1367</v>
      </c>
      <c r="M36" s="47" t="s">
        <v>1368</v>
      </c>
      <c r="N36">
        <v>1275</v>
      </c>
      <c r="O36">
        <v>1275</v>
      </c>
      <c r="P36" s="11" t="s">
        <v>393</v>
      </c>
    </row>
    <row r="37" spans="1:16" x14ac:dyDescent="0.2">
      <c r="A37">
        <v>506</v>
      </c>
      <c r="B37">
        <v>627</v>
      </c>
      <c r="C37" t="str">
        <f>VLOOKUP(Table10[[#This Row],[source]],Table2226[[#All],[ID]:[Label]],3,FALSE)</f>
        <v>ATL</v>
      </c>
      <c r="D37" t="str">
        <f>VLOOKUP(Table10[[#This Row],[target]],Table2226[[#All],[ID]:[Label]],3,FALSE)</f>
        <v>IAH</v>
      </c>
      <c r="E37" s="32" t="str">
        <f>IF(ISERROR(VLOOKUP(Table10[[#This Row],[source2]],Table22[Label],1,FALSE)),IF(ISERROR(VLOOKUP(Table10[[#This Row],[source2]],Table2210[Label],1,FALSE)),"SPOKE","FOCUS"),"HUB")</f>
        <v>HUB</v>
      </c>
      <c r="F37" s="32" t="str">
        <f>IF(ISERROR(VLOOKUP(Table10[[#This Row],[target2]],Table22[Label],1,FALSE)),IF(ISERROR(VLOOKUP(Table10[[#This Row],[target2]],Table2210[Label],1,FALSE)),"SPOKE","FOCUS"),"HUB")</f>
        <v>HUB</v>
      </c>
      <c r="G37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37" s="46" t="s">
        <v>1356</v>
      </c>
      <c r="I37" s="47" t="s">
        <v>1357</v>
      </c>
      <c r="J37" s="47" t="s">
        <v>1358</v>
      </c>
      <c r="K37" s="47" t="s">
        <v>1359</v>
      </c>
      <c r="L37" s="47" t="s">
        <v>919</v>
      </c>
      <c r="M37" s="47" t="s">
        <v>1360</v>
      </c>
      <c r="N37">
        <v>949</v>
      </c>
      <c r="O37">
        <v>949</v>
      </c>
      <c r="P37" s="11" t="s">
        <v>394</v>
      </c>
    </row>
    <row r="38" spans="1:16" x14ac:dyDescent="0.2">
      <c r="A38">
        <v>574</v>
      </c>
      <c r="B38">
        <v>648</v>
      </c>
      <c r="C38" t="str">
        <f>VLOOKUP(Table10[[#This Row],[source]],Table2226[[#All],[ID]:[Label]],3,FALSE)</f>
        <v>DEN</v>
      </c>
      <c r="D38" t="str">
        <f>VLOOKUP(Table10[[#This Row],[target]],Table2226[[#All],[ID]:[Label]],3,FALSE)</f>
        <v>LAX</v>
      </c>
      <c r="E38" s="32" t="str">
        <f>IF(ISERROR(VLOOKUP(Table10[[#This Row],[source2]],Table22[Label],1,FALSE)),IF(ISERROR(VLOOKUP(Table10[[#This Row],[source2]],Table2210[Label],1,FALSE)),"SPOKE","FOCUS"),"HUB")</f>
        <v>HUB</v>
      </c>
      <c r="F38" s="32" t="str">
        <f>IF(ISERROR(VLOOKUP(Table10[[#This Row],[target2]],Table22[Label],1,FALSE)),IF(ISERROR(VLOOKUP(Table10[[#This Row],[target2]],Table2210[Label],1,FALSE)),"SPOKE","FOCUS"),"HUB")</f>
        <v>HUB</v>
      </c>
      <c r="G38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38" s="46" t="s">
        <v>1537</v>
      </c>
      <c r="I38" s="47" t="s">
        <v>1538</v>
      </c>
      <c r="J38" s="47" t="s">
        <v>738</v>
      </c>
      <c r="K38" s="47" t="s">
        <v>1539</v>
      </c>
      <c r="L38" s="47" t="s">
        <v>1354</v>
      </c>
      <c r="M38" s="47" t="s">
        <v>1540</v>
      </c>
      <c r="N38">
        <v>1706</v>
      </c>
      <c r="O38">
        <v>1706</v>
      </c>
      <c r="P38" s="11" t="s">
        <v>395</v>
      </c>
    </row>
    <row r="39" spans="1:16" x14ac:dyDescent="0.2">
      <c r="A39">
        <v>2191</v>
      </c>
      <c r="B39">
        <v>591</v>
      </c>
      <c r="C39" t="str">
        <f>VLOOKUP(Table10[[#This Row],[source]],Table2226[[#All],[ID]:[Label]],3,FALSE)</f>
        <v>TYS</v>
      </c>
      <c r="D39" t="str">
        <f>VLOOKUP(Table10[[#This Row],[target]],Table2226[[#All],[ID]:[Label]],3,FALSE)</f>
        <v>EWR</v>
      </c>
      <c r="E39" s="32" t="str">
        <f>IF(ISERROR(VLOOKUP(Table10[[#This Row],[source2]],Table22[Label],1,FALSE)),IF(ISERROR(VLOOKUP(Table10[[#This Row],[source2]],Table2210[Label],1,FALSE)),"SPOKE","FOCUS"),"HUB")</f>
        <v>SPOKE</v>
      </c>
      <c r="F39" s="32" t="str">
        <f>IF(ISERROR(VLOOKUP(Table10[[#This Row],[target2]],Table22[Label],1,FALSE)),IF(ISERROR(VLOOKUP(Table10[[#This Row],[target2]],Table2210[Label],1,FALSE)),"SPOKE","FOCUS"),"HUB")</f>
        <v>HUB</v>
      </c>
      <c r="G39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39" s="46" t="s">
        <v>771</v>
      </c>
      <c r="I39" s="47" t="s">
        <v>793</v>
      </c>
      <c r="J39" s="47" t="s">
        <v>738</v>
      </c>
      <c r="K39" s="47" t="s">
        <v>794</v>
      </c>
      <c r="L39" s="47" t="s">
        <v>795</v>
      </c>
      <c r="M39" s="47" t="s">
        <v>796</v>
      </c>
      <c r="N39">
        <v>1266</v>
      </c>
      <c r="O39">
        <v>1266</v>
      </c>
      <c r="P39" s="11" t="s">
        <v>396</v>
      </c>
    </row>
    <row r="40" spans="1:16" x14ac:dyDescent="0.2">
      <c r="A40">
        <v>597</v>
      </c>
      <c r="B40">
        <v>702</v>
      </c>
      <c r="C40" t="str">
        <f>VLOOKUP(Table10[[#This Row],[source]],Table2226[[#All],[ID]:[Label]],3,FALSE)</f>
        <v>FLL</v>
      </c>
      <c r="D40" t="str">
        <f>VLOOKUP(Table10[[#This Row],[target]],Table2226[[#All],[ID]:[Label]],3,FALSE)</f>
        <v>PHX</v>
      </c>
      <c r="E40" s="32" t="str">
        <f>IF(ISERROR(VLOOKUP(Table10[[#This Row],[source2]],Table22[Label],1,FALSE)),IF(ISERROR(VLOOKUP(Table10[[#This Row],[source2]],Table2210[Label],1,FALSE)),"SPOKE","FOCUS"),"HUB")</f>
        <v>FOCUS</v>
      </c>
      <c r="F40" s="32" t="str">
        <f>IF(ISERROR(VLOOKUP(Table10[[#This Row],[target2]],Table22[Label],1,FALSE)),IF(ISERROR(VLOOKUP(Table10[[#This Row],[target2]],Table2210[Label],1,FALSE)),"SPOKE","FOCUS"),"HUB")</f>
        <v>HUB</v>
      </c>
      <c r="G40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HUB-FOCUS</v>
      </c>
      <c r="H40" s="46" t="s">
        <v>771</v>
      </c>
      <c r="I40" s="47" t="s">
        <v>818</v>
      </c>
      <c r="J40" s="47" t="s">
        <v>738</v>
      </c>
      <c r="K40" s="47" t="s">
        <v>819</v>
      </c>
      <c r="L40" s="47" t="s">
        <v>738</v>
      </c>
      <c r="M40" s="47" t="s">
        <v>820</v>
      </c>
      <c r="N40">
        <v>5512</v>
      </c>
      <c r="O40">
        <v>5512</v>
      </c>
      <c r="P40" s="11" t="s">
        <v>397</v>
      </c>
    </row>
    <row r="41" spans="1:16" x14ac:dyDescent="0.2">
      <c r="A41">
        <v>591</v>
      </c>
      <c r="B41">
        <v>578</v>
      </c>
      <c r="C41" t="str">
        <f>VLOOKUP(Table10[[#This Row],[source]],Table2226[[#All],[ID]:[Label]],3,FALSE)</f>
        <v>EWR</v>
      </c>
      <c r="D41" t="str">
        <f>VLOOKUP(Table10[[#This Row],[target]],Table2226[[#All],[ID]:[Label]],3,FALSE)</f>
        <v>DSM</v>
      </c>
      <c r="E41" s="32" t="str">
        <f>IF(ISERROR(VLOOKUP(Table10[[#This Row],[source2]],Table22[Label],1,FALSE)),IF(ISERROR(VLOOKUP(Table10[[#This Row],[source2]],Table2210[Label],1,FALSE)),"SPOKE","FOCUS"),"HUB")</f>
        <v>HUB</v>
      </c>
      <c r="F41" s="32" t="str">
        <f>IF(ISERROR(VLOOKUP(Table10[[#This Row],[target2]],Table22[Label],1,FALSE)),IF(ISERROR(VLOOKUP(Table10[[#This Row],[target2]],Table2210[Label],1,FALSE)),"SPOKE","FOCUS"),"HUB")</f>
        <v>SPOKE</v>
      </c>
      <c r="G41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41" s="46" t="s">
        <v>771</v>
      </c>
      <c r="I41" s="47" t="s">
        <v>1850</v>
      </c>
      <c r="J41" s="47" t="s">
        <v>738</v>
      </c>
      <c r="K41" s="47" t="s">
        <v>1851</v>
      </c>
      <c r="L41" s="47" t="s">
        <v>1852</v>
      </c>
      <c r="M41" s="47" t="s">
        <v>1853</v>
      </c>
      <c r="N41">
        <v>1455</v>
      </c>
      <c r="O41">
        <v>1455</v>
      </c>
      <c r="P41" s="11" t="s">
        <v>398</v>
      </c>
    </row>
    <row r="42" spans="1:16" x14ac:dyDescent="0.2">
      <c r="A42">
        <v>506</v>
      </c>
      <c r="B42">
        <v>2190</v>
      </c>
      <c r="C42" t="str">
        <f>VLOOKUP(Table10[[#This Row],[source]],Table2226[[#All],[ID]:[Label]],3,FALSE)</f>
        <v>ATL</v>
      </c>
      <c r="D42" t="str">
        <f>VLOOKUP(Table10[[#This Row],[target]],Table2226[[#All],[ID]:[Label]],3,FALSE)</f>
        <v>TUS</v>
      </c>
      <c r="E42" s="32" t="str">
        <f>IF(ISERROR(VLOOKUP(Table10[[#This Row],[source2]],Table22[Label],1,FALSE)),IF(ISERROR(VLOOKUP(Table10[[#This Row],[source2]],Table2210[Label],1,FALSE)),"SPOKE","FOCUS"),"HUB")</f>
        <v>HUB</v>
      </c>
      <c r="F42" s="32" t="str">
        <f>IF(ISERROR(VLOOKUP(Table10[[#This Row],[target2]],Table22[Label],1,FALSE)),IF(ISERROR(VLOOKUP(Table10[[#This Row],[target2]],Table2210[Label],1,FALSE)),"SPOKE","FOCUS"),"HUB")</f>
        <v>SPOKE</v>
      </c>
      <c r="G42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42" s="46" t="s">
        <v>771</v>
      </c>
      <c r="I42" s="47" t="s">
        <v>1452</v>
      </c>
      <c r="J42" s="47" t="s">
        <v>738</v>
      </c>
      <c r="K42" s="47" t="s">
        <v>1453</v>
      </c>
      <c r="L42" s="47" t="s">
        <v>738</v>
      </c>
      <c r="M42" s="47" t="s">
        <v>1454</v>
      </c>
      <c r="N42">
        <v>2637</v>
      </c>
      <c r="O42">
        <v>2637</v>
      </c>
      <c r="P42" s="11" t="s">
        <v>399</v>
      </c>
    </row>
    <row r="43" spans="1:16" x14ac:dyDescent="0.2">
      <c r="A43">
        <v>627</v>
      </c>
      <c r="B43">
        <v>575</v>
      </c>
      <c r="C43" t="str">
        <f>VLOOKUP(Table10[[#This Row],[source]],Table2226[[#All],[ID]:[Label]],3,FALSE)</f>
        <v>IAH</v>
      </c>
      <c r="D43" t="str">
        <f>VLOOKUP(Table10[[#This Row],[target]],Table2226[[#All],[ID]:[Label]],3,FALSE)</f>
        <v>DFW</v>
      </c>
      <c r="E43" s="32" t="str">
        <f>IF(ISERROR(VLOOKUP(Table10[[#This Row],[source2]],Table22[Label],1,FALSE)),IF(ISERROR(VLOOKUP(Table10[[#This Row],[source2]],Table2210[Label],1,FALSE)),"SPOKE","FOCUS"),"HUB")</f>
        <v>HUB</v>
      </c>
      <c r="F43" s="32" t="str">
        <f>IF(ISERROR(VLOOKUP(Table10[[#This Row],[target2]],Table22[Label],1,FALSE)),IF(ISERROR(VLOOKUP(Table10[[#This Row],[target2]],Table2210[Label],1,FALSE)),"SPOKE","FOCUS"),"HUB")</f>
        <v>HUB</v>
      </c>
      <c r="G43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43" s="46" t="s">
        <v>1783</v>
      </c>
      <c r="I43" s="47" t="s">
        <v>1784</v>
      </c>
      <c r="J43" s="47" t="s">
        <v>738</v>
      </c>
      <c r="K43" s="47" t="s">
        <v>1785</v>
      </c>
      <c r="L43" s="47" t="s">
        <v>745</v>
      </c>
      <c r="M43" s="47" t="s">
        <v>1786</v>
      </c>
      <c r="N43">
        <v>962</v>
      </c>
      <c r="O43">
        <v>962</v>
      </c>
      <c r="P43" s="11" t="s">
        <v>400</v>
      </c>
    </row>
    <row r="44" spans="1:16" x14ac:dyDescent="0.2">
      <c r="A44">
        <v>579</v>
      </c>
      <c r="B44">
        <v>574</v>
      </c>
      <c r="C44" t="str">
        <f>VLOOKUP(Table10[[#This Row],[source]],Table2226[[#All],[ID]:[Label]],3,FALSE)</f>
        <v>DTW</v>
      </c>
      <c r="D44" t="str">
        <f>VLOOKUP(Table10[[#This Row],[target]],Table2226[[#All],[ID]:[Label]],3,FALSE)</f>
        <v>DEN</v>
      </c>
      <c r="E44" s="32" t="str">
        <f>IF(ISERROR(VLOOKUP(Table10[[#This Row],[source2]],Table22[Label],1,FALSE)),IF(ISERROR(VLOOKUP(Table10[[#This Row],[source2]],Table2210[Label],1,FALSE)),"SPOKE","FOCUS"),"HUB")</f>
        <v>HUB</v>
      </c>
      <c r="F44" s="32" t="str">
        <f>IF(ISERROR(VLOOKUP(Table10[[#This Row],[target2]],Table22[Label],1,FALSE)),IF(ISERROR(VLOOKUP(Table10[[#This Row],[target2]],Table2210[Label],1,FALSE)),"SPOKE","FOCUS"),"HUB")</f>
        <v>HUB</v>
      </c>
      <c r="G44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44" s="46" t="s">
        <v>1248</v>
      </c>
      <c r="I44" s="47" t="s">
        <v>1249</v>
      </c>
      <c r="J44" s="47" t="s">
        <v>738</v>
      </c>
      <c r="K44" s="47" t="s">
        <v>1250</v>
      </c>
      <c r="L44" s="47" t="s">
        <v>1251</v>
      </c>
      <c r="M44" s="47" t="s">
        <v>1252</v>
      </c>
      <c r="N44">
        <v>557</v>
      </c>
      <c r="O44">
        <v>557</v>
      </c>
      <c r="P44" s="11" t="s">
        <v>401</v>
      </c>
    </row>
    <row r="45" spans="1:16" x14ac:dyDescent="0.2">
      <c r="A45">
        <v>627</v>
      </c>
      <c r="B45">
        <v>613</v>
      </c>
      <c r="C45" t="str">
        <f>VLOOKUP(Table10[[#This Row],[source]],Table2226[[#All],[ID]:[Label]],3,FALSE)</f>
        <v>IAH</v>
      </c>
      <c r="D45" t="str">
        <f>VLOOKUP(Table10[[#This Row],[target]],Table2226[[#All],[ID]:[Label]],3,FALSE)</f>
        <v>GSP</v>
      </c>
      <c r="E45" s="32" t="str">
        <f>IF(ISERROR(VLOOKUP(Table10[[#This Row],[source2]],Table22[Label],1,FALSE)),IF(ISERROR(VLOOKUP(Table10[[#This Row],[source2]],Table2210[Label],1,FALSE)),"SPOKE","FOCUS"),"HUB")</f>
        <v>HUB</v>
      </c>
      <c r="F45" s="32" t="str">
        <f>IF(ISERROR(VLOOKUP(Table10[[#This Row],[target2]],Table22[Label],1,FALSE)),IF(ISERROR(VLOOKUP(Table10[[#This Row],[target2]],Table2210[Label],1,FALSE)),"SPOKE","FOCUS"),"HUB")</f>
        <v>SPOKE</v>
      </c>
      <c r="G45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45" s="46" t="s">
        <v>771</v>
      </c>
      <c r="I45" s="47" t="s">
        <v>1804</v>
      </c>
      <c r="J45" s="47" t="s">
        <v>738</v>
      </c>
      <c r="K45" s="47" t="s">
        <v>1805</v>
      </c>
      <c r="L45" s="47" t="s">
        <v>957</v>
      </c>
      <c r="M45" s="47" t="s">
        <v>1806</v>
      </c>
      <c r="N45">
        <v>827</v>
      </c>
      <c r="O45">
        <v>827</v>
      </c>
      <c r="P45" s="11" t="s">
        <v>402</v>
      </c>
    </row>
    <row r="46" spans="1:16" x14ac:dyDescent="0.2">
      <c r="A46">
        <v>682</v>
      </c>
      <c r="B46">
        <v>498</v>
      </c>
      <c r="C46" t="str">
        <f>VLOOKUP(Table10[[#This Row],[source]],Table2226[[#All],[ID]:[Label]],3,FALSE)</f>
        <v>MSP</v>
      </c>
      <c r="D46" t="str">
        <f>VLOOKUP(Table10[[#This Row],[target]],Table2226[[#All],[ID]:[Label]],3,FALSE)</f>
        <v>ALB</v>
      </c>
      <c r="E46" s="32" t="str">
        <f>IF(ISERROR(VLOOKUP(Table10[[#This Row],[source2]],Table22[Label],1,FALSE)),IF(ISERROR(VLOOKUP(Table10[[#This Row],[source2]],Table2210[Label],1,FALSE)),"SPOKE","FOCUS"),"HUB")</f>
        <v>HUB</v>
      </c>
      <c r="F46" s="32" t="str">
        <f>IF(ISERROR(VLOOKUP(Table10[[#This Row],[target2]],Table22[Label],1,FALSE)),IF(ISERROR(VLOOKUP(Table10[[#This Row],[target2]],Table2210[Label],1,FALSE)),"SPOKE","FOCUS"),"HUB")</f>
        <v>SPOKE</v>
      </c>
      <c r="G46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46" s="46" t="s">
        <v>771</v>
      </c>
      <c r="I46" s="47" t="s">
        <v>1910</v>
      </c>
      <c r="J46" s="47" t="s">
        <v>738</v>
      </c>
      <c r="K46" s="47" t="s">
        <v>1911</v>
      </c>
      <c r="L46" s="47" t="s">
        <v>1333</v>
      </c>
      <c r="M46" s="47" t="s">
        <v>1912</v>
      </c>
      <c r="N46">
        <v>1358</v>
      </c>
      <c r="O46">
        <v>1358</v>
      </c>
      <c r="P46" s="11" t="s">
        <v>403</v>
      </c>
    </row>
    <row r="47" spans="1:16" x14ac:dyDescent="0.2">
      <c r="A47">
        <v>579</v>
      </c>
      <c r="B47">
        <v>653</v>
      </c>
      <c r="C47" t="str">
        <f>VLOOKUP(Table10[[#This Row],[source]],Table2226[[#All],[ID]:[Label]],3,FALSE)</f>
        <v>DTW</v>
      </c>
      <c r="D47" t="str">
        <f>VLOOKUP(Table10[[#This Row],[target]],Table2226[[#All],[ID]:[Label]],3,FALSE)</f>
        <v>LIT</v>
      </c>
      <c r="E47" s="32" t="str">
        <f>IF(ISERROR(VLOOKUP(Table10[[#This Row],[source2]],Table22[Label],1,FALSE)),IF(ISERROR(VLOOKUP(Table10[[#This Row],[source2]],Table2210[Label],1,FALSE)),"SPOKE","FOCUS"),"HUB")</f>
        <v>HUB</v>
      </c>
      <c r="F47" s="32" t="str">
        <f>IF(ISERROR(VLOOKUP(Table10[[#This Row],[target2]],Table22[Label],1,FALSE)),IF(ISERROR(VLOOKUP(Table10[[#This Row],[target2]],Table2210[Label],1,FALSE)),"SPOKE","FOCUS"),"HUB")</f>
        <v>SPOKE</v>
      </c>
      <c r="G47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47" s="46" t="s">
        <v>771</v>
      </c>
      <c r="I47" s="47" t="s">
        <v>1331</v>
      </c>
      <c r="J47" s="47" t="s">
        <v>738</v>
      </c>
      <c r="K47" s="47" t="s">
        <v>1332</v>
      </c>
      <c r="L47" s="47" t="s">
        <v>1333</v>
      </c>
      <c r="M47" s="47" t="s">
        <v>1334</v>
      </c>
      <c r="N47">
        <v>829</v>
      </c>
      <c r="O47">
        <v>829</v>
      </c>
      <c r="P47" s="11" t="s">
        <v>404</v>
      </c>
    </row>
    <row r="48" spans="1:16" x14ac:dyDescent="0.2">
      <c r="A48">
        <v>700</v>
      </c>
      <c r="B48">
        <v>730</v>
      </c>
      <c r="C48" t="str">
        <f>VLOOKUP(Table10[[#This Row],[source]],Table2226[[#All],[ID]:[Label]],3,FALSE)</f>
        <v>PHL</v>
      </c>
      <c r="D48" t="str">
        <f>VLOOKUP(Table10[[#This Row],[target]],Table2226[[#All],[ID]:[Label]],3,FALSE)</f>
        <v>SEA</v>
      </c>
      <c r="E48" s="32" t="str">
        <f>IF(ISERROR(VLOOKUP(Table10[[#This Row],[source2]],Table22[Label],1,FALSE)),IF(ISERROR(VLOOKUP(Table10[[#This Row],[source2]],Table2210[Label],1,FALSE)),"SPOKE","FOCUS"),"HUB")</f>
        <v>HUB</v>
      </c>
      <c r="F48" s="32" t="str">
        <f>IF(ISERROR(VLOOKUP(Table10[[#This Row],[target2]],Table22[Label],1,FALSE)),IF(ISERROR(VLOOKUP(Table10[[#This Row],[target2]],Table2210[Label],1,FALSE)),"SPOKE","FOCUS"),"HUB")</f>
        <v>HUB</v>
      </c>
      <c r="G48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48" s="46" t="s">
        <v>771</v>
      </c>
      <c r="I48" s="47" t="s">
        <v>997</v>
      </c>
      <c r="J48" s="47" t="s">
        <v>738</v>
      </c>
      <c r="K48" s="47" t="s">
        <v>998</v>
      </c>
      <c r="L48" s="47" t="s">
        <v>738</v>
      </c>
      <c r="M48" s="47" t="s">
        <v>999</v>
      </c>
      <c r="N48">
        <v>6956</v>
      </c>
      <c r="O48">
        <v>6956</v>
      </c>
      <c r="P48" s="11" t="s">
        <v>405</v>
      </c>
    </row>
    <row r="49" spans="1:16" x14ac:dyDescent="0.2">
      <c r="A49">
        <v>575</v>
      </c>
      <c r="B49">
        <v>712</v>
      </c>
      <c r="C49" t="str">
        <f>VLOOKUP(Table10[[#This Row],[source]],Table2226[[#All],[ID]:[Label]],3,FALSE)</f>
        <v>DFW</v>
      </c>
      <c r="D49" t="str">
        <f>VLOOKUP(Table10[[#This Row],[target]],Table2226[[#All],[ID]:[Label]],3,FALSE)</f>
        <v>PSP</v>
      </c>
      <c r="E49" s="32" t="str">
        <f>IF(ISERROR(VLOOKUP(Table10[[#This Row],[source2]],Table22[Label],1,FALSE)),IF(ISERROR(VLOOKUP(Table10[[#This Row],[source2]],Table2210[Label],1,FALSE)),"SPOKE","FOCUS"),"HUB")</f>
        <v>HUB</v>
      </c>
      <c r="F49" s="32" t="str">
        <f>IF(ISERROR(VLOOKUP(Table10[[#This Row],[target2]],Table22[Label],1,FALSE)),IF(ISERROR(VLOOKUP(Table10[[#This Row],[target2]],Table2210[Label],1,FALSE)),"SPOKE","FOCUS"),"HUB")</f>
        <v>SPOKE</v>
      </c>
      <c r="G49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49" s="46" t="s">
        <v>771</v>
      </c>
      <c r="I49" s="47" t="s">
        <v>1977</v>
      </c>
      <c r="J49" s="47" t="s">
        <v>738</v>
      </c>
      <c r="K49" s="47" t="s">
        <v>1978</v>
      </c>
      <c r="L49" s="47" t="s">
        <v>888</v>
      </c>
      <c r="M49" s="47" t="s">
        <v>1979</v>
      </c>
      <c r="N49">
        <v>1205</v>
      </c>
      <c r="O49">
        <v>1205</v>
      </c>
      <c r="P49" s="11" t="s">
        <v>406</v>
      </c>
    </row>
    <row r="50" spans="1:16" x14ac:dyDescent="0.2">
      <c r="A50">
        <v>645</v>
      </c>
      <c r="B50">
        <v>529</v>
      </c>
      <c r="C50" t="str">
        <f>VLOOKUP(Table10[[#This Row],[source]],Table2226[[#All],[ID]:[Label]],3,FALSE)</f>
        <v>JFK</v>
      </c>
      <c r="D50" t="str">
        <f>VLOOKUP(Table10[[#This Row],[target]],Table2226[[#All],[ID]:[Label]],3,FALSE)</f>
        <v>BOS</v>
      </c>
      <c r="E50" s="32" t="str">
        <f>IF(ISERROR(VLOOKUP(Table10[[#This Row],[source2]],Table22[Label],1,FALSE)),IF(ISERROR(VLOOKUP(Table10[[#This Row],[source2]],Table2210[Label],1,FALSE)),"SPOKE","FOCUS"),"HUB")</f>
        <v>HUB</v>
      </c>
      <c r="F50" s="32" t="str">
        <f>IF(ISERROR(VLOOKUP(Table10[[#This Row],[target2]],Table22[Label],1,FALSE)),IF(ISERROR(VLOOKUP(Table10[[#This Row],[target2]],Table2210[Label],1,FALSE)),"SPOKE","FOCUS"),"HUB")</f>
        <v>HUB</v>
      </c>
      <c r="G50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50" s="46" t="s">
        <v>2241</v>
      </c>
      <c r="I50" s="47" t="s">
        <v>2242</v>
      </c>
      <c r="J50" s="47" t="s">
        <v>738</v>
      </c>
      <c r="K50" s="47" t="s">
        <v>2243</v>
      </c>
      <c r="L50" s="47" t="s">
        <v>2193</v>
      </c>
      <c r="M50" s="47" t="s">
        <v>2244</v>
      </c>
      <c r="N50">
        <v>1004</v>
      </c>
      <c r="O50">
        <v>1004</v>
      </c>
      <c r="P50" s="11" t="s">
        <v>407</v>
      </c>
    </row>
    <row r="51" spans="1:16" x14ac:dyDescent="0.2">
      <c r="A51">
        <v>2191</v>
      </c>
      <c r="B51">
        <v>682</v>
      </c>
      <c r="C51" t="str">
        <f>VLOOKUP(Table10[[#This Row],[source]],Table2226[[#All],[ID]:[Label]],3,FALSE)</f>
        <v>TYS</v>
      </c>
      <c r="D51" t="str">
        <f>VLOOKUP(Table10[[#This Row],[target]],Table2226[[#All],[ID]:[Label]],3,FALSE)</f>
        <v>MSP</v>
      </c>
      <c r="E51" s="32" t="str">
        <f>IF(ISERROR(VLOOKUP(Table10[[#This Row],[source2]],Table22[Label],1,FALSE)),IF(ISERROR(VLOOKUP(Table10[[#This Row],[source2]],Table2210[Label],1,FALSE)),"SPOKE","FOCUS"),"HUB")</f>
        <v>SPOKE</v>
      </c>
      <c r="F51" s="32" t="str">
        <f>IF(ISERROR(VLOOKUP(Table10[[#This Row],[target2]],Table22[Label],1,FALSE)),IF(ISERROR(VLOOKUP(Table10[[#This Row],[target2]],Table2210[Label],1,FALSE)),"SPOKE","FOCUS"),"HUB")</f>
        <v>HUB</v>
      </c>
      <c r="G51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51" s="46" t="s">
        <v>771</v>
      </c>
      <c r="I51" s="47" t="s">
        <v>797</v>
      </c>
      <c r="J51" s="47" t="s">
        <v>738</v>
      </c>
      <c r="K51" s="47" t="s">
        <v>798</v>
      </c>
      <c r="L51" s="47" t="s">
        <v>799</v>
      </c>
      <c r="M51" s="47" t="s">
        <v>800</v>
      </c>
      <c r="N51">
        <v>1268</v>
      </c>
      <c r="O51">
        <v>1268</v>
      </c>
      <c r="P51" s="11" t="s">
        <v>408</v>
      </c>
    </row>
    <row r="52" spans="1:16" x14ac:dyDescent="0.2">
      <c r="A52">
        <v>627</v>
      </c>
      <c r="B52">
        <v>648</v>
      </c>
      <c r="C52" t="str">
        <f>VLOOKUP(Table10[[#This Row],[source]],Table2226[[#All],[ID]:[Label]],3,FALSE)</f>
        <v>IAH</v>
      </c>
      <c r="D52" t="str">
        <f>VLOOKUP(Table10[[#This Row],[target]],Table2226[[#All],[ID]:[Label]],3,FALSE)</f>
        <v>LAX</v>
      </c>
      <c r="E52" s="32" t="str">
        <f>IF(ISERROR(VLOOKUP(Table10[[#This Row],[source2]],Table22[Label],1,FALSE)),IF(ISERROR(VLOOKUP(Table10[[#This Row],[source2]],Table2210[Label],1,FALSE)),"SPOKE","FOCUS"),"HUB")</f>
        <v>HUB</v>
      </c>
      <c r="F52" s="32" t="str">
        <f>IF(ISERROR(VLOOKUP(Table10[[#This Row],[target2]],Table22[Label],1,FALSE)),IF(ISERROR(VLOOKUP(Table10[[#This Row],[target2]],Table2210[Label],1,FALSE)),"SPOKE","FOCUS"),"HUB")</f>
        <v>HUB</v>
      </c>
      <c r="G52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52" s="46" t="s">
        <v>1755</v>
      </c>
      <c r="I52" s="47" t="s">
        <v>1756</v>
      </c>
      <c r="J52" s="47" t="s">
        <v>738</v>
      </c>
      <c r="K52" s="47" t="s">
        <v>1757</v>
      </c>
      <c r="L52" s="47" t="s">
        <v>1742</v>
      </c>
      <c r="M52" s="47" t="s">
        <v>1758</v>
      </c>
      <c r="N52">
        <v>1035</v>
      </c>
      <c r="O52">
        <v>1035</v>
      </c>
      <c r="P52" s="11" t="s">
        <v>409</v>
      </c>
    </row>
    <row r="53" spans="1:16" x14ac:dyDescent="0.2">
      <c r="A53">
        <v>574</v>
      </c>
      <c r="B53">
        <v>702</v>
      </c>
      <c r="C53" t="str">
        <f>VLOOKUP(Table10[[#This Row],[source]],Table2226[[#All],[ID]:[Label]],3,FALSE)</f>
        <v>DEN</v>
      </c>
      <c r="D53" t="str">
        <f>VLOOKUP(Table10[[#This Row],[target]],Table2226[[#All],[ID]:[Label]],3,FALSE)</f>
        <v>PHX</v>
      </c>
      <c r="E53" s="32" t="str">
        <f>IF(ISERROR(VLOOKUP(Table10[[#This Row],[source2]],Table22[Label],1,FALSE)),IF(ISERROR(VLOOKUP(Table10[[#This Row],[source2]],Table2210[Label],1,FALSE)),"SPOKE","FOCUS"),"HUB")</f>
        <v>HUB</v>
      </c>
      <c r="F53" s="32" t="str">
        <f>IF(ISERROR(VLOOKUP(Table10[[#This Row],[target2]],Table22[Label],1,FALSE)),IF(ISERROR(VLOOKUP(Table10[[#This Row],[target2]],Table2210[Label],1,FALSE)),"SPOKE","FOCUS"),"HUB")</f>
        <v>HUB</v>
      </c>
      <c r="G53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53" s="46" t="s">
        <v>1477</v>
      </c>
      <c r="I53" s="47" t="s">
        <v>1478</v>
      </c>
      <c r="J53" s="47" t="s">
        <v>738</v>
      </c>
      <c r="K53" s="47" t="s">
        <v>1479</v>
      </c>
      <c r="L53" s="47" t="s">
        <v>1333</v>
      </c>
      <c r="M53" s="47" t="s">
        <v>1480</v>
      </c>
      <c r="N53">
        <v>1479</v>
      </c>
      <c r="O53">
        <v>1479</v>
      </c>
      <c r="P53" s="11" t="s">
        <v>410</v>
      </c>
    </row>
    <row r="54" spans="1:16" x14ac:dyDescent="0.2">
      <c r="A54">
        <v>625</v>
      </c>
      <c r="B54">
        <v>648</v>
      </c>
      <c r="C54" t="str">
        <f>VLOOKUP(Table10[[#This Row],[source]],Table2226[[#All],[ID]:[Label]],3,FALSE)</f>
        <v>IAD</v>
      </c>
      <c r="D54" t="str">
        <f>VLOOKUP(Table10[[#This Row],[target]],Table2226[[#All],[ID]:[Label]],3,FALSE)</f>
        <v>LAX</v>
      </c>
      <c r="E54" s="32" t="str">
        <f>IF(ISERROR(VLOOKUP(Table10[[#This Row],[source2]],Table22[Label],1,FALSE)),IF(ISERROR(VLOOKUP(Table10[[#This Row],[source2]],Table2210[Label],1,FALSE)),"SPOKE","FOCUS"),"HUB")</f>
        <v>HUB</v>
      </c>
      <c r="F54" s="32" t="str">
        <f>IF(ISERROR(VLOOKUP(Table10[[#This Row],[target2]],Table22[Label],1,FALSE)),IF(ISERROR(VLOOKUP(Table10[[#This Row],[target2]],Table2210[Label],1,FALSE)),"SPOKE","FOCUS"),"HUB")</f>
        <v>HUB</v>
      </c>
      <c r="G54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54" s="46" t="s">
        <v>1122</v>
      </c>
      <c r="I54" s="47" t="s">
        <v>1123</v>
      </c>
      <c r="J54" s="47" t="s">
        <v>738</v>
      </c>
      <c r="K54" s="47" t="s">
        <v>1124</v>
      </c>
      <c r="L54" s="47" t="s">
        <v>799</v>
      </c>
      <c r="M54" s="47" t="s">
        <v>1125</v>
      </c>
      <c r="N54">
        <v>737</v>
      </c>
      <c r="O54">
        <v>737</v>
      </c>
      <c r="P54" s="11" t="s">
        <v>411</v>
      </c>
    </row>
    <row r="55" spans="1:16" x14ac:dyDescent="0.2">
      <c r="A55">
        <v>579</v>
      </c>
      <c r="B55">
        <v>575</v>
      </c>
      <c r="C55" t="str">
        <f>VLOOKUP(Table10[[#This Row],[source]],Table2226[[#All],[ID]:[Label]],3,FALSE)</f>
        <v>DTW</v>
      </c>
      <c r="D55" t="str">
        <f>VLOOKUP(Table10[[#This Row],[target]],Table2226[[#All],[ID]:[Label]],3,FALSE)</f>
        <v>DFW</v>
      </c>
      <c r="E55" s="32" t="str">
        <f>IF(ISERROR(VLOOKUP(Table10[[#This Row],[source2]],Table22[Label],1,FALSE)),IF(ISERROR(VLOOKUP(Table10[[#This Row],[source2]],Table2210[Label],1,FALSE)),"SPOKE","FOCUS"),"HUB")</f>
        <v>HUB</v>
      </c>
      <c r="F55" s="32" t="str">
        <f>IF(ISERROR(VLOOKUP(Table10[[#This Row],[target2]],Table22[Label],1,FALSE)),IF(ISERROR(VLOOKUP(Table10[[#This Row],[target2]],Table2210[Label],1,FALSE)),"SPOKE","FOCUS"),"HUB")</f>
        <v>HUB</v>
      </c>
      <c r="G55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55" s="46" t="s">
        <v>1310</v>
      </c>
      <c r="I55" s="47" t="s">
        <v>1311</v>
      </c>
      <c r="J55" s="47" t="s">
        <v>738</v>
      </c>
      <c r="K55" s="47" t="s">
        <v>1312</v>
      </c>
      <c r="L55" s="47" t="s">
        <v>1313</v>
      </c>
      <c r="M55" s="47" t="s">
        <v>1314</v>
      </c>
      <c r="N55">
        <v>631</v>
      </c>
      <c r="O55">
        <v>631</v>
      </c>
      <c r="P55" s="11" t="s">
        <v>412</v>
      </c>
    </row>
    <row r="56" spans="1:16" x14ac:dyDescent="0.2">
      <c r="A56">
        <v>498</v>
      </c>
      <c r="B56">
        <v>647</v>
      </c>
      <c r="C56" t="str">
        <f>VLOOKUP(Table10[[#This Row],[source]],Table2226[[#All],[ID]:[Label]],3,FALSE)</f>
        <v>ALB</v>
      </c>
      <c r="D56" t="str">
        <f>VLOOKUP(Table10[[#This Row],[target]],Table2226[[#All],[ID]:[Label]],3,FALSE)</f>
        <v>LAS</v>
      </c>
      <c r="E56" s="32" t="str">
        <f>IF(ISERROR(VLOOKUP(Table10[[#This Row],[source2]],Table22[Label],1,FALSE)),IF(ISERROR(VLOOKUP(Table10[[#This Row],[source2]],Table2210[Label],1,FALSE)),"SPOKE","FOCUS"),"HUB")</f>
        <v>SPOKE</v>
      </c>
      <c r="F56" s="32" t="str">
        <f>IF(ISERROR(VLOOKUP(Table10[[#This Row],[target2]],Table22[Label],1,FALSE)),IF(ISERROR(VLOOKUP(Table10[[#This Row],[target2]],Table2210[Label],1,FALSE)),"SPOKE","FOCUS"),"HUB")</f>
        <v>FOCUS</v>
      </c>
      <c r="G56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SPOKE-FOCUS</v>
      </c>
      <c r="H56" s="46" t="s">
        <v>771</v>
      </c>
      <c r="I56" s="47" t="s">
        <v>2145</v>
      </c>
      <c r="J56" s="47" t="s">
        <v>738</v>
      </c>
      <c r="K56" s="47" t="s">
        <v>2146</v>
      </c>
      <c r="L56" s="47" t="s">
        <v>795</v>
      </c>
      <c r="M56" s="47" t="s">
        <v>2147</v>
      </c>
      <c r="N56">
        <v>1501</v>
      </c>
      <c r="O56">
        <v>1501</v>
      </c>
      <c r="P56" s="11" t="s">
        <v>413</v>
      </c>
    </row>
    <row r="57" spans="1:16" x14ac:dyDescent="0.2">
      <c r="A57">
        <v>574</v>
      </c>
      <c r="B57">
        <v>575</v>
      </c>
      <c r="C57" t="str">
        <f>VLOOKUP(Table10[[#This Row],[source]],Table2226[[#All],[ID]:[Label]],3,FALSE)</f>
        <v>DEN</v>
      </c>
      <c r="D57" t="str">
        <f>VLOOKUP(Table10[[#This Row],[target]],Table2226[[#All],[ID]:[Label]],3,FALSE)</f>
        <v>DFW</v>
      </c>
      <c r="E57" s="32" t="str">
        <f>IF(ISERROR(VLOOKUP(Table10[[#This Row],[source2]],Table22[Label],1,FALSE)),IF(ISERROR(VLOOKUP(Table10[[#This Row],[source2]],Table2210[Label],1,FALSE)),"SPOKE","FOCUS"),"HUB")</f>
        <v>HUB</v>
      </c>
      <c r="F57" s="32" t="str">
        <f>IF(ISERROR(VLOOKUP(Table10[[#This Row],[target2]],Table22[Label],1,FALSE)),IF(ISERROR(VLOOKUP(Table10[[#This Row],[target2]],Table2210[Label],1,FALSE)),"SPOKE","FOCUS"),"HUB")</f>
        <v>HUB</v>
      </c>
      <c r="G57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57" s="46" t="s">
        <v>1497</v>
      </c>
      <c r="I57" s="47" t="s">
        <v>1498</v>
      </c>
      <c r="J57" s="47" t="s">
        <v>738</v>
      </c>
      <c r="K57" s="47" t="s">
        <v>1499</v>
      </c>
      <c r="L57" s="47" t="s">
        <v>1500</v>
      </c>
      <c r="M57" s="47" t="s">
        <v>1501</v>
      </c>
      <c r="N57">
        <v>1051</v>
      </c>
      <c r="O57">
        <v>1051</v>
      </c>
      <c r="P57" s="11" t="s">
        <v>414</v>
      </c>
    </row>
    <row r="58" spans="1:16" x14ac:dyDescent="0.2">
      <c r="A58">
        <v>571</v>
      </c>
      <c r="B58">
        <v>647</v>
      </c>
      <c r="C58" t="str">
        <f>VLOOKUP(Table10[[#This Row],[source]],Table2226[[#All],[ID]:[Label]],3,FALSE)</f>
        <v>DCA</v>
      </c>
      <c r="D58" t="str">
        <f>VLOOKUP(Table10[[#This Row],[target]],Table2226[[#All],[ID]:[Label]],3,FALSE)</f>
        <v>LAS</v>
      </c>
      <c r="E58" s="32" t="str">
        <f>IF(ISERROR(VLOOKUP(Table10[[#This Row],[source2]],Table22[Label],1,FALSE)),IF(ISERROR(VLOOKUP(Table10[[#This Row],[source2]],Table2210[Label],1,FALSE)),"SPOKE","FOCUS"),"HUB")</f>
        <v>HUB</v>
      </c>
      <c r="F58" s="32" t="str">
        <f>IF(ISERROR(VLOOKUP(Table10[[#This Row],[target2]],Table22[Label],1,FALSE)),IF(ISERROR(VLOOKUP(Table10[[#This Row],[target2]],Table2210[Label],1,FALSE)),"SPOKE","FOCUS"),"HUB")</f>
        <v>FOCUS</v>
      </c>
      <c r="G58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HUB-FOCUS</v>
      </c>
      <c r="H58" s="46" t="s">
        <v>771</v>
      </c>
      <c r="I58" s="47" t="s">
        <v>1207</v>
      </c>
      <c r="J58" s="47" t="s">
        <v>738</v>
      </c>
      <c r="K58" s="47" t="s">
        <v>1208</v>
      </c>
      <c r="L58" s="47" t="s">
        <v>738</v>
      </c>
      <c r="M58" s="47" t="s">
        <v>1209</v>
      </c>
      <c r="N58">
        <v>7566</v>
      </c>
      <c r="O58">
        <v>7566</v>
      </c>
      <c r="P58" s="11" t="s">
        <v>415</v>
      </c>
    </row>
    <row r="59" spans="1:16" x14ac:dyDescent="0.2">
      <c r="A59">
        <v>625</v>
      </c>
      <c r="B59">
        <v>506</v>
      </c>
      <c r="C59" t="str">
        <f>VLOOKUP(Table10[[#This Row],[source]],Table2226[[#All],[ID]:[Label]],3,FALSE)</f>
        <v>IAD</v>
      </c>
      <c r="D59" t="str">
        <f>VLOOKUP(Table10[[#This Row],[target]],Table2226[[#All],[ID]:[Label]],3,FALSE)</f>
        <v>ATL</v>
      </c>
      <c r="E59" s="32" t="str">
        <f>IF(ISERROR(VLOOKUP(Table10[[#This Row],[source2]],Table22[Label],1,FALSE)),IF(ISERROR(VLOOKUP(Table10[[#This Row],[source2]],Table2210[Label],1,FALSE)),"SPOKE","FOCUS"),"HUB")</f>
        <v>HUB</v>
      </c>
      <c r="F59" s="32" t="str">
        <f>IF(ISERROR(VLOOKUP(Table10[[#This Row],[target2]],Table22[Label],1,FALSE)),IF(ISERROR(VLOOKUP(Table10[[#This Row],[target2]],Table2210[Label],1,FALSE)),"SPOKE","FOCUS"),"HUB")</f>
        <v>HUB</v>
      </c>
      <c r="G59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59" s="46" t="s">
        <v>1081</v>
      </c>
      <c r="I59" s="47" t="s">
        <v>1082</v>
      </c>
      <c r="J59" s="47" t="s">
        <v>1083</v>
      </c>
      <c r="K59" s="47" t="s">
        <v>1084</v>
      </c>
      <c r="L59" s="47" t="s">
        <v>1085</v>
      </c>
      <c r="M59" s="47" t="s">
        <v>1086</v>
      </c>
      <c r="N59">
        <v>702</v>
      </c>
      <c r="O59">
        <v>702</v>
      </c>
      <c r="P59" s="11" t="s">
        <v>416</v>
      </c>
    </row>
    <row r="60" spans="1:16" x14ac:dyDescent="0.2">
      <c r="A60">
        <v>571</v>
      </c>
      <c r="B60">
        <v>529</v>
      </c>
      <c r="C60" t="str">
        <f>VLOOKUP(Table10[[#This Row],[source]],Table2226[[#All],[ID]:[Label]],3,FALSE)</f>
        <v>DCA</v>
      </c>
      <c r="D60" t="str">
        <f>VLOOKUP(Table10[[#This Row],[target]],Table2226[[#All],[ID]:[Label]],3,FALSE)</f>
        <v>BOS</v>
      </c>
      <c r="E60" s="32" t="str">
        <f>IF(ISERROR(VLOOKUP(Table10[[#This Row],[source2]],Table22[Label],1,FALSE)),IF(ISERROR(VLOOKUP(Table10[[#This Row],[source2]],Table2210[Label],1,FALSE)),"SPOKE","FOCUS"),"HUB")</f>
        <v>HUB</v>
      </c>
      <c r="F60" s="32" t="str">
        <f>IF(ISERROR(VLOOKUP(Table10[[#This Row],[target2]],Table22[Label],1,FALSE)),IF(ISERROR(VLOOKUP(Table10[[#This Row],[target2]],Table2210[Label],1,FALSE)),"SPOKE","FOCUS"),"HUB")</f>
        <v>HUB</v>
      </c>
      <c r="G60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60" s="46" t="s">
        <v>1150</v>
      </c>
      <c r="I60" s="47" t="s">
        <v>1151</v>
      </c>
      <c r="J60" s="47" t="s">
        <v>1152</v>
      </c>
      <c r="K60" s="47" t="s">
        <v>1153</v>
      </c>
      <c r="L60" s="47" t="s">
        <v>1154</v>
      </c>
      <c r="M60" s="47" t="s">
        <v>1155</v>
      </c>
      <c r="N60">
        <v>1227</v>
      </c>
      <c r="O60">
        <v>1227</v>
      </c>
      <c r="P60" s="11" t="s">
        <v>417</v>
      </c>
    </row>
    <row r="61" spans="1:16" x14ac:dyDescent="0.2">
      <c r="A61">
        <v>702</v>
      </c>
      <c r="B61">
        <v>673</v>
      </c>
      <c r="C61" t="str">
        <f>VLOOKUP(Table10[[#This Row],[source]],Table2226[[#All],[ID]:[Label]],3,FALSE)</f>
        <v>PHX</v>
      </c>
      <c r="D61" t="str">
        <f>VLOOKUP(Table10[[#This Row],[target]],Table2226[[#All],[ID]:[Label]],3,FALSE)</f>
        <v>MIA</v>
      </c>
      <c r="E61" s="32" t="str">
        <f>IF(ISERROR(VLOOKUP(Table10[[#This Row],[source2]],Table22[Label],1,FALSE)),IF(ISERROR(VLOOKUP(Table10[[#This Row],[source2]],Table2210[Label],1,FALSE)),"SPOKE","FOCUS"),"HUB")</f>
        <v>HUB</v>
      </c>
      <c r="F61" s="32" t="str">
        <f>IF(ISERROR(VLOOKUP(Table10[[#This Row],[target2]],Table22[Label],1,FALSE)),IF(ISERROR(VLOOKUP(Table10[[#This Row],[target2]],Table2210[Label],1,FALSE)),"SPOKE","FOCUS"),"HUB")</f>
        <v>HUB</v>
      </c>
      <c r="G61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61" s="46" t="s">
        <v>771</v>
      </c>
      <c r="I61" s="47" t="s">
        <v>2081</v>
      </c>
      <c r="J61" s="47" t="s">
        <v>738</v>
      </c>
      <c r="K61" s="47" t="s">
        <v>2082</v>
      </c>
      <c r="L61" s="47" t="s">
        <v>2083</v>
      </c>
      <c r="M61" s="47" t="s">
        <v>2084</v>
      </c>
      <c r="N61">
        <v>2758</v>
      </c>
      <c r="O61">
        <v>2758</v>
      </c>
      <c r="P61" s="11" t="s">
        <v>418</v>
      </c>
    </row>
    <row r="62" spans="1:16" x14ac:dyDescent="0.2">
      <c r="A62">
        <v>574</v>
      </c>
      <c r="B62">
        <v>647</v>
      </c>
      <c r="C62" t="str">
        <f>VLOOKUP(Table10[[#This Row],[source]],Table2226[[#All],[ID]:[Label]],3,FALSE)</f>
        <v>DEN</v>
      </c>
      <c r="D62" t="str">
        <f>VLOOKUP(Table10[[#This Row],[target]],Table2226[[#All],[ID]:[Label]],3,FALSE)</f>
        <v>LAS</v>
      </c>
      <c r="E62" s="32" t="str">
        <f>IF(ISERROR(VLOOKUP(Table10[[#This Row],[source2]],Table22[Label],1,FALSE)),IF(ISERROR(VLOOKUP(Table10[[#This Row],[source2]],Table2210[Label],1,FALSE)),"SPOKE","FOCUS"),"HUB")</f>
        <v>HUB</v>
      </c>
      <c r="F62" s="32" t="str">
        <f>IF(ISERROR(VLOOKUP(Table10[[#This Row],[target2]],Table22[Label],1,FALSE)),IF(ISERROR(VLOOKUP(Table10[[#This Row],[target2]],Table2210[Label],1,FALSE)),"SPOKE","FOCUS"),"HUB")</f>
        <v>FOCUS</v>
      </c>
      <c r="G62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HUB-FOCUS</v>
      </c>
      <c r="H62" s="46" t="s">
        <v>1546</v>
      </c>
      <c r="I62" s="47" t="s">
        <v>1547</v>
      </c>
      <c r="J62" s="47" t="s">
        <v>738</v>
      </c>
      <c r="K62" s="47" t="s">
        <v>1548</v>
      </c>
      <c r="L62" s="47" t="s">
        <v>1251</v>
      </c>
      <c r="M62" s="47" t="s">
        <v>1549</v>
      </c>
      <c r="N62">
        <v>1192</v>
      </c>
      <c r="O62">
        <v>1192</v>
      </c>
      <c r="P62" s="11" t="s">
        <v>419</v>
      </c>
    </row>
    <row r="63" spans="1:16" x14ac:dyDescent="0.2">
      <c r="A63">
        <v>506</v>
      </c>
      <c r="B63">
        <v>591</v>
      </c>
      <c r="C63" t="str">
        <f>VLOOKUP(Table10[[#This Row],[source]],Table2226[[#All],[ID]:[Label]],3,FALSE)</f>
        <v>ATL</v>
      </c>
      <c r="D63" t="str">
        <f>VLOOKUP(Table10[[#This Row],[target]],Table2226[[#All],[ID]:[Label]],3,FALSE)</f>
        <v>EWR</v>
      </c>
      <c r="E63" s="32" t="str">
        <f>IF(ISERROR(VLOOKUP(Table10[[#This Row],[source2]],Table22[Label],1,FALSE)),IF(ISERROR(VLOOKUP(Table10[[#This Row],[source2]],Table2210[Label],1,FALSE)),"SPOKE","FOCUS"),"HUB")</f>
        <v>HUB</v>
      </c>
      <c r="F63" s="32" t="str">
        <f>IF(ISERROR(VLOOKUP(Table10[[#This Row],[target2]],Table22[Label],1,FALSE)),IF(ISERROR(VLOOKUP(Table10[[#This Row],[target2]],Table2210[Label],1,FALSE)),"SPOKE","FOCUS"),"HUB")</f>
        <v>HUB</v>
      </c>
      <c r="G63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63" s="46" t="s">
        <v>1374</v>
      </c>
      <c r="I63" s="47" t="s">
        <v>1375</v>
      </c>
      <c r="J63" s="47" t="s">
        <v>1376</v>
      </c>
      <c r="K63" s="47" t="s">
        <v>1377</v>
      </c>
      <c r="L63" s="47" t="s">
        <v>1378</v>
      </c>
      <c r="M63" s="47" t="s">
        <v>1379</v>
      </c>
      <c r="N63">
        <v>1072</v>
      </c>
      <c r="O63">
        <v>1072</v>
      </c>
      <c r="P63" s="11" t="s">
        <v>420</v>
      </c>
    </row>
    <row r="64" spans="1:16" x14ac:dyDescent="0.2">
      <c r="A64">
        <v>579</v>
      </c>
      <c r="B64">
        <v>627</v>
      </c>
      <c r="C64" t="str">
        <f>VLOOKUP(Table10[[#This Row],[source]],Table2226[[#All],[ID]:[Label]],3,FALSE)</f>
        <v>DTW</v>
      </c>
      <c r="D64" t="str">
        <f>VLOOKUP(Table10[[#This Row],[target]],Table2226[[#All],[ID]:[Label]],3,FALSE)</f>
        <v>IAH</v>
      </c>
      <c r="E64" s="32" t="str">
        <f>IF(ISERROR(VLOOKUP(Table10[[#This Row],[source2]],Table22[Label],1,FALSE)),IF(ISERROR(VLOOKUP(Table10[[#This Row],[source2]],Table2210[Label],1,FALSE)),"SPOKE","FOCUS"),"HUB")</f>
        <v>HUB</v>
      </c>
      <c r="F64" s="32" t="str">
        <f>IF(ISERROR(VLOOKUP(Table10[[#This Row],[target2]],Table22[Label],1,FALSE)),IF(ISERROR(VLOOKUP(Table10[[#This Row],[target2]],Table2210[Label],1,FALSE)),"SPOKE","FOCUS"),"HUB")</f>
        <v>HUB</v>
      </c>
      <c r="G64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64" s="46" t="s">
        <v>1234</v>
      </c>
      <c r="I64" s="47" t="s">
        <v>1235</v>
      </c>
      <c r="J64" s="47" t="s">
        <v>738</v>
      </c>
      <c r="K64" s="47" t="s">
        <v>1236</v>
      </c>
      <c r="L64" s="47" t="s">
        <v>1237</v>
      </c>
      <c r="M64" s="47" t="s">
        <v>1238</v>
      </c>
      <c r="N64">
        <v>516</v>
      </c>
      <c r="O64">
        <v>516</v>
      </c>
      <c r="P64" s="11" t="s">
        <v>421</v>
      </c>
    </row>
    <row r="65" spans="1:16" x14ac:dyDescent="0.2">
      <c r="A65">
        <v>700</v>
      </c>
      <c r="B65">
        <v>506</v>
      </c>
      <c r="C65" t="str">
        <f>VLOOKUP(Table10[[#This Row],[source]],Table2226[[#All],[ID]:[Label]],3,FALSE)</f>
        <v>PHL</v>
      </c>
      <c r="D65" t="str">
        <f>VLOOKUP(Table10[[#This Row],[target]],Table2226[[#All],[ID]:[Label]],3,FALSE)</f>
        <v>ATL</v>
      </c>
      <c r="E65" s="32" t="str">
        <f>IF(ISERROR(VLOOKUP(Table10[[#This Row],[source2]],Table22[Label],1,FALSE)),IF(ISERROR(VLOOKUP(Table10[[#This Row],[source2]],Table2210[Label],1,FALSE)),"SPOKE","FOCUS"),"HUB")</f>
        <v>HUB</v>
      </c>
      <c r="F65" s="32" t="str">
        <f>IF(ISERROR(VLOOKUP(Table10[[#This Row],[target2]],Table22[Label],1,FALSE)),IF(ISERROR(VLOOKUP(Table10[[#This Row],[target2]],Table2210[Label],1,FALSE)),"SPOKE","FOCUS"),"HUB")</f>
        <v>HUB</v>
      </c>
      <c r="G65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65" s="46" t="s">
        <v>975</v>
      </c>
      <c r="I65" s="47" t="s">
        <v>976</v>
      </c>
      <c r="J65" s="47" t="s">
        <v>977</v>
      </c>
      <c r="K65" s="47" t="s">
        <v>978</v>
      </c>
      <c r="L65" s="47" t="s">
        <v>979</v>
      </c>
      <c r="M65" s="47" t="s">
        <v>980</v>
      </c>
      <c r="N65">
        <v>1312</v>
      </c>
      <c r="O65">
        <v>1312</v>
      </c>
      <c r="P65" s="11" t="s">
        <v>422</v>
      </c>
    </row>
    <row r="66" spans="1:16" x14ac:dyDescent="0.2">
      <c r="A66">
        <v>730</v>
      </c>
      <c r="B66">
        <v>673</v>
      </c>
      <c r="C66" t="str">
        <f>VLOOKUP(Table10[[#This Row],[source]],Table2226[[#All],[ID]:[Label]],3,FALSE)</f>
        <v>SEA</v>
      </c>
      <c r="D66" t="str">
        <f>VLOOKUP(Table10[[#This Row],[target]],Table2226[[#All],[ID]:[Label]],3,FALSE)</f>
        <v>MIA</v>
      </c>
      <c r="E66" s="32" t="str">
        <f>IF(ISERROR(VLOOKUP(Table10[[#This Row],[source2]],Table22[Label],1,FALSE)),IF(ISERROR(VLOOKUP(Table10[[#This Row],[source2]],Table2210[Label],1,FALSE)),"SPOKE","FOCUS"),"HUB")</f>
        <v>HUB</v>
      </c>
      <c r="F66" s="32" t="str">
        <f>IF(ISERROR(VLOOKUP(Table10[[#This Row],[target2]],Table22[Label],1,FALSE)),IF(ISERROR(VLOOKUP(Table10[[#This Row],[target2]],Table2210[Label],1,FALSE)),"SPOKE","FOCUS"),"HUB")</f>
        <v>HUB</v>
      </c>
      <c r="G66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66" s="46" t="s">
        <v>771</v>
      </c>
      <c r="I66" s="47" t="s">
        <v>2165</v>
      </c>
      <c r="J66" s="47" t="s">
        <v>738</v>
      </c>
      <c r="K66" s="47" t="s">
        <v>2166</v>
      </c>
      <c r="L66" s="47" t="s">
        <v>738</v>
      </c>
      <c r="M66" s="47" t="s">
        <v>2167</v>
      </c>
      <c r="N66">
        <v>4457</v>
      </c>
      <c r="O66">
        <v>4457</v>
      </c>
      <c r="P66" s="11" t="s">
        <v>423</v>
      </c>
    </row>
    <row r="67" spans="1:16" x14ac:dyDescent="0.2">
      <c r="A67">
        <v>682</v>
      </c>
      <c r="B67">
        <v>712</v>
      </c>
      <c r="C67" t="str">
        <f>VLOOKUP(Table10[[#This Row],[source]],Table2226[[#All],[ID]:[Label]],3,FALSE)</f>
        <v>MSP</v>
      </c>
      <c r="D67" t="str">
        <f>VLOOKUP(Table10[[#This Row],[target]],Table2226[[#All],[ID]:[Label]],3,FALSE)</f>
        <v>PSP</v>
      </c>
      <c r="E67" s="32" t="str">
        <f>IF(ISERROR(VLOOKUP(Table10[[#This Row],[source2]],Table22[Label],1,FALSE)),IF(ISERROR(VLOOKUP(Table10[[#This Row],[source2]],Table2210[Label],1,FALSE)),"SPOKE","FOCUS"),"HUB")</f>
        <v>HUB</v>
      </c>
      <c r="F67" s="32" t="str">
        <f>IF(ISERROR(VLOOKUP(Table10[[#This Row],[target2]],Table22[Label],1,FALSE)),IF(ISERROR(VLOOKUP(Table10[[#This Row],[target2]],Table2210[Label],1,FALSE)),"SPOKE","FOCUS"),"HUB")</f>
        <v>SPOKE</v>
      </c>
      <c r="G67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67" s="46" t="s">
        <v>771</v>
      </c>
      <c r="I67" s="47" t="s">
        <v>1913</v>
      </c>
      <c r="J67" s="47" t="s">
        <v>738</v>
      </c>
      <c r="K67" s="47" t="s">
        <v>1914</v>
      </c>
      <c r="L67" s="47" t="s">
        <v>1429</v>
      </c>
      <c r="M67" s="47" t="s">
        <v>1915</v>
      </c>
      <c r="N67">
        <v>1044</v>
      </c>
      <c r="O67">
        <v>1044</v>
      </c>
      <c r="P67" s="11" t="s">
        <v>424</v>
      </c>
    </row>
    <row r="68" spans="1:16" x14ac:dyDescent="0.2">
      <c r="A68">
        <v>529</v>
      </c>
      <c r="B68">
        <v>723</v>
      </c>
      <c r="C68" t="str">
        <f>VLOOKUP(Table10[[#This Row],[source]],Table2226[[#All],[ID]:[Label]],3,FALSE)</f>
        <v>BOS</v>
      </c>
      <c r="D68" t="str">
        <f>VLOOKUP(Table10[[#This Row],[target]],Table2226[[#All],[ID]:[Label]],3,FALSE)</f>
        <v>ROC</v>
      </c>
      <c r="E68" s="32" t="str">
        <f>IF(ISERROR(VLOOKUP(Table10[[#This Row],[source2]],Table22[Label],1,FALSE)),IF(ISERROR(VLOOKUP(Table10[[#This Row],[source2]],Table2210[Label],1,FALSE)),"SPOKE","FOCUS"),"HUB")</f>
        <v>HUB</v>
      </c>
      <c r="F68" s="32" t="str">
        <f>IF(ISERROR(VLOOKUP(Table10[[#This Row],[target2]],Table22[Label],1,FALSE)),IF(ISERROR(VLOOKUP(Table10[[#This Row],[target2]],Table2210[Label],1,FALSE)),"SPOKE","FOCUS"),"HUB")</f>
        <v>SPOKE</v>
      </c>
      <c r="G68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68" s="46" t="s">
        <v>771</v>
      </c>
      <c r="I68" s="47" t="s">
        <v>2327</v>
      </c>
      <c r="J68" s="47" t="s">
        <v>738</v>
      </c>
      <c r="K68" s="47" t="s">
        <v>2328</v>
      </c>
      <c r="L68" s="47" t="s">
        <v>2329</v>
      </c>
      <c r="M68" s="47" t="s">
        <v>2330</v>
      </c>
      <c r="N68">
        <v>1115</v>
      </c>
      <c r="O68">
        <v>1115</v>
      </c>
      <c r="P68" s="11" t="s">
        <v>425</v>
      </c>
    </row>
    <row r="69" spans="1:16" x14ac:dyDescent="0.2">
      <c r="A69">
        <v>2191</v>
      </c>
      <c r="B69">
        <v>700</v>
      </c>
      <c r="C69" t="str">
        <f>VLOOKUP(Table10[[#This Row],[source]],Table2226[[#All],[ID]:[Label]],3,FALSE)</f>
        <v>TYS</v>
      </c>
      <c r="D69" t="str">
        <f>VLOOKUP(Table10[[#This Row],[target]],Table2226[[#All],[ID]:[Label]],3,FALSE)</f>
        <v>PHL</v>
      </c>
      <c r="E69" s="32" t="str">
        <f>IF(ISERROR(VLOOKUP(Table10[[#This Row],[source2]],Table22[Label],1,FALSE)),IF(ISERROR(VLOOKUP(Table10[[#This Row],[source2]],Table2210[Label],1,FALSE)),"SPOKE","FOCUS"),"HUB")</f>
        <v>SPOKE</v>
      </c>
      <c r="F69" s="32" t="str">
        <f>IF(ISERROR(VLOOKUP(Table10[[#This Row],[target2]],Table22[Label],1,FALSE)),IF(ISERROR(VLOOKUP(Table10[[#This Row],[target2]],Table2210[Label],1,FALSE)),"SPOKE","FOCUS"),"HUB")</f>
        <v>HUB</v>
      </c>
      <c r="G69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69" s="46" t="s">
        <v>742</v>
      </c>
      <c r="I69" s="47" t="s">
        <v>743</v>
      </c>
      <c r="J69" s="47" t="s">
        <v>738</v>
      </c>
      <c r="K69" s="47" t="s">
        <v>744</v>
      </c>
      <c r="L69" s="47" t="s">
        <v>745</v>
      </c>
      <c r="M69" s="47" t="s">
        <v>746</v>
      </c>
      <c r="N69">
        <v>1216</v>
      </c>
      <c r="O69">
        <v>1216</v>
      </c>
      <c r="P69" s="11" t="s">
        <v>426</v>
      </c>
    </row>
    <row r="70" spans="1:16" x14ac:dyDescent="0.2">
      <c r="A70">
        <v>597</v>
      </c>
      <c r="B70">
        <v>613</v>
      </c>
      <c r="C70" t="str">
        <f>VLOOKUP(Table10[[#This Row],[source]],Table2226[[#All],[ID]:[Label]],3,FALSE)</f>
        <v>FLL</v>
      </c>
      <c r="D70" t="str">
        <f>VLOOKUP(Table10[[#This Row],[target]],Table2226[[#All],[ID]:[Label]],3,FALSE)</f>
        <v>GSP</v>
      </c>
      <c r="E70" s="32" t="str">
        <f>IF(ISERROR(VLOOKUP(Table10[[#This Row],[source2]],Table22[Label],1,FALSE)),IF(ISERROR(VLOOKUP(Table10[[#This Row],[source2]],Table2210[Label],1,FALSE)),"SPOKE","FOCUS"),"HUB")</f>
        <v>FOCUS</v>
      </c>
      <c r="F70" s="32" t="str">
        <f>IF(ISERROR(VLOOKUP(Table10[[#This Row],[target2]],Table22[Label],1,FALSE)),IF(ISERROR(VLOOKUP(Table10[[#This Row],[target2]],Table2210[Label],1,FALSE)),"SPOKE","FOCUS"),"HUB")</f>
        <v>SPOKE</v>
      </c>
      <c r="G70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SPOKE-FOCUS</v>
      </c>
      <c r="H70" s="46" t="s">
        <v>771</v>
      </c>
      <c r="I70" s="47" t="s">
        <v>886</v>
      </c>
      <c r="J70" s="47" t="s">
        <v>738</v>
      </c>
      <c r="K70" s="47" t="s">
        <v>887</v>
      </c>
      <c r="L70" s="47" t="s">
        <v>888</v>
      </c>
      <c r="M70" s="47" t="s">
        <v>889</v>
      </c>
      <c r="N70">
        <v>926</v>
      </c>
      <c r="O70">
        <v>926</v>
      </c>
      <c r="P70" s="11" t="s">
        <v>427</v>
      </c>
    </row>
    <row r="71" spans="1:16" x14ac:dyDescent="0.2">
      <c r="A71">
        <v>730</v>
      </c>
      <c r="B71">
        <v>663</v>
      </c>
      <c r="C71" t="str">
        <f>VLOOKUP(Table10[[#This Row],[source]],Table2226[[#All],[ID]:[Label]],3,FALSE)</f>
        <v>SEA</v>
      </c>
      <c r="D71" t="str">
        <f>VLOOKUP(Table10[[#This Row],[target]],Table2226[[#All],[ID]:[Label]],3,FALSE)</f>
        <v>MCO</v>
      </c>
      <c r="E71" s="32" t="str">
        <f>IF(ISERROR(VLOOKUP(Table10[[#This Row],[source2]],Table22[Label],1,FALSE)),IF(ISERROR(VLOOKUP(Table10[[#This Row],[source2]],Table2210[Label],1,FALSE)),"SPOKE","FOCUS"),"HUB")</f>
        <v>HUB</v>
      </c>
      <c r="F71" s="32" t="str">
        <f>IF(ISERROR(VLOOKUP(Table10[[#This Row],[target2]],Table22[Label],1,FALSE)),IF(ISERROR(VLOOKUP(Table10[[#This Row],[target2]],Table2210[Label],1,FALSE)),"SPOKE","FOCUS"),"HUB")</f>
        <v>FOCUS</v>
      </c>
      <c r="G71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HUB-FOCUS</v>
      </c>
      <c r="H71" s="46" t="s">
        <v>771</v>
      </c>
      <c r="I71" s="47" t="s">
        <v>2157</v>
      </c>
      <c r="J71" s="47" t="s">
        <v>738</v>
      </c>
      <c r="K71" s="47" t="s">
        <v>2158</v>
      </c>
      <c r="L71" s="47" t="s">
        <v>738</v>
      </c>
      <c r="M71" s="47" t="s">
        <v>2159</v>
      </c>
      <c r="N71">
        <v>6626</v>
      </c>
      <c r="O71">
        <v>6626</v>
      </c>
      <c r="P71" s="11" t="s">
        <v>428</v>
      </c>
    </row>
    <row r="72" spans="1:16" x14ac:dyDescent="0.2">
      <c r="A72">
        <v>554</v>
      </c>
      <c r="B72">
        <v>578</v>
      </c>
      <c r="C72" t="str">
        <f>VLOOKUP(Table10[[#This Row],[source]],Table2226[[#All],[ID]:[Label]],3,FALSE)</f>
        <v>CLT</v>
      </c>
      <c r="D72" t="str">
        <f>VLOOKUP(Table10[[#This Row],[target]],Table2226[[#All],[ID]:[Label]],3,FALSE)</f>
        <v>DSM</v>
      </c>
      <c r="E72" s="32" t="str">
        <f>IF(ISERROR(VLOOKUP(Table10[[#This Row],[source2]],Table22[Label],1,FALSE)),IF(ISERROR(VLOOKUP(Table10[[#This Row],[source2]],Table2210[Label],1,FALSE)),"SPOKE","FOCUS"),"HUB")</f>
        <v>HUB</v>
      </c>
      <c r="F72" s="32" t="str">
        <f>IF(ISERROR(VLOOKUP(Table10[[#This Row],[target2]],Table22[Label],1,FALSE)),IF(ISERROR(VLOOKUP(Table10[[#This Row],[target2]],Table2210[Label],1,FALSE)),"SPOKE","FOCUS"),"HUB")</f>
        <v>SPOKE</v>
      </c>
      <c r="G72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72" s="46" t="s">
        <v>771</v>
      </c>
      <c r="I72" s="47" t="s">
        <v>1749</v>
      </c>
      <c r="J72" s="47" t="s">
        <v>738</v>
      </c>
      <c r="K72" s="47" t="s">
        <v>1750</v>
      </c>
      <c r="L72" s="47" t="s">
        <v>979</v>
      </c>
      <c r="M72" s="47" t="s">
        <v>1751</v>
      </c>
      <c r="N72">
        <v>1501</v>
      </c>
      <c r="O72">
        <v>1501</v>
      </c>
      <c r="P72" s="11" t="s">
        <v>429</v>
      </c>
    </row>
    <row r="73" spans="1:16" x14ac:dyDescent="0.2">
      <c r="A73">
        <v>720</v>
      </c>
      <c r="B73">
        <v>673</v>
      </c>
      <c r="C73" t="str">
        <f>VLOOKUP(Table10[[#This Row],[source]],Table2226[[#All],[ID]:[Label]],3,FALSE)</f>
        <v>RIC</v>
      </c>
      <c r="D73" t="str">
        <f>VLOOKUP(Table10[[#This Row],[target]],Table2226[[#All],[ID]:[Label]],3,FALSE)</f>
        <v>MIA</v>
      </c>
      <c r="E73" s="32" t="str">
        <f>IF(ISERROR(VLOOKUP(Table10[[#This Row],[source2]],Table22[Label],1,FALSE)),IF(ISERROR(VLOOKUP(Table10[[#This Row],[source2]],Table2210[Label],1,FALSE)),"SPOKE","FOCUS"),"HUB")</f>
        <v>SPOKE</v>
      </c>
      <c r="F73" s="32" t="str">
        <f>IF(ISERROR(VLOOKUP(Table10[[#This Row],[target2]],Table22[Label],1,FALSE)),IF(ISERROR(VLOOKUP(Table10[[#This Row],[target2]],Table2210[Label],1,FALSE)),"SPOKE","FOCUS"),"HUB")</f>
        <v>HUB</v>
      </c>
      <c r="G73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73" s="46" t="s">
        <v>771</v>
      </c>
      <c r="I73" s="47" t="s">
        <v>2191</v>
      </c>
      <c r="J73" s="47" t="s">
        <v>738</v>
      </c>
      <c r="K73" s="47" t="s">
        <v>2192</v>
      </c>
      <c r="L73" s="47" t="s">
        <v>2193</v>
      </c>
      <c r="M73" s="47" t="s">
        <v>2194</v>
      </c>
      <c r="N73">
        <v>1568</v>
      </c>
      <c r="O73">
        <v>1568</v>
      </c>
      <c r="P73" s="11" t="s">
        <v>430</v>
      </c>
    </row>
    <row r="74" spans="1:16" x14ac:dyDescent="0.2">
      <c r="A74">
        <v>554</v>
      </c>
      <c r="B74">
        <v>730</v>
      </c>
      <c r="C74" t="str">
        <f>VLOOKUP(Table10[[#This Row],[source]],Table2226[[#All],[ID]:[Label]],3,FALSE)</f>
        <v>CLT</v>
      </c>
      <c r="D74" t="str">
        <f>VLOOKUP(Table10[[#This Row],[target]],Table2226[[#All],[ID]:[Label]],3,FALSE)</f>
        <v>SEA</v>
      </c>
      <c r="E74" s="32" t="str">
        <f>IF(ISERROR(VLOOKUP(Table10[[#This Row],[source2]],Table22[Label],1,FALSE)),IF(ISERROR(VLOOKUP(Table10[[#This Row],[source2]],Table2210[Label],1,FALSE)),"SPOKE","FOCUS"),"HUB")</f>
        <v>HUB</v>
      </c>
      <c r="F74" s="32" t="str">
        <f>IF(ISERROR(VLOOKUP(Table10[[#This Row],[target2]],Table22[Label],1,FALSE)),IF(ISERROR(VLOOKUP(Table10[[#This Row],[target2]],Table2210[Label],1,FALSE)),"SPOKE","FOCUS"),"HUB")</f>
        <v>HUB</v>
      </c>
      <c r="G74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74" s="46" t="s">
        <v>771</v>
      </c>
      <c r="I74" s="47" t="s">
        <v>1731</v>
      </c>
      <c r="J74" s="47" t="s">
        <v>738</v>
      </c>
      <c r="K74" s="47" t="s">
        <v>1732</v>
      </c>
      <c r="L74" s="47" t="s">
        <v>738</v>
      </c>
      <c r="M74" s="47" t="s">
        <v>1733</v>
      </c>
      <c r="N74">
        <v>5468</v>
      </c>
      <c r="O74">
        <v>5468</v>
      </c>
      <c r="P74" s="11" t="s">
        <v>431</v>
      </c>
    </row>
    <row r="75" spans="1:16" x14ac:dyDescent="0.2">
      <c r="A75">
        <v>733</v>
      </c>
      <c r="B75">
        <v>529</v>
      </c>
      <c r="C75" t="str">
        <f>VLOOKUP(Table10[[#This Row],[source]],Table2226[[#All],[ID]:[Label]],3,FALSE)</f>
        <v>SFO</v>
      </c>
      <c r="D75" t="str">
        <f>VLOOKUP(Table10[[#This Row],[target]],Table2226[[#All],[ID]:[Label]],3,FALSE)</f>
        <v>BOS</v>
      </c>
      <c r="E75" s="32" t="str">
        <f>IF(ISERROR(VLOOKUP(Table10[[#This Row],[source2]],Table22[Label],1,FALSE)),IF(ISERROR(VLOOKUP(Table10[[#This Row],[source2]],Table2210[Label],1,FALSE)),"SPOKE","FOCUS"),"HUB")</f>
        <v>HUB</v>
      </c>
      <c r="F75" s="32" t="str">
        <f>IF(ISERROR(VLOOKUP(Table10[[#This Row],[target2]],Table22[Label],1,FALSE)),IF(ISERROR(VLOOKUP(Table10[[#This Row],[target2]],Table2210[Label],1,FALSE)),"SPOKE","FOCUS"),"HUB")</f>
        <v>HUB</v>
      </c>
      <c r="G75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75" s="46" t="s">
        <v>2094</v>
      </c>
      <c r="I75" s="47" t="s">
        <v>2095</v>
      </c>
      <c r="J75" s="47" t="s">
        <v>738</v>
      </c>
      <c r="K75" s="47" t="s">
        <v>2096</v>
      </c>
      <c r="L75" s="47" t="s">
        <v>2092</v>
      </c>
      <c r="M75" s="47" t="s">
        <v>2097</v>
      </c>
      <c r="N75">
        <v>995</v>
      </c>
      <c r="O75">
        <v>995</v>
      </c>
      <c r="P75" s="11" t="s">
        <v>432</v>
      </c>
    </row>
    <row r="76" spans="1:16" x14ac:dyDescent="0.2">
      <c r="A76">
        <v>579</v>
      </c>
      <c r="B76">
        <v>591</v>
      </c>
      <c r="C76" t="str">
        <f>VLOOKUP(Table10[[#This Row],[source]],Table2226[[#All],[ID]:[Label]],3,FALSE)</f>
        <v>DTW</v>
      </c>
      <c r="D76" t="str">
        <f>VLOOKUP(Table10[[#This Row],[target]],Table2226[[#All],[ID]:[Label]],3,FALSE)</f>
        <v>EWR</v>
      </c>
      <c r="E76" s="32" t="str">
        <f>IF(ISERROR(VLOOKUP(Table10[[#This Row],[source2]],Table22[Label],1,FALSE)),IF(ISERROR(VLOOKUP(Table10[[#This Row],[source2]],Table2210[Label],1,FALSE)),"SPOKE","FOCUS"),"HUB")</f>
        <v>HUB</v>
      </c>
      <c r="F76" s="32" t="str">
        <f>IF(ISERROR(VLOOKUP(Table10[[#This Row],[target2]],Table22[Label],1,FALSE)),IF(ISERROR(VLOOKUP(Table10[[#This Row],[target2]],Table2210[Label],1,FALSE)),"SPOKE","FOCUS"),"HUB")</f>
        <v>HUB</v>
      </c>
      <c r="G76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76" s="46" t="s">
        <v>1253</v>
      </c>
      <c r="I76" s="47" t="s">
        <v>1254</v>
      </c>
      <c r="J76" s="47" t="s">
        <v>738</v>
      </c>
      <c r="K76" s="47" t="s">
        <v>1255</v>
      </c>
      <c r="L76" s="47" t="s">
        <v>1256</v>
      </c>
      <c r="M76" s="47" t="s">
        <v>1257</v>
      </c>
      <c r="N76">
        <v>516</v>
      </c>
      <c r="O76">
        <v>516</v>
      </c>
      <c r="P76" s="11" t="s">
        <v>433</v>
      </c>
    </row>
    <row r="77" spans="1:16" x14ac:dyDescent="0.2">
      <c r="A77">
        <v>579</v>
      </c>
      <c r="B77">
        <v>554</v>
      </c>
      <c r="C77" t="str">
        <f>VLOOKUP(Table10[[#This Row],[source]],Table2226[[#All],[ID]:[Label]],3,FALSE)</f>
        <v>DTW</v>
      </c>
      <c r="D77" t="str">
        <f>VLOOKUP(Table10[[#This Row],[target]],Table2226[[#All],[ID]:[Label]],3,FALSE)</f>
        <v>CLT</v>
      </c>
      <c r="E77" s="32" t="str">
        <f>IF(ISERROR(VLOOKUP(Table10[[#This Row],[source2]],Table22[Label],1,FALSE)),IF(ISERROR(VLOOKUP(Table10[[#This Row],[source2]],Table2210[Label],1,FALSE)),"SPOKE","FOCUS"),"HUB")</f>
        <v>HUB</v>
      </c>
      <c r="F77" s="32" t="str">
        <f>IF(ISERROR(VLOOKUP(Table10[[#This Row],[target2]],Table22[Label],1,FALSE)),IF(ISERROR(VLOOKUP(Table10[[#This Row],[target2]],Table2210[Label],1,FALSE)),"SPOKE","FOCUS"),"HUB")</f>
        <v>HUB</v>
      </c>
      <c r="G77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77" s="46" t="s">
        <v>1274</v>
      </c>
      <c r="I77" s="47" t="s">
        <v>1275</v>
      </c>
      <c r="J77" s="47" t="s">
        <v>1276</v>
      </c>
      <c r="K77" s="47" t="s">
        <v>1277</v>
      </c>
      <c r="L77" s="47" t="s">
        <v>874</v>
      </c>
      <c r="M77" s="47" t="s">
        <v>1278</v>
      </c>
      <c r="N77">
        <v>546</v>
      </c>
      <c r="O77">
        <v>546</v>
      </c>
      <c r="P77" s="11" t="s">
        <v>434</v>
      </c>
    </row>
    <row r="78" spans="1:16" x14ac:dyDescent="0.2">
      <c r="A78">
        <v>506</v>
      </c>
      <c r="B78">
        <v>682</v>
      </c>
      <c r="C78" t="str">
        <f>VLOOKUP(Table10[[#This Row],[source]],Table2226[[#All],[ID]:[Label]],3,FALSE)</f>
        <v>ATL</v>
      </c>
      <c r="D78" t="str">
        <f>VLOOKUP(Table10[[#This Row],[target]],Table2226[[#All],[ID]:[Label]],3,FALSE)</f>
        <v>MSP</v>
      </c>
      <c r="E78" s="32" t="str">
        <f>IF(ISERROR(VLOOKUP(Table10[[#This Row],[source2]],Table22[Label],1,FALSE)),IF(ISERROR(VLOOKUP(Table10[[#This Row],[source2]],Table2210[Label],1,FALSE)),"SPOKE","FOCUS"),"HUB")</f>
        <v>HUB</v>
      </c>
      <c r="F78" s="32" t="str">
        <f>IF(ISERROR(VLOOKUP(Table10[[#This Row],[target2]],Table22[Label],1,FALSE)),IF(ISERROR(VLOOKUP(Table10[[#This Row],[target2]],Table2210[Label],1,FALSE)),"SPOKE","FOCUS"),"HUB")</f>
        <v>HUB</v>
      </c>
      <c r="G78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78" s="46" t="s">
        <v>801</v>
      </c>
      <c r="I78" s="47" t="s">
        <v>1403</v>
      </c>
      <c r="J78" s="47" t="s">
        <v>727</v>
      </c>
      <c r="K78" s="47" t="s">
        <v>1404</v>
      </c>
      <c r="L78" s="47" t="s">
        <v>1300</v>
      </c>
      <c r="M78" s="47" t="s">
        <v>1405</v>
      </c>
      <c r="N78">
        <v>828</v>
      </c>
      <c r="O78">
        <v>828</v>
      </c>
      <c r="P78" s="11" t="s">
        <v>435</v>
      </c>
    </row>
    <row r="79" spans="1:16" x14ac:dyDescent="0.2">
      <c r="A79">
        <v>574</v>
      </c>
      <c r="B79">
        <v>736</v>
      </c>
      <c r="C79" t="str">
        <f>VLOOKUP(Table10[[#This Row],[source]],Table2226[[#All],[ID]:[Label]],3,FALSE)</f>
        <v>DEN</v>
      </c>
      <c r="D79" t="str">
        <f>VLOOKUP(Table10[[#This Row],[target]],Table2226[[#All],[ID]:[Label]],3,FALSE)</f>
        <v>SLC</v>
      </c>
      <c r="E79" s="32" t="str">
        <f>IF(ISERROR(VLOOKUP(Table10[[#This Row],[source2]],Table22[Label],1,FALSE)),IF(ISERROR(VLOOKUP(Table10[[#This Row],[source2]],Table2210[Label],1,FALSE)),"SPOKE","FOCUS"),"HUB")</f>
        <v>HUB</v>
      </c>
      <c r="F79" s="32" t="str">
        <f>IF(ISERROR(VLOOKUP(Table10[[#This Row],[target2]],Table22[Label],1,FALSE)),IF(ISERROR(VLOOKUP(Table10[[#This Row],[target2]],Table2210[Label],1,FALSE)),"SPOKE","FOCUS"),"HUB")</f>
        <v>HUB</v>
      </c>
      <c r="G79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79" s="46" t="s">
        <v>1532</v>
      </c>
      <c r="I79" s="47" t="s">
        <v>1533</v>
      </c>
      <c r="J79" s="47" t="s">
        <v>738</v>
      </c>
      <c r="K79" s="47" t="s">
        <v>1534</v>
      </c>
      <c r="L79" s="47" t="s">
        <v>1535</v>
      </c>
      <c r="M79" s="47" t="s">
        <v>1536</v>
      </c>
      <c r="N79">
        <v>1085</v>
      </c>
      <c r="O79">
        <v>1085</v>
      </c>
      <c r="P79" s="11" t="s">
        <v>436</v>
      </c>
    </row>
    <row r="80" spans="1:16" x14ac:dyDescent="0.2">
      <c r="A80">
        <v>700</v>
      </c>
      <c r="B80">
        <v>579</v>
      </c>
      <c r="C80" t="str">
        <f>VLOOKUP(Table10[[#This Row],[source]],Table2226[[#All],[ID]:[Label]],3,FALSE)</f>
        <v>PHL</v>
      </c>
      <c r="D80" t="str">
        <f>VLOOKUP(Table10[[#This Row],[target]],Table2226[[#All],[ID]:[Label]],3,FALSE)</f>
        <v>DTW</v>
      </c>
      <c r="E80" s="32" t="str">
        <f>IF(ISERROR(VLOOKUP(Table10[[#This Row],[source2]],Table22[Label],1,FALSE)),IF(ISERROR(VLOOKUP(Table10[[#This Row],[source2]],Table2210[Label],1,FALSE)),"SPOKE","FOCUS"),"HUB")</f>
        <v>HUB</v>
      </c>
      <c r="F80" s="32" t="str">
        <f>IF(ISERROR(VLOOKUP(Table10[[#This Row],[target2]],Table22[Label],1,FALSE)),IF(ISERROR(VLOOKUP(Table10[[#This Row],[target2]],Table2210[Label],1,FALSE)),"SPOKE","FOCUS"),"HUB")</f>
        <v>HUB</v>
      </c>
      <c r="G80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80" s="46" t="s">
        <v>970</v>
      </c>
      <c r="I80" s="47" t="s">
        <v>971</v>
      </c>
      <c r="J80" s="47" t="s">
        <v>972</v>
      </c>
      <c r="K80" s="47" t="s">
        <v>973</v>
      </c>
      <c r="L80" s="47" t="s">
        <v>874</v>
      </c>
      <c r="M80" s="47" t="s">
        <v>974</v>
      </c>
      <c r="N80">
        <v>546</v>
      </c>
      <c r="O80">
        <v>546</v>
      </c>
      <c r="P80" s="11" t="s">
        <v>437</v>
      </c>
    </row>
    <row r="81" spans="1:16" x14ac:dyDescent="0.2">
      <c r="A81">
        <v>647</v>
      </c>
      <c r="B81">
        <v>645</v>
      </c>
      <c r="C81" t="str">
        <f>VLOOKUP(Table10[[#This Row],[source]],Table2226[[#All],[ID]:[Label]],3,FALSE)</f>
        <v>LAS</v>
      </c>
      <c r="D81" t="str">
        <f>VLOOKUP(Table10[[#This Row],[target]],Table2226[[#All],[ID]:[Label]],3,FALSE)</f>
        <v>JFK</v>
      </c>
      <c r="E81" s="32" t="str">
        <f>IF(ISERROR(VLOOKUP(Table10[[#This Row],[source2]],Table22[Label],1,FALSE)),IF(ISERROR(VLOOKUP(Table10[[#This Row],[source2]],Table2210[Label],1,FALSE)),"SPOKE","FOCUS"),"HUB")</f>
        <v>FOCUS</v>
      </c>
      <c r="F81" s="32" t="str">
        <f>IF(ISERROR(VLOOKUP(Table10[[#This Row],[target2]],Table22[Label],1,FALSE)),IF(ISERROR(VLOOKUP(Table10[[#This Row],[target2]],Table2210[Label],1,FALSE)),"SPOKE","FOCUS"),"HUB")</f>
        <v>HUB</v>
      </c>
      <c r="G81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HUB-FOCUS</v>
      </c>
      <c r="H81" s="46" t="s">
        <v>2226</v>
      </c>
      <c r="I81" s="47" t="s">
        <v>2227</v>
      </c>
      <c r="J81" s="47" t="s">
        <v>738</v>
      </c>
      <c r="K81" s="47" t="s">
        <v>2228</v>
      </c>
      <c r="L81" s="47" t="s">
        <v>888</v>
      </c>
      <c r="M81" s="47" t="s">
        <v>2229</v>
      </c>
      <c r="N81">
        <v>1034</v>
      </c>
      <c r="O81">
        <v>1034</v>
      </c>
      <c r="P81" s="11" t="s">
        <v>438</v>
      </c>
    </row>
    <row r="82" spans="1:16" x14ac:dyDescent="0.2">
      <c r="A82">
        <v>506</v>
      </c>
      <c r="B82">
        <v>554</v>
      </c>
      <c r="C82" t="str">
        <f>VLOOKUP(Table10[[#This Row],[source]],Table2226[[#All],[ID]:[Label]],3,FALSE)</f>
        <v>ATL</v>
      </c>
      <c r="D82" t="str">
        <f>VLOOKUP(Table10[[#This Row],[target]],Table2226[[#All],[ID]:[Label]],3,FALSE)</f>
        <v>CLT</v>
      </c>
      <c r="E82" s="32" t="str">
        <f>IF(ISERROR(VLOOKUP(Table10[[#This Row],[source2]],Table22[Label],1,FALSE)),IF(ISERROR(VLOOKUP(Table10[[#This Row],[source2]],Table2210[Label],1,FALSE)),"SPOKE","FOCUS"),"HUB")</f>
        <v>HUB</v>
      </c>
      <c r="F82" s="32" t="str">
        <f>IF(ISERROR(VLOOKUP(Table10[[#This Row],[target2]],Table22[Label],1,FALSE)),IF(ISERROR(VLOOKUP(Table10[[#This Row],[target2]],Table2210[Label],1,FALSE)),"SPOKE","FOCUS"),"HUB")</f>
        <v>HUB</v>
      </c>
      <c r="G82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82" s="46" t="s">
        <v>801</v>
      </c>
      <c r="I82" s="47" t="s">
        <v>1394</v>
      </c>
      <c r="J82" s="47" t="s">
        <v>727</v>
      </c>
      <c r="K82" s="47" t="s">
        <v>1395</v>
      </c>
      <c r="L82" s="47" t="s">
        <v>745</v>
      </c>
      <c r="M82" s="47" t="s">
        <v>1396</v>
      </c>
      <c r="N82">
        <v>1023</v>
      </c>
      <c r="O82">
        <v>1023</v>
      </c>
      <c r="P82" s="11" t="s">
        <v>439</v>
      </c>
    </row>
    <row r="83" spans="1:16" x14ac:dyDescent="0.2">
      <c r="A83">
        <v>625</v>
      </c>
      <c r="B83">
        <v>733</v>
      </c>
      <c r="C83" t="str">
        <f>VLOOKUP(Table10[[#This Row],[source]],Table2226[[#All],[ID]:[Label]],3,FALSE)</f>
        <v>IAD</v>
      </c>
      <c r="D83" t="str">
        <f>VLOOKUP(Table10[[#This Row],[target]],Table2226[[#All],[ID]:[Label]],3,FALSE)</f>
        <v>SFO</v>
      </c>
      <c r="E83" s="32" t="str">
        <f>IF(ISERROR(VLOOKUP(Table10[[#This Row],[source2]],Table22[Label],1,FALSE)),IF(ISERROR(VLOOKUP(Table10[[#This Row],[source2]],Table2210[Label],1,FALSE)),"SPOKE","FOCUS"),"HUB")</f>
        <v>HUB</v>
      </c>
      <c r="F83" s="32" t="str">
        <f>IF(ISERROR(VLOOKUP(Table10[[#This Row],[target2]],Table22[Label],1,FALSE)),IF(ISERROR(VLOOKUP(Table10[[#This Row],[target2]],Table2210[Label],1,FALSE)),"SPOKE","FOCUS"),"HUB")</f>
        <v>HUB</v>
      </c>
      <c r="G83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83" s="46" t="s">
        <v>1130</v>
      </c>
      <c r="I83" s="47" t="s">
        <v>1131</v>
      </c>
      <c r="J83" s="47" t="s">
        <v>1132</v>
      </c>
      <c r="K83" s="47" t="s">
        <v>1133</v>
      </c>
      <c r="L83" s="47" t="s">
        <v>1134</v>
      </c>
      <c r="M83" s="47" t="s">
        <v>1135</v>
      </c>
      <c r="N83">
        <v>566</v>
      </c>
      <c r="O83">
        <v>566</v>
      </c>
      <c r="P83" s="11" t="s">
        <v>440</v>
      </c>
    </row>
    <row r="84" spans="1:16" x14ac:dyDescent="0.2">
      <c r="A84">
        <v>700</v>
      </c>
      <c r="B84">
        <v>529</v>
      </c>
      <c r="C84" t="str">
        <f>VLOOKUP(Table10[[#This Row],[source]],Table2226[[#All],[ID]:[Label]],3,FALSE)</f>
        <v>PHL</v>
      </c>
      <c r="D84" t="str">
        <f>VLOOKUP(Table10[[#This Row],[target]],Table2226[[#All],[ID]:[Label]],3,FALSE)</f>
        <v>BOS</v>
      </c>
      <c r="E84" s="32" t="str">
        <f>IF(ISERROR(VLOOKUP(Table10[[#This Row],[source2]],Table22[Label],1,FALSE)),IF(ISERROR(VLOOKUP(Table10[[#This Row],[source2]],Table2210[Label],1,FALSE)),"SPOKE","FOCUS"),"HUB")</f>
        <v>HUB</v>
      </c>
      <c r="F84" s="32" t="str">
        <f>IF(ISERROR(VLOOKUP(Table10[[#This Row],[target2]],Table22[Label],1,FALSE)),IF(ISERROR(VLOOKUP(Table10[[#This Row],[target2]],Table2210[Label],1,FALSE)),"SPOKE","FOCUS"),"HUB")</f>
        <v>HUB</v>
      </c>
      <c r="G84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84" s="46" t="s">
        <v>916</v>
      </c>
      <c r="I84" s="47" t="s">
        <v>917</v>
      </c>
      <c r="J84" s="47" t="s">
        <v>738</v>
      </c>
      <c r="K84" s="47" t="s">
        <v>918</v>
      </c>
      <c r="L84" s="47" t="s">
        <v>919</v>
      </c>
      <c r="M84" s="47" t="s">
        <v>920</v>
      </c>
      <c r="N84">
        <v>819</v>
      </c>
      <c r="O84">
        <v>819</v>
      </c>
      <c r="P84" s="11" t="s">
        <v>441</v>
      </c>
    </row>
    <row r="85" spans="1:16" x14ac:dyDescent="0.2">
      <c r="A85">
        <v>574</v>
      </c>
      <c r="B85">
        <v>627</v>
      </c>
      <c r="C85" t="str">
        <f>VLOOKUP(Table10[[#This Row],[source]],Table2226[[#All],[ID]:[Label]],3,FALSE)</f>
        <v>DEN</v>
      </c>
      <c r="D85" t="str">
        <f>VLOOKUP(Table10[[#This Row],[target]],Table2226[[#All],[ID]:[Label]],3,FALSE)</f>
        <v>IAH</v>
      </c>
      <c r="E85" s="32" t="str">
        <f>IF(ISERROR(VLOOKUP(Table10[[#This Row],[source2]],Table22[Label],1,FALSE)),IF(ISERROR(VLOOKUP(Table10[[#This Row],[source2]],Table2210[Label],1,FALSE)),"SPOKE","FOCUS"),"HUB")</f>
        <v>HUB</v>
      </c>
      <c r="F85" s="32" t="str">
        <f>IF(ISERROR(VLOOKUP(Table10[[#This Row],[target2]],Table22[Label],1,FALSE)),IF(ISERROR(VLOOKUP(Table10[[#This Row],[target2]],Table2210[Label],1,FALSE)),"SPOKE","FOCUS"),"HUB")</f>
        <v>HUB</v>
      </c>
      <c r="G85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85" s="46" t="s">
        <v>1472</v>
      </c>
      <c r="I85" s="47" t="s">
        <v>1473</v>
      </c>
      <c r="J85" s="47" t="s">
        <v>1474</v>
      </c>
      <c r="K85" s="47" t="s">
        <v>1475</v>
      </c>
      <c r="L85" s="47" t="s">
        <v>987</v>
      </c>
      <c r="M85" s="47" t="s">
        <v>1476</v>
      </c>
      <c r="N85">
        <v>627</v>
      </c>
      <c r="O85">
        <v>627</v>
      </c>
      <c r="P85" s="11" t="s">
        <v>442</v>
      </c>
    </row>
    <row r="86" spans="1:16" x14ac:dyDescent="0.2">
      <c r="A86">
        <v>579</v>
      </c>
      <c r="B86">
        <v>2189</v>
      </c>
      <c r="C86" t="str">
        <f>VLOOKUP(Table10[[#This Row],[source]],Table2226[[#All],[ID]:[Label]],3,FALSE)</f>
        <v>DTW</v>
      </c>
      <c r="D86" t="str">
        <f>VLOOKUP(Table10[[#This Row],[target]],Table2226[[#All],[ID]:[Label]],3,FALSE)</f>
        <v>TUL</v>
      </c>
      <c r="E86" s="32" t="str">
        <f>IF(ISERROR(VLOOKUP(Table10[[#This Row],[source2]],Table22[Label],1,FALSE)),IF(ISERROR(VLOOKUP(Table10[[#This Row],[source2]],Table2210[Label],1,FALSE)),"SPOKE","FOCUS"),"HUB")</f>
        <v>HUB</v>
      </c>
      <c r="F86" s="32" t="str">
        <f>IF(ISERROR(VLOOKUP(Table10[[#This Row],[target2]],Table22[Label],1,FALSE)),IF(ISERROR(VLOOKUP(Table10[[#This Row],[target2]],Table2210[Label],1,FALSE)),"SPOKE","FOCUS"),"HUB")</f>
        <v>SPOKE</v>
      </c>
      <c r="G86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86" s="46" t="s">
        <v>1335</v>
      </c>
      <c r="I86" s="47" t="s">
        <v>1336</v>
      </c>
      <c r="J86" s="47" t="s">
        <v>738</v>
      </c>
      <c r="K86" s="47" t="s">
        <v>1337</v>
      </c>
      <c r="L86" s="47" t="s">
        <v>1338</v>
      </c>
      <c r="M86" s="47" t="s">
        <v>1339</v>
      </c>
      <c r="N86">
        <v>532</v>
      </c>
      <c r="O86">
        <v>532</v>
      </c>
      <c r="P86" s="11" t="s">
        <v>443</v>
      </c>
    </row>
    <row r="87" spans="1:16" x14ac:dyDescent="0.2">
      <c r="A87">
        <v>625</v>
      </c>
      <c r="B87">
        <v>574</v>
      </c>
      <c r="C87" t="str">
        <f>VLOOKUP(Table10[[#This Row],[source]],Table2226[[#All],[ID]:[Label]],3,FALSE)</f>
        <v>IAD</v>
      </c>
      <c r="D87" t="str">
        <f>VLOOKUP(Table10[[#This Row],[target]],Table2226[[#All],[ID]:[Label]],3,FALSE)</f>
        <v>DEN</v>
      </c>
      <c r="E87" s="32" t="str">
        <f>IF(ISERROR(VLOOKUP(Table10[[#This Row],[source2]],Table22[Label],1,FALSE)),IF(ISERROR(VLOOKUP(Table10[[#This Row],[source2]],Table2210[Label],1,FALSE)),"SPOKE","FOCUS"),"HUB")</f>
        <v>HUB</v>
      </c>
      <c r="F87" s="32" t="str">
        <f>IF(ISERROR(VLOOKUP(Table10[[#This Row],[target2]],Table22[Label],1,FALSE)),IF(ISERROR(VLOOKUP(Table10[[#This Row],[target2]],Table2210[Label],1,FALSE)),"SPOKE","FOCUS"),"HUB")</f>
        <v>HUB</v>
      </c>
      <c r="G87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87" s="46" t="s">
        <v>1039</v>
      </c>
      <c r="I87" s="47" t="s">
        <v>1040</v>
      </c>
      <c r="J87" s="47" t="s">
        <v>1041</v>
      </c>
      <c r="K87" s="47" t="s">
        <v>1042</v>
      </c>
      <c r="L87" s="47" t="s">
        <v>1043</v>
      </c>
      <c r="M87" s="47" t="s">
        <v>1044</v>
      </c>
      <c r="N87">
        <v>478</v>
      </c>
      <c r="O87">
        <v>478</v>
      </c>
      <c r="P87" s="11" t="s">
        <v>444</v>
      </c>
    </row>
    <row r="88" spans="1:16" x14ac:dyDescent="0.2">
      <c r="A88">
        <v>627</v>
      </c>
      <c r="B88">
        <v>712</v>
      </c>
      <c r="C88" t="str">
        <f>VLOOKUP(Table10[[#This Row],[source]],Table2226[[#All],[ID]:[Label]],3,FALSE)</f>
        <v>IAH</v>
      </c>
      <c r="D88" t="str">
        <f>VLOOKUP(Table10[[#This Row],[target]],Table2226[[#All],[ID]:[Label]],3,FALSE)</f>
        <v>PSP</v>
      </c>
      <c r="E88" s="32" t="str">
        <f>IF(ISERROR(VLOOKUP(Table10[[#This Row],[source2]],Table22[Label],1,FALSE)),IF(ISERROR(VLOOKUP(Table10[[#This Row],[source2]],Table2210[Label],1,FALSE)),"SPOKE","FOCUS"),"HUB")</f>
        <v>HUB</v>
      </c>
      <c r="F88" s="32" t="str">
        <f>IF(ISERROR(VLOOKUP(Table10[[#This Row],[target2]],Table22[Label],1,FALSE)),IF(ISERROR(VLOOKUP(Table10[[#This Row],[target2]],Table2210[Label],1,FALSE)),"SPOKE","FOCUS"),"HUB")</f>
        <v>SPOKE</v>
      </c>
      <c r="G88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88" s="46" t="s">
        <v>1779</v>
      </c>
      <c r="I88" s="47" t="s">
        <v>1780</v>
      </c>
      <c r="J88" s="47" t="s">
        <v>738</v>
      </c>
      <c r="K88" s="47" t="s">
        <v>1781</v>
      </c>
      <c r="L88" s="47" t="s">
        <v>947</v>
      </c>
      <c r="M88" s="47" t="s">
        <v>1782</v>
      </c>
      <c r="N88">
        <v>701</v>
      </c>
      <c r="O88">
        <v>701</v>
      </c>
      <c r="P88" s="11" t="s">
        <v>445</v>
      </c>
    </row>
    <row r="89" spans="1:16" x14ac:dyDescent="0.2">
      <c r="A89">
        <v>575</v>
      </c>
      <c r="B89">
        <v>648</v>
      </c>
      <c r="C89" t="str">
        <f>VLOOKUP(Table10[[#This Row],[source]],Table2226[[#All],[ID]:[Label]],3,FALSE)</f>
        <v>DFW</v>
      </c>
      <c r="D89" t="str">
        <f>VLOOKUP(Table10[[#This Row],[target]],Table2226[[#All],[ID]:[Label]],3,FALSE)</f>
        <v>LAX</v>
      </c>
      <c r="E89" s="32" t="str">
        <f>IF(ISERROR(VLOOKUP(Table10[[#This Row],[source2]],Table22[Label],1,FALSE)),IF(ISERROR(VLOOKUP(Table10[[#This Row],[source2]],Table2210[Label],1,FALSE)),"SPOKE","FOCUS"),"HUB")</f>
        <v>HUB</v>
      </c>
      <c r="F89" s="32" t="str">
        <f>IF(ISERROR(VLOOKUP(Table10[[#This Row],[target2]],Table22[Label],1,FALSE)),IF(ISERROR(VLOOKUP(Table10[[#This Row],[target2]],Table2210[Label],1,FALSE)),"SPOKE","FOCUS"),"HUB")</f>
        <v>HUB</v>
      </c>
      <c r="G89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89" s="46" t="s">
        <v>1986</v>
      </c>
      <c r="I89" s="47" t="s">
        <v>1987</v>
      </c>
      <c r="J89" s="47" t="s">
        <v>738</v>
      </c>
      <c r="K89" s="47" t="s">
        <v>1988</v>
      </c>
      <c r="L89" s="47" t="s">
        <v>1333</v>
      </c>
      <c r="M89" s="47" t="s">
        <v>1989</v>
      </c>
      <c r="N89">
        <v>1513</v>
      </c>
      <c r="O89">
        <v>1513</v>
      </c>
      <c r="P89" s="11" t="s">
        <v>446</v>
      </c>
    </row>
    <row r="90" spans="1:16" x14ac:dyDescent="0.2">
      <c r="A90">
        <v>702</v>
      </c>
      <c r="B90">
        <v>2189</v>
      </c>
      <c r="C90" t="str">
        <f>VLOOKUP(Table10[[#This Row],[source]],Table2226[[#All],[ID]:[Label]],3,FALSE)</f>
        <v>PHX</v>
      </c>
      <c r="D90" t="str">
        <f>VLOOKUP(Table10[[#This Row],[target]],Table2226[[#All],[ID]:[Label]],3,FALSE)</f>
        <v>TUL</v>
      </c>
      <c r="E90" s="32" t="str">
        <f>IF(ISERROR(VLOOKUP(Table10[[#This Row],[source2]],Table22[Label],1,FALSE)),IF(ISERROR(VLOOKUP(Table10[[#This Row],[source2]],Table2210[Label],1,FALSE)),"SPOKE","FOCUS"),"HUB")</f>
        <v>HUB</v>
      </c>
      <c r="F90" s="32" t="str">
        <f>IF(ISERROR(VLOOKUP(Table10[[#This Row],[target2]],Table22[Label],1,FALSE)),IF(ISERROR(VLOOKUP(Table10[[#This Row],[target2]],Table2210[Label],1,FALSE)),"SPOKE","FOCUS"),"HUB")</f>
        <v>SPOKE</v>
      </c>
      <c r="G90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90" s="46" t="s">
        <v>2063</v>
      </c>
      <c r="I90" s="47" t="s">
        <v>2064</v>
      </c>
      <c r="J90" s="47" t="s">
        <v>738</v>
      </c>
      <c r="K90" s="47" t="s">
        <v>1776</v>
      </c>
      <c r="L90" s="47" t="s">
        <v>1134</v>
      </c>
      <c r="M90" s="47" t="s">
        <v>2065</v>
      </c>
      <c r="N90">
        <v>957</v>
      </c>
      <c r="O90">
        <v>957</v>
      </c>
      <c r="P90" s="11" t="s">
        <v>447</v>
      </c>
    </row>
    <row r="91" spans="1:16" x14ac:dyDescent="0.2">
      <c r="A91">
        <v>591</v>
      </c>
      <c r="B91">
        <v>663</v>
      </c>
      <c r="C91" t="str">
        <f>VLOOKUP(Table10[[#This Row],[source]],Table2226[[#All],[ID]:[Label]],3,FALSE)</f>
        <v>EWR</v>
      </c>
      <c r="D91" t="str">
        <f>VLOOKUP(Table10[[#This Row],[target]],Table2226[[#All],[ID]:[Label]],3,FALSE)</f>
        <v>MCO</v>
      </c>
      <c r="E91" s="32" t="str">
        <f>IF(ISERROR(VLOOKUP(Table10[[#This Row],[source2]],Table22[Label],1,FALSE)),IF(ISERROR(VLOOKUP(Table10[[#This Row],[source2]],Table2210[Label],1,FALSE)),"SPOKE","FOCUS"),"HUB")</f>
        <v>HUB</v>
      </c>
      <c r="F91" s="32" t="str">
        <f>IF(ISERROR(VLOOKUP(Table10[[#This Row],[target2]],Table22[Label],1,FALSE)),IF(ISERROR(VLOOKUP(Table10[[#This Row],[target2]],Table2210[Label],1,FALSE)),"SPOKE","FOCUS"),"HUB")</f>
        <v>FOCUS</v>
      </c>
      <c r="G91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HUB-FOCUS</v>
      </c>
      <c r="H91" s="46" t="s">
        <v>1873</v>
      </c>
      <c r="I91" s="47" t="s">
        <v>1874</v>
      </c>
      <c r="J91" s="47" t="s">
        <v>738</v>
      </c>
      <c r="K91" s="47" t="s">
        <v>1875</v>
      </c>
      <c r="L91" s="47" t="s">
        <v>1649</v>
      </c>
      <c r="M91" s="47" t="s">
        <v>1876</v>
      </c>
      <c r="N91">
        <v>898</v>
      </c>
      <c r="O91">
        <v>898</v>
      </c>
      <c r="P91" s="11" t="s">
        <v>448</v>
      </c>
    </row>
    <row r="92" spans="1:16" x14ac:dyDescent="0.2">
      <c r="A92">
        <v>591</v>
      </c>
      <c r="B92">
        <v>529</v>
      </c>
      <c r="C92" t="str">
        <f>VLOOKUP(Table10[[#This Row],[source]],Table2226[[#All],[ID]:[Label]],3,FALSE)</f>
        <v>EWR</v>
      </c>
      <c r="D92" t="str">
        <f>VLOOKUP(Table10[[#This Row],[target]],Table2226[[#All],[ID]:[Label]],3,FALSE)</f>
        <v>BOS</v>
      </c>
      <c r="E92" s="32" t="str">
        <f>IF(ISERROR(VLOOKUP(Table10[[#This Row],[source2]],Table22[Label],1,FALSE)),IF(ISERROR(VLOOKUP(Table10[[#This Row],[source2]],Table2210[Label],1,FALSE)),"SPOKE","FOCUS"),"HUB")</f>
        <v>HUB</v>
      </c>
      <c r="F92" s="32" t="str">
        <f>IF(ISERROR(VLOOKUP(Table10[[#This Row],[target2]],Table22[Label],1,FALSE)),IF(ISERROR(VLOOKUP(Table10[[#This Row],[target2]],Table2210[Label],1,FALSE)),"SPOKE","FOCUS"),"HUB")</f>
        <v>HUB</v>
      </c>
      <c r="G92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92" s="46" t="s">
        <v>1835</v>
      </c>
      <c r="I92" s="47" t="s">
        <v>1836</v>
      </c>
      <c r="J92" s="47" t="s">
        <v>738</v>
      </c>
      <c r="K92" s="47" t="s">
        <v>1837</v>
      </c>
      <c r="L92" s="47" t="s">
        <v>1224</v>
      </c>
      <c r="M92" s="47" t="s">
        <v>1838</v>
      </c>
      <c r="N92">
        <v>665</v>
      </c>
      <c r="O92">
        <v>665</v>
      </c>
      <c r="P92" s="11" t="s">
        <v>449</v>
      </c>
    </row>
    <row r="93" spans="1:16" x14ac:dyDescent="0.2">
      <c r="A93">
        <v>625</v>
      </c>
      <c r="B93">
        <v>554</v>
      </c>
      <c r="C93" t="str">
        <f>VLOOKUP(Table10[[#This Row],[source]],Table2226[[#All],[ID]:[Label]],3,FALSE)</f>
        <v>IAD</v>
      </c>
      <c r="D93" t="str">
        <f>VLOOKUP(Table10[[#This Row],[target]],Table2226[[#All],[ID]:[Label]],3,FALSE)</f>
        <v>CLT</v>
      </c>
      <c r="E93" s="32" t="str">
        <f>IF(ISERROR(VLOOKUP(Table10[[#This Row],[source2]],Table22[Label],1,FALSE)),IF(ISERROR(VLOOKUP(Table10[[#This Row],[source2]],Table2210[Label],1,FALSE)),"SPOKE","FOCUS"),"HUB")</f>
        <v>HUB</v>
      </c>
      <c r="F93" s="32" t="str">
        <f>IF(ISERROR(VLOOKUP(Table10[[#This Row],[target2]],Table22[Label],1,FALSE)),IF(ISERROR(VLOOKUP(Table10[[#This Row],[target2]],Table2210[Label],1,FALSE)),"SPOKE","FOCUS"),"HUB")</f>
        <v>HUB</v>
      </c>
      <c r="G93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93" s="46" t="s">
        <v>1136</v>
      </c>
      <c r="I93" s="47" t="s">
        <v>1137</v>
      </c>
      <c r="J93" s="47" t="s">
        <v>1138</v>
      </c>
      <c r="K93" s="47" t="s">
        <v>1139</v>
      </c>
      <c r="L93" s="47" t="s">
        <v>1140</v>
      </c>
      <c r="M93" s="47" t="s">
        <v>1141</v>
      </c>
      <c r="N93">
        <v>493</v>
      </c>
      <c r="O93">
        <v>493</v>
      </c>
      <c r="P93" s="11" t="s">
        <v>450</v>
      </c>
    </row>
    <row r="94" spans="1:16" x14ac:dyDescent="0.2">
      <c r="A94">
        <v>682</v>
      </c>
      <c r="B94">
        <v>2190</v>
      </c>
      <c r="C94" t="str">
        <f>VLOOKUP(Table10[[#This Row],[source]],Table2226[[#All],[ID]:[Label]],3,FALSE)</f>
        <v>MSP</v>
      </c>
      <c r="D94" t="str">
        <f>VLOOKUP(Table10[[#This Row],[target]],Table2226[[#All],[ID]:[Label]],3,FALSE)</f>
        <v>TUS</v>
      </c>
      <c r="E94" s="32" t="str">
        <f>IF(ISERROR(VLOOKUP(Table10[[#This Row],[source2]],Table22[Label],1,FALSE)),IF(ISERROR(VLOOKUP(Table10[[#This Row],[source2]],Table2210[Label],1,FALSE)),"SPOKE","FOCUS"),"HUB")</f>
        <v>HUB</v>
      </c>
      <c r="F94" s="32" t="str">
        <f>IF(ISERROR(VLOOKUP(Table10[[#This Row],[target2]],Table22[Label],1,FALSE)),IF(ISERROR(VLOOKUP(Table10[[#This Row],[target2]],Table2210[Label],1,FALSE)),"SPOKE","FOCUS"),"HUB")</f>
        <v>SPOKE</v>
      </c>
      <c r="G94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94" s="46" t="s">
        <v>1958</v>
      </c>
      <c r="I94" s="47" t="s">
        <v>1959</v>
      </c>
      <c r="J94" s="47" t="s">
        <v>738</v>
      </c>
      <c r="K94" s="47" t="s">
        <v>1960</v>
      </c>
      <c r="L94" s="47" t="s">
        <v>1338</v>
      </c>
      <c r="M94" s="47" t="s">
        <v>1961</v>
      </c>
      <c r="N94">
        <v>977</v>
      </c>
      <c r="O94">
        <v>977</v>
      </c>
      <c r="P94" s="11" t="s">
        <v>451</v>
      </c>
    </row>
    <row r="95" spans="1:16" x14ac:dyDescent="0.2">
      <c r="A95">
        <v>571</v>
      </c>
      <c r="B95">
        <v>578</v>
      </c>
      <c r="C95" t="str">
        <f>VLOOKUP(Table10[[#This Row],[source]],Table2226[[#All],[ID]:[Label]],3,FALSE)</f>
        <v>DCA</v>
      </c>
      <c r="D95" t="str">
        <f>VLOOKUP(Table10[[#This Row],[target]],Table2226[[#All],[ID]:[Label]],3,FALSE)</f>
        <v>DSM</v>
      </c>
      <c r="E95" s="32" t="str">
        <f>IF(ISERROR(VLOOKUP(Table10[[#This Row],[source2]],Table22[Label],1,FALSE)),IF(ISERROR(VLOOKUP(Table10[[#This Row],[source2]],Table2210[Label],1,FALSE)),"SPOKE","FOCUS"),"HUB")</f>
        <v>HUB</v>
      </c>
      <c r="F95" s="32" t="str">
        <f>IF(ISERROR(VLOOKUP(Table10[[#This Row],[target2]],Table22[Label],1,FALSE)),IF(ISERROR(VLOOKUP(Table10[[#This Row],[target2]],Table2210[Label],1,FALSE)),"SPOKE","FOCUS"),"HUB")</f>
        <v>SPOKE</v>
      </c>
      <c r="G95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95" s="46" t="s">
        <v>771</v>
      </c>
      <c r="I95" s="47" t="s">
        <v>1182</v>
      </c>
      <c r="J95" s="47" t="s">
        <v>738</v>
      </c>
      <c r="K95" s="47" t="s">
        <v>1183</v>
      </c>
      <c r="L95" s="47" t="s">
        <v>738</v>
      </c>
      <c r="M95" s="47" t="s">
        <v>1184</v>
      </c>
      <c r="N95">
        <v>2523</v>
      </c>
      <c r="O95">
        <v>2523</v>
      </c>
      <c r="P95" s="11" t="s">
        <v>452</v>
      </c>
    </row>
    <row r="96" spans="1:16" x14ac:dyDescent="0.2">
      <c r="A96">
        <v>647</v>
      </c>
      <c r="B96">
        <v>648</v>
      </c>
      <c r="C96" t="str">
        <f>VLOOKUP(Table10[[#This Row],[source]],Table2226[[#All],[ID]:[Label]],3,FALSE)</f>
        <v>LAS</v>
      </c>
      <c r="D96" t="str">
        <f>VLOOKUP(Table10[[#This Row],[target]],Table2226[[#All],[ID]:[Label]],3,FALSE)</f>
        <v>LAX</v>
      </c>
      <c r="E96" s="32" t="str">
        <f>IF(ISERROR(VLOOKUP(Table10[[#This Row],[source2]],Table22[Label],1,FALSE)),IF(ISERROR(VLOOKUP(Table10[[#This Row],[source2]],Table2210[Label],1,FALSE)),"SPOKE","FOCUS"),"HUB")</f>
        <v>FOCUS</v>
      </c>
      <c r="F96" s="32" t="str">
        <f>IF(ISERROR(VLOOKUP(Table10[[#This Row],[target2]],Table22[Label],1,FALSE)),IF(ISERROR(VLOOKUP(Table10[[#This Row],[target2]],Table2210[Label],1,FALSE)),"SPOKE","FOCUS"),"HUB")</f>
        <v>HUB</v>
      </c>
      <c r="G96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HUB-FOCUS</v>
      </c>
      <c r="H96" s="46" t="s">
        <v>2211</v>
      </c>
      <c r="I96" s="47" t="s">
        <v>2212</v>
      </c>
      <c r="J96" s="47" t="s">
        <v>738</v>
      </c>
      <c r="K96" s="47" t="s">
        <v>2213</v>
      </c>
      <c r="L96" s="47" t="s">
        <v>1852</v>
      </c>
      <c r="M96" s="47" t="s">
        <v>2214</v>
      </c>
      <c r="N96">
        <v>2605</v>
      </c>
      <c r="O96">
        <v>2605</v>
      </c>
      <c r="P96" s="11" t="s">
        <v>453</v>
      </c>
    </row>
    <row r="97" spans="1:16" x14ac:dyDescent="0.2">
      <c r="A97">
        <v>591</v>
      </c>
      <c r="B97">
        <v>733</v>
      </c>
      <c r="C97" t="str">
        <f>VLOOKUP(Table10[[#This Row],[source]],Table2226[[#All],[ID]:[Label]],3,FALSE)</f>
        <v>EWR</v>
      </c>
      <c r="D97" t="str">
        <f>VLOOKUP(Table10[[#This Row],[target]],Table2226[[#All],[ID]:[Label]],3,FALSE)</f>
        <v>SFO</v>
      </c>
      <c r="E97" s="32" t="str">
        <f>IF(ISERROR(VLOOKUP(Table10[[#This Row],[source2]],Table22[Label],1,FALSE)),IF(ISERROR(VLOOKUP(Table10[[#This Row],[source2]],Table2210[Label],1,FALSE)),"SPOKE","FOCUS"),"HUB")</f>
        <v>HUB</v>
      </c>
      <c r="F97" s="32" t="str">
        <f>IF(ISERROR(VLOOKUP(Table10[[#This Row],[target2]],Table22[Label],1,FALSE)),IF(ISERROR(VLOOKUP(Table10[[#This Row],[target2]],Table2210[Label],1,FALSE)),"SPOKE","FOCUS"),"HUB")</f>
        <v>HUB</v>
      </c>
      <c r="G97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97" s="46" t="s">
        <v>1860</v>
      </c>
      <c r="I97" s="47" t="s">
        <v>1861</v>
      </c>
      <c r="J97" s="47" t="s">
        <v>1862</v>
      </c>
      <c r="K97" s="47" t="s">
        <v>1863</v>
      </c>
      <c r="L97" s="47" t="s">
        <v>1864</v>
      </c>
      <c r="M97" s="47" t="s">
        <v>1865</v>
      </c>
      <c r="N97">
        <v>956</v>
      </c>
      <c r="O97">
        <v>956</v>
      </c>
      <c r="P97" s="11" t="s">
        <v>454</v>
      </c>
    </row>
    <row r="98" spans="1:16" x14ac:dyDescent="0.2">
      <c r="A98">
        <v>691</v>
      </c>
      <c r="B98">
        <v>591</v>
      </c>
      <c r="C98" t="str">
        <f>VLOOKUP(Table10[[#This Row],[source]],Table2226[[#All],[ID]:[Label]],3,FALSE)</f>
        <v>ORD</v>
      </c>
      <c r="D98" t="str">
        <f>VLOOKUP(Table10[[#This Row],[target]],Table2226[[#All],[ID]:[Label]],3,FALSE)</f>
        <v>EWR</v>
      </c>
      <c r="E98" s="32" t="str">
        <f>IF(ISERROR(VLOOKUP(Table10[[#This Row],[source2]],Table22[Label],1,FALSE)),IF(ISERROR(VLOOKUP(Table10[[#This Row],[source2]],Table2210[Label],1,FALSE)),"SPOKE","FOCUS"),"HUB")</f>
        <v>HUB</v>
      </c>
      <c r="F98" s="32" t="str">
        <f>IF(ISERROR(VLOOKUP(Table10[[#This Row],[target2]],Table22[Label],1,FALSE)),IF(ISERROR(VLOOKUP(Table10[[#This Row],[target2]],Table2210[Label],1,FALSE)),"SPOKE","FOCUS"),"HUB")</f>
        <v>HUB</v>
      </c>
      <c r="G98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98" s="46" t="s">
        <v>1586</v>
      </c>
      <c r="I98" s="47" t="s">
        <v>1587</v>
      </c>
      <c r="J98" s="47" t="s">
        <v>1588</v>
      </c>
      <c r="K98" s="47" t="s">
        <v>1589</v>
      </c>
      <c r="L98" s="47" t="s">
        <v>1590</v>
      </c>
      <c r="M98" s="47" t="s">
        <v>1591</v>
      </c>
      <c r="N98">
        <v>787</v>
      </c>
      <c r="O98">
        <v>787</v>
      </c>
      <c r="P98" s="11" t="s">
        <v>455</v>
      </c>
    </row>
    <row r="99" spans="1:16" x14ac:dyDescent="0.2">
      <c r="A99">
        <v>579</v>
      </c>
      <c r="B99">
        <v>529</v>
      </c>
      <c r="C99" t="str">
        <f>VLOOKUP(Table10[[#This Row],[source]],Table2226[[#All],[ID]:[Label]],3,FALSE)</f>
        <v>DTW</v>
      </c>
      <c r="D99" t="str">
        <f>VLOOKUP(Table10[[#This Row],[target]],Table2226[[#All],[ID]:[Label]],3,FALSE)</f>
        <v>BOS</v>
      </c>
      <c r="E99" s="32" t="str">
        <f>IF(ISERROR(VLOOKUP(Table10[[#This Row],[source2]],Table22[Label],1,FALSE)),IF(ISERROR(VLOOKUP(Table10[[#This Row],[source2]],Table2210[Label],1,FALSE)),"SPOKE","FOCUS"),"HUB")</f>
        <v>HUB</v>
      </c>
      <c r="F99" s="32" t="str">
        <f>IF(ISERROR(VLOOKUP(Table10[[#This Row],[target2]],Table22[Label],1,FALSE)),IF(ISERROR(VLOOKUP(Table10[[#This Row],[target2]],Table2210[Label],1,FALSE)),"SPOKE","FOCUS"),"HUB")</f>
        <v>HUB</v>
      </c>
      <c r="G99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99" s="46" t="s">
        <v>1242</v>
      </c>
      <c r="I99" s="47" t="s">
        <v>1243</v>
      </c>
      <c r="J99" s="47" t="s">
        <v>1244</v>
      </c>
      <c r="K99" s="47" t="s">
        <v>1245</v>
      </c>
      <c r="L99" s="47" t="s">
        <v>1246</v>
      </c>
      <c r="M99" s="47" t="s">
        <v>1247</v>
      </c>
      <c r="N99">
        <v>422</v>
      </c>
      <c r="O99">
        <v>422</v>
      </c>
      <c r="P99" s="11" t="s">
        <v>456</v>
      </c>
    </row>
    <row r="100" spans="1:16" x14ac:dyDescent="0.2">
      <c r="A100">
        <v>574</v>
      </c>
      <c r="B100">
        <v>733</v>
      </c>
      <c r="C100" t="str">
        <f>VLOOKUP(Table10[[#This Row],[source]],Table2226[[#All],[ID]:[Label]],3,FALSE)</f>
        <v>DEN</v>
      </c>
      <c r="D100" t="str">
        <f>VLOOKUP(Table10[[#This Row],[target]],Table2226[[#All],[ID]:[Label]],3,FALSE)</f>
        <v>SFO</v>
      </c>
      <c r="E100" s="32" t="str">
        <f>IF(ISERROR(VLOOKUP(Table10[[#This Row],[source2]],Table22[Label],1,FALSE)),IF(ISERROR(VLOOKUP(Table10[[#This Row],[source2]],Table2210[Label],1,FALSE)),"SPOKE","FOCUS"),"HUB")</f>
        <v>HUB</v>
      </c>
      <c r="F100" s="32" t="str">
        <f>IF(ISERROR(VLOOKUP(Table10[[#This Row],[target2]],Table22[Label],1,FALSE)),IF(ISERROR(VLOOKUP(Table10[[#This Row],[target2]],Table2210[Label],1,FALSE)),"SPOKE","FOCUS"),"HUB")</f>
        <v>HUB</v>
      </c>
      <c r="G100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100" s="46" t="s">
        <v>1550</v>
      </c>
      <c r="I100" s="47" t="s">
        <v>1551</v>
      </c>
      <c r="J100" s="47" t="s">
        <v>1552</v>
      </c>
      <c r="K100" s="47" t="s">
        <v>1553</v>
      </c>
      <c r="L100" s="47" t="s">
        <v>1554</v>
      </c>
      <c r="M100" s="47" t="s">
        <v>1555</v>
      </c>
      <c r="N100">
        <v>950</v>
      </c>
      <c r="O100">
        <v>950</v>
      </c>
      <c r="P100" s="11" t="s">
        <v>457</v>
      </c>
    </row>
    <row r="101" spans="1:16" x14ac:dyDescent="0.2">
      <c r="A101">
        <v>579</v>
      </c>
      <c r="B101">
        <v>578</v>
      </c>
      <c r="C101" t="str">
        <f>VLOOKUP(Table10[[#This Row],[source]],Table2226[[#All],[ID]:[Label]],3,FALSE)</f>
        <v>DTW</v>
      </c>
      <c r="D101" t="str">
        <f>VLOOKUP(Table10[[#This Row],[target]],Table2226[[#All],[ID]:[Label]],3,FALSE)</f>
        <v>DSM</v>
      </c>
      <c r="E101" s="32" t="str">
        <f>IF(ISERROR(VLOOKUP(Table10[[#This Row],[source2]],Table22[Label],1,FALSE)),IF(ISERROR(VLOOKUP(Table10[[#This Row],[source2]],Table2210[Label],1,FALSE)),"SPOKE","FOCUS"),"HUB")</f>
        <v>HUB</v>
      </c>
      <c r="F101" s="32" t="str">
        <f>IF(ISERROR(VLOOKUP(Table10[[#This Row],[target2]],Table22[Label],1,FALSE)),IF(ISERROR(VLOOKUP(Table10[[#This Row],[target2]],Table2210[Label],1,FALSE)),"SPOKE","FOCUS"),"HUB")</f>
        <v>SPOKE</v>
      </c>
      <c r="G101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101" s="46" t="s">
        <v>1297</v>
      </c>
      <c r="I101" s="47" t="s">
        <v>1298</v>
      </c>
      <c r="J101" s="47" t="s">
        <v>738</v>
      </c>
      <c r="K101" s="47" t="s">
        <v>1299</v>
      </c>
      <c r="L101" s="47" t="s">
        <v>1300</v>
      </c>
      <c r="M101" s="47" t="s">
        <v>1301</v>
      </c>
      <c r="N101">
        <v>523</v>
      </c>
      <c r="O101">
        <v>523</v>
      </c>
      <c r="P101" s="11" t="s">
        <v>458</v>
      </c>
    </row>
    <row r="102" spans="1:16" x14ac:dyDescent="0.2">
      <c r="A102">
        <v>625</v>
      </c>
      <c r="B102">
        <v>647</v>
      </c>
      <c r="C102" t="str">
        <f>VLOOKUP(Table10[[#This Row],[source]],Table2226[[#All],[ID]:[Label]],3,FALSE)</f>
        <v>IAD</v>
      </c>
      <c r="D102" t="str">
        <f>VLOOKUP(Table10[[#This Row],[target]],Table2226[[#All],[ID]:[Label]],3,FALSE)</f>
        <v>LAS</v>
      </c>
      <c r="E102" s="32" t="str">
        <f>IF(ISERROR(VLOOKUP(Table10[[#This Row],[source2]],Table22[Label],1,FALSE)),IF(ISERROR(VLOOKUP(Table10[[#This Row],[source2]],Table2210[Label],1,FALSE)),"SPOKE","FOCUS"),"HUB")</f>
        <v>HUB</v>
      </c>
      <c r="F102" s="32" t="str">
        <f>IF(ISERROR(VLOOKUP(Table10[[#This Row],[target2]],Table22[Label],1,FALSE)),IF(ISERROR(VLOOKUP(Table10[[#This Row],[target2]],Table2210[Label],1,FALSE)),"SPOKE","FOCUS"),"HUB")</f>
        <v>FOCUS</v>
      </c>
      <c r="G102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HUB-FOCUS</v>
      </c>
      <c r="H102" s="46" t="s">
        <v>1070</v>
      </c>
      <c r="I102" s="47" t="s">
        <v>1071</v>
      </c>
      <c r="J102" s="47" t="s">
        <v>1072</v>
      </c>
      <c r="K102" s="47" t="s">
        <v>1073</v>
      </c>
      <c r="L102" s="47" t="s">
        <v>1074</v>
      </c>
      <c r="M102" s="47" t="s">
        <v>1075</v>
      </c>
      <c r="N102">
        <v>460</v>
      </c>
      <c r="O102">
        <v>460</v>
      </c>
      <c r="P102" s="11" t="s">
        <v>459</v>
      </c>
    </row>
    <row r="103" spans="1:16" x14ac:dyDescent="0.2">
      <c r="A103">
        <v>506</v>
      </c>
      <c r="B103">
        <v>663</v>
      </c>
      <c r="C103" t="str">
        <f>VLOOKUP(Table10[[#This Row],[source]],Table2226[[#All],[ID]:[Label]],3,FALSE)</f>
        <v>ATL</v>
      </c>
      <c r="D103" t="str">
        <f>VLOOKUP(Table10[[#This Row],[target]],Table2226[[#All],[ID]:[Label]],3,FALSE)</f>
        <v>MCO</v>
      </c>
      <c r="E103" s="32" t="str">
        <f>IF(ISERROR(VLOOKUP(Table10[[#This Row],[source2]],Table22[Label],1,FALSE)),IF(ISERROR(VLOOKUP(Table10[[#This Row],[source2]],Table2210[Label],1,FALSE)),"SPOKE","FOCUS"),"HUB")</f>
        <v>HUB</v>
      </c>
      <c r="F103" s="32" t="str">
        <f>IF(ISERROR(VLOOKUP(Table10[[#This Row],[target2]],Table22[Label],1,FALSE)),IF(ISERROR(VLOOKUP(Table10[[#This Row],[target2]],Table2210[Label],1,FALSE)),"SPOKE","FOCUS"),"HUB")</f>
        <v>FOCUS</v>
      </c>
      <c r="G103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HUB-FOCUS</v>
      </c>
      <c r="H103" s="46" t="s">
        <v>1397</v>
      </c>
      <c r="I103" s="47" t="s">
        <v>1398</v>
      </c>
      <c r="J103" s="47" t="s">
        <v>1399</v>
      </c>
      <c r="K103" s="47" t="s">
        <v>1400</v>
      </c>
      <c r="L103" s="47" t="s">
        <v>1401</v>
      </c>
      <c r="M103" s="47" t="s">
        <v>1402</v>
      </c>
      <c r="N103">
        <v>1473</v>
      </c>
      <c r="O103">
        <v>1473</v>
      </c>
      <c r="P103" s="11" t="s">
        <v>460</v>
      </c>
    </row>
    <row r="104" spans="1:16" x14ac:dyDescent="0.2">
      <c r="A104">
        <v>691</v>
      </c>
      <c r="B104">
        <v>554</v>
      </c>
      <c r="C104" t="str">
        <f>VLOOKUP(Table10[[#This Row],[source]],Table2226[[#All],[ID]:[Label]],3,FALSE)</f>
        <v>ORD</v>
      </c>
      <c r="D104" t="str">
        <f>VLOOKUP(Table10[[#This Row],[target]],Table2226[[#All],[ID]:[Label]],3,FALSE)</f>
        <v>CLT</v>
      </c>
      <c r="E104" s="32" t="str">
        <f>IF(ISERROR(VLOOKUP(Table10[[#This Row],[source2]],Table22[Label],1,FALSE)),IF(ISERROR(VLOOKUP(Table10[[#This Row],[source2]],Table2210[Label],1,FALSE)),"SPOKE","FOCUS"),"HUB")</f>
        <v>HUB</v>
      </c>
      <c r="F104" s="32" t="str">
        <f>IF(ISERROR(VLOOKUP(Table10[[#This Row],[target2]],Table22[Label],1,FALSE)),IF(ISERROR(VLOOKUP(Table10[[#This Row],[target2]],Table2210[Label],1,FALSE)),"SPOKE","FOCUS"),"HUB")</f>
        <v>HUB</v>
      </c>
      <c r="G104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104" s="46" t="s">
        <v>801</v>
      </c>
      <c r="I104" s="47" t="s">
        <v>1610</v>
      </c>
      <c r="J104" s="47" t="s">
        <v>727</v>
      </c>
      <c r="K104" s="47" t="s">
        <v>1611</v>
      </c>
      <c r="L104" s="47" t="s">
        <v>957</v>
      </c>
      <c r="M104" s="47" t="s">
        <v>1612</v>
      </c>
      <c r="N104">
        <v>693</v>
      </c>
      <c r="O104">
        <v>693</v>
      </c>
      <c r="P104" s="11" t="s">
        <v>461</v>
      </c>
    </row>
    <row r="105" spans="1:16" x14ac:dyDescent="0.2">
      <c r="A105">
        <v>645</v>
      </c>
      <c r="B105">
        <v>663</v>
      </c>
      <c r="C105" t="str">
        <f>VLOOKUP(Table10[[#This Row],[source]],Table2226[[#All],[ID]:[Label]],3,FALSE)</f>
        <v>JFK</v>
      </c>
      <c r="D105" t="str">
        <f>VLOOKUP(Table10[[#This Row],[target]],Table2226[[#All],[ID]:[Label]],3,FALSE)</f>
        <v>MCO</v>
      </c>
      <c r="E105" s="32" t="str">
        <f>IF(ISERROR(VLOOKUP(Table10[[#This Row],[source2]],Table22[Label],1,FALSE)),IF(ISERROR(VLOOKUP(Table10[[#This Row],[source2]],Table2210[Label],1,FALSE)),"SPOKE","FOCUS"),"HUB")</f>
        <v>HUB</v>
      </c>
      <c r="F105" s="32" t="str">
        <f>IF(ISERROR(VLOOKUP(Table10[[#This Row],[target2]],Table22[Label],1,FALSE)),IF(ISERROR(VLOOKUP(Table10[[#This Row],[target2]],Table2210[Label],1,FALSE)),"SPOKE","FOCUS"),"HUB")</f>
        <v>FOCUS</v>
      </c>
      <c r="G105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HUB-FOCUS</v>
      </c>
      <c r="H105" s="46" t="s">
        <v>2245</v>
      </c>
      <c r="I105" s="47" t="s">
        <v>2246</v>
      </c>
      <c r="J105" s="47" t="s">
        <v>738</v>
      </c>
      <c r="K105" s="47" t="s">
        <v>2247</v>
      </c>
      <c r="L105" s="47" t="s">
        <v>1429</v>
      </c>
      <c r="M105" s="47" t="s">
        <v>2248</v>
      </c>
      <c r="N105">
        <v>813</v>
      </c>
      <c r="O105">
        <v>813</v>
      </c>
      <c r="P105" s="11" t="s">
        <v>462</v>
      </c>
    </row>
    <row r="106" spans="1:16" x14ac:dyDescent="0.2">
      <c r="A106">
        <v>691</v>
      </c>
      <c r="B106">
        <v>648</v>
      </c>
      <c r="C106" t="str">
        <f>VLOOKUP(Table10[[#This Row],[source]],Table2226[[#All],[ID]:[Label]],3,FALSE)</f>
        <v>ORD</v>
      </c>
      <c r="D106" t="str">
        <f>VLOOKUP(Table10[[#This Row],[target]],Table2226[[#All],[ID]:[Label]],3,FALSE)</f>
        <v>LAX</v>
      </c>
      <c r="E106" s="32" t="str">
        <f>IF(ISERROR(VLOOKUP(Table10[[#This Row],[source2]],Table22[Label],1,FALSE)),IF(ISERROR(VLOOKUP(Table10[[#This Row],[source2]],Table2210[Label],1,FALSE)),"SPOKE","FOCUS"),"HUB")</f>
        <v>HUB</v>
      </c>
      <c r="F106" s="32" t="str">
        <f>IF(ISERROR(VLOOKUP(Table10[[#This Row],[target2]],Table22[Label],1,FALSE)),IF(ISERROR(VLOOKUP(Table10[[#This Row],[target2]],Table2210[Label],1,FALSE)),"SPOKE","FOCUS"),"HUB")</f>
        <v>HUB</v>
      </c>
      <c r="G106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106" s="46" t="s">
        <v>1669</v>
      </c>
      <c r="I106" s="47" t="s">
        <v>1670</v>
      </c>
      <c r="J106" s="47" t="s">
        <v>738</v>
      </c>
      <c r="K106" s="47" t="s">
        <v>1671</v>
      </c>
      <c r="L106" s="47" t="s">
        <v>1672</v>
      </c>
      <c r="M106" s="47" t="s">
        <v>1673</v>
      </c>
      <c r="N106">
        <v>1777</v>
      </c>
      <c r="O106">
        <v>1777</v>
      </c>
      <c r="P106" s="11" t="s">
        <v>463</v>
      </c>
    </row>
    <row r="107" spans="1:16" x14ac:dyDescent="0.2">
      <c r="A107">
        <v>702</v>
      </c>
      <c r="B107">
        <v>578</v>
      </c>
      <c r="C107" t="str">
        <f>VLOOKUP(Table10[[#This Row],[source]],Table2226[[#All],[ID]:[Label]],3,FALSE)</f>
        <v>PHX</v>
      </c>
      <c r="D107" t="str">
        <f>VLOOKUP(Table10[[#This Row],[target]],Table2226[[#All],[ID]:[Label]],3,FALSE)</f>
        <v>DSM</v>
      </c>
      <c r="E107" s="32" t="str">
        <f>IF(ISERROR(VLOOKUP(Table10[[#This Row],[source2]],Table22[Label],1,FALSE)),IF(ISERROR(VLOOKUP(Table10[[#This Row],[source2]],Table2210[Label],1,FALSE)),"SPOKE","FOCUS"),"HUB")</f>
        <v>HUB</v>
      </c>
      <c r="F107" s="32" t="str">
        <f>IF(ISERROR(VLOOKUP(Table10[[#This Row],[target2]],Table22[Label],1,FALSE)),IF(ISERROR(VLOOKUP(Table10[[#This Row],[target2]],Table2210[Label],1,FALSE)),"SPOKE","FOCUS"),"HUB")</f>
        <v>SPOKE</v>
      </c>
      <c r="G107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107" s="46" t="s">
        <v>2043</v>
      </c>
      <c r="I107" s="47" t="s">
        <v>2044</v>
      </c>
      <c r="J107" s="47" t="s">
        <v>738</v>
      </c>
      <c r="K107" s="47" t="s">
        <v>2045</v>
      </c>
      <c r="L107" s="47" t="s">
        <v>874</v>
      </c>
      <c r="M107" s="47" t="s">
        <v>2046</v>
      </c>
      <c r="N107">
        <v>1460</v>
      </c>
      <c r="O107">
        <v>1460</v>
      </c>
      <c r="P107" s="11" t="s">
        <v>464</v>
      </c>
    </row>
    <row r="108" spans="1:16" x14ac:dyDescent="0.2">
      <c r="A108">
        <v>575</v>
      </c>
      <c r="B108">
        <v>529</v>
      </c>
      <c r="C108" t="str">
        <f>VLOOKUP(Table10[[#This Row],[source]],Table2226[[#All],[ID]:[Label]],3,FALSE)</f>
        <v>DFW</v>
      </c>
      <c r="D108" t="str">
        <f>VLOOKUP(Table10[[#This Row],[target]],Table2226[[#All],[ID]:[Label]],3,FALSE)</f>
        <v>BOS</v>
      </c>
      <c r="E108" s="32" t="str">
        <f>IF(ISERROR(VLOOKUP(Table10[[#This Row],[source2]],Table22[Label],1,FALSE)),IF(ISERROR(VLOOKUP(Table10[[#This Row],[source2]],Table2210[Label],1,FALSE)),"SPOKE","FOCUS"),"HUB")</f>
        <v>HUB</v>
      </c>
      <c r="F108" s="32" t="str">
        <f>IF(ISERROR(VLOOKUP(Table10[[#This Row],[target2]],Table22[Label],1,FALSE)),IF(ISERROR(VLOOKUP(Table10[[#This Row],[target2]],Table2210[Label],1,FALSE)),"SPOKE","FOCUS"),"HUB")</f>
        <v>HUB</v>
      </c>
      <c r="G108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108" s="46" t="s">
        <v>1969</v>
      </c>
      <c r="I108" s="47" t="s">
        <v>1970</v>
      </c>
      <c r="J108" s="47" t="s">
        <v>1971</v>
      </c>
      <c r="K108" s="47" t="s">
        <v>1972</v>
      </c>
      <c r="L108" s="47" t="s">
        <v>1608</v>
      </c>
      <c r="M108" s="47" t="s">
        <v>1973</v>
      </c>
      <c r="N108">
        <v>634</v>
      </c>
      <c r="O108">
        <v>634</v>
      </c>
      <c r="P108" s="11" t="s">
        <v>465</v>
      </c>
    </row>
    <row r="109" spans="1:16" x14ac:dyDescent="0.2">
      <c r="A109">
        <v>506</v>
      </c>
      <c r="B109">
        <v>673</v>
      </c>
      <c r="C109" t="str">
        <f>VLOOKUP(Table10[[#This Row],[source]],Table2226[[#All],[ID]:[Label]],3,FALSE)</f>
        <v>ATL</v>
      </c>
      <c r="D109" t="str">
        <f>VLOOKUP(Table10[[#This Row],[target]],Table2226[[#All],[ID]:[Label]],3,FALSE)</f>
        <v>MIA</v>
      </c>
      <c r="E109" s="32" t="str">
        <f>IF(ISERROR(VLOOKUP(Table10[[#This Row],[source2]],Table22[Label],1,FALSE)),IF(ISERROR(VLOOKUP(Table10[[#This Row],[source2]],Table2210[Label],1,FALSE)),"SPOKE","FOCUS"),"HUB")</f>
        <v>HUB</v>
      </c>
      <c r="F109" s="32" t="str">
        <f>IF(ISERROR(VLOOKUP(Table10[[#This Row],[target2]],Table22[Label],1,FALSE)),IF(ISERROR(VLOOKUP(Table10[[#This Row],[target2]],Table2210[Label],1,FALSE)),"SPOKE","FOCUS"),"HUB")</f>
        <v>HUB</v>
      </c>
      <c r="G109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109" s="46" t="s">
        <v>1425</v>
      </c>
      <c r="I109" s="47" t="s">
        <v>1426</v>
      </c>
      <c r="J109" s="47" t="s">
        <v>1427</v>
      </c>
      <c r="K109" s="47" t="s">
        <v>1428</v>
      </c>
      <c r="L109" s="47" t="s">
        <v>1429</v>
      </c>
      <c r="M109" s="47" t="s">
        <v>1430</v>
      </c>
      <c r="N109">
        <v>1273</v>
      </c>
      <c r="O109">
        <v>1273</v>
      </c>
      <c r="P109" s="11" t="s">
        <v>466</v>
      </c>
    </row>
    <row r="110" spans="1:16" x14ac:dyDescent="0.2">
      <c r="A110">
        <v>682</v>
      </c>
      <c r="B110">
        <v>575</v>
      </c>
      <c r="C110" t="str">
        <f>VLOOKUP(Table10[[#This Row],[source]],Table2226[[#All],[ID]:[Label]],3,FALSE)</f>
        <v>MSP</v>
      </c>
      <c r="D110" t="str">
        <f>VLOOKUP(Table10[[#This Row],[target]],Table2226[[#All],[ID]:[Label]],3,FALSE)</f>
        <v>DFW</v>
      </c>
      <c r="E110" s="32" t="str">
        <f>IF(ISERROR(VLOOKUP(Table10[[#This Row],[source2]],Table22[Label],1,FALSE)),IF(ISERROR(VLOOKUP(Table10[[#This Row],[source2]],Table2210[Label],1,FALSE)),"SPOKE","FOCUS"),"HUB")</f>
        <v>HUB</v>
      </c>
      <c r="F110" s="32" t="str">
        <f>IF(ISERROR(VLOOKUP(Table10[[#This Row],[target2]],Table22[Label],1,FALSE)),IF(ISERROR(VLOOKUP(Table10[[#This Row],[target2]],Table2210[Label],1,FALSE)),"SPOKE","FOCUS"),"HUB")</f>
        <v>HUB</v>
      </c>
      <c r="G110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110" s="46" t="s">
        <v>1926</v>
      </c>
      <c r="I110" s="47" t="s">
        <v>1927</v>
      </c>
      <c r="J110" s="47" t="s">
        <v>1928</v>
      </c>
      <c r="K110" s="47" t="s">
        <v>1929</v>
      </c>
      <c r="L110" s="47" t="s">
        <v>1344</v>
      </c>
      <c r="M110" s="47" t="s">
        <v>1930</v>
      </c>
      <c r="N110">
        <v>651</v>
      </c>
      <c r="O110">
        <v>651</v>
      </c>
      <c r="P110" s="11" t="s">
        <v>467</v>
      </c>
    </row>
    <row r="111" spans="1:16" x14ac:dyDescent="0.2">
      <c r="A111">
        <v>647</v>
      </c>
      <c r="B111">
        <v>578</v>
      </c>
      <c r="C111" t="str">
        <f>VLOOKUP(Table10[[#This Row],[source]],Table2226[[#All],[ID]:[Label]],3,FALSE)</f>
        <v>LAS</v>
      </c>
      <c r="D111" t="str">
        <f>VLOOKUP(Table10[[#This Row],[target]],Table2226[[#All],[ID]:[Label]],3,FALSE)</f>
        <v>DSM</v>
      </c>
      <c r="E111" s="32" t="str">
        <f>IF(ISERROR(VLOOKUP(Table10[[#This Row],[source2]],Table22[Label],1,FALSE)),IF(ISERROR(VLOOKUP(Table10[[#This Row],[source2]],Table2210[Label],1,FALSE)),"SPOKE","FOCUS"),"HUB")</f>
        <v>FOCUS</v>
      </c>
      <c r="F111" s="32" t="str">
        <f>IF(ISERROR(VLOOKUP(Table10[[#This Row],[target2]],Table22[Label],1,FALSE)),IF(ISERROR(VLOOKUP(Table10[[#This Row],[target2]],Table2210[Label],1,FALSE)),"SPOKE","FOCUS"),"HUB")</f>
        <v>SPOKE</v>
      </c>
      <c r="G111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SPOKE-FOCUS</v>
      </c>
      <c r="H111" s="46" t="s">
        <v>2215</v>
      </c>
      <c r="I111" s="47" t="s">
        <v>2216</v>
      </c>
      <c r="J111" s="47" t="s">
        <v>738</v>
      </c>
      <c r="K111" s="47" t="s">
        <v>2217</v>
      </c>
      <c r="L111" s="47" t="s">
        <v>1864</v>
      </c>
      <c r="M111" s="47" t="s">
        <v>2218</v>
      </c>
      <c r="N111">
        <v>1185</v>
      </c>
      <c r="O111">
        <v>1185</v>
      </c>
      <c r="P111" s="11" t="s">
        <v>468</v>
      </c>
    </row>
    <row r="112" spans="1:16" x14ac:dyDescent="0.2">
      <c r="A112">
        <v>700</v>
      </c>
      <c r="B112">
        <v>691</v>
      </c>
      <c r="C112" t="str">
        <f>VLOOKUP(Table10[[#This Row],[source]],Table2226[[#All],[ID]:[Label]],3,FALSE)</f>
        <v>PHL</v>
      </c>
      <c r="D112" t="str">
        <f>VLOOKUP(Table10[[#This Row],[target]],Table2226[[#All],[ID]:[Label]],3,FALSE)</f>
        <v>ORD</v>
      </c>
      <c r="E112" s="32" t="str">
        <f>IF(ISERROR(VLOOKUP(Table10[[#This Row],[source2]],Table22[Label],1,FALSE)),IF(ISERROR(VLOOKUP(Table10[[#This Row],[source2]],Table2210[Label],1,FALSE)),"SPOKE","FOCUS"),"HUB")</f>
        <v>HUB</v>
      </c>
      <c r="F112" s="32" t="str">
        <f>IF(ISERROR(VLOOKUP(Table10[[#This Row],[target2]],Table22[Label],1,FALSE)),IF(ISERROR(VLOOKUP(Table10[[#This Row],[target2]],Table2210[Label],1,FALSE)),"SPOKE","FOCUS"),"HUB")</f>
        <v>HUB</v>
      </c>
      <c r="G112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112" s="46" t="s">
        <v>801</v>
      </c>
      <c r="I112" s="47" t="s">
        <v>945</v>
      </c>
      <c r="J112" s="47" t="s">
        <v>727</v>
      </c>
      <c r="K112" s="47" t="s">
        <v>946</v>
      </c>
      <c r="L112" s="47" t="s">
        <v>947</v>
      </c>
      <c r="M112" s="47" t="s">
        <v>948</v>
      </c>
      <c r="N112">
        <v>781</v>
      </c>
      <c r="O112">
        <v>781</v>
      </c>
      <c r="P112" s="11" t="s">
        <v>469</v>
      </c>
    </row>
    <row r="113" spans="1:16" x14ac:dyDescent="0.2">
      <c r="A113">
        <v>506</v>
      </c>
      <c r="B113">
        <v>578</v>
      </c>
      <c r="C113" t="str">
        <f>VLOOKUP(Table10[[#This Row],[source]],Table2226[[#All],[ID]:[Label]],3,FALSE)</f>
        <v>ATL</v>
      </c>
      <c r="D113" t="str">
        <f>VLOOKUP(Table10[[#This Row],[target]],Table2226[[#All],[ID]:[Label]],3,FALSE)</f>
        <v>DSM</v>
      </c>
      <c r="E113" s="32" t="str">
        <f>IF(ISERROR(VLOOKUP(Table10[[#This Row],[source2]],Table22[Label],1,FALSE)),IF(ISERROR(VLOOKUP(Table10[[#This Row],[source2]],Table2210[Label],1,FALSE)),"SPOKE","FOCUS"),"HUB")</f>
        <v>HUB</v>
      </c>
      <c r="F113" s="32" t="str">
        <f>IF(ISERROR(VLOOKUP(Table10[[#This Row],[target2]],Table22[Label],1,FALSE)),IF(ISERROR(VLOOKUP(Table10[[#This Row],[target2]],Table2210[Label],1,FALSE)),"SPOKE","FOCUS"),"HUB")</f>
        <v>SPOKE</v>
      </c>
      <c r="G113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113" s="46" t="s">
        <v>1412</v>
      </c>
      <c r="I113" s="47" t="s">
        <v>1413</v>
      </c>
      <c r="J113" s="47" t="s">
        <v>738</v>
      </c>
      <c r="K113" s="47" t="s">
        <v>1414</v>
      </c>
      <c r="L113" s="47" t="s">
        <v>1415</v>
      </c>
      <c r="M113" s="47" t="s">
        <v>1416</v>
      </c>
      <c r="N113">
        <v>1316</v>
      </c>
      <c r="O113">
        <v>1316</v>
      </c>
      <c r="P113" s="11" t="s">
        <v>470</v>
      </c>
    </row>
    <row r="114" spans="1:16" x14ac:dyDescent="0.2">
      <c r="A114">
        <v>730</v>
      </c>
      <c r="B114">
        <v>2190</v>
      </c>
      <c r="C114" t="str">
        <f>VLOOKUP(Table10[[#This Row],[source]],Table2226[[#All],[ID]:[Label]],3,FALSE)</f>
        <v>SEA</v>
      </c>
      <c r="D114" t="str">
        <f>VLOOKUP(Table10[[#This Row],[target]],Table2226[[#All],[ID]:[Label]],3,FALSE)</f>
        <v>TUS</v>
      </c>
      <c r="E114" s="32" t="str">
        <f>IF(ISERROR(VLOOKUP(Table10[[#This Row],[source2]],Table22[Label],1,FALSE)),IF(ISERROR(VLOOKUP(Table10[[#This Row],[source2]],Table2210[Label],1,FALSE)),"SPOKE","FOCUS"),"HUB")</f>
        <v>HUB</v>
      </c>
      <c r="F114" s="32" t="str">
        <f>IF(ISERROR(VLOOKUP(Table10[[#This Row],[target2]],Table22[Label],1,FALSE)),IF(ISERROR(VLOOKUP(Table10[[#This Row],[target2]],Table2210[Label],1,FALSE)),"SPOKE","FOCUS"),"HUB")</f>
        <v>SPOKE</v>
      </c>
      <c r="G114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114" s="46" t="s">
        <v>2178</v>
      </c>
      <c r="I114" s="47" t="s">
        <v>2179</v>
      </c>
      <c r="J114" s="47" t="s">
        <v>738</v>
      </c>
      <c r="K114" s="47" t="s">
        <v>2180</v>
      </c>
      <c r="L114" s="47" t="s">
        <v>874</v>
      </c>
      <c r="M114" s="47" t="s">
        <v>2181</v>
      </c>
      <c r="N114">
        <v>1651</v>
      </c>
      <c r="O114">
        <v>1651</v>
      </c>
      <c r="P114" s="11" t="s">
        <v>471</v>
      </c>
    </row>
    <row r="115" spans="1:16" x14ac:dyDescent="0.2">
      <c r="A115">
        <v>627</v>
      </c>
      <c r="B115">
        <v>682</v>
      </c>
      <c r="C115" t="str">
        <f>VLOOKUP(Table10[[#This Row],[source]],Table2226[[#All],[ID]:[Label]],3,FALSE)</f>
        <v>IAH</v>
      </c>
      <c r="D115" t="str">
        <f>VLOOKUP(Table10[[#This Row],[target]],Table2226[[#All],[ID]:[Label]],3,FALSE)</f>
        <v>MSP</v>
      </c>
      <c r="E115" s="32" t="str">
        <f>IF(ISERROR(VLOOKUP(Table10[[#This Row],[source2]],Table22[Label],1,FALSE)),IF(ISERROR(VLOOKUP(Table10[[#This Row],[source2]],Table2210[Label],1,FALSE)),"SPOKE","FOCUS"),"HUB")</f>
        <v>HUB</v>
      </c>
      <c r="F115" s="32" t="str">
        <f>IF(ISERROR(VLOOKUP(Table10[[#This Row],[target2]],Table22[Label],1,FALSE)),IF(ISERROR(VLOOKUP(Table10[[#This Row],[target2]],Table2210[Label],1,FALSE)),"SPOKE","FOCUS"),"HUB")</f>
        <v>HUB</v>
      </c>
      <c r="G115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115" s="46" t="s">
        <v>1811</v>
      </c>
      <c r="I115" s="47" t="s">
        <v>1812</v>
      </c>
      <c r="J115" s="47" t="s">
        <v>1813</v>
      </c>
      <c r="K115" s="47" t="s">
        <v>1814</v>
      </c>
      <c r="L115" s="47" t="s">
        <v>923</v>
      </c>
      <c r="M115" s="47" t="s">
        <v>1815</v>
      </c>
      <c r="N115">
        <v>508</v>
      </c>
      <c r="O115">
        <v>508</v>
      </c>
      <c r="P115" s="11" t="s">
        <v>472</v>
      </c>
    </row>
    <row r="116" spans="1:16" x14ac:dyDescent="0.2">
      <c r="A116">
        <v>554</v>
      </c>
      <c r="B116">
        <v>591</v>
      </c>
      <c r="C116" t="str">
        <f>VLOOKUP(Table10[[#This Row],[source]],Table2226[[#All],[ID]:[Label]],3,FALSE)</f>
        <v>CLT</v>
      </c>
      <c r="D116" t="str">
        <f>VLOOKUP(Table10[[#This Row],[target]],Table2226[[#All],[ID]:[Label]],3,FALSE)</f>
        <v>EWR</v>
      </c>
      <c r="E116" s="32" t="str">
        <f>IF(ISERROR(VLOOKUP(Table10[[#This Row],[source2]],Table22[Label],1,FALSE)),IF(ISERROR(VLOOKUP(Table10[[#This Row],[source2]],Table2210[Label],1,FALSE)),"SPOKE","FOCUS"),"HUB")</f>
        <v>HUB</v>
      </c>
      <c r="F116" s="32" t="str">
        <f>IF(ISERROR(VLOOKUP(Table10[[#This Row],[target2]],Table22[Label],1,FALSE)),IF(ISERROR(VLOOKUP(Table10[[#This Row],[target2]],Table2210[Label],1,FALSE)),"SPOKE","FOCUS"),"HUB")</f>
        <v>HUB</v>
      </c>
      <c r="G116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116" s="46" t="s">
        <v>1692</v>
      </c>
      <c r="I116" s="47" t="s">
        <v>1693</v>
      </c>
      <c r="J116" s="47" t="s">
        <v>1694</v>
      </c>
      <c r="K116" s="47" t="s">
        <v>1695</v>
      </c>
      <c r="L116" s="47" t="s">
        <v>947</v>
      </c>
      <c r="M116" s="47" t="s">
        <v>1696</v>
      </c>
      <c r="N116">
        <v>669</v>
      </c>
      <c r="O116">
        <v>669</v>
      </c>
      <c r="P116" s="11" t="s">
        <v>473</v>
      </c>
    </row>
    <row r="117" spans="1:16" x14ac:dyDescent="0.2">
      <c r="A117">
        <v>554</v>
      </c>
      <c r="B117">
        <v>529</v>
      </c>
      <c r="C117" t="str">
        <f>VLOOKUP(Table10[[#This Row],[source]],Table2226[[#All],[ID]:[Label]],3,FALSE)</f>
        <v>CLT</v>
      </c>
      <c r="D117" t="str">
        <f>VLOOKUP(Table10[[#This Row],[target]],Table2226[[#All],[ID]:[Label]],3,FALSE)</f>
        <v>BOS</v>
      </c>
      <c r="E117" s="32" t="str">
        <f>IF(ISERROR(VLOOKUP(Table10[[#This Row],[source2]],Table22[Label],1,FALSE)),IF(ISERROR(VLOOKUP(Table10[[#This Row],[source2]],Table2210[Label],1,FALSE)),"SPOKE","FOCUS"),"HUB")</f>
        <v>HUB</v>
      </c>
      <c r="F117" s="32" t="str">
        <f>IF(ISERROR(VLOOKUP(Table10[[#This Row],[target2]],Table22[Label],1,FALSE)),IF(ISERROR(VLOOKUP(Table10[[#This Row],[target2]],Table2210[Label],1,FALSE)),"SPOKE","FOCUS"),"HUB")</f>
        <v>HUB</v>
      </c>
      <c r="G117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117" s="46" t="s">
        <v>1687</v>
      </c>
      <c r="I117" s="47" t="s">
        <v>1688</v>
      </c>
      <c r="J117" s="47" t="s">
        <v>1689</v>
      </c>
      <c r="K117" s="47" t="s">
        <v>1690</v>
      </c>
      <c r="L117" s="47" t="s">
        <v>1237</v>
      </c>
      <c r="M117" s="47" t="s">
        <v>1691</v>
      </c>
      <c r="N117">
        <v>584</v>
      </c>
      <c r="O117">
        <v>584</v>
      </c>
      <c r="P117" s="11" t="s">
        <v>474</v>
      </c>
    </row>
    <row r="118" spans="1:16" x14ac:dyDescent="0.2">
      <c r="A118">
        <v>647</v>
      </c>
      <c r="B118">
        <v>653</v>
      </c>
      <c r="C118" t="str">
        <f>VLOOKUP(Table10[[#This Row],[source]],Table2226[[#All],[ID]:[Label]],3,FALSE)</f>
        <v>LAS</v>
      </c>
      <c r="D118" t="str">
        <f>VLOOKUP(Table10[[#This Row],[target]],Table2226[[#All],[ID]:[Label]],3,FALSE)</f>
        <v>LIT</v>
      </c>
      <c r="E118" s="32" t="str">
        <f>IF(ISERROR(VLOOKUP(Table10[[#This Row],[source2]],Table22[Label],1,FALSE)),IF(ISERROR(VLOOKUP(Table10[[#This Row],[source2]],Table2210[Label],1,FALSE)),"SPOKE","FOCUS"),"HUB")</f>
        <v>FOCUS</v>
      </c>
      <c r="F118" s="32" t="str">
        <f>IF(ISERROR(VLOOKUP(Table10[[#This Row],[target2]],Table22[Label],1,FALSE)),IF(ISERROR(VLOOKUP(Table10[[#This Row],[target2]],Table2210[Label],1,FALSE)),"SPOKE","FOCUS"),"HUB")</f>
        <v>SPOKE</v>
      </c>
      <c r="G118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SPOKE-FOCUS</v>
      </c>
      <c r="H118" s="46" t="s">
        <v>2237</v>
      </c>
      <c r="I118" s="47" t="s">
        <v>2238</v>
      </c>
      <c r="J118" s="47" t="s">
        <v>738</v>
      </c>
      <c r="K118" s="47" t="s">
        <v>2239</v>
      </c>
      <c r="L118" s="47" t="s">
        <v>1500</v>
      </c>
      <c r="M118" s="47" t="s">
        <v>2240</v>
      </c>
      <c r="N118">
        <v>925</v>
      </c>
      <c r="O118">
        <v>925</v>
      </c>
      <c r="P118" s="11" t="s">
        <v>475</v>
      </c>
    </row>
    <row r="119" spans="1:16" x14ac:dyDescent="0.2">
      <c r="A119">
        <v>554</v>
      </c>
      <c r="B119">
        <v>498</v>
      </c>
      <c r="C119" t="str">
        <f>VLOOKUP(Table10[[#This Row],[source]],Table2226[[#All],[ID]:[Label]],3,FALSE)</f>
        <v>CLT</v>
      </c>
      <c r="D119" t="str">
        <f>VLOOKUP(Table10[[#This Row],[target]],Table2226[[#All],[ID]:[Label]],3,FALSE)</f>
        <v>ALB</v>
      </c>
      <c r="E119" s="32" t="str">
        <f>IF(ISERROR(VLOOKUP(Table10[[#This Row],[source2]],Table22[Label],1,FALSE)),IF(ISERROR(VLOOKUP(Table10[[#This Row],[source2]],Table2210[Label],1,FALSE)),"SPOKE","FOCUS"),"HUB")</f>
        <v>HUB</v>
      </c>
      <c r="F119" s="32" t="str">
        <f>IF(ISERROR(VLOOKUP(Table10[[#This Row],[target2]],Table22[Label],1,FALSE)),IF(ISERROR(VLOOKUP(Table10[[#This Row],[target2]],Table2210[Label],1,FALSE)),"SPOKE","FOCUS"),"HUB")</f>
        <v>SPOKE</v>
      </c>
      <c r="G119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119" s="46" t="s">
        <v>1697</v>
      </c>
      <c r="I119" s="47" t="s">
        <v>1698</v>
      </c>
      <c r="J119" s="47" t="s">
        <v>738</v>
      </c>
      <c r="K119" s="47" t="s">
        <v>1699</v>
      </c>
      <c r="L119" s="47" t="s">
        <v>919</v>
      </c>
      <c r="M119" s="47" t="s">
        <v>1700</v>
      </c>
      <c r="N119">
        <v>822</v>
      </c>
      <c r="O119">
        <v>822</v>
      </c>
      <c r="P119" s="11" t="s">
        <v>476</v>
      </c>
    </row>
    <row r="120" spans="1:16" x14ac:dyDescent="0.2">
      <c r="A120">
        <v>591</v>
      </c>
      <c r="B120">
        <v>648</v>
      </c>
      <c r="C120" t="str">
        <f>VLOOKUP(Table10[[#This Row],[source]],Table2226[[#All],[ID]:[Label]],3,FALSE)</f>
        <v>EWR</v>
      </c>
      <c r="D120" t="str">
        <f>VLOOKUP(Table10[[#This Row],[target]],Table2226[[#All],[ID]:[Label]],3,FALSE)</f>
        <v>LAX</v>
      </c>
      <c r="E120" s="32" t="str">
        <f>IF(ISERROR(VLOOKUP(Table10[[#This Row],[source2]],Table22[Label],1,FALSE)),IF(ISERROR(VLOOKUP(Table10[[#This Row],[source2]],Table2210[Label],1,FALSE)),"SPOKE","FOCUS"),"HUB")</f>
        <v>HUB</v>
      </c>
      <c r="F120" s="32" t="str">
        <f>IF(ISERROR(VLOOKUP(Table10[[#This Row],[target2]],Table22[Label],1,FALSE)),IF(ISERROR(VLOOKUP(Table10[[#This Row],[target2]],Table2210[Label],1,FALSE)),"SPOKE","FOCUS"),"HUB")</f>
        <v>HUB</v>
      </c>
      <c r="G120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120" s="46" t="s">
        <v>1884</v>
      </c>
      <c r="I120" s="47" t="s">
        <v>1885</v>
      </c>
      <c r="J120" s="47" t="s">
        <v>1886</v>
      </c>
      <c r="K120" s="47" t="s">
        <v>1887</v>
      </c>
      <c r="L120" s="47" t="s">
        <v>1415</v>
      </c>
      <c r="M120" s="47" t="s">
        <v>1888</v>
      </c>
      <c r="N120">
        <v>795</v>
      </c>
      <c r="O120">
        <v>795</v>
      </c>
      <c r="P120" s="11" t="s">
        <v>477</v>
      </c>
    </row>
    <row r="121" spans="1:16" x14ac:dyDescent="0.2">
      <c r="A121">
        <v>733</v>
      </c>
      <c r="B121">
        <v>648</v>
      </c>
      <c r="C121" t="str">
        <f>VLOOKUP(Table10[[#This Row],[source]],Table2226[[#All],[ID]:[Label]],3,FALSE)</f>
        <v>SFO</v>
      </c>
      <c r="D121" t="str">
        <f>VLOOKUP(Table10[[#This Row],[target]],Table2226[[#All],[ID]:[Label]],3,FALSE)</f>
        <v>LAX</v>
      </c>
      <c r="E121" s="32" t="str">
        <f>IF(ISERROR(VLOOKUP(Table10[[#This Row],[source2]],Table22[Label],1,FALSE)),IF(ISERROR(VLOOKUP(Table10[[#This Row],[source2]],Table2210[Label],1,FALSE)),"SPOKE","FOCUS"),"HUB")</f>
        <v>HUB</v>
      </c>
      <c r="F121" s="32" t="str">
        <f>IF(ISERROR(VLOOKUP(Table10[[#This Row],[target2]],Table22[Label],1,FALSE)),IF(ISERROR(VLOOKUP(Table10[[#This Row],[target2]],Table2210[Label],1,FALSE)),"SPOKE","FOCUS"),"HUB")</f>
        <v>HUB</v>
      </c>
      <c r="G121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121" s="46" t="s">
        <v>771</v>
      </c>
      <c r="I121" s="47" t="s">
        <v>2106</v>
      </c>
      <c r="J121" s="47" t="s">
        <v>738</v>
      </c>
      <c r="K121" s="47" t="s">
        <v>2107</v>
      </c>
      <c r="L121" s="47" t="s">
        <v>738</v>
      </c>
      <c r="M121" s="47" t="s">
        <v>2108</v>
      </c>
      <c r="N121">
        <v>3959</v>
      </c>
      <c r="O121">
        <v>3959</v>
      </c>
      <c r="P121" s="11" t="s">
        <v>478</v>
      </c>
    </row>
    <row r="122" spans="1:16" x14ac:dyDescent="0.2">
      <c r="A122">
        <v>574</v>
      </c>
      <c r="B122">
        <v>730</v>
      </c>
      <c r="C122" t="str">
        <f>VLOOKUP(Table10[[#This Row],[source]],Table2226[[#All],[ID]:[Label]],3,FALSE)</f>
        <v>DEN</v>
      </c>
      <c r="D122" t="str">
        <f>VLOOKUP(Table10[[#This Row],[target]],Table2226[[#All],[ID]:[Label]],3,FALSE)</f>
        <v>SEA</v>
      </c>
      <c r="E122" s="32" t="str">
        <f>IF(ISERROR(VLOOKUP(Table10[[#This Row],[source2]],Table22[Label],1,FALSE)),IF(ISERROR(VLOOKUP(Table10[[#This Row],[source2]],Table2210[Label],1,FALSE)),"SPOKE","FOCUS"),"HUB")</f>
        <v>HUB</v>
      </c>
      <c r="F122" s="32" t="str">
        <f>IF(ISERROR(VLOOKUP(Table10[[#This Row],[target2]],Table22[Label],1,FALSE)),IF(ISERROR(VLOOKUP(Table10[[#This Row],[target2]],Table2210[Label],1,FALSE)),"SPOKE","FOCUS"),"HUB")</f>
        <v>HUB</v>
      </c>
      <c r="G122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122" s="46" t="s">
        <v>1565</v>
      </c>
      <c r="I122" s="47" t="s">
        <v>1566</v>
      </c>
      <c r="J122" s="47" t="s">
        <v>1567</v>
      </c>
      <c r="K122" s="47" t="s">
        <v>1568</v>
      </c>
      <c r="L122" s="47" t="s">
        <v>1500</v>
      </c>
      <c r="M122" s="47" t="s">
        <v>1569</v>
      </c>
      <c r="N122">
        <v>1131</v>
      </c>
      <c r="O122">
        <v>1131</v>
      </c>
      <c r="P122" s="11" t="s">
        <v>479</v>
      </c>
    </row>
    <row r="123" spans="1:16" x14ac:dyDescent="0.2">
      <c r="A123">
        <v>691</v>
      </c>
      <c r="B123">
        <v>733</v>
      </c>
      <c r="C123" t="str">
        <f>VLOOKUP(Table10[[#This Row],[source]],Table2226[[#All],[ID]:[Label]],3,FALSE)</f>
        <v>ORD</v>
      </c>
      <c r="D123" t="str">
        <f>VLOOKUP(Table10[[#This Row],[target]],Table2226[[#All],[ID]:[Label]],3,FALSE)</f>
        <v>SFO</v>
      </c>
      <c r="E123" s="32" t="str">
        <f>IF(ISERROR(VLOOKUP(Table10[[#This Row],[source2]],Table22[Label],1,FALSE)),IF(ISERROR(VLOOKUP(Table10[[#This Row],[source2]],Table2210[Label],1,FALSE)),"SPOKE","FOCUS"),"HUB")</f>
        <v>HUB</v>
      </c>
      <c r="F123" s="32" t="str">
        <f>IF(ISERROR(VLOOKUP(Table10[[#This Row],[target2]],Table22[Label],1,FALSE)),IF(ISERROR(VLOOKUP(Table10[[#This Row],[target2]],Table2210[Label],1,FALSE)),"SPOKE","FOCUS"),"HUB")</f>
        <v>HUB</v>
      </c>
      <c r="G123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123" s="46" t="s">
        <v>1645</v>
      </c>
      <c r="I123" s="47" t="s">
        <v>1646</v>
      </c>
      <c r="J123" s="47" t="s">
        <v>1647</v>
      </c>
      <c r="K123" s="47" t="s">
        <v>1648</v>
      </c>
      <c r="L123" s="47" t="s">
        <v>1649</v>
      </c>
      <c r="M123" s="47" t="s">
        <v>1650</v>
      </c>
      <c r="N123">
        <v>1380</v>
      </c>
      <c r="O123">
        <v>1380</v>
      </c>
      <c r="P123" s="11" t="s">
        <v>480</v>
      </c>
    </row>
    <row r="124" spans="1:16" x14ac:dyDescent="0.2">
      <c r="A124">
        <v>597</v>
      </c>
      <c r="B124">
        <v>591</v>
      </c>
      <c r="C124" t="str">
        <f>VLOOKUP(Table10[[#This Row],[source]],Table2226[[#All],[ID]:[Label]],3,FALSE)</f>
        <v>FLL</v>
      </c>
      <c r="D124" t="str">
        <f>VLOOKUP(Table10[[#This Row],[target]],Table2226[[#All],[ID]:[Label]],3,FALSE)</f>
        <v>EWR</v>
      </c>
      <c r="E124" s="32" t="str">
        <f>IF(ISERROR(VLOOKUP(Table10[[#This Row],[source2]],Table22[Label],1,FALSE)),IF(ISERROR(VLOOKUP(Table10[[#This Row],[source2]],Table2210[Label],1,FALSE)),"SPOKE","FOCUS"),"HUB")</f>
        <v>FOCUS</v>
      </c>
      <c r="F124" s="32" t="str">
        <f>IF(ISERROR(VLOOKUP(Table10[[#This Row],[target2]],Table22[Label],1,FALSE)),IF(ISERROR(VLOOKUP(Table10[[#This Row],[target2]],Table2210[Label],1,FALSE)),"SPOKE","FOCUS"),"HUB")</f>
        <v>HUB</v>
      </c>
      <c r="G124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HUB-FOCUS</v>
      </c>
      <c r="H124" s="46" t="s">
        <v>894</v>
      </c>
      <c r="I124" s="47" t="s">
        <v>895</v>
      </c>
      <c r="J124" s="47" t="s">
        <v>896</v>
      </c>
      <c r="K124" s="47" t="s">
        <v>897</v>
      </c>
      <c r="L124" s="47" t="s">
        <v>898</v>
      </c>
      <c r="M124" s="47" t="s">
        <v>899</v>
      </c>
      <c r="N124">
        <v>714</v>
      </c>
      <c r="O124">
        <v>714</v>
      </c>
      <c r="P124" s="11" t="s">
        <v>481</v>
      </c>
    </row>
    <row r="125" spans="1:16" x14ac:dyDescent="0.2">
      <c r="A125">
        <v>554</v>
      </c>
      <c r="B125">
        <v>627</v>
      </c>
      <c r="C125" t="str">
        <f>VLOOKUP(Table10[[#This Row],[source]],Table2226[[#All],[ID]:[Label]],3,FALSE)</f>
        <v>CLT</v>
      </c>
      <c r="D125" t="str">
        <f>VLOOKUP(Table10[[#This Row],[target]],Table2226[[#All],[ID]:[Label]],3,FALSE)</f>
        <v>IAH</v>
      </c>
      <c r="E125" s="32" t="str">
        <f>IF(ISERROR(VLOOKUP(Table10[[#This Row],[source2]],Table22[Label],1,FALSE)),IF(ISERROR(VLOOKUP(Table10[[#This Row],[source2]],Table2210[Label],1,FALSE)),"SPOKE","FOCUS"),"HUB")</f>
        <v>HUB</v>
      </c>
      <c r="F125" s="32" t="str">
        <f>IF(ISERROR(VLOOKUP(Table10[[#This Row],[target2]],Table22[Label],1,FALSE)),IF(ISERROR(VLOOKUP(Table10[[#This Row],[target2]],Table2210[Label],1,FALSE)),"SPOKE","FOCUS"),"HUB")</f>
        <v>HUB</v>
      </c>
      <c r="G125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125" s="46" t="s">
        <v>1679</v>
      </c>
      <c r="I125" s="47" t="s">
        <v>1680</v>
      </c>
      <c r="J125" s="47" t="s">
        <v>1681</v>
      </c>
      <c r="K125" s="47" t="s">
        <v>1682</v>
      </c>
      <c r="L125" s="47" t="s">
        <v>1018</v>
      </c>
      <c r="M125" s="47" t="s">
        <v>1683</v>
      </c>
      <c r="N125">
        <v>512</v>
      </c>
      <c r="O125">
        <v>512</v>
      </c>
      <c r="P125" s="11" t="s">
        <v>482</v>
      </c>
    </row>
    <row r="126" spans="1:16" x14ac:dyDescent="0.2">
      <c r="A126">
        <v>627</v>
      </c>
      <c r="B126">
        <v>673</v>
      </c>
      <c r="C126" t="str">
        <f>VLOOKUP(Table10[[#This Row],[source]],Table2226[[#All],[ID]:[Label]],3,FALSE)</f>
        <v>IAH</v>
      </c>
      <c r="D126" t="str">
        <f>VLOOKUP(Table10[[#This Row],[target]],Table2226[[#All],[ID]:[Label]],3,FALSE)</f>
        <v>MIA</v>
      </c>
      <c r="E126" s="32" t="str">
        <f>IF(ISERROR(VLOOKUP(Table10[[#This Row],[source2]],Table22[Label],1,FALSE)),IF(ISERROR(VLOOKUP(Table10[[#This Row],[source2]],Table2210[Label],1,FALSE)),"SPOKE","FOCUS"),"HUB")</f>
        <v>HUB</v>
      </c>
      <c r="F126" s="32" t="str">
        <f>IF(ISERROR(VLOOKUP(Table10[[#This Row],[target2]],Table22[Label],1,FALSE)),IF(ISERROR(VLOOKUP(Table10[[#This Row],[target2]],Table2210[Label],1,FALSE)),"SPOKE","FOCUS"),"HUB")</f>
        <v>HUB</v>
      </c>
      <c r="G126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126" s="46" t="s">
        <v>1799</v>
      </c>
      <c r="I126" s="47" t="s">
        <v>1800</v>
      </c>
      <c r="J126" s="47" t="s">
        <v>1801</v>
      </c>
      <c r="K126" s="47" t="s">
        <v>1802</v>
      </c>
      <c r="L126" s="47" t="s">
        <v>951</v>
      </c>
      <c r="M126" s="47" t="s">
        <v>1803</v>
      </c>
      <c r="N126">
        <v>509</v>
      </c>
      <c r="O126">
        <v>509</v>
      </c>
      <c r="P126" s="11" t="s">
        <v>483</v>
      </c>
    </row>
    <row r="127" spans="1:16" x14ac:dyDescent="0.2">
      <c r="A127">
        <v>625</v>
      </c>
      <c r="B127">
        <v>579</v>
      </c>
      <c r="C127" t="str">
        <f>VLOOKUP(Table10[[#This Row],[source]],Table2226[[#All],[ID]:[Label]],3,FALSE)</f>
        <v>IAD</v>
      </c>
      <c r="D127" t="str">
        <f>VLOOKUP(Table10[[#This Row],[target]],Table2226[[#All],[ID]:[Label]],3,FALSE)</f>
        <v>DTW</v>
      </c>
      <c r="E127" s="32" t="str">
        <f>IF(ISERROR(VLOOKUP(Table10[[#This Row],[source2]],Table22[Label],1,FALSE)),IF(ISERROR(VLOOKUP(Table10[[#This Row],[source2]],Table2210[Label],1,FALSE)),"SPOKE","FOCUS"),"HUB")</f>
        <v>HUB</v>
      </c>
      <c r="F127" s="32" t="str">
        <f>IF(ISERROR(VLOOKUP(Table10[[#This Row],[target2]],Table22[Label],1,FALSE)),IF(ISERROR(VLOOKUP(Table10[[#This Row],[target2]],Table2210[Label],1,FALSE)),"SPOKE","FOCUS"),"HUB")</f>
        <v>HUB</v>
      </c>
      <c r="G127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127" s="46" t="s">
        <v>1076</v>
      </c>
      <c r="I127" s="47" t="s">
        <v>1077</v>
      </c>
      <c r="J127" s="47" t="s">
        <v>1078</v>
      </c>
      <c r="K127" s="47" t="s">
        <v>1079</v>
      </c>
      <c r="L127" s="47" t="s">
        <v>933</v>
      </c>
      <c r="M127" s="47" t="s">
        <v>1080</v>
      </c>
      <c r="N127">
        <v>272</v>
      </c>
      <c r="O127">
        <v>272</v>
      </c>
      <c r="P127" s="11" t="s">
        <v>484</v>
      </c>
    </row>
    <row r="128" spans="1:16" x14ac:dyDescent="0.2">
      <c r="A128">
        <v>597</v>
      </c>
      <c r="B128">
        <v>720</v>
      </c>
      <c r="C128" t="str">
        <f>VLOOKUP(Table10[[#This Row],[source]],Table2226[[#All],[ID]:[Label]],3,FALSE)</f>
        <v>FLL</v>
      </c>
      <c r="D128" t="str">
        <f>VLOOKUP(Table10[[#This Row],[target]],Table2226[[#All],[ID]:[Label]],3,FALSE)</f>
        <v>RIC</v>
      </c>
      <c r="E128" s="32" t="str">
        <f>IF(ISERROR(VLOOKUP(Table10[[#This Row],[source2]],Table22[Label],1,FALSE)),IF(ISERROR(VLOOKUP(Table10[[#This Row],[source2]],Table2210[Label],1,FALSE)),"SPOKE","FOCUS"),"HUB")</f>
        <v>FOCUS</v>
      </c>
      <c r="F128" s="32" t="str">
        <f>IF(ISERROR(VLOOKUP(Table10[[#This Row],[target2]],Table22[Label],1,FALSE)),IF(ISERROR(VLOOKUP(Table10[[#This Row],[target2]],Table2210[Label],1,FALSE)),"SPOKE","FOCUS"),"HUB")</f>
        <v>SPOKE</v>
      </c>
      <c r="G128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SPOKE-FOCUS</v>
      </c>
      <c r="H128" s="46" t="s">
        <v>854</v>
      </c>
      <c r="I128" s="47" t="s">
        <v>855</v>
      </c>
      <c r="J128" s="47" t="s">
        <v>738</v>
      </c>
      <c r="K128" s="47" t="s">
        <v>856</v>
      </c>
      <c r="L128" s="47" t="s">
        <v>857</v>
      </c>
      <c r="M128" s="47" t="s">
        <v>858</v>
      </c>
      <c r="N128">
        <v>1054</v>
      </c>
      <c r="O128">
        <v>1054</v>
      </c>
      <c r="P128" s="11" t="s">
        <v>485</v>
      </c>
    </row>
    <row r="129" spans="1:16" x14ac:dyDescent="0.2">
      <c r="A129">
        <v>579</v>
      </c>
      <c r="B129">
        <v>647</v>
      </c>
      <c r="C129" t="str">
        <f>VLOOKUP(Table10[[#This Row],[source]],Table2226[[#All],[ID]:[Label]],3,FALSE)</f>
        <v>DTW</v>
      </c>
      <c r="D129" t="str">
        <f>VLOOKUP(Table10[[#This Row],[target]],Table2226[[#All],[ID]:[Label]],3,FALSE)</f>
        <v>LAS</v>
      </c>
      <c r="E129" s="32" t="str">
        <f>IF(ISERROR(VLOOKUP(Table10[[#This Row],[source2]],Table22[Label],1,FALSE)),IF(ISERROR(VLOOKUP(Table10[[#This Row],[source2]],Table2210[Label],1,FALSE)),"SPOKE","FOCUS"),"HUB")</f>
        <v>HUB</v>
      </c>
      <c r="F129" s="32" t="str">
        <f>IF(ISERROR(VLOOKUP(Table10[[#This Row],[target2]],Table22[Label],1,FALSE)),IF(ISERROR(VLOOKUP(Table10[[#This Row],[target2]],Table2210[Label],1,FALSE)),"SPOKE","FOCUS"),"HUB")</f>
        <v>FOCUS</v>
      </c>
      <c r="G129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HUB-FOCUS</v>
      </c>
      <c r="H129" s="46" t="s">
        <v>1340</v>
      </c>
      <c r="I129" s="47" t="s">
        <v>1341</v>
      </c>
      <c r="J129" s="47" t="s">
        <v>1342</v>
      </c>
      <c r="K129" s="47" t="s">
        <v>1343</v>
      </c>
      <c r="L129" s="47" t="s">
        <v>1344</v>
      </c>
      <c r="M129" s="47" t="s">
        <v>1345</v>
      </c>
      <c r="N129">
        <v>431</v>
      </c>
      <c r="O129">
        <v>431</v>
      </c>
      <c r="P129" s="11" t="s">
        <v>486</v>
      </c>
    </row>
    <row r="130" spans="1:16" x14ac:dyDescent="0.2">
      <c r="A130">
        <v>702</v>
      </c>
      <c r="B130">
        <v>653</v>
      </c>
      <c r="C130" t="str">
        <f>VLOOKUP(Table10[[#This Row],[source]],Table2226[[#All],[ID]:[Label]],3,FALSE)</f>
        <v>PHX</v>
      </c>
      <c r="D130" t="str">
        <f>VLOOKUP(Table10[[#This Row],[target]],Table2226[[#All],[ID]:[Label]],3,FALSE)</f>
        <v>LIT</v>
      </c>
      <c r="E130" s="32" t="str">
        <f>IF(ISERROR(VLOOKUP(Table10[[#This Row],[source2]],Table22[Label],1,FALSE)),IF(ISERROR(VLOOKUP(Table10[[#This Row],[source2]],Table2210[Label],1,FALSE)),"SPOKE","FOCUS"),"HUB")</f>
        <v>HUB</v>
      </c>
      <c r="F130" s="32" t="str">
        <f>IF(ISERROR(VLOOKUP(Table10[[#This Row],[target2]],Table22[Label],1,FALSE)),IF(ISERROR(VLOOKUP(Table10[[#This Row],[target2]],Table2210[Label],1,FALSE)),"SPOKE","FOCUS"),"HUB")</f>
        <v>SPOKE</v>
      </c>
      <c r="G130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130" s="46" t="s">
        <v>2050</v>
      </c>
      <c r="I130" s="47" t="s">
        <v>2051</v>
      </c>
      <c r="J130" s="47" t="s">
        <v>738</v>
      </c>
      <c r="K130" s="47" t="s">
        <v>2052</v>
      </c>
      <c r="L130" s="47" t="s">
        <v>1313</v>
      </c>
      <c r="M130" s="47" t="s">
        <v>2053</v>
      </c>
      <c r="N130">
        <v>930</v>
      </c>
      <c r="O130">
        <v>930</v>
      </c>
      <c r="P130" s="11" t="s">
        <v>487</v>
      </c>
    </row>
    <row r="131" spans="1:16" x14ac:dyDescent="0.2">
      <c r="A131">
        <v>2189</v>
      </c>
      <c r="B131">
        <v>736</v>
      </c>
      <c r="C131" t="str">
        <f>VLOOKUP(Table10[[#This Row],[source]],Table2226[[#All],[ID]:[Label]],3,FALSE)</f>
        <v>TUL</v>
      </c>
      <c r="D131" t="str">
        <f>VLOOKUP(Table10[[#This Row],[target]],Table2226[[#All],[ID]:[Label]],3,FALSE)</f>
        <v>SLC</v>
      </c>
      <c r="E131" s="32" t="str">
        <f>IF(ISERROR(VLOOKUP(Table10[[#This Row],[source2]],Table22[Label],1,FALSE)),IF(ISERROR(VLOOKUP(Table10[[#This Row],[source2]],Table2210[Label],1,FALSE)),"SPOKE","FOCUS"),"HUB")</f>
        <v>SPOKE</v>
      </c>
      <c r="F131" s="32" t="str">
        <f>IF(ISERROR(VLOOKUP(Table10[[#This Row],[target2]],Table22[Label],1,FALSE)),IF(ISERROR(VLOOKUP(Table10[[#This Row],[target2]],Table2210[Label],1,FALSE)),"SPOKE","FOCUS"),"HUB")</f>
        <v>HUB</v>
      </c>
      <c r="G131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131" s="46" t="s">
        <v>2338</v>
      </c>
      <c r="I131" s="47" t="s">
        <v>2339</v>
      </c>
      <c r="J131" s="47" t="s">
        <v>738</v>
      </c>
      <c r="K131" s="47" t="s">
        <v>2340</v>
      </c>
      <c r="L131" s="47" t="s">
        <v>2341</v>
      </c>
      <c r="M131" s="47" t="s">
        <v>2342</v>
      </c>
      <c r="N131">
        <v>730</v>
      </c>
      <c r="O131">
        <v>730</v>
      </c>
      <c r="P131" s="11" t="s">
        <v>488</v>
      </c>
    </row>
    <row r="132" spans="1:16" x14ac:dyDescent="0.2">
      <c r="A132">
        <v>2191</v>
      </c>
      <c r="B132">
        <v>597</v>
      </c>
      <c r="C132" t="str">
        <f>VLOOKUP(Table10[[#This Row],[source]],Table2226[[#All],[ID]:[Label]],3,FALSE)</f>
        <v>TYS</v>
      </c>
      <c r="D132" t="str">
        <f>VLOOKUP(Table10[[#This Row],[target]],Table2226[[#All],[ID]:[Label]],3,FALSE)</f>
        <v>FLL</v>
      </c>
      <c r="E132" s="32" t="str">
        <f>IF(ISERROR(VLOOKUP(Table10[[#This Row],[source2]],Table22[Label],1,FALSE)),IF(ISERROR(VLOOKUP(Table10[[#This Row],[source2]],Table2210[Label],1,FALSE)),"SPOKE","FOCUS"),"HUB")</f>
        <v>SPOKE</v>
      </c>
      <c r="F132" s="32" t="str">
        <f>IF(ISERROR(VLOOKUP(Table10[[#This Row],[target2]],Table22[Label],1,FALSE)),IF(ISERROR(VLOOKUP(Table10[[#This Row],[target2]],Table2210[Label],1,FALSE)),"SPOKE","FOCUS"),"HUB")</f>
        <v>FOCUS</v>
      </c>
      <c r="G132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SPOKE-FOCUS</v>
      </c>
      <c r="H132" s="46" t="s">
        <v>736</v>
      </c>
      <c r="I132" s="47" t="s">
        <v>737</v>
      </c>
      <c r="J132" s="47" t="s">
        <v>738</v>
      </c>
      <c r="K132" s="47" t="s">
        <v>739</v>
      </c>
      <c r="L132" s="47" t="s">
        <v>740</v>
      </c>
      <c r="M132" s="47" t="s">
        <v>741</v>
      </c>
      <c r="N132">
        <v>826</v>
      </c>
      <c r="O132">
        <v>826</v>
      </c>
      <c r="P132" s="11" t="s">
        <v>489</v>
      </c>
    </row>
    <row r="133" spans="1:16" x14ac:dyDescent="0.2">
      <c r="A133">
        <v>554</v>
      </c>
      <c r="B133">
        <v>645</v>
      </c>
      <c r="C133" t="str">
        <f>VLOOKUP(Table10[[#This Row],[source]],Table2226[[#All],[ID]:[Label]],3,FALSE)</f>
        <v>CLT</v>
      </c>
      <c r="D133" t="str">
        <f>VLOOKUP(Table10[[#This Row],[target]],Table2226[[#All],[ID]:[Label]],3,FALSE)</f>
        <v>JFK</v>
      </c>
      <c r="E133" s="32" t="str">
        <f>IF(ISERROR(VLOOKUP(Table10[[#This Row],[source2]],Table22[Label],1,FALSE)),IF(ISERROR(VLOOKUP(Table10[[#This Row],[source2]],Table2210[Label],1,FALSE)),"SPOKE","FOCUS"),"HUB")</f>
        <v>HUB</v>
      </c>
      <c r="F133" s="32" t="str">
        <f>IF(ISERROR(VLOOKUP(Table10[[#This Row],[target2]],Table22[Label],1,FALSE)),IF(ISERROR(VLOOKUP(Table10[[#This Row],[target2]],Table2210[Label],1,FALSE)),"SPOKE","FOCUS"),"HUB")</f>
        <v>HUB</v>
      </c>
      <c r="G133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133" s="46" t="s">
        <v>1744</v>
      </c>
      <c r="I133" s="47" t="s">
        <v>1745</v>
      </c>
      <c r="J133" s="47" t="s">
        <v>1746</v>
      </c>
      <c r="K133" s="47" t="s">
        <v>1747</v>
      </c>
      <c r="L133" s="47" t="s">
        <v>987</v>
      </c>
      <c r="M133" s="47" t="s">
        <v>1748</v>
      </c>
      <c r="N133">
        <v>635</v>
      </c>
      <c r="O133">
        <v>635</v>
      </c>
      <c r="P133" s="11" t="s">
        <v>490</v>
      </c>
    </row>
    <row r="134" spans="1:16" x14ac:dyDescent="0.2">
      <c r="A134">
        <v>597</v>
      </c>
      <c r="B134">
        <v>506</v>
      </c>
      <c r="C134" t="str">
        <f>VLOOKUP(Table10[[#This Row],[source]],Table2226[[#All],[ID]:[Label]],3,FALSE)</f>
        <v>FLL</v>
      </c>
      <c r="D134" t="str">
        <f>VLOOKUP(Table10[[#This Row],[target]],Table2226[[#All],[ID]:[Label]],3,FALSE)</f>
        <v>ATL</v>
      </c>
      <c r="E134" s="32" t="str">
        <f>IF(ISERROR(VLOOKUP(Table10[[#This Row],[source2]],Table22[Label],1,FALSE)),IF(ISERROR(VLOOKUP(Table10[[#This Row],[source2]],Table2210[Label],1,FALSE)),"SPOKE","FOCUS"),"HUB")</f>
        <v>FOCUS</v>
      </c>
      <c r="F134" s="32" t="str">
        <f>IF(ISERROR(VLOOKUP(Table10[[#This Row],[target2]],Table22[Label],1,FALSE)),IF(ISERROR(VLOOKUP(Table10[[#This Row],[target2]],Table2210[Label],1,FALSE)),"SPOKE","FOCUS"),"HUB")</f>
        <v>HUB</v>
      </c>
      <c r="G134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HUB-FOCUS</v>
      </c>
      <c r="H134" s="46" t="s">
        <v>870</v>
      </c>
      <c r="I134" s="47" t="s">
        <v>871</v>
      </c>
      <c r="J134" s="47" t="s">
        <v>872</v>
      </c>
      <c r="K134" s="47" t="s">
        <v>873</v>
      </c>
      <c r="L134" s="47" t="s">
        <v>874</v>
      </c>
      <c r="M134" s="47" t="s">
        <v>875</v>
      </c>
      <c r="N134">
        <v>1452</v>
      </c>
      <c r="O134">
        <v>1452</v>
      </c>
      <c r="P134" s="11" t="s">
        <v>491</v>
      </c>
    </row>
    <row r="135" spans="1:16" x14ac:dyDescent="0.2">
      <c r="A135">
        <v>682</v>
      </c>
      <c r="B135">
        <v>723</v>
      </c>
      <c r="C135" t="str">
        <f>VLOOKUP(Table10[[#This Row],[source]],Table2226[[#All],[ID]:[Label]],3,FALSE)</f>
        <v>MSP</v>
      </c>
      <c r="D135" t="str">
        <f>VLOOKUP(Table10[[#This Row],[target]],Table2226[[#All],[ID]:[Label]],3,FALSE)</f>
        <v>ROC</v>
      </c>
      <c r="E135" s="32" t="str">
        <f>IF(ISERROR(VLOOKUP(Table10[[#This Row],[source2]],Table22[Label],1,FALSE)),IF(ISERROR(VLOOKUP(Table10[[#This Row],[source2]],Table2210[Label],1,FALSE)),"SPOKE","FOCUS"),"HUB")</f>
        <v>HUB</v>
      </c>
      <c r="F135" s="32" t="str">
        <f>IF(ISERROR(VLOOKUP(Table10[[#This Row],[target2]],Table22[Label],1,FALSE)),IF(ISERROR(VLOOKUP(Table10[[#This Row],[target2]],Table2210[Label],1,FALSE)),"SPOKE","FOCUS"),"HUB")</f>
        <v>SPOKE</v>
      </c>
      <c r="G135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135" s="46" t="s">
        <v>1922</v>
      </c>
      <c r="I135" s="47" t="s">
        <v>1923</v>
      </c>
      <c r="J135" s="47" t="s">
        <v>738</v>
      </c>
      <c r="K135" s="47" t="s">
        <v>1924</v>
      </c>
      <c r="L135" s="47" t="s">
        <v>1415</v>
      </c>
      <c r="M135" s="47" t="s">
        <v>1925</v>
      </c>
      <c r="N135">
        <v>748</v>
      </c>
      <c r="O135">
        <v>748</v>
      </c>
      <c r="P135" s="11" t="s">
        <v>492</v>
      </c>
    </row>
    <row r="136" spans="1:16" x14ac:dyDescent="0.2">
      <c r="A136">
        <v>720</v>
      </c>
      <c r="B136">
        <v>663</v>
      </c>
      <c r="C136" t="str">
        <f>VLOOKUP(Table10[[#This Row],[source]],Table2226[[#All],[ID]:[Label]],3,FALSE)</f>
        <v>RIC</v>
      </c>
      <c r="D136" t="str">
        <f>VLOOKUP(Table10[[#This Row],[target]],Table2226[[#All],[ID]:[Label]],3,FALSE)</f>
        <v>MCO</v>
      </c>
      <c r="E136" s="32" t="str">
        <f>IF(ISERROR(VLOOKUP(Table10[[#This Row],[source2]],Table22[Label],1,FALSE)),IF(ISERROR(VLOOKUP(Table10[[#This Row],[source2]],Table2210[Label],1,FALSE)),"SPOKE","FOCUS"),"HUB")</f>
        <v>SPOKE</v>
      </c>
      <c r="F136" s="32" t="str">
        <f>IF(ISERROR(VLOOKUP(Table10[[#This Row],[target2]],Table22[Label],1,FALSE)),IF(ISERROR(VLOOKUP(Table10[[#This Row],[target2]],Table2210[Label],1,FALSE)),"SPOKE","FOCUS"),"HUB")</f>
        <v>FOCUS</v>
      </c>
      <c r="G136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SPOKE-FOCUS</v>
      </c>
      <c r="H136" s="46" t="s">
        <v>2187</v>
      </c>
      <c r="I136" s="47" t="s">
        <v>2188</v>
      </c>
      <c r="J136" s="47" t="s">
        <v>738</v>
      </c>
      <c r="K136" s="47" t="s">
        <v>2189</v>
      </c>
      <c r="L136" s="47" t="s">
        <v>2130</v>
      </c>
      <c r="M136" s="47" t="s">
        <v>2190</v>
      </c>
      <c r="N136">
        <v>940</v>
      </c>
      <c r="O136">
        <v>940</v>
      </c>
      <c r="P136" s="11" t="s">
        <v>493</v>
      </c>
    </row>
    <row r="137" spans="1:16" x14ac:dyDescent="0.2">
      <c r="A137">
        <v>663</v>
      </c>
      <c r="B137">
        <v>529</v>
      </c>
      <c r="C137" t="str">
        <f>VLOOKUP(Table10[[#This Row],[source]],Table2226[[#All],[ID]:[Label]],3,FALSE)</f>
        <v>MCO</v>
      </c>
      <c r="D137" t="str">
        <f>VLOOKUP(Table10[[#This Row],[target]],Table2226[[#All],[ID]:[Label]],3,FALSE)</f>
        <v>BOS</v>
      </c>
      <c r="E137" s="32" t="str">
        <f>IF(ISERROR(VLOOKUP(Table10[[#This Row],[source2]],Table22[Label],1,FALSE)),IF(ISERROR(VLOOKUP(Table10[[#This Row],[source2]],Table2210[Label],1,FALSE)),"SPOKE","FOCUS"),"HUB")</f>
        <v>FOCUS</v>
      </c>
      <c r="F137" s="32" t="str">
        <f>IF(ISERROR(VLOOKUP(Table10[[#This Row],[target2]],Table22[Label],1,FALSE)),IF(ISERROR(VLOOKUP(Table10[[#This Row],[target2]],Table2210[Label],1,FALSE)),"SPOKE","FOCUS"),"HUB")</f>
        <v>HUB</v>
      </c>
      <c r="G137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HUB-FOCUS</v>
      </c>
      <c r="H137" s="46" t="s">
        <v>2296</v>
      </c>
      <c r="I137" s="47" t="s">
        <v>2297</v>
      </c>
      <c r="J137" s="47" t="s">
        <v>2298</v>
      </c>
      <c r="K137" s="47" t="s">
        <v>2299</v>
      </c>
      <c r="L137" s="47" t="s">
        <v>2300</v>
      </c>
      <c r="M137" s="47" t="s">
        <v>2301</v>
      </c>
      <c r="N137">
        <v>556</v>
      </c>
      <c r="O137">
        <v>556</v>
      </c>
      <c r="P137" s="11" t="s">
        <v>494</v>
      </c>
    </row>
    <row r="138" spans="1:16" x14ac:dyDescent="0.2">
      <c r="A138">
        <v>700</v>
      </c>
      <c r="B138">
        <v>663</v>
      </c>
      <c r="C138" t="str">
        <f>VLOOKUP(Table10[[#This Row],[source]],Table2226[[#All],[ID]:[Label]],3,FALSE)</f>
        <v>PHL</v>
      </c>
      <c r="D138" t="str">
        <f>VLOOKUP(Table10[[#This Row],[target]],Table2226[[#All],[ID]:[Label]],3,FALSE)</f>
        <v>MCO</v>
      </c>
      <c r="E138" s="32" t="str">
        <f>IF(ISERROR(VLOOKUP(Table10[[#This Row],[source2]],Table22[Label],1,FALSE)),IF(ISERROR(VLOOKUP(Table10[[#This Row],[source2]],Table2210[Label],1,FALSE)),"SPOKE","FOCUS"),"HUB")</f>
        <v>HUB</v>
      </c>
      <c r="F138" s="32" t="str">
        <f>IF(ISERROR(VLOOKUP(Table10[[#This Row],[target2]],Table22[Label],1,FALSE)),IF(ISERROR(VLOOKUP(Table10[[#This Row],[target2]],Table2210[Label],1,FALSE)),"SPOKE","FOCUS"),"HUB")</f>
        <v>FOCUS</v>
      </c>
      <c r="G138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HUB-FOCUS</v>
      </c>
      <c r="H138" s="46" t="s">
        <v>953</v>
      </c>
      <c r="I138" s="47" t="s">
        <v>954</v>
      </c>
      <c r="J138" s="47" t="s">
        <v>955</v>
      </c>
      <c r="K138" s="47" t="s">
        <v>956</v>
      </c>
      <c r="L138" s="47" t="s">
        <v>957</v>
      </c>
      <c r="M138" s="47" t="s">
        <v>958</v>
      </c>
      <c r="N138">
        <v>809</v>
      </c>
      <c r="O138">
        <v>809</v>
      </c>
      <c r="P138" s="11" t="s">
        <v>495</v>
      </c>
    </row>
    <row r="139" spans="1:16" x14ac:dyDescent="0.2">
      <c r="A139">
        <v>591</v>
      </c>
      <c r="B139">
        <v>575</v>
      </c>
      <c r="C139" t="str">
        <f>VLOOKUP(Table10[[#This Row],[source]],Table2226[[#All],[ID]:[Label]],3,FALSE)</f>
        <v>EWR</v>
      </c>
      <c r="D139" t="str">
        <f>VLOOKUP(Table10[[#This Row],[target]],Table2226[[#All],[ID]:[Label]],3,FALSE)</f>
        <v>DFW</v>
      </c>
      <c r="E139" s="32" t="str">
        <f>IF(ISERROR(VLOOKUP(Table10[[#This Row],[source2]],Table22[Label],1,FALSE)),IF(ISERROR(VLOOKUP(Table10[[#This Row],[source2]],Table2210[Label],1,FALSE)),"SPOKE","FOCUS"),"HUB")</f>
        <v>HUB</v>
      </c>
      <c r="F139" s="32" t="str">
        <f>IF(ISERROR(VLOOKUP(Table10[[#This Row],[target2]],Table22[Label],1,FALSE)),IF(ISERROR(VLOOKUP(Table10[[#This Row],[target2]],Table2210[Label],1,FALSE)),"SPOKE","FOCUS"),"HUB")</f>
        <v>HUB</v>
      </c>
      <c r="G139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139" s="46" t="s">
        <v>1854</v>
      </c>
      <c r="I139" s="47" t="s">
        <v>1855</v>
      </c>
      <c r="J139" s="47" t="s">
        <v>1856</v>
      </c>
      <c r="K139" s="47" t="s">
        <v>1857</v>
      </c>
      <c r="L139" s="47" t="s">
        <v>1858</v>
      </c>
      <c r="M139" s="47" t="s">
        <v>1859</v>
      </c>
      <c r="N139">
        <v>576</v>
      </c>
      <c r="O139">
        <v>576</v>
      </c>
      <c r="P139" s="11" t="s">
        <v>496</v>
      </c>
    </row>
    <row r="140" spans="1:16" x14ac:dyDescent="0.2">
      <c r="A140">
        <v>691</v>
      </c>
      <c r="B140">
        <v>645</v>
      </c>
      <c r="C140" t="str">
        <f>VLOOKUP(Table10[[#This Row],[source]],Table2226[[#All],[ID]:[Label]],3,FALSE)</f>
        <v>ORD</v>
      </c>
      <c r="D140" t="str">
        <f>VLOOKUP(Table10[[#This Row],[target]],Table2226[[#All],[ID]:[Label]],3,FALSE)</f>
        <v>JFK</v>
      </c>
      <c r="E140" s="32" t="str">
        <f>IF(ISERROR(VLOOKUP(Table10[[#This Row],[source2]],Table22[Label],1,FALSE)),IF(ISERROR(VLOOKUP(Table10[[#This Row],[source2]],Table2210[Label],1,FALSE)),"SPOKE","FOCUS"),"HUB")</f>
        <v>HUB</v>
      </c>
      <c r="F140" s="32" t="str">
        <f>IF(ISERROR(VLOOKUP(Table10[[#This Row],[target2]],Table22[Label],1,FALSE)),IF(ISERROR(VLOOKUP(Table10[[#This Row],[target2]],Table2210[Label],1,FALSE)),"SPOKE","FOCUS"),"HUB")</f>
        <v>HUB</v>
      </c>
      <c r="G140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140" s="46" t="s">
        <v>1618</v>
      </c>
      <c r="I140" s="47" t="s">
        <v>1619</v>
      </c>
      <c r="J140" s="47" t="s">
        <v>1620</v>
      </c>
      <c r="K140" s="47" t="s">
        <v>1621</v>
      </c>
      <c r="L140" s="47" t="s">
        <v>1622</v>
      </c>
      <c r="M140" s="47" t="s">
        <v>1623</v>
      </c>
      <c r="N140">
        <v>610</v>
      </c>
      <c r="O140">
        <v>610</v>
      </c>
      <c r="P140" s="11" t="s">
        <v>497</v>
      </c>
    </row>
    <row r="141" spans="1:16" x14ac:dyDescent="0.2">
      <c r="A141">
        <v>575</v>
      </c>
      <c r="B141">
        <v>647</v>
      </c>
      <c r="C141" t="str">
        <f>VLOOKUP(Table10[[#This Row],[source]],Table2226[[#All],[ID]:[Label]],3,FALSE)</f>
        <v>DFW</v>
      </c>
      <c r="D141" t="str">
        <f>VLOOKUP(Table10[[#This Row],[target]],Table2226[[#All],[ID]:[Label]],3,FALSE)</f>
        <v>LAS</v>
      </c>
      <c r="E141" s="32" t="str">
        <f>IF(ISERROR(VLOOKUP(Table10[[#This Row],[source2]],Table22[Label],1,FALSE)),IF(ISERROR(VLOOKUP(Table10[[#This Row],[source2]],Table2210[Label],1,FALSE)),"SPOKE","FOCUS"),"HUB")</f>
        <v>HUB</v>
      </c>
      <c r="F141" s="32" t="str">
        <f>IF(ISERROR(VLOOKUP(Table10[[#This Row],[target2]],Table22[Label],1,FALSE)),IF(ISERROR(VLOOKUP(Table10[[#This Row],[target2]],Table2210[Label],1,FALSE)),"SPOKE","FOCUS"),"HUB")</f>
        <v>FOCUS</v>
      </c>
      <c r="G141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HUB-FOCUS</v>
      </c>
      <c r="H141" s="46" t="s">
        <v>2010</v>
      </c>
      <c r="I141" s="47" t="s">
        <v>2011</v>
      </c>
      <c r="J141" s="47" t="s">
        <v>2012</v>
      </c>
      <c r="K141" s="47" t="s">
        <v>2013</v>
      </c>
      <c r="L141" s="47" t="s">
        <v>1256</v>
      </c>
      <c r="M141" s="47" t="s">
        <v>2014</v>
      </c>
      <c r="N141">
        <v>762</v>
      </c>
      <c r="O141">
        <v>762</v>
      </c>
      <c r="P141" s="11" t="s">
        <v>498</v>
      </c>
    </row>
    <row r="142" spans="1:16" x14ac:dyDescent="0.2">
      <c r="A142">
        <v>625</v>
      </c>
      <c r="B142">
        <v>575</v>
      </c>
      <c r="C142" t="str">
        <f>VLOOKUP(Table10[[#This Row],[source]],Table2226[[#All],[ID]:[Label]],3,FALSE)</f>
        <v>IAD</v>
      </c>
      <c r="D142" t="str">
        <f>VLOOKUP(Table10[[#This Row],[target]],Table2226[[#All],[ID]:[Label]],3,FALSE)</f>
        <v>DFW</v>
      </c>
      <c r="E142" s="32" t="str">
        <f>IF(ISERROR(VLOOKUP(Table10[[#This Row],[source2]],Table22[Label],1,FALSE)),IF(ISERROR(VLOOKUP(Table10[[#This Row],[source2]],Table2210[Label],1,FALSE)),"SPOKE","FOCUS"),"HUB")</f>
        <v>HUB</v>
      </c>
      <c r="F142" s="32" t="str">
        <f>IF(ISERROR(VLOOKUP(Table10[[#This Row],[target2]],Table22[Label],1,FALSE)),IF(ISERROR(VLOOKUP(Table10[[#This Row],[target2]],Table2210[Label],1,FALSE)),"SPOKE","FOCUS"),"HUB")</f>
        <v>HUB</v>
      </c>
      <c r="G142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142" s="46" t="s">
        <v>1110</v>
      </c>
      <c r="I142" s="47" t="s">
        <v>1111</v>
      </c>
      <c r="J142" s="47" t="s">
        <v>1112</v>
      </c>
      <c r="K142" s="47" t="s">
        <v>1113</v>
      </c>
      <c r="L142" s="47" t="s">
        <v>1114</v>
      </c>
      <c r="M142" s="47" t="s">
        <v>1115</v>
      </c>
      <c r="N142">
        <v>365</v>
      </c>
      <c r="O142">
        <v>365</v>
      </c>
      <c r="P142" s="11" t="s">
        <v>499</v>
      </c>
    </row>
    <row r="143" spans="1:16" x14ac:dyDescent="0.2">
      <c r="A143">
        <v>733</v>
      </c>
      <c r="B143">
        <v>647</v>
      </c>
      <c r="C143" t="str">
        <f>VLOOKUP(Table10[[#This Row],[source]],Table2226[[#All],[ID]:[Label]],3,FALSE)</f>
        <v>SFO</v>
      </c>
      <c r="D143" t="str">
        <f>VLOOKUP(Table10[[#This Row],[target]],Table2226[[#All],[ID]:[Label]],3,FALSE)</f>
        <v>LAS</v>
      </c>
      <c r="E143" s="32" t="str">
        <f>IF(ISERROR(VLOOKUP(Table10[[#This Row],[source2]],Table22[Label],1,FALSE)),IF(ISERROR(VLOOKUP(Table10[[#This Row],[source2]],Table2210[Label],1,FALSE)),"SPOKE","FOCUS"),"HUB")</f>
        <v>HUB</v>
      </c>
      <c r="F143" s="32" t="str">
        <f>IF(ISERROR(VLOOKUP(Table10[[#This Row],[target2]],Table22[Label],1,FALSE)),IF(ISERROR(VLOOKUP(Table10[[#This Row],[target2]],Table2210[Label],1,FALSE)),"SPOKE","FOCUS"),"HUB")</f>
        <v>FOCUS</v>
      </c>
      <c r="G143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HUB-FOCUS</v>
      </c>
      <c r="H143" s="46" t="s">
        <v>2120</v>
      </c>
      <c r="I143" s="47" t="s">
        <v>2121</v>
      </c>
      <c r="J143" s="47" t="s">
        <v>2122</v>
      </c>
      <c r="K143" s="47" t="s">
        <v>2123</v>
      </c>
      <c r="L143" s="47" t="s">
        <v>2124</v>
      </c>
      <c r="M143" s="47" t="s">
        <v>2125</v>
      </c>
      <c r="N143">
        <v>1253</v>
      </c>
      <c r="O143">
        <v>1253</v>
      </c>
      <c r="P143" s="11" t="s">
        <v>500</v>
      </c>
    </row>
    <row r="144" spans="1:16" x14ac:dyDescent="0.2">
      <c r="A144">
        <v>682</v>
      </c>
      <c r="B144">
        <v>702</v>
      </c>
      <c r="C144" t="str">
        <f>VLOOKUP(Table10[[#This Row],[source]],Table2226[[#All],[ID]:[Label]],3,FALSE)</f>
        <v>MSP</v>
      </c>
      <c r="D144" t="str">
        <f>VLOOKUP(Table10[[#This Row],[target]],Table2226[[#All],[ID]:[Label]],3,FALSE)</f>
        <v>PHX</v>
      </c>
      <c r="E144" s="32" t="str">
        <f>IF(ISERROR(VLOOKUP(Table10[[#This Row],[source2]],Table22[Label],1,FALSE)),IF(ISERROR(VLOOKUP(Table10[[#This Row],[source2]],Table2210[Label],1,FALSE)),"SPOKE","FOCUS"),"HUB")</f>
        <v>HUB</v>
      </c>
      <c r="F144" s="32" t="str">
        <f>IF(ISERROR(VLOOKUP(Table10[[#This Row],[target2]],Table22[Label],1,FALSE)),IF(ISERROR(VLOOKUP(Table10[[#This Row],[target2]],Table2210[Label],1,FALSE)),"SPOKE","FOCUS"),"HUB")</f>
        <v>HUB</v>
      </c>
      <c r="G144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144" s="46" t="s">
        <v>801</v>
      </c>
      <c r="I144" s="47" t="s">
        <v>1902</v>
      </c>
      <c r="J144" s="47" t="s">
        <v>727</v>
      </c>
      <c r="K144" s="47" t="s">
        <v>1903</v>
      </c>
      <c r="L144" s="47" t="s">
        <v>1608</v>
      </c>
      <c r="M144" s="47" t="s">
        <v>1904</v>
      </c>
      <c r="N144">
        <v>732</v>
      </c>
      <c r="O144">
        <v>732</v>
      </c>
      <c r="P144" s="11" t="s">
        <v>501</v>
      </c>
    </row>
    <row r="145" spans="1:16" x14ac:dyDescent="0.2">
      <c r="A145">
        <v>574</v>
      </c>
      <c r="B145">
        <v>529</v>
      </c>
      <c r="C145" t="str">
        <f>VLOOKUP(Table10[[#This Row],[source]],Table2226[[#All],[ID]:[Label]],3,FALSE)</f>
        <v>DEN</v>
      </c>
      <c r="D145" t="str">
        <f>VLOOKUP(Table10[[#This Row],[target]],Table2226[[#All],[ID]:[Label]],3,FALSE)</f>
        <v>BOS</v>
      </c>
      <c r="E145" s="32" t="str">
        <f>IF(ISERROR(VLOOKUP(Table10[[#This Row],[source2]],Table22[Label],1,FALSE)),IF(ISERROR(VLOOKUP(Table10[[#This Row],[source2]],Table2210[Label],1,FALSE)),"SPOKE","FOCUS"),"HUB")</f>
        <v>HUB</v>
      </c>
      <c r="F145" s="32" t="str">
        <f>IF(ISERROR(VLOOKUP(Table10[[#This Row],[target2]],Table22[Label],1,FALSE)),IF(ISERROR(VLOOKUP(Table10[[#This Row],[target2]],Table2210[Label],1,FALSE)),"SPOKE","FOCUS"),"HUB")</f>
        <v>HUB</v>
      </c>
      <c r="G145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145" s="46" t="s">
        <v>1481</v>
      </c>
      <c r="I145" s="47" t="s">
        <v>1482</v>
      </c>
      <c r="J145" s="47" t="s">
        <v>1483</v>
      </c>
      <c r="K145" s="47" t="s">
        <v>1484</v>
      </c>
      <c r="L145" s="47" t="s">
        <v>1295</v>
      </c>
      <c r="M145" s="47" t="s">
        <v>1485</v>
      </c>
      <c r="N145">
        <v>467</v>
      </c>
      <c r="O145">
        <v>467</v>
      </c>
      <c r="P145" s="11" t="s">
        <v>502</v>
      </c>
    </row>
    <row r="146" spans="1:16" x14ac:dyDescent="0.2">
      <c r="A146">
        <v>627</v>
      </c>
      <c r="B146">
        <v>702</v>
      </c>
      <c r="C146" t="str">
        <f>VLOOKUP(Table10[[#This Row],[source]],Table2226[[#All],[ID]:[Label]],3,FALSE)</f>
        <v>IAH</v>
      </c>
      <c r="D146" t="str">
        <f>VLOOKUP(Table10[[#This Row],[target]],Table2226[[#All],[ID]:[Label]],3,FALSE)</f>
        <v>PHX</v>
      </c>
      <c r="E146" s="32" t="str">
        <f>IF(ISERROR(VLOOKUP(Table10[[#This Row],[source2]],Table22[Label],1,FALSE)),IF(ISERROR(VLOOKUP(Table10[[#This Row],[source2]],Table2210[Label],1,FALSE)),"SPOKE","FOCUS"),"HUB")</f>
        <v>HUB</v>
      </c>
      <c r="F146" s="32" t="str">
        <f>IF(ISERROR(VLOOKUP(Table10[[#This Row],[target2]],Table22[Label],1,FALSE)),IF(ISERROR(VLOOKUP(Table10[[#This Row],[target2]],Table2210[Label],1,FALSE)),"SPOKE","FOCUS"),"HUB")</f>
        <v>HUB</v>
      </c>
      <c r="G146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146" s="46" t="s">
        <v>801</v>
      </c>
      <c r="I146" s="47" t="s">
        <v>1752</v>
      </c>
      <c r="J146" s="47" t="s">
        <v>727</v>
      </c>
      <c r="K146" s="47" t="s">
        <v>1753</v>
      </c>
      <c r="L146" s="47" t="s">
        <v>968</v>
      </c>
      <c r="M146" s="47" t="s">
        <v>1754</v>
      </c>
      <c r="N146">
        <v>497</v>
      </c>
      <c r="O146">
        <v>497</v>
      </c>
      <c r="P146" s="11" t="s">
        <v>503</v>
      </c>
    </row>
    <row r="147" spans="1:16" x14ac:dyDescent="0.2">
      <c r="A147">
        <v>506</v>
      </c>
      <c r="B147">
        <v>645</v>
      </c>
      <c r="C147" t="str">
        <f>VLOOKUP(Table10[[#This Row],[source]],Table2226[[#All],[ID]:[Label]],3,FALSE)</f>
        <v>ATL</v>
      </c>
      <c r="D147" t="str">
        <f>VLOOKUP(Table10[[#This Row],[target]],Table2226[[#All],[ID]:[Label]],3,FALSE)</f>
        <v>JFK</v>
      </c>
      <c r="E147" s="32" t="str">
        <f>IF(ISERROR(VLOOKUP(Table10[[#This Row],[source2]],Table22[Label],1,FALSE)),IF(ISERROR(VLOOKUP(Table10[[#This Row],[source2]],Table2210[Label],1,FALSE)),"SPOKE","FOCUS"),"HUB")</f>
        <v>HUB</v>
      </c>
      <c r="F147" s="32" t="str">
        <f>IF(ISERROR(VLOOKUP(Table10[[#This Row],[target2]],Table22[Label],1,FALSE)),IF(ISERROR(VLOOKUP(Table10[[#This Row],[target2]],Table2210[Label],1,FALSE)),"SPOKE","FOCUS"),"HUB")</f>
        <v>HUB</v>
      </c>
      <c r="G147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147" s="46" t="s">
        <v>1466</v>
      </c>
      <c r="I147" s="47" t="s">
        <v>1467</v>
      </c>
      <c r="J147" s="47" t="s">
        <v>1468</v>
      </c>
      <c r="K147" s="47" t="s">
        <v>1469</v>
      </c>
      <c r="L147" s="47" t="s">
        <v>1470</v>
      </c>
      <c r="M147" s="47" t="s">
        <v>1471</v>
      </c>
      <c r="N147">
        <v>663</v>
      </c>
      <c r="O147">
        <v>663</v>
      </c>
      <c r="P147" s="11" t="s">
        <v>504</v>
      </c>
    </row>
    <row r="148" spans="1:16" x14ac:dyDescent="0.2">
      <c r="A148">
        <v>579</v>
      </c>
      <c r="B148">
        <v>663</v>
      </c>
      <c r="C148" t="str">
        <f>VLOOKUP(Table10[[#This Row],[source]],Table2226[[#All],[ID]:[Label]],3,FALSE)</f>
        <v>DTW</v>
      </c>
      <c r="D148" t="str">
        <f>VLOOKUP(Table10[[#This Row],[target]],Table2226[[#All],[ID]:[Label]],3,FALSE)</f>
        <v>MCO</v>
      </c>
      <c r="E148" s="32" t="str">
        <f>IF(ISERROR(VLOOKUP(Table10[[#This Row],[source2]],Table22[Label],1,FALSE)),IF(ISERROR(VLOOKUP(Table10[[#This Row],[source2]],Table2210[Label],1,FALSE)),"SPOKE","FOCUS"),"HUB")</f>
        <v>HUB</v>
      </c>
      <c r="F148" s="32" t="str">
        <f>IF(ISERROR(VLOOKUP(Table10[[#This Row],[target2]],Table22[Label],1,FALSE)),IF(ISERROR(VLOOKUP(Table10[[#This Row],[target2]],Table2210[Label],1,FALSE)),"SPOKE","FOCUS"),"HUB")</f>
        <v>FOCUS</v>
      </c>
      <c r="G148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HUB-FOCUS</v>
      </c>
      <c r="H148" s="46" t="s">
        <v>1279</v>
      </c>
      <c r="I148" s="47" t="s">
        <v>1280</v>
      </c>
      <c r="J148" s="47" t="s">
        <v>1281</v>
      </c>
      <c r="K148" s="47" t="s">
        <v>1282</v>
      </c>
      <c r="L148" s="47" t="s">
        <v>1283</v>
      </c>
      <c r="M148" s="47" t="s">
        <v>1284</v>
      </c>
      <c r="N148">
        <v>370</v>
      </c>
      <c r="O148">
        <v>370</v>
      </c>
      <c r="P148" s="11" t="s">
        <v>505</v>
      </c>
    </row>
    <row r="149" spans="1:16" x14ac:dyDescent="0.2">
      <c r="A149">
        <v>682</v>
      </c>
      <c r="B149">
        <v>529</v>
      </c>
      <c r="C149" t="str">
        <f>VLOOKUP(Table10[[#This Row],[source]],Table2226[[#All],[ID]:[Label]],3,FALSE)</f>
        <v>MSP</v>
      </c>
      <c r="D149" t="str">
        <f>VLOOKUP(Table10[[#This Row],[target]],Table2226[[#All],[ID]:[Label]],3,FALSE)</f>
        <v>BOS</v>
      </c>
      <c r="E149" s="32" t="str">
        <f>IF(ISERROR(VLOOKUP(Table10[[#This Row],[source2]],Table22[Label],1,FALSE)),IF(ISERROR(VLOOKUP(Table10[[#This Row],[source2]],Table2210[Label],1,FALSE)),"SPOKE","FOCUS"),"HUB")</f>
        <v>HUB</v>
      </c>
      <c r="F149" s="32" t="str">
        <f>IF(ISERROR(VLOOKUP(Table10[[#This Row],[target2]],Table22[Label],1,FALSE)),IF(ISERROR(VLOOKUP(Table10[[#This Row],[target2]],Table2210[Label],1,FALSE)),"SPOKE","FOCUS"),"HUB")</f>
        <v>HUB</v>
      </c>
      <c r="G149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149" s="46" t="s">
        <v>1905</v>
      </c>
      <c r="I149" s="47" t="s">
        <v>1906</v>
      </c>
      <c r="J149" s="47" t="s">
        <v>1907</v>
      </c>
      <c r="K149" s="47" t="s">
        <v>1908</v>
      </c>
      <c r="L149" s="47" t="s">
        <v>1180</v>
      </c>
      <c r="M149" s="47" t="s">
        <v>1909</v>
      </c>
      <c r="N149">
        <v>472</v>
      </c>
      <c r="O149">
        <v>472</v>
      </c>
      <c r="P149" s="11" t="s">
        <v>506</v>
      </c>
    </row>
    <row r="150" spans="1:16" x14ac:dyDescent="0.2">
      <c r="A150">
        <v>625</v>
      </c>
      <c r="B150">
        <v>529</v>
      </c>
      <c r="C150" t="str">
        <f>VLOOKUP(Table10[[#This Row],[source]],Table2226[[#All],[ID]:[Label]],3,FALSE)</f>
        <v>IAD</v>
      </c>
      <c r="D150" t="str">
        <f>VLOOKUP(Table10[[#This Row],[target]],Table2226[[#All],[ID]:[Label]],3,FALSE)</f>
        <v>BOS</v>
      </c>
      <c r="E150" s="32" t="str">
        <f>IF(ISERROR(VLOOKUP(Table10[[#This Row],[source2]],Table22[Label],1,FALSE)),IF(ISERROR(VLOOKUP(Table10[[#This Row],[source2]],Table2210[Label],1,FALSE)),"SPOKE","FOCUS"),"HUB")</f>
        <v>HUB</v>
      </c>
      <c r="F150" s="32" t="str">
        <f>IF(ISERROR(VLOOKUP(Table10[[#This Row],[target2]],Table22[Label],1,FALSE)),IF(ISERROR(VLOOKUP(Table10[[#This Row],[target2]],Table2210[Label],1,FALSE)),"SPOKE","FOCUS"),"HUB")</f>
        <v>HUB</v>
      </c>
      <c r="G150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150" s="46" t="s">
        <v>1033</v>
      </c>
      <c r="I150" s="47" t="s">
        <v>1034</v>
      </c>
      <c r="J150" s="47" t="s">
        <v>1035</v>
      </c>
      <c r="K150" s="47" t="s">
        <v>1036</v>
      </c>
      <c r="L150" s="47" t="s">
        <v>1037</v>
      </c>
      <c r="M150" s="47" t="s">
        <v>1038</v>
      </c>
      <c r="N150">
        <v>329</v>
      </c>
      <c r="O150">
        <v>329</v>
      </c>
      <c r="P150" s="11" t="s">
        <v>507</v>
      </c>
    </row>
    <row r="151" spans="1:16" x14ac:dyDescent="0.2">
      <c r="A151">
        <v>571</v>
      </c>
      <c r="B151">
        <v>613</v>
      </c>
      <c r="C151" t="str">
        <f>VLOOKUP(Table10[[#This Row],[source]],Table2226[[#All],[ID]:[Label]],3,FALSE)</f>
        <v>DCA</v>
      </c>
      <c r="D151" t="str">
        <f>VLOOKUP(Table10[[#This Row],[target]],Table2226[[#All],[ID]:[Label]],3,FALSE)</f>
        <v>GSP</v>
      </c>
      <c r="E151" s="32" t="str">
        <f>IF(ISERROR(VLOOKUP(Table10[[#This Row],[source2]],Table22[Label],1,FALSE)),IF(ISERROR(VLOOKUP(Table10[[#This Row],[source2]],Table2210[Label],1,FALSE)),"SPOKE","FOCUS"),"HUB")</f>
        <v>HUB</v>
      </c>
      <c r="F151" s="32" t="str">
        <f>IF(ISERROR(VLOOKUP(Table10[[#This Row],[target2]],Table22[Label],1,FALSE)),IF(ISERROR(VLOOKUP(Table10[[#This Row],[target2]],Table2210[Label],1,FALSE)),"SPOKE","FOCUS"),"HUB")</f>
        <v>SPOKE</v>
      </c>
      <c r="G151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151" s="46" t="s">
        <v>1166</v>
      </c>
      <c r="I151" s="47" t="s">
        <v>1167</v>
      </c>
      <c r="J151" s="47" t="s">
        <v>738</v>
      </c>
      <c r="K151" s="47" t="s">
        <v>1168</v>
      </c>
      <c r="L151" s="47" t="s">
        <v>1169</v>
      </c>
      <c r="M151" s="47" t="s">
        <v>1170</v>
      </c>
      <c r="N151">
        <v>540</v>
      </c>
      <c r="O151">
        <v>540</v>
      </c>
      <c r="P151" s="11" t="s">
        <v>508</v>
      </c>
    </row>
    <row r="152" spans="1:16" x14ac:dyDescent="0.2">
      <c r="A152">
        <v>575</v>
      </c>
      <c r="B152">
        <v>733</v>
      </c>
      <c r="C152" t="str">
        <f>VLOOKUP(Table10[[#This Row],[source]],Table2226[[#All],[ID]:[Label]],3,FALSE)</f>
        <v>DFW</v>
      </c>
      <c r="D152" t="str">
        <f>VLOOKUP(Table10[[#This Row],[target]],Table2226[[#All],[ID]:[Label]],3,FALSE)</f>
        <v>SFO</v>
      </c>
      <c r="E152" s="32" t="str">
        <f>IF(ISERROR(VLOOKUP(Table10[[#This Row],[source2]],Table22[Label],1,FALSE)),IF(ISERROR(VLOOKUP(Table10[[#This Row],[source2]],Table2210[Label],1,FALSE)),"SPOKE","FOCUS"),"HUB")</f>
        <v>HUB</v>
      </c>
      <c r="F152" s="32" t="str">
        <f>IF(ISERROR(VLOOKUP(Table10[[#This Row],[target2]],Table22[Label],1,FALSE)),IF(ISERROR(VLOOKUP(Table10[[#This Row],[target2]],Table2210[Label],1,FALSE)),"SPOKE","FOCUS"),"HUB")</f>
        <v>HUB</v>
      </c>
      <c r="G152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152" s="46" t="s">
        <v>2028</v>
      </c>
      <c r="I152" s="47" t="s">
        <v>2029</v>
      </c>
      <c r="J152" s="47" t="s">
        <v>2030</v>
      </c>
      <c r="K152" s="47" t="s">
        <v>2031</v>
      </c>
      <c r="L152" s="47" t="s">
        <v>1300</v>
      </c>
      <c r="M152" s="47" t="s">
        <v>2032</v>
      </c>
      <c r="N152">
        <v>851</v>
      </c>
      <c r="O152">
        <v>851</v>
      </c>
      <c r="P152" s="11" t="s">
        <v>509</v>
      </c>
    </row>
    <row r="153" spans="1:16" x14ac:dyDescent="0.2">
      <c r="A153">
        <v>571</v>
      </c>
      <c r="B153">
        <v>733</v>
      </c>
      <c r="C153" t="str">
        <f>VLOOKUP(Table10[[#This Row],[source]],Table2226[[#All],[ID]:[Label]],3,FALSE)</f>
        <v>DCA</v>
      </c>
      <c r="D153" t="str">
        <f>VLOOKUP(Table10[[#This Row],[target]],Table2226[[#All],[ID]:[Label]],3,FALSE)</f>
        <v>SFO</v>
      </c>
      <c r="E153" s="32" t="str">
        <f>IF(ISERROR(VLOOKUP(Table10[[#This Row],[source2]],Table22[Label],1,FALSE)),IF(ISERROR(VLOOKUP(Table10[[#This Row],[source2]],Table2210[Label],1,FALSE)),"SPOKE","FOCUS"),"HUB")</f>
        <v>HUB</v>
      </c>
      <c r="F153" s="32" t="str">
        <f>IF(ISERROR(VLOOKUP(Table10[[#This Row],[target2]],Table22[Label],1,FALSE)),IF(ISERROR(VLOOKUP(Table10[[#This Row],[target2]],Table2210[Label],1,FALSE)),"SPOKE","FOCUS"),"HUB")</f>
        <v>HUB</v>
      </c>
      <c r="G153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153" s="46" t="s">
        <v>771</v>
      </c>
      <c r="I153" s="47" t="s">
        <v>1204</v>
      </c>
      <c r="J153" s="47" t="s">
        <v>738</v>
      </c>
      <c r="K153" s="47" t="s">
        <v>1205</v>
      </c>
      <c r="L153" s="47" t="s">
        <v>738</v>
      </c>
      <c r="M153" s="47" t="s">
        <v>1206</v>
      </c>
      <c r="N153">
        <v>8269</v>
      </c>
      <c r="O153">
        <v>8269</v>
      </c>
      <c r="P153" s="11" t="s">
        <v>510</v>
      </c>
    </row>
    <row r="154" spans="1:16" x14ac:dyDescent="0.2">
      <c r="A154">
        <v>645</v>
      </c>
      <c r="B154">
        <v>673</v>
      </c>
      <c r="C154" t="str">
        <f>VLOOKUP(Table10[[#This Row],[source]],Table2226[[#All],[ID]:[Label]],3,FALSE)</f>
        <v>JFK</v>
      </c>
      <c r="D154" t="str">
        <f>VLOOKUP(Table10[[#This Row],[target]],Table2226[[#All],[ID]:[Label]],3,FALSE)</f>
        <v>MIA</v>
      </c>
      <c r="E154" s="32" t="str">
        <f>IF(ISERROR(VLOOKUP(Table10[[#This Row],[source2]],Table22[Label],1,FALSE)),IF(ISERROR(VLOOKUP(Table10[[#This Row],[source2]],Table2210[Label],1,FALSE)),"SPOKE","FOCUS"),"HUB")</f>
        <v>HUB</v>
      </c>
      <c r="F154" s="32" t="str">
        <f>IF(ISERROR(VLOOKUP(Table10[[#This Row],[target2]],Table22[Label],1,FALSE)),IF(ISERROR(VLOOKUP(Table10[[#This Row],[target2]],Table2210[Label],1,FALSE)),"SPOKE","FOCUS"),"HUB")</f>
        <v>HUB</v>
      </c>
      <c r="G154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154" s="46" t="s">
        <v>2257</v>
      </c>
      <c r="I154" s="47" t="s">
        <v>2258</v>
      </c>
      <c r="J154" s="47" t="s">
        <v>2259</v>
      </c>
      <c r="K154" s="47" t="s">
        <v>2260</v>
      </c>
      <c r="L154" s="47" t="s">
        <v>1622</v>
      </c>
      <c r="M154" s="47" t="s">
        <v>2261</v>
      </c>
      <c r="N154">
        <v>545</v>
      </c>
      <c r="O154">
        <v>545</v>
      </c>
      <c r="P154" s="11" t="s">
        <v>511</v>
      </c>
    </row>
    <row r="155" spans="1:16" x14ac:dyDescent="0.2">
      <c r="A155">
        <v>691</v>
      </c>
      <c r="B155">
        <v>663</v>
      </c>
      <c r="C155" t="str">
        <f>VLOOKUP(Table10[[#This Row],[source]],Table2226[[#All],[ID]:[Label]],3,FALSE)</f>
        <v>ORD</v>
      </c>
      <c r="D155" t="str">
        <f>VLOOKUP(Table10[[#This Row],[target]],Table2226[[#All],[ID]:[Label]],3,FALSE)</f>
        <v>MCO</v>
      </c>
      <c r="E155" s="32" t="str">
        <f>IF(ISERROR(VLOOKUP(Table10[[#This Row],[source2]],Table22[Label],1,FALSE)),IF(ISERROR(VLOOKUP(Table10[[#This Row],[source2]],Table2210[Label],1,FALSE)),"SPOKE","FOCUS"),"HUB")</f>
        <v>HUB</v>
      </c>
      <c r="F155" s="32" t="str">
        <f>IF(ISERROR(VLOOKUP(Table10[[#This Row],[target2]],Table22[Label],1,FALSE)),IF(ISERROR(VLOOKUP(Table10[[#This Row],[target2]],Table2210[Label],1,FALSE)),"SPOKE","FOCUS"),"HUB")</f>
        <v>FOCUS</v>
      </c>
      <c r="G155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HUB-FOCUS</v>
      </c>
      <c r="H155" s="46" t="s">
        <v>801</v>
      </c>
      <c r="I155" s="47" t="s">
        <v>1630</v>
      </c>
      <c r="J155" s="47" t="s">
        <v>727</v>
      </c>
      <c r="K155" s="47" t="s">
        <v>879</v>
      </c>
      <c r="L155" s="47" t="s">
        <v>1554</v>
      </c>
      <c r="M155" s="47" t="s">
        <v>1631</v>
      </c>
      <c r="N155">
        <v>748</v>
      </c>
      <c r="O155">
        <v>748</v>
      </c>
      <c r="P155" s="11" t="s">
        <v>512</v>
      </c>
    </row>
    <row r="156" spans="1:16" x14ac:dyDescent="0.2">
      <c r="A156">
        <v>691</v>
      </c>
      <c r="B156">
        <v>647</v>
      </c>
      <c r="C156" t="str">
        <f>VLOOKUP(Table10[[#This Row],[source]],Table2226[[#All],[ID]:[Label]],3,FALSE)</f>
        <v>ORD</v>
      </c>
      <c r="D156" t="str">
        <f>VLOOKUP(Table10[[#This Row],[target]],Table2226[[#All],[ID]:[Label]],3,FALSE)</f>
        <v>LAS</v>
      </c>
      <c r="E156" s="32" t="str">
        <f>IF(ISERROR(VLOOKUP(Table10[[#This Row],[source2]],Table22[Label],1,FALSE)),IF(ISERROR(VLOOKUP(Table10[[#This Row],[source2]],Table2210[Label],1,FALSE)),"SPOKE","FOCUS"),"HUB")</f>
        <v>HUB</v>
      </c>
      <c r="F156" s="32" t="str">
        <f>IF(ISERROR(VLOOKUP(Table10[[#This Row],[target2]],Table22[Label],1,FALSE)),IF(ISERROR(VLOOKUP(Table10[[#This Row],[target2]],Table2210[Label],1,FALSE)),"SPOKE","FOCUS"),"HUB")</f>
        <v>FOCUS</v>
      </c>
      <c r="G156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HUB-FOCUS</v>
      </c>
      <c r="H156" s="46" t="s">
        <v>801</v>
      </c>
      <c r="I156" s="47" t="s">
        <v>1636</v>
      </c>
      <c r="J156" s="47" t="s">
        <v>727</v>
      </c>
      <c r="K156" s="47" t="s">
        <v>1637</v>
      </c>
      <c r="L156" s="47" t="s">
        <v>1638</v>
      </c>
      <c r="M156" s="47" t="s">
        <v>1639</v>
      </c>
      <c r="N156">
        <v>778</v>
      </c>
      <c r="O156">
        <v>778</v>
      </c>
      <c r="P156" s="11" t="s">
        <v>513</v>
      </c>
    </row>
    <row r="157" spans="1:16" x14ac:dyDescent="0.2">
      <c r="A157">
        <v>627</v>
      </c>
      <c r="B157">
        <v>647</v>
      </c>
      <c r="C157" t="str">
        <f>VLOOKUP(Table10[[#This Row],[source]],Table2226[[#All],[ID]:[Label]],3,FALSE)</f>
        <v>IAH</v>
      </c>
      <c r="D157" t="str">
        <f>VLOOKUP(Table10[[#This Row],[target]],Table2226[[#All],[ID]:[Label]],3,FALSE)</f>
        <v>LAS</v>
      </c>
      <c r="E157" s="32" t="str">
        <f>IF(ISERROR(VLOOKUP(Table10[[#This Row],[source2]],Table22[Label],1,FALSE)),IF(ISERROR(VLOOKUP(Table10[[#This Row],[source2]],Table2210[Label],1,FALSE)),"SPOKE","FOCUS"),"HUB")</f>
        <v>HUB</v>
      </c>
      <c r="F157" s="32" t="str">
        <f>IF(ISERROR(VLOOKUP(Table10[[#This Row],[target2]],Table22[Label],1,FALSE)),IF(ISERROR(VLOOKUP(Table10[[#This Row],[target2]],Table2210[Label],1,FALSE)),"SPOKE","FOCUS"),"HUB")</f>
        <v>FOCUS</v>
      </c>
      <c r="G157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HUB-FOCUS</v>
      </c>
      <c r="H157" s="46" t="s">
        <v>1816</v>
      </c>
      <c r="I157" s="47" t="s">
        <v>1817</v>
      </c>
      <c r="J157" s="47" t="s">
        <v>1818</v>
      </c>
      <c r="K157" s="47" t="s">
        <v>1819</v>
      </c>
      <c r="L157" s="47" t="s">
        <v>861</v>
      </c>
      <c r="M157" s="47" t="s">
        <v>1820</v>
      </c>
      <c r="N157">
        <v>437</v>
      </c>
      <c r="O157">
        <v>437</v>
      </c>
      <c r="P157" s="11" t="s">
        <v>514</v>
      </c>
    </row>
    <row r="158" spans="1:16" x14ac:dyDescent="0.2">
      <c r="A158">
        <v>691</v>
      </c>
      <c r="B158">
        <v>673</v>
      </c>
      <c r="C158" t="str">
        <f>VLOOKUP(Table10[[#This Row],[source]],Table2226[[#All],[ID]:[Label]],3,FALSE)</f>
        <v>ORD</v>
      </c>
      <c r="D158" t="str">
        <f>VLOOKUP(Table10[[#This Row],[target]],Table2226[[#All],[ID]:[Label]],3,FALSE)</f>
        <v>MIA</v>
      </c>
      <c r="E158" s="32" t="str">
        <f>IF(ISERROR(VLOOKUP(Table10[[#This Row],[source2]],Table22[Label],1,FALSE)),IF(ISERROR(VLOOKUP(Table10[[#This Row],[source2]],Table2210[Label],1,FALSE)),"SPOKE","FOCUS"),"HUB")</f>
        <v>HUB</v>
      </c>
      <c r="F158" s="32" t="str">
        <f>IF(ISERROR(VLOOKUP(Table10[[#This Row],[target2]],Table22[Label],1,FALSE)),IF(ISERROR(VLOOKUP(Table10[[#This Row],[target2]],Table2210[Label],1,FALSE)),"SPOKE","FOCUS"),"HUB")</f>
        <v>HUB</v>
      </c>
      <c r="G158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158" s="46" t="s">
        <v>1640</v>
      </c>
      <c r="I158" s="47" t="s">
        <v>1641</v>
      </c>
      <c r="J158" s="47" t="s">
        <v>1642</v>
      </c>
      <c r="K158" s="47" t="s">
        <v>1643</v>
      </c>
      <c r="L158" s="47" t="s">
        <v>1470</v>
      </c>
      <c r="M158" s="47" t="s">
        <v>1644</v>
      </c>
      <c r="N158">
        <v>709</v>
      </c>
      <c r="O158">
        <v>709</v>
      </c>
      <c r="P158" s="11" t="s">
        <v>515</v>
      </c>
    </row>
    <row r="159" spans="1:16" x14ac:dyDescent="0.2">
      <c r="A159">
        <v>575</v>
      </c>
      <c r="B159">
        <v>663</v>
      </c>
      <c r="C159" t="str">
        <f>VLOOKUP(Table10[[#This Row],[source]],Table2226[[#All],[ID]:[Label]],3,FALSE)</f>
        <v>DFW</v>
      </c>
      <c r="D159" t="str">
        <f>VLOOKUP(Table10[[#This Row],[target]],Table2226[[#All],[ID]:[Label]],3,FALSE)</f>
        <v>MCO</v>
      </c>
      <c r="E159" s="32" t="str">
        <f>IF(ISERROR(VLOOKUP(Table10[[#This Row],[source2]],Table22[Label],1,FALSE)),IF(ISERROR(VLOOKUP(Table10[[#This Row],[source2]],Table2210[Label],1,FALSE)),"SPOKE","FOCUS"),"HUB")</f>
        <v>HUB</v>
      </c>
      <c r="F159" s="32" t="str">
        <f>IF(ISERROR(VLOOKUP(Table10[[#This Row],[target2]],Table22[Label],1,FALSE)),IF(ISERROR(VLOOKUP(Table10[[#This Row],[target2]],Table2210[Label],1,FALSE)),"SPOKE","FOCUS"),"HUB")</f>
        <v>FOCUS</v>
      </c>
      <c r="G159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HUB-FOCUS</v>
      </c>
      <c r="H159" s="46" t="s">
        <v>1980</v>
      </c>
      <c r="I159" s="47" t="s">
        <v>1981</v>
      </c>
      <c r="J159" s="47" t="s">
        <v>1982</v>
      </c>
      <c r="K159" s="47" t="s">
        <v>1983</v>
      </c>
      <c r="L159" s="47" t="s">
        <v>1984</v>
      </c>
      <c r="M159" s="47" t="s">
        <v>1985</v>
      </c>
      <c r="N159">
        <v>658</v>
      </c>
      <c r="O159">
        <v>658</v>
      </c>
      <c r="P159" s="11" t="s">
        <v>516</v>
      </c>
    </row>
    <row r="160" spans="1:16" x14ac:dyDescent="0.2">
      <c r="A160">
        <v>700</v>
      </c>
      <c r="B160">
        <v>575</v>
      </c>
      <c r="C160" t="str">
        <f>VLOOKUP(Table10[[#This Row],[source]],Table2226[[#All],[ID]:[Label]],3,FALSE)</f>
        <v>PHL</v>
      </c>
      <c r="D160" t="str">
        <f>VLOOKUP(Table10[[#This Row],[target]],Table2226[[#All],[ID]:[Label]],3,FALSE)</f>
        <v>DFW</v>
      </c>
      <c r="E160" s="32" t="str">
        <f>IF(ISERROR(VLOOKUP(Table10[[#This Row],[source2]],Table22[Label],1,FALSE)),IF(ISERROR(VLOOKUP(Table10[[#This Row],[source2]],Table2210[Label],1,FALSE)),"SPOKE","FOCUS"),"HUB")</f>
        <v>HUB</v>
      </c>
      <c r="F160" s="32" t="str">
        <f>IF(ISERROR(VLOOKUP(Table10[[#This Row],[target2]],Table22[Label],1,FALSE)),IF(ISERROR(VLOOKUP(Table10[[#This Row],[target2]],Table2210[Label],1,FALSE)),"SPOKE","FOCUS"),"HUB")</f>
        <v>HUB</v>
      </c>
      <c r="G160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160" s="46" t="s">
        <v>801</v>
      </c>
      <c r="I160" s="47" t="s">
        <v>985</v>
      </c>
      <c r="J160" s="47" t="s">
        <v>727</v>
      </c>
      <c r="K160" s="47" t="s">
        <v>986</v>
      </c>
      <c r="L160" s="47" t="s">
        <v>987</v>
      </c>
      <c r="M160" s="47" t="s">
        <v>988</v>
      </c>
      <c r="N160">
        <v>583</v>
      </c>
      <c r="O160">
        <v>583</v>
      </c>
      <c r="P160" s="11" t="s">
        <v>517</v>
      </c>
    </row>
    <row r="161" spans="1:16" x14ac:dyDescent="0.2">
      <c r="A161">
        <v>700</v>
      </c>
      <c r="B161">
        <v>627</v>
      </c>
      <c r="C161" t="str">
        <f>VLOOKUP(Table10[[#This Row],[source]],Table2226[[#All],[ID]:[Label]],3,FALSE)</f>
        <v>PHL</v>
      </c>
      <c r="D161" t="str">
        <f>VLOOKUP(Table10[[#This Row],[target]],Table2226[[#All],[ID]:[Label]],3,FALSE)</f>
        <v>IAH</v>
      </c>
      <c r="E161" s="32" t="str">
        <f>IF(ISERROR(VLOOKUP(Table10[[#This Row],[source2]],Table22[Label],1,FALSE)),IF(ISERROR(VLOOKUP(Table10[[#This Row],[source2]],Table2210[Label],1,FALSE)),"SPOKE","FOCUS"),"HUB")</f>
        <v>HUB</v>
      </c>
      <c r="F161" s="32" t="str">
        <f>IF(ISERROR(VLOOKUP(Table10[[#This Row],[target2]],Table22[Label],1,FALSE)),IF(ISERROR(VLOOKUP(Table10[[#This Row],[target2]],Table2210[Label],1,FALSE)),"SPOKE","FOCUS"),"HUB")</f>
        <v>HUB</v>
      </c>
      <c r="G161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161" s="46" t="s">
        <v>906</v>
      </c>
      <c r="I161" s="47" t="s">
        <v>907</v>
      </c>
      <c r="J161" s="47" t="s">
        <v>908</v>
      </c>
      <c r="K161" s="47" t="s">
        <v>909</v>
      </c>
      <c r="L161" s="47" t="s">
        <v>910</v>
      </c>
      <c r="M161" s="47" t="s">
        <v>911</v>
      </c>
      <c r="N161">
        <v>414</v>
      </c>
      <c r="O161">
        <v>414</v>
      </c>
      <c r="P161" s="11" t="s">
        <v>518</v>
      </c>
    </row>
    <row r="162" spans="1:16" x14ac:dyDescent="0.2">
      <c r="A162">
        <v>627</v>
      </c>
      <c r="B162">
        <v>663</v>
      </c>
      <c r="C162" t="str">
        <f>VLOOKUP(Table10[[#This Row],[source]],Table2226[[#All],[ID]:[Label]],3,FALSE)</f>
        <v>IAH</v>
      </c>
      <c r="D162" t="str">
        <f>VLOOKUP(Table10[[#This Row],[target]],Table2226[[#All],[ID]:[Label]],3,FALSE)</f>
        <v>MCO</v>
      </c>
      <c r="E162" s="32" t="str">
        <f>IF(ISERROR(VLOOKUP(Table10[[#This Row],[source2]],Table22[Label],1,FALSE)),IF(ISERROR(VLOOKUP(Table10[[#This Row],[source2]],Table2210[Label],1,FALSE)),"SPOKE","FOCUS"),"HUB")</f>
        <v>HUB</v>
      </c>
      <c r="F162" s="32" t="str">
        <f>IF(ISERROR(VLOOKUP(Table10[[#This Row],[target2]],Table22[Label],1,FALSE)),IF(ISERROR(VLOOKUP(Table10[[#This Row],[target2]],Table2210[Label],1,FALSE)),"SPOKE","FOCUS"),"HUB")</f>
        <v>FOCUS</v>
      </c>
      <c r="G162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HUB-FOCUS</v>
      </c>
      <c r="H162" s="46" t="s">
        <v>1770</v>
      </c>
      <c r="I162" s="47" t="s">
        <v>1771</v>
      </c>
      <c r="J162" s="47" t="s">
        <v>1772</v>
      </c>
      <c r="K162" s="47" t="s">
        <v>1773</v>
      </c>
      <c r="L162" s="47" t="s">
        <v>910</v>
      </c>
      <c r="M162" s="47" t="s">
        <v>1774</v>
      </c>
      <c r="N162">
        <v>424</v>
      </c>
      <c r="O162">
        <v>424</v>
      </c>
      <c r="P162" s="11" t="s">
        <v>519</v>
      </c>
    </row>
    <row r="163" spans="1:16" x14ac:dyDescent="0.2">
      <c r="A163">
        <v>506</v>
      </c>
      <c r="B163">
        <v>647</v>
      </c>
      <c r="C163" t="str">
        <f>VLOOKUP(Table10[[#This Row],[source]],Table2226[[#All],[ID]:[Label]],3,FALSE)</f>
        <v>ATL</v>
      </c>
      <c r="D163" t="str">
        <f>VLOOKUP(Table10[[#This Row],[target]],Table2226[[#All],[ID]:[Label]],3,FALSE)</f>
        <v>LAS</v>
      </c>
      <c r="E163" s="32" t="str">
        <f>IF(ISERROR(VLOOKUP(Table10[[#This Row],[source2]],Table22[Label],1,FALSE)),IF(ISERROR(VLOOKUP(Table10[[#This Row],[source2]],Table2210[Label],1,FALSE)),"SPOKE","FOCUS"),"HUB")</f>
        <v>HUB</v>
      </c>
      <c r="F163" s="32" t="str">
        <f>IF(ISERROR(VLOOKUP(Table10[[#This Row],[target2]],Table22[Label],1,FALSE)),IF(ISERROR(VLOOKUP(Table10[[#This Row],[target2]],Table2210[Label],1,FALSE)),"SPOKE","FOCUS"),"HUB")</f>
        <v>FOCUS</v>
      </c>
      <c r="G163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HUB-FOCUS</v>
      </c>
      <c r="H163" s="46" t="s">
        <v>801</v>
      </c>
      <c r="I163" s="47" t="s">
        <v>1463</v>
      </c>
      <c r="J163" s="47" t="s">
        <v>727</v>
      </c>
      <c r="K163" s="47" t="s">
        <v>1464</v>
      </c>
      <c r="L163" s="47" t="s">
        <v>1415</v>
      </c>
      <c r="M163" s="47" t="s">
        <v>1465</v>
      </c>
      <c r="N163">
        <v>931</v>
      </c>
      <c r="O163">
        <v>931</v>
      </c>
      <c r="P163" s="11" t="s">
        <v>520</v>
      </c>
    </row>
    <row r="164" spans="1:16" x14ac:dyDescent="0.2">
      <c r="A164">
        <v>682</v>
      </c>
      <c r="B164">
        <v>648</v>
      </c>
      <c r="C164" t="str">
        <f>VLOOKUP(Table10[[#This Row],[source]],Table2226[[#All],[ID]:[Label]],3,FALSE)</f>
        <v>MSP</v>
      </c>
      <c r="D164" t="str">
        <f>VLOOKUP(Table10[[#This Row],[target]],Table2226[[#All],[ID]:[Label]],3,FALSE)</f>
        <v>LAX</v>
      </c>
      <c r="E164" s="32" t="str">
        <f>IF(ISERROR(VLOOKUP(Table10[[#This Row],[source2]],Table22[Label],1,FALSE)),IF(ISERROR(VLOOKUP(Table10[[#This Row],[source2]],Table2210[Label],1,FALSE)),"SPOKE","FOCUS"),"HUB")</f>
        <v>HUB</v>
      </c>
      <c r="F164" s="32" t="str">
        <f>IF(ISERROR(VLOOKUP(Table10[[#This Row],[target2]],Table22[Label],1,FALSE)),IF(ISERROR(VLOOKUP(Table10[[#This Row],[target2]],Table2210[Label],1,FALSE)),"SPOKE","FOCUS"),"HUB")</f>
        <v>HUB</v>
      </c>
      <c r="G164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164" s="46" t="s">
        <v>801</v>
      </c>
      <c r="I164" s="47" t="s">
        <v>1919</v>
      </c>
      <c r="J164" s="47" t="s">
        <v>727</v>
      </c>
      <c r="K164" s="47" t="s">
        <v>1920</v>
      </c>
      <c r="L164" s="47" t="s">
        <v>1246</v>
      </c>
      <c r="M164" s="47" t="s">
        <v>1921</v>
      </c>
      <c r="N164">
        <v>602</v>
      </c>
      <c r="O164">
        <v>602</v>
      </c>
      <c r="P164" s="11" t="s">
        <v>521</v>
      </c>
    </row>
    <row r="165" spans="1:16" x14ac:dyDescent="0.2">
      <c r="A165">
        <v>627</v>
      </c>
      <c r="B165">
        <v>730</v>
      </c>
      <c r="C165" t="str">
        <f>VLOOKUP(Table10[[#This Row],[source]],Table2226[[#All],[ID]:[Label]],3,FALSE)</f>
        <v>IAH</v>
      </c>
      <c r="D165" t="str">
        <f>VLOOKUP(Table10[[#This Row],[target]],Table2226[[#All],[ID]:[Label]],3,FALSE)</f>
        <v>SEA</v>
      </c>
      <c r="E165" s="32" t="str">
        <f>IF(ISERROR(VLOOKUP(Table10[[#This Row],[source2]],Table22[Label],1,FALSE)),IF(ISERROR(VLOOKUP(Table10[[#This Row],[source2]],Table2210[Label],1,FALSE)),"SPOKE","FOCUS"),"HUB")</f>
        <v>HUB</v>
      </c>
      <c r="F165" s="32" t="str">
        <f>IF(ISERROR(VLOOKUP(Table10[[#This Row],[target2]],Table22[Label],1,FALSE)),IF(ISERROR(VLOOKUP(Table10[[#This Row],[target2]],Table2210[Label],1,FALSE)),"SPOKE","FOCUS"),"HUB")</f>
        <v>HUB</v>
      </c>
      <c r="G165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165" s="46" t="s">
        <v>801</v>
      </c>
      <c r="I165" s="47" t="s">
        <v>1796</v>
      </c>
      <c r="J165" s="47" t="s">
        <v>727</v>
      </c>
      <c r="K165" s="47" t="s">
        <v>1797</v>
      </c>
      <c r="L165" s="47" t="s">
        <v>968</v>
      </c>
      <c r="M165" s="47" t="s">
        <v>1798</v>
      </c>
      <c r="N165">
        <v>497</v>
      </c>
      <c r="O165">
        <v>497</v>
      </c>
      <c r="P165" s="11" t="s">
        <v>522</v>
      </c>
    </row>
    <row r="166" spans="1:16" x14ac:dyDescent="0.2">
      <c r="A166">
        <v>574</v>
      </c>
      <c r="B166">
        <v>591</v>
      </c>
      <c r="C166" t="str">
        <f>VLOOKUP(Table10[[#This Row],[source]],Table2226[[#All],[ID]:[Label]],3,FALSE)</f>
        <v>DEN</v>
      </c>
      <c r="D166" t="str">
        <f>VLOOKUP(Table10[[#This Row],[target]],Table2226[[#All],[ID]:[Label]],3,FALSE)</f>
        <v>EWR</v>
      </c>
      <c r="E166" s="32" t="str">
        <f>IF(ISERROR(VLOOKUP(Table10[[#This Row],[source2]],Table22[Label],1,FALSE)),IF(ISERROR(VLOOKUP(Table10[[#This Row],[source2]],Table2210[Label],1,FALSE)),"SPOKE","FOCUS"),"HUB")</f>
        <v>HUB</v>
      </c>
      <c r="F166" s="32" t="str">
        <f>IF(ISERROR(VLOOKUP(Table10[[#This Row],[target2]],Table22[Label],1,FALSE)),IF(ISERROR(VLOOKUP(Table10[[#This Row],[target2]],Table2210[Label],1,FALSE)),"SPOKE","FOCUS"),"HUB")</f>
        <v>HUB</v>
      </c>
      <c r="G166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166" s="46" t="s">
        <v>1486</v>
      </c>
      <c r="I166" s="47" t="s">
        <v>1487</v>
      </c>
      <c r="J166" s="47" t="s">
        <v>1488</v>
      </c>
      <c r="K166" s="47" t="s">
        <v>1489</v>
      </c>
      <c r="L166" s="47" t="s">
        <v>833</v>
      </c>
      <c r="M166" s="47" t="s">
        <v>1490</v>
      </c>
      <c r="N166">
        <v>432</v>
      </c>
      <c r="O166">
        <v>432</v>
      </c>
      <c r="P166" s="11" t="s">
        <v>523</v>
      </c>
    </row>
    <row r="167" spans="1:16" x14ac:dyDescent="0.2">
      <c r="A167">
        <v>579</v>
      </c>
      <c r="B167">
        <v>682</v>
      </c>
      <c r="C167" t="str">
        <f>VLOOKUP(Table10[[#This Row],[source]],Table2226[[#All],[ID]:[Label]],3,FALSE)</f>
        <v>DTW</v>
      </c>
      <c r="D167" t="str">
        <f>VLOOKUP(Table10[[#This Row],[target]],Table2226[[#All],[ID]:[Label]],3,FALSE)</f>
        <v>MSP</v>
      </c>
      <c r="E167" s="32" t="str">
        <f>IF(ISERROR(VLOOKUP(Table10[[#This Row],[source2]],Table22[Label],1,FALSE)),IF(ISERROR(VLOOKUP(Table10[[#This Row],[source2]],Table2210[Label],1,FALSE)),"SPOKE","FOCUS"),"HUB")</f>
        <v>HUB</v>
      </c>
      <c r="F167" s="32" t="str">
        <f>IF(ISERROR(VLOOKUP(Table10[[#This Row],[target2]],Table22[Label],1,FALSE)),IF(ISERROR(VLOOKUP(Table10[[#This Row],[target2]],Table2210[Label],1,FALSE)),"SPOKE","FOCUS"),"HUB")</f>
        <v>HUB</v>
      </c>
      <c r="G167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167" s="46" t="s">
        <v>1285</v>
      </c>
      <c r="I167" s="47" t="s">
        <v>1286</v>
      </c>
      <c r="J167" s="47" t="s">
        <v>1287</v>
      </c>
      <c r="K167" s="47" t="s">
        <v>1288</v>
      </c>
      <c r="L167" s="47" t="s">
        <v>1289</v>
      </c>
      <c r="M167" s="47" t="s">
        <v>1290</v>
      </c>
      <c r="N167">
        <v>266</v>
      </c>
      <c r="O167">
        <v>266</v>
      </c>
      <c r="P167" s="11" t="s">
        <v>524</v>
      </c>
    </row>
    <row r="168" spans="1:16" x14ac:dyDescent="0.2">
      <c r="A168">
        <v>506</v>
      </c>
      <c r="B168">
        <v>613</v>
      </c>
      <c r="C168" t="str">
        <f>VLOOKUP(Table10[[#This Row],[source]],Table2226[[#All],[ID]:[Label]],3,FALSE)</f>
        <v>ATL</v>
      </c>
      <c r="D168" t="str">
        <f>VLOOKUP(Table10[[#This Row],[target]],Table2226[[#All],[ID]:[Label]],3,FALSE)</f>
        <v>GSP</v>
      </c>
      <c r="E168" s="32" t="str">
        <f>IF(ISERROR(VLOOKUP(Table10[[#This Row],[source2]],Table22[Label],1,FALSE)),IF(ISERROR(VLOOKUP(Table10[[#This Row],[source2]],Table2210[Label],1,FALSE)),"SPOKE","FOCUS"),"HUB")</f>
        <v>HUB</v>
      </c>
      <c r="F168" s="32" t="str">
        <f>IF(ISERROR(VLOOKUP(Table10[[#This Row],[target2]],Table22[Label],1,FALSE)),IF(ISERROR(VLOOKUP(Table10[[#This Row],[target2]],Table2210[Label],1,FALSE)),"SPOKE","FOCUS"),"HUB")</f>
        <v>SPOKE</v>
      </c>
      <c r="G168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168" s="46" t="s">
        <v>1383</v>
      </c>
      <c r="I168" s="47" t="s">
        <v>1384</v>
      </c>
      <c r="J168" s="47" t="s">
        <v>1385</v>
      </c>
      <c r="K168" s="47" t="s">
        <v>1386</v>
      </c>
      <c r="L168" s="47" t="s">
        <v>1387</v>
      </c>
      <c r="M168" s="47" t="s">
        <v>1388</v>
      </c>
      <c r="N168">
        <v>437</v>
      </c>
      <c r="O168">
        <v>437</v>
      </c>
      <c r="P168" s="11" t="s">
        <v>525</v>
      </c>
    </row>
    <row r="169" spans="1:16" x14ac:dyDescent="0.2">
      <c r="A169">
        <v>627</v>
      </c>
      <c r="B169">
        <v>591</v>
      </c>
      <c r="C169" t="str">
        <f>VLOOKUP(Table10[[#This Row],[source]],Table2226[[#All],[ID]:[Label]],3,FALSE)</f>
        <v>IAH</v>
      </c>
      <c r="D169" t="str">
        <f>VLOOKUP(Table10[[#This Row],[target]],Table2226[[#All],[ID]:[Label]],3,FALSE)</f>
        <v>EWR</v>
      </c>
      <c r="E169" s="32" t="str">
        <f>IF(ISERROR(VLOOKUP(Table10[[#This Row],[source2]],Table22[Label],1,FALSE)),IF(ISERROR(VLOOKUP(Table10[[#This Row],[source2]],Table2210[Label],1,FALSE)),"SPOKE","FOCUS"),"HUB")</f>
        <v>HUB</v>
      </c>
      <c r="F169" s="32" t="str">
        <f>IF(ISERROR(VLOOKUP(Table10[[#This Row],[target2]],Table22[Label],1,FALSE)),IF(ISERROR(VLOOKUP(Table10[[#This Row],[target2]],Table2210[Label],1,FALSE)),"SPOKE","FOCUS"),"HUB")</f>
        <v>HUB</v>
      </c>
      <c r="G169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169" s="46" t="s">
        <v>1791</v>
      </c>
      <c r="I169" s="47" t="s">
        <v>1792</v>
      </c>
      <c r="J169" s="47" t="s">
        <v>1793</v>
      </c>
      <c r="K169" s="47" t="s">
        <v>1794</v>
      </c>
      <c r="L169" s="47" t="s">
        <v>983</v>
      </c>
      <c r="M169" s="47" t="s">
        <v>1795</v>
      </c>
      <c r="N169">
        <v>365</v>
      </c>
      <c r="O169">
        <v>365</v>
      </c>
      <c r="P169" s="11" t="s">
        <v>526</v>
      </c>
    </row>
    <row r="170" spans="1:16" x14ac:dyDescent="0.2">
      <c r="A170">
        <v>571</v>
      </c>
      <c r="B170">
        <v>736</v>
      </c>
      <c r="C170" t="str">
        <f>VLOOKUP(Table10[[#This Row],[source]],Table2226[[#All],[ID]:[Label]],3,FALSE)</f>
        <v>DCA</v>
      </c>
      <c r="D170" t="str">
        <f>VLOOKUP(Table10[[#This Row],[target]],Table2226[[#All],[ID]:[Label]],3,FALSE)</f>
        <v>SLC</v>
      </c>
      <c r="E170" s="32" t="str">
        <f>IF(ISERROR(VLOOKUP(Table10[[#This Row],[source2]],Table22[Label],1,FALSE)),IF(ISERROR(VLOOKUP(Table10[[#This Row],[source2]],Table2210[Label],1,FALSE)),"SPOKE","FOCUS"),"HUB")</f>
        <v>HUB</v>
      </c>
      <c r="F170" s="32" t="str">
        <f>IF(ISERROR(VLOOKUP(Table10[[#This Row],[target2]],Table22[Label],1,FALSE)),IF(ISERROR(VLOOKUP(Table10[[#This Row],[target2]],Table2210[Label],1,FALSE)),"SPOKE","FOCUS"),"HUB")</f>
        <v>HUB</v>
      </c>
      <c r="G170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170" s="46" t="s">
        <v>1185</v>
      </c>
      <c r="I170" s="47" t="s">
        <v>1186</v>
      </c>
      <c r="J170" s="47" t="s">
        <v>738</v>
      </c>
      <c r="K170" s="47" t="s">
        <v>1187</v>
      </c>
      <c r="L170" s="47" t="s">
        <v>1188</v>
      </c>
      <c r="M170" s="47" t="s">
        <v>1189</v>
      </c>
      <c r="N170">
        <v>2642</v>
      </c>
      <c r="O170">
        <v>2642</v>
      </c>
      <c r="P170" s="11" t="s">
        <v>527</v>
      </c>
    </row>
    <row r="171" spans="1:16" x14ac:dyDescent="0.2">
      <c r="A171">
        <v>647</v>
      </c>
      <c r="B171">
        <v>2189</v>
      </c>
      <c r="C171" t="str">
        <f>VLOOKUP(Table10[[#This Row],[source]],Table2226[[#All],[ID]:[Label]],3,FALSE)</f>
        <v>LAS</v>
      </c>
      <c r="D171" t="str">
        <f>VLOOKUP(Table10[[#This Row],[target]],Table2226[[#All],[ID]:[Label]],3,FALSE)</f>
        <v>TUL</v>
      </c>
      <c r="E171" s="32" t="str">
        <f>IF(ISERROR(VLOOKUP(Table10[[#This Row],[source2]],Table22[Label],1,FALSE)),IF(ISERROR(VLOOKUP(Table10[[#This Row],[source2]],Table2210[Label],1,FALSE)),"SPOKE","FOCUS"),"HUB")</f>
        <v>FOCUS</v>
      </c>
      <c r="F171" s="32" t="str">
        <f>IF(ISERROR(VLOOKUP(Table10[[#This Row],[target2]],Table22[Label],1,FALSE)),IF(ISERROR(VLOOKUP(Table10[[#This Row],[target2]],Table2210[Label],1,FALSE)),"SPOKE","FOCUS"),"HUB")</f>
        <v>SPOKE</v>
      </c>
      <c r="G171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SPOKE-FOCUS</v>
      </c>
      <c r="H171" s="46" t="s">
        <v>2230</v>
      </c>
      <c r="I171" s="47" t="s">
        <v>2231</v>
      </c>
      <c r="J171" s="47" t="s">
        <v>738</v>
      </c>
      <c r="K171" s="47" t="s">
        <v>2232</v>
      </c>
      <c r="L171" s="47" t="s">
        <v>785</v>
      </c>
      <c r="M171" s="47" t="s">
        <v>2233</v>
      </c>
      <c r="N171">
        <v>524</v>
      </c>
      <c r="O171">
        <v>524</v>
      </c>
      <c r="P171" s="11" t="s">
        <v>528</v>
      </c>
    </row>
    <row r="172" spans="1:16" x14ac:dyDescent="0.2">
      <c r="A172">
        <v>700</v>
      </c>
      <c r="B172">
        <v>574</v>
      </c>
      <c r="C172" t="str">
        <f>VLOOKUP(Table10[[#This Row],[source]],Table2226[[#All],[ID]:[Label]],3,FALSE)</f>
        <v>PHL</v>
      </c>
      <c r="D172" t="str">
        <f>VLOOKUP(Table10[[#This Row],[target]],Table2226[[#All],[ID]:[Label]],3,FALSE)</f>
        <v>DEN</v>
      </c>
      <c r="E172" s="32" t="str">
        <f>IF(ISERROR(VLOOKUP(Table10[[#This Row],[source2]],Table22[Label],1,FALSE)),IF(ISERROR(VLOOKUP(Table10[[#This Row],[source2]],Table2210[Label],1,FALSE)),"SPOKE","FOCUS"),"HUB")</f>
        <v>HUB</v>
      </c>
      <c r="F172" s="32" t="str">
        <f>IF(ISERROR(VLOOKUP(Table10[[#This Row],[target2]],Table22[Label],1,FALSE)),IF(ISERROR(VLOOKUP(Table10[[#This Row],[target2]],Table2210[Label],1,FALSE)),"SPOKE","FOCUS"),"HUB")</f>
        <v>HUB</v>
      </c>
      <c r="G172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172" s="46" t="s">
        <v>801</v>
      </c>
      <c r="I172" s="47" t="s">
        <v>921</v>
      </c>
      <c r="J172" s="47" t="s">
        <v>727</v>
      </c>
      <c r="K172" s="47" t="s">
        <v>922</v>
      </c>
      <c r="L172" s="47" t="s">
        <v>923</v>
      </c>
      <c r="M172" s="47" t="s">
        <v>924</v>
      </c>
      <c r="N172">
        <v>464</v>
      </c>
      <c r="O172">
        <v>464</v>
      </c>
      <c r="P172" s="11" t="s">
        <v>529</v>
      </c>
    </row>
    <row r="173" spans="1:16" x14ac:dyDescent="0.2">
      <c r="A173">
        <v>591</v>
      </c>
      <c r="B173">
        <v>702</v>
      </c>
      <c r="C173" t="str">
        <f>VLOOKUP(Table10[[#This Row],[source]],Table2226[[#All],[ID]:[Label]],3,FALSE)</f>
        <v>EWR</v>
      </c>
      <c r="D173" t="str">
        <f>VLOOKUP(Table10[[#This Row],[target]],Table2226[[#All],[ID]:[Label]],3,FALSE)</f>
        <v>PHX</v>
      </c>
      <c r="E173" s="32" t="str">
        <f>IF(ISERROR(VLOOKUP(Table10[[#This Row],[source2]],Table22[Label],1,FALSE)),IF(ISERROR(VLOOKUP(Table10[[#This Row],[source2]],Table2210[Label],1,FALSE)),"SPOKE","FOCUS"),"HUB")</f>
        <v>HUB</v>
      </c>
      <c r="F173" s="32" t="str">
        <f>IF(ISERROR(VLOOKUP(Table10[[#This Row],[target2]],Table22[Label],1,FALSE)),IF(ISERROR(VLOOKUP(Table10[[#This Row],[target2]],Table2210[Label],1,FALSE)),"SPOKE","FOCUS"),"HUB")</f>
        <v>HUB</v>
      </c>
      <c r="G173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173" s="46" t="s">
        <v>801</v>
      </c>
      <c r="I173" s="47" t="s">
        <v>1831</v>
      </c>
      <c r="J173" s="47" t="s">
        <v>727</v>
      </c>
      <c r="K173" s="47" t="s">
        <v>1832</v>
      </c>
      <c r="L173" s="47" t="s">
        <v>1833</v>
      </c>
      <c r="M173" s="47" t="s">
        <v>1834</v>
      </c>
      <c r="N173">
        <v>530</v>
      </c>
      <c r="O173">
        <v>530</v>
      </c>
      <c r="P173" s="11" t="s">
        <v>530</v>
      </c>
    </row>
    <row r="174" spans="1:16" x14ac:dyDescent="0.2">
      <c r="A174">
        <v>2191</v>
      </c>
      <c r="B174">
        <v>571</v>
      </c>
      <c r="C174" t="str">
        <f>VLOOKUP(Table10[[#This Row],[source]],Table2226[[#All],[ID]:[Label]],3,FALSE)</f>
        <v>TYS</v>
      </c>
      <c r="D174" t="str">
        <f>VLOOKUP(Table10[[#This Row],[target]],Table2226[[#All],[ID]:[Label]],3,FALSE)</f>
        <v>DCA</v>
      </c>
      <c r="E174" s="32" t="str">
        <f>IF(ISERROR(VLOOKUP(Table10[[#This Row],[source2]],Table22[Label],1,FALSE)),IF(ISERROR(VLOOKUP(Table10[[#This Row],[source2]],Table2210[Label],1,FALSE)),"SPOKE","FOCUS"),"HUB")</f>
        <v>SPOKE</v>
      </c>
      <c r="F174" s="32" t="str">
        <f>IF(ISERROR(VLOOKUP(Table10[[#This Row],[target2]],Table22[Label],1,FALSE)),IF(ISERROR(VLOOKUP(Table10[[#This Row],[target2]],Table2210[Label],1,FALSE)),"SPOKE","FOCUS"),"HUB")</f>
        <v>HUB</v>
      </c>
      <c r="G174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174" s="46" t="s">
        <v>753</v>
      </c>
      <c r="I174" s="47" t="s">
        <v>754</v>
      </c>
      <c r="J174" s="47" t="s">
        <v>755</v>
      </c>
      <c r="K174" s="47" t="s">
        <v>756</v>
      </c>
      <c r="L174" s="47" t="s">
        <v>757</v>
      </c>
      <c r="M174" s="47" t="s">
        <v>758</v>
      </c>
      <c r="N174">
        <v>661</v>
      </c>
      <c r="O174">
        <v>661</v>
      </c>
      <c r="P174" s="11" t="s">
        <v>531</v>
      </c>
    </row>
    <row r="175" spans="1:16" x14ac:dyDescent="0.2">
      <c r="A175">
        <v>591</v>
      </c>
      <c r="B175">
        <v>673</v>
      </c>
      <c r="C175" t="str">
        <f>VLOOKUP(Table10[[#This Row],[source]],Table2226[[#All],[ID]:[Label]],3,FALSE)</f>
        <v>EWR</v>
      </c>
      <c r="D175" t="str">
        <f>VLOOKUP(Table10[[#This Row],[target]],Table2226[[#All],[ID]:[Label]],3,FALSE)</f>
        <v>MIA</v>
      </c>
      <c r="E175" s="32" t="str">
        <f>IF(ISERROR(VLOOKUP(Table10[[#This Row],[source2]],Table22[Label],1,FALSE)),IF(ISERROR(VLOOKUP(Table10[[#This Row],[source2]],Table2210[Label],1,FALSE)),"SPOKE","FOCUS"),"HUB")</f>
        <v>HUB</v>
      </c>
      <c r="F175" s="32" t="str">
        <f>IF(ISERROR(VLOOKUP(Table10[[#This Row],[target2]],Table22[Label],1,FALSE)),IF(ISERROR(VLOOKUP(Table10[[#This Row],[target2]],Table2210[Label],1,FALSE)),"SPOKE","FOCUS"),"HUB")</f>
        <v>HUB</v>
      </c>
      <c r="G175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175" s="46" t="s">
        <v>1844</v>
      </c>
      <c r="I175" s="47" t="s">
        <v>1845</v>
      </c>
      <c r="J175" s="47" t="s">
        <v>1846</v>
      </c>
      <c r="K175" s="47" t="s">
        <v>1847</v>
      </c>
      <c r="L175" s="47" t="s">
        <v>1848</v>
      </c>
      <c r="M175" s="47" t="s">
        <v>1849</v>
      </c>
      <c r="N175">
        <v>461</v>
      </c>
      <c r="O175">
        <v>461</v>
      </c>
      <c r="P175" s="11" t="s">
        <v>532</v>
      </c>
    </row>
    <row r="176" spans="1:16" x14ac:dyDescent="0.2">
      <c r="A176">
        <v>554</v>
      </c>
      <c r="B176">
        <v>663</v>
      </c>
      <c r="C176" t="str">
        <f>VLOOKUP(Table10[[#This Row],[source]],Table2226[[#All],[ID]:[Label]],3,FALSE)</f>
        <v>CLT</v>
      </c>
      <c r="D176" t="str">
        <f>VLOOKUP(Table10[[#This Row],[target]],Table2226[[#All],[ID]:[Label]],3,FALSE)</f>
        <v>MCO</v>
      </c>
      <c r="E176" s="32" t="str">
        <f>IF(ISERROR(VLOOKUP(Table10[[#This Row],[source2]],Table22[Label],1,FALSE)),IF(ISERROR(VLOOKUP(Table10[[#This Row],[source2]],Table2210[Label],1,FALSE)),"SPOKE","FOCUS"),"HUB")</f>
        <v>HUB</v>
      </c>
      <c r="F176" s="32" t="str">
        <f>IF(ISERROR(VLOOKUP(Table10[[#This Row],[target2]],Table22[Label],1,FALSE)),IF(ISERROR(VLOOKUP(Table10[[#This Row],[target2]],Table2210[Label],1,FALSE)),"SPOKE","FOCUS"),"HUB")</f>
        <v>FOCUS</v>
      </c>
      <c r="G176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HUB-FOCUS</v>
      </c>
      <c r="H176" s="46" t="s">
        <v>801</v>
      </c>
      <c r="I176" s="47" t="s">
        <v>1706</v>
      </c>
      <c r="J176" s="47" t="s">
        <v>727</v>
      </c>
      <c r="K176" s="47" t="s">
        <v>1707</v>
      </c>
      <c r="L176" s="47" t="s">
        <v>951</v>
      </c>
      <c r="M176" s="47" t="s">
        <v>1708</v>
      </c>
      <c r="N176">
        <v>564</v>
      </c>
      <c r="O176">
        <v>564</v>
      </c>
      <c r="P176" s="11" t="s">
        <v>533</v>
      </c>
    </row>
    <row r="177" spans="1:16" x14ac:dyDescent="0.2">
      <c r="A177">
        <v>579</v>
      </c>
      <c r="B177">
        <v>648</v>
      </c>
      <c r="C177" t="str">
        <f>VLOOKUP(Table10[[#This Row],[source]],Table2226[[#All],[ID]:[Label]],3,FALSE)</f>
        <v>DTW</v>
      </c>
      <c r="D177" t="str">
        <f>VLOOKUP(Table10[[#This Row],[target]],Table2226[[#All],[ID]:[Label]],3,FALSE)</f>
        <v>LAX</v>
      </c>
      <c r="E177" s="32" t="str">
        <f>IF(ISERROR(VLOOKUP(Table10[[#This Row],[source2]],Table22[Label],1,FALSE)),IF(ISERROR(VLOOKUP(Table10[[#This Row],[source2]],Table2210[Label],1,FALSE)),"SPOKE","FOCUS"),"HUB")</f>
        <v>HUB</v>
      </c>
      <c r="F177" s="32" t="str">
        <f>IF(ISERROR(VLOOKUP(Table10[[#This Row],[target2]],Table22[Label],1,FALSE)),IF(ISERROR(VLOOKUP(Table10[[#This Row],[target2]],Table2210[Label],1,FALSE)),"SPOKE","FOCUS"),"HUB")</f>
        <v>HUB</v>
      </c>
      <c r="G177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177" s="46" t="s">
        <v>1291</v>
      </c>
      <c r="I177" s="47" t="s">
        <v>1292</v>
      </c>
      <c r="J177" s="47" t="s">
        <v>1293</v>
      </c>
      <c r="K177" s="47" t="s">
        <v>1294</v>
      </c>
      <c r="L177" s="47" t="s">
        <v>1295</v>
      </c>
      <c r="M177" s="47" t="s">
        <v>1296</v>
      </c>
      <c r="N177">
        <v>382</v>
      </c>
      <c r="O177">
        <v>382</v>
      </c>
      <c r="P177" s="11" t="s">
        <v>534</v>
      </c>
    </row>
    <row r="178" spans="1:16" x14ac:dyDescent="0.2">
      <c r="A178">
        <v>575</v>
      </c>
      <c r="B178">
        <v>702</v>
      </c>
      <c r="C178" t="str">
        <f>VLOOKUP(Table10[[#This Row],[source]],Table2226[[#All],[ID]:[Label]],3,FALSE)</f>
        <v>DFW</v>
      </c>
      <c r="D178" t="str">
        <f>VLOOKUP(Table10[[#This Row],[target]],Table2226[[#All],[ID]:[Label]],3,FALSE)</f>
        <v>PHX</v>
      </c>
      <c r="E178" s="32" t="str">
        <f>IF(ISERROR(VLOOKUP(Table10[[#This Row],[source2]],Table22[Label],1,FALSE)),IF(ISERROR(VLOOKUP(Table10[[#This Row],[source2]],Table2210[Label],1,FALSE)),"SPOKE","FOCUS"),"HUB")</f>
        <v>HUB</v>
      </c>
      <c r="F178" s="32" t="str">
        <f>IF(ISERROR(VLOOKUP(Table10[[#This Row],[target2]],Table22[Label],1,FALSE)),IF(ISERROR(VLOOKUP(Table10[[#This Row],[target2]],Table2210[Label],1,FALSE)),"SPOKE","FOCUS"),"HUB")</f>
        <v>HUB</v>
      </c>
      <c r="G178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178" s="46" t="s">
        <v>801</v>
      </c>
      <c r="I178" s="47" t="s">
        <v>1966</v>
      </c>
      <c r="J178" s="47" t="s">
        <v>727</v>
      </c>
      <c r="K178" s="47" t="s">
        <v>1967</v>
      </c>
      <c r="L178" s="47" t="s">
        <v>1344</v>
      </c>
      <c r="M178" s="47" t="s">
        <v>1968</v>
      </c>
      <c r="N178">
        <v>669</v>
      </c>
      <c r="O178">
        <v>669</v>
      </c>
      <c r="P178" s="11" t="s">
        <v>535</v>
      </c>
    </row>
    <row r="179" spans="1:16" x14ac:dyDescent="0.2">
      <c r="A179">
        <v>574</v>
      </c>
      <c r="B179">
        <v>663</v>
      </c>
      <c r="C179" t="str">
        <f>VLOOKUP(Table10[[#This Row],[source]],Table2226[[#All],[ID]:[Label]],3,FALSE)</f>
        <v>DEN</v>
      </c>
      <c r="D179" t="str">
        <f>VLOOKUP(Table10[[#This Row],[target]],Table2226[[#All],[ID]:[Label]],3,FALSE)</f>
        <v>MCO</v>
      </c>
      <c r="E179" s="32" t="str">
        <f>IF(ISERROR(VLOOKUP(Table10[[#This Row],[source2]],Table22[Label],1,FALSE)),IF(ISERROR(VLOOKUP(Table10[[#This Row],[source2]],Table2210[Label],1,FALSE)),"SPOKE","FOCUS"),"HUB")</f>
        <v>HUB</v>
      </c>
      <c r="F179" s="32" t="str">
        <f>IF(ISERROR(VLOOKUP(Table10[[#This Row],[target2]],Table22[Label],1,FALSE)),IF(ISERROR(VLOOKUP(Table10[[#This Row],[target2]],Table2210[Label],1,FALSE)),"SPOKE","FOCUS"),"HUB")</f>
        <v>FOCUS</v>
      </c>
      <c r="G179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HUB-FOCUS</v>
      </c>
      <c r="H179" s="46" t="s">
        <v>801</v>
      </c>
      <c r="I179" s="47" t="s">
        <v>1520</v>
      </c>
      <c r="J179" s="47" t="s">
        <v>727</v>
      </c>
      <c r="K179" s="47" t="s">
        <v>1521</v>
      </c>
      <c r="L179" s="47" t="s">
        <v>1522</v>
      </c>
      <c r="M179" s="47" t="s">
        <v>1523</v>
      </c>
      <c r="N179">
        <v>462</v>
      </c>
      <c r="O179">
        <v>462</v>
      </c>
      <c r="P179" s="11" t="s">
        <v>536</v>
      </c>
    </row>
    <row r="180" spans="1:16" x14ac:dyDescent="0.2">
      <c r="A180">
        <v>648</v>
      </c>
      <c r="B180">
        <v>736</v>
      </c>
      <c r="C180" t="str">
        <f>VLOOKUP(Table10[[#This Row],[source]],Table2226[[#All],[ID]:[Label]],3,FALSE)</f>
        <v>LAX</v>
      </c>
      <c r="D180" t="str">
        <f>VLOOKUP(Table10[[#This Row],[target]],Table2226[[#All],[ID]:[Label]],3,FALSE)</f>
        <v>SLC</v>
      </c>
      <c r="E180" s="32" t="str">
        <f>IF(ISERROR(VLOOKUP(Table10[[#This Row],[source2]],Table22[Label],1,FALSE)),IF(ISERROR(VLOOKUP(Table10[[#This Row],[source2]],Table2210[Label],1,FALSE)),"SPOKE","FOCUS"),"HUB")</f>
        <v>HUB</v>
      </c>
      <c r="F180" s="32" t="str">
        <f>IF(ISERROR(VLOOKUP(Table10[[#This Row],[target2]],Table22[Label],1,FALSE)),IF(ISERROR(VLOOKUP(Table10[[#This Row],[target2]],Table2210[Label],1,FALSE)),"SPOKE","FOCUS"),"HUB")</f>
        <v>HUB</v>
      </c>
      <c r="G180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180" s="46" t="s">
        <v>2277</v>
      </c>
      <c r="I180" s="47" t="s">
        <v>2278</v>
      </c>
      <c r="J180" s="47" t="s">
        <v>2279</v>
      </c>
      <c r="K180" s="47" t="s">
        <v>2280</v>
      </c>
      <c r="L180" s="47" t="s">
        <v>2281</v>
      </c>
      <c r="M180" s="47" t="s">
        <v>2282</v>
      </c>
      <c r="N180">
        <v>1062</v>
      </c>
      <c r="O180">
        <v>1062</v>
      </c>
      <c r="P180" s="11" t="s">
        <v>537</v>
      </c>
    </row>
    <row r="181" spans="1:16" x14ac:dyDescent="0.2">
      <c r="A181">
        <v>648</v>
      </c>
      <c r="B181">
        <v>663</v>
      </c>
      <c r="C181" t="str">
        <f>VLOOKUP(Table10[[#This Row],[source]],Table2226[[#All],[ID]:[Label]],3,FALSE)</f>
        <v>LAX</v>
      </c>
      <c r="D181" t="str">
        <f>VLOOKUP(Table10[[#This Row],[target]],Table2226[[#All],[ID]:[Label]],3,FALSE)</f>
        <v>MCO</v>
      </c>
      <c r="E181" s="32" t="str">
        <f>IF(ISERROR(VLOOKUP(Table10[[#This Row],[source2]],Table22[Label],1,FALSE)),IF(ISERROR(VLOOKUP(Table10[[#This Row],[source2]],Table2210[Label],1,FALSE)),"SPOKE","FOCUS"),"HUB")</f>
        <v>HUB</v>
      </c>
      <c r="F181" s="32" t="str">
        <f>IF(ISERROR(VLOOKUP(Table10[[#This Row],[target2]],Table22[Label],1,FALSE)),IF(ISERROR(VLOOKUP(Table10[[#This Row],[target2]],Table2210[Label],1,FALSE)),"SPOKE","FOCUS"),"HUB")</f>
        <v>FOCUS</v>
      </c>
      <c r="G181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HUB-FOCUS</v>
      </c>
      <c r="H181" s="46" t="s">
        <v>2272</v>
      </c>
      <c r="I181" s="47" t="s">
        <v>2273</v>
      </c>
      <c r="J181" s="47" t="s">
        <v>2274</v>
      </c>
      <c r="K181" s="47" t="s">
        <v>2275</v>
      </c>
      <c r="L181" s="47" t="s">
        <v>1500</v>
      </c>
      <c r="M181" s="47" t="s">
        <v>2276</v>
      </c>
      <c r="N181">
        <v>816</v>
      </c>
      <c r="O181">
        <v>816</v>
      </c>
      <c r="P181" s="11" t="s">
        <v>538</v>
      </c>
    </row>
    <row r="182" spans="1:16" x14ac:dyDescent="0.2">
      <c r="A182">
        <v>627</v>
      </c>
      <c r="B182">
        <v>733</v>
      </c>
      <c r="C182" t="str">
        <f>VLOOKUP(Table10[[#This Row],[source]],Table2226[[#All],[ID]:[Label]],3,FALSE)</f>
        <v>IAH</v>
      </c>
      <c r="D182" t="str">
        <f>VLOOKUP(Table10[[#This Row],[target]],Table2226[[#All],[ID]:[Label]],3,FALSE)</f>
        <v>SFO</v>
      </c>
      <c r="E182" s="32" t="str">
        <f>IF(ISERROR(VLOOKUP(Table10[[#This Row],[source2]],Table22[Label],1,FALSE)),IF(ISERROR(VLOOKUP(Table10[[#This Row],[source2]],Table2210[Label],1,FALSE)),"SPOKE","FOCUS"),"HUB")</f>
        <v>HUB</v>
      </c>
      <c r="F182" s="32" t="str">
        <f>IF(ISERROR(VLOOKUP(Table10[[#This Row],[target2]],Table22[Label],1,FALSE)),IF(ISERROR(VLOOKUP(Table10[[#This Row],[target2]],Table2210[Label],1,FALSE)),"SPOKE","FOCUS"),"HUB")</f>
        <v>HUB</v>
      </c>
      <c r="G182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182" s="46" t="s">
        <v>801</v>
      </c>
      <c r="I182" s="47" t="s">
        <v>1828</v>
      </c>
      <c r="J182" s="47" t="s">
        <v>727</v>
      </c>
      <c r="K182" s="47" t="s">
        <v>1829</v>
      </c>
      <c r="L182" s="47" t="s">
        <v>1011</v>
      </c>
      <c r="M182" s="47" t="s">
        <v>1830</v>
      </c>
      <c r="N182">
        <v>387</v>
      </c>
      <c r="O182">
        <v>387</v>
      </c>
      <c r="P182" s="11" t="s">
        <v>539</v>
      </c>
    </row>
    <row r="183" spans="1:16" x14ac:dyDescent="0.2">
      <c r="A183">
        <v>730</v>
      </c>
      <c r="B183">
        <v>645</v>
      </c>
      <c r="C183" t="str">
        <f>VLOOKUP(Table10[[#This Row],[source]],Table2226[[#All],[ID]:[Label]],3,FALSE)</f>
        <v>SEA</v>
      </c>
      <c r="D183" t="str">
        <f>VLOOKUP(Table10[[#This Row],[target]],Table2226[[#All],[ID]:[Label]],3,FALSE)</f>
        <v>JFK</v>
      </c>
      <c r="E183" s="32" t="str">
        <f>IF(ISERROR(VLOOKUP(Table10[[#This Row],[source2]],Table22[Label],1,FALSE)),IF(ISERROR(VLOOKUP(Table10[[#This Row],[source2]],Table2210[Label],1,FALSE)),"SPOKE","FOCUS"),"HUB")</f>
        <v>HUB</v>
      </c>
      <c r="F183" s="32" t="str">
        <f>IF(ISERROR(VLOOKUP(Table10[[#This Row],[target2]],Table22[Label],1,FALSE)),IF(ISERROR(VLOOKUP(Table10[[#This Row],[target2]],Table2210[Label],1,FALSE)),"SPOKE","FOCUS"),"HUB")</f>
        <v>HUB</v>
      </c>
      <c r="G183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183" s="46" t="s">
        <v>801</v>
      </c>
      <c r="I183" s="47" t="s">
        <v>2172</v>
      </c>
      <c r="J183" s="47" t="s">
        <v>727</v>
      </c>
      <c r="K183" s="47" t="s">
        <v>2173</v>
      </c>
      <c r="L183" s="47" t="s">
        <v>1387</v>
      </c>
      <c r="M183" s="47" t="s">
        <v>2174</v>
      </c>
      <c r="N183">
        <v>589</v>
      </c>
      <c r="O183">
        <v>589</v>
      </c>
      <c r="P183" s="11" t="s">
        <v>540</v>
      </c>
    </row>
    <row r="184" spans="1:16" x14ac:dyDescent="0.2">
      <c r="A184">
        <v>597</v>
      </c>
      <c r="B184">
        <v>529</v>
      </c>
      <c r="C184" t="str">
        <f>VLOOKUP(Table10[[#This Row],[source]],Table2226[[#All],[ID]:[Label]],3,FALSE)</f>
        <v>FLL</v>
      </c>
      <c r="D184" t="str">
        <f>VLOOKUP(Table10[[#This Row],[target]],Table2226[[#All],[ID]:[Label]],3,FALSE)</f>
        <v>BOS</v>
      </c>
      <c r="E184" s="32" t="str">
        <f>IF(ISERROR(VLOOKUP(Table10[[#This Row],[source2]],Table22[Label],1,FALSE)),IF(ISERROR(VLOOKUP(Table10[[#This Row],[source2]],Table2210[Label],1,FALSE)),"SPOKE","FOCUS"),"HUB")</f>
        <v>FOCUS</v>
      </c>
      <c r="F184" s="32" t="str">
        <f>IF(ISERROR(VLOOKUP(Table10[[#This Row],[target2]],Table22[Label],1,FALSE)),IF(ISERROR(VLOOKUP(Table10[[#This Row],[target2]],Table2210[Label],1,FALSE)),"SPOKE","FOCUS"),"HUB")</f>
        <v>HUB</v>
      </c>
      <c r="G184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HUB-FOCUS</v>
      </c>
      <c r="H184" s="46" t="s">
        <v>900</v>
      </c>
      <c r="I184" s="47" t="s">
        <v>901</v>
      </c>
      <c r="J184" s="47" t="s">
        <v>902</v>
      </c>
      <c r="K184" s="47" t="s">
        <v>903</v>
      </c>
      <c r="L184" s="47" t="s">
        <v>904</v>
      </c>
      <c r="M184" s="47" t="s">
        <v>905</v>
      </c>
      <c r="N184">
        <v>430</v>
      </c>
      <c r="O184">
        <v>430</v>
      </c>
      <c r="P184" s="11" t="s">
        <v>541</v>
      </c>
    </row>
    <row r="185" spans="1:16" x14ac:dyDescent="0.2">
      <c r="A185">
        <v>554</v>
      </c>
      <c r="B185">
        <v>653</v>
      </c>
      <c r="C185" t="str">
        <f>VLOOKUP(Table10[[#This Row],[source]],Table2226[[#All],[ID]:[Label]],3,FALSE)</f>
        <v>CLT</v>
      </c>
      <c r="D185" t="str">
        <f>VLOOKUP(Table10[[#This Row],[target]],Table2226[[#All],[ID]:[Label]],3,FALSE)</f>
        <v>LIT</v>
      </c>
      <c r="E185" s="32" t="str">
        <f>IF(ISERROR(VLOOKUP(Table10[[#This Row],[source2]],Table22[Label],1,FALSE)),IF(ISERROR(VLOOKUP(Table10[[#This Row],[source2]],Table2210[Label],1,FALSE)),"SPOKE","FOCUS"),"HUB")</f>
        <v>HUB</v>
      </c>
      <c r="F185" s="32" t="str">
        <f>IF(ISERROR(VLOOKUP(Table10[[#This Row],[target2]],Table22[Label],1,FALSE)),IF(ISERROR(VLOOKUP(Table10[[#This Row],[target2]],Table2210[Label],1,FALSE)),"SPOKE","FOCUS"),"HUB")</f>
        <v>SPOKE</v>
      </c>
      <c r="G185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185" s="46" t="s">
        <v>1721</v>
      </c>
      <c r="I185" s="47" t="s">
        <v>1722</v>
      </c>
      <c r="J185" s="47" t="s">
        <v>738</v>
      </c>
      <c r="K185" s="47" t="s">
        <v>1723</v>
      </c>
      <c r="L185" s="47" t="s">
        <v>1018</v>
      </c>
      <c r="M185" s="47" t="s">
        <v>1724</v>
      </c>
      <c r="N185">
        <v>577</v>
      </c>
      <c r="O185">
        <v>577</v>
      </c>
      <c r="P185" s="11" t="s">
        <v>542</v>
      </c>
    </row>
    <row r="186" spans="1:16" x14ac:dyDescent="0.2">
      <c r="A186">
        <v>691</v>
      </c>
      <c r="B186">
        <v>702</v>
      </c>
      <c r="C186" t="str">
        <f>VLOOKUP(Table10[[#This Row],[source]],Table2226[[#All],[ID]:[Label]],3,FALSE)</f>
        <v>ORD</v>
      </c>
      <c r="D186" t="str">
        <f>VLOOKUP(Table10[[#This Row],[target]],Table2226[[#All],[ID]:[Label]],3,FALSE)</f>
        <v>PHX</v>
      </c>
      <c r="E186" s="32" t="str">
        <f>IF(ISERROR(VLOOKUP(Table10[[#This Row],[source2]],Table22[Label],1,FALSE)),IF(ISERROR(VLOOKUP(Table10[[#This Row],[source2]],Table2210[Label],1,FALSE)),"SPOKE","FOCUS"),"HUB")</f>
        <v>HUB</v>
      </c>
      <c r="F186" s="32" t="str">
        <f>IF(ISERROR(VLOOKUP(Table10[[#This Row],[target2]],Table22[Label],1,FALSE)),IF(ISERROR(VLOOKUP(Table10[[#This Row],[target2]],Table2210[Label],1,FALSE)),"SPOKE","FOCUS"),"HUB")</f>
        <v>HUB</v>
      </c>
      <c r="G186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186" s="46" t="s">
        <v>801</v>
      </c>
      <c r="I186" s="47" t="s">
        <v>1578</v>
      </c>
      <c r="J186" s="47" t="s">
        <v>727</v>
      </c>
      <c r="K186" s="47" t="s">
        <v>1579</v>
      </c>
      <c r="L186" s="47" t="s">
        <v>1580</v>
      </c>
      <c r="M186" s="47" t="s">
        <v>1581</v>
      </c>
      <c r="N186">
        <v>830</v>
      </c>
      <c r="O186">
        <v>830</v>
      </c>
      <c r="P186" s="11" t="s">
        <v>543</v>
      </c>
    </row>
    <row r="187" spans="1:16" x14ac:dyDescent="0.2">
      <c r="A187">
        <v>730</v>
      </c>
      <c r="B187">
        <v>712</v>
      </c>
      <c r="C187" t="str">
        <f>VLOOKUP(Table10[[#This Row],[source]],Table2226[[#All],[ID]:[Label]],3,FALSE)</f>
        <v>SEA</v>
      </c>
      <c r="D187" t="str">
        <f>VLOOKUP(Table10[[#This Row],[target]],Table2226[[#All],[ID]:[Label]],3,FALSE)</f>
        <v>PSP</v>
      </c>
      <c r="E187" s="32" t="str">
        <f>IF(ISERROR(VLOOKUP(Table10[[#This Row],[source2]],Table22[Label],1,FALSE)),IF(ISERROR(VLOOKUP(Table10[[#This Row],[source2]],Table2210[Label],1,FALSE)),"SPOKE","FOCUS"),"HUB")</f>
        <v>HUB</v>
      </c>
      <c r="F187" s="32" t="str">
        <f>IF(ISERROR(VLOOKUP(Table10[[#This Row],[target2]],Table22[Label],1,FALSE)),IF(ISERROR(VLOOKUP(Table10[[#This Row],[target2]],Table2210[Label],1,FALSE)),"SPOKE","FOCUS"),"HUB")</f>
        <v>SPOKE</v>
      </c>
      <c r="G187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187" s="46" t="s">
        <v>2152</v>
      </c>
      <c r="I187" s="47" t="s">
        <v>2153</v>
      </c>
      <c r="J187" s="47" t="s">
        <v>2154</v>
      </c>
      <c r="K187" s="47" t="s">
        <v>2155</v>
      </c>
      <c r="L187" s="47" t="s">
        <v>1387</v>
      </c>
      <c r="M187" s="47" t="s">
        <v>2156</v>
      </c>
      <c r="N187">
        <v>590</v>
      </c>
      <c r="O187">
        <v>590</v>
      </c>
      <c r="P187" s="11" t="s">
        <v>544</v>
      </c>
    </row>
    <row r="188" spans="1:16" x14ac:dyDescent="0.2">
      <c r="A188">
        <v>579</v>
      </c>
      <c r="B188">
        <v>702</v>
      </c>
      <c r="C188" t="str">
        <f>VLOOKUP(Table10[[#This Row],[source]],Table2226[[#All],[ID]:[Label]],3,FALSE)</f>
        <v>DTW</v>
      </c>
      <c r="D188" t="str">
        <f>VLOOKUP(Table10[[#This Row],[target]],Table2226[[#All],[ID]:[Label]],3,FALSE)</f>
        <v>PHX</v>
      </c>
      <c r="E188" s="32" t="str">
        <f>IF(ISERROR(VLOOKUP(Table10[[#This Row],[source2]],Table22[Label],1,FALSE)),IF(ISERROR(VLOOKUP(Table10[[#This Row],[source2]],Table2210[Label],1,FALSE)),"SPOKE","FOCUS"),"HUB")</f>
        <v>HUB</v>
      </c>
      <c r="F188" s="32" t="str">
        <f>IF(ISERROR(VLOOKUP(Table10[[#This Row],[target2]],Table22[Label],1,FALSE)),IF(ISERROR(VLOOKUP(Table10[[#This Row],[target2]],Table2210[Label],1,FALSE)),"SPOKE","FOCUS"),"HUB")</f>
        <v>HUB</v>
      </c>
      <c r="G188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188" s="46" t="s">
        <v>801</v>
      </c>
      <c r="I188" s="47" t="s">
        <v>1239</v>
      </c>
      <c r="J188" s="47" t="s">
        <v>727</v>
      </c>
      <c r="K188" s="47" t="s">
        <v>1240</v>
      </c>
      <c r="L188" s="47" t="s">
        <v>904</v>
      </c>
      <c r="M188" s="47" t="s">
        <v>1241</v>
      </c>
      <c r="N188">
        <v>377</v>
      </c>
      <c r="O188">
        <v>377</v>
      </c>
      <c r="P188" s="11" t="s">
        <v>545</v>
      </c>
    </row>
    <row r="189" spans="1:16" x14ac:dyDescent="0.2">
      <c r="A189">
        <v>625</v>
      </c>
      <c r="B189">
        <v>645</v>
      </c>
      <c r="C189" t="str">
        <f>VLOOKUP(Table10[[#This Row],[source]],Table2226[[#All],[ID]:[Label]],3,FALSE)</f>
        <v>IAD</v>
      </c>
      <c r="D189" t="str">
        <f>VLOOKUP(Table10[[#This Row],[target]],Table2226[[#All],[ID]:[Label]],3,FALSE)</f>
        <v>JFK</v>
      </c>
      <c r="E189" s="32" t="str">
        <f>IF(ISERROR(VLOOKUP(Table10[[#This Row],[source2]],Table22[Label],1,FALSE)),IF(ISERROR(VLOOKUP(Table10[[#This Row],[source2]],Table2210[Label],1,FALSE)),"SPOKE","FOCUS"),"HUB")</f>
        <v>HUB</v>
      </c>
      <c r="F189" s="32" t="str">
        <f>IF(ISERROR(VLOOKUP(Table10[[#This Row],[target2]],Table22[Label],1,FALSE)),IF(ISERROR(VLOOKUP(Table10[[#This Row],[target2]],Table2210[Label],1,FALSE)),"SPOKE","FOCUS"),"HUB")</f>
        <v>HUB</v>
      </c>
      <c r="G189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189" s="46" t="s">
        <v>1064</v>
      </c>
      <c r="I189" s="47" t="s">
        <v>1065</v>
      </c>
      <c r="J189" s="47" t="s">
        <v>1066</v>
      </c>
      <c r="K189" s="47" t="s">
        <v>1067</v>
      </c>
      <c r="L189" s="47" t="s">
        <v>1068</v>
      </c>
      <c r="M189" s="47" t="s">
        <v>1069</v>
      </c>
      <c r="N189">
        <v>264</v>
      </c>
      <c r="O189">
        <v>264</v>
      </c>
      <c r="P189" s="11" t="s">
        <v>546</v>
      </c>
    </row>
    <row r="190" spans="1:16" x14ac:dyDescent="0.2">
      <c r="A190">
        <v>702</v>
      </c>
      <c r="B190">
        <v>645</v>
      </c>
      <c r="C190" t="str">
        <f>VLOOKUP(Table10[[#This Row],[source]],Table2226[[#All],[ID]:[Label]],3,FALSE)</f>
        <v>PHX</v>
      </c>
      <c r="D190" t="str">
        <f>VLOOKUP(Table10[[#This Row],[target]],Table2226[[#All],[ID]:[Label]],3,FALSE)</f>
        <v>JFK</v>
      </c>
      <c r="E190" s="32" t="str">
        <f>IF(ISERROR(VLOOKUP(Table10[[#This Row],[source2]],Table22[Label],1,FALSE)),IF(ISERROR(VLOOKUP(Table10[[#This Row],[source2]],Table2210[Label],1,FALSE)),"SPOKE","FOCUS"),"HUB")</f>
        <v>HUB</v>
      </c>
      <c r="F190" s="32" t="str">
        <f>IF(ISERROR(VLOOKUP(Table10[[#This Row],[target2]],Table22[Label],1,FALSE)),IF(ISERROR(VLOOKUP(Table10[[#This Row],[target2]],Table2210[Label],1,FALSE)),"SPOKE","FOCUS"),"HUB")</f>
        <v>HUB</v>
      </c>
      <c r="G190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190" s="46" t="s">
        <v>801</v>
      </c>
      <c r="I190" s="47" t="s">
        <v>2047</v>
      </c>
      <c r="J190" s="47" t="s">
        <v>727</v>
      </c>
      <c r="K190" s="47" t="s">
        <v>2048</v>
      </c>
      <c r="L190" s="47" t="s">
        <v>1848</v>
      </c>
      <c r="M190" s="47" t="s">
        <v>2049</v>
      </c>
      <c r="N190">
        <v>498</v>
      </c>
      <c r="O190">
        <v>498</v>
      </c>
      <c r="P190" s="11" t="s">
        <v>547</v>
      </c>
    </row>
    <row r="191" spans="1:16" x14ac:dyDescent="0.2">
      <c r="A191">
        <v>702</v>
      </c>
      <c r="B191">
        <v>647</v>
      </c>
      <c r="C191" t="str">
        <f>VLOOKUP(Table10[[#This Row],[source]],Table2226[[#All],[ID]:[Label]],3,FALSE)</f>
        <v>PHX</v>
      </c>
      <c r="D191" t="str">
        <f>VLOOKUP(Table10[[#This Row],[target]],Table2226[[#All],[ID]:[Label]],3,FALSE)</f>
        <v>LAS</v>
      </c>
      <c r="E191" s="32" t="str">
        <f>IF(ISERROR(VLOOKUP(Table10[[#This Row],[source2]],Table22[Label],1,FALSE)),IF(ISERROR(VLOOKUP(Table10[[#This Row],[source2]],Table2210[Label],1,FALSE)),"SPOKE","FOCUS"),"HUB")</f>
        <v>HUB</v>
      </c>
      <c r="F191" s="32" t="str">
        <f>IF(ISERROR(VLOOKUP(Table10[[#This Row],[target2]],Table22[Label],1,FALSE)),IF(ISERROR(VLOOKUP(Table10[[#This Row],[target2]],Table2210[Label],1,FALSE)),"SPOKE","FOCUS"),"HUB")</f>
        <v>FOCUS</v>
      </c>
      <c r="G191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HUB-FOCUS</v>
      </c>
      <c r="H191" s="46" t="s">
        <v>801</v>
      </c>
      <c r="I191" s="47" t="s">
        <v>2054</v>
      </c>
      <c r="J191" s="47" t="s">
        <v>727</v>
      </c>
      <c r="K191" s="47" t="s">
        <v>2055</v>
      </c>
      <c r="L191" s="47" t="s">
        <v>2056</v>
      </c>
      <c r="M191" s="47" t="s">
        <v>2057</v>
      </c>
      <c r="N191">
        <v>880</v>
      </c>
      <c r="O191">
        <v>880</v>
      </c>
      <c r="P191" s="11" t="s">
        <v>548</v>
      </c>
    </row>
    <row r="192" spans="1:16" x14ac:dyDescent="0.2">
      <c r="A192">
        <v>554</v>
      </c>
      <c r="B192">
        <v>575</v>
      </c>
      <c r="C192" t="str">
        <f>VLOOKUP(Table10[[#This Row],[source]],Table2226[[#All],[ID]:[Label]],3,FALSE)</f>
        <v>CLT</v>
      </c>
      <c r="D192" t="str">
        <f>VLOOKUP(Table10[[#This Row],[target]],Table2226[[#All],[ID]:[Label]],3,FALSE)</f>
        <v>DFW</v>
      </c>
      <c r="E192" s="32" t="str">
        <f>IF(ISERROR(VLOOKUP(Table10[[#This Row],[source2]],Table22[Label],1,FALSE)),IF(ISERROR(VLOOKUP(Table10[[#This Row],[source2]],Table2210[Label],1,FALSE)),"SPOKE","FOCUS"),"HUB")</f>
        <v>HUB</v>
      </c>
      <c r="F192" s="32" t="str">
        <f>IF(ISERROR(VLOOKUP(Table10[[#This Row],[target2]],Table22[Label],1,FALSE)),IF(ISERROR(VLOOKUP(Table10[[#This Row],[target2]],Table2210[Label],1,FALSE)),"SPOKE","FOCUS"),"HUB")</f>
        <v>HUB</v>
      </c>
      <c r="G192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192" s="46" t="s">
        <v>801</v>
      </c>
      <c r="I192" s="47" t="s">
        <v>1734</v>
      </c>
      <c r="J192" s="47" t="s">
        <v>727</v>
      </c>
      <c r="K192" s="47" t="s">
        <v>1735</v>
      </c>
      <c r="L192" s="47" t="s">
        <v>861</v>
      </c>
      <c r="M192" s="47" t="s">
        <v>1736</v>
      </c>
      <c r="N192">
        <v>490</v>
      </c>
      <c r="O192">
        <v>490</v>
      </c>
      <c r="P192" s="11" t="s">
        <v>549</v>
      </c>
    </row>
    <row r="193" spans="1:16" x14ac:dyDescent="0.2">
      <c r="A193">
        <v>682</v>
      </c>
      <c r="B193">
        <v>2189</v>
      </c>
      <c r="C193" t="str">
        <f>VLOOKUP(Table10[[#This Row],[source]],Table2226[[#All],[ID]:[Label]],3,FALSE)</f>
        <v>MSP</v>
      </c>
      <c r="D193" t="str">
        <f>VLOOKUP(Table10[[#This Row],[target]],Table2226[[#All],[ID]:[Label]],3,FALSE)</f>
        <v>TUL</v>
      </c>
      <c r="E193" s="32" t="str">
        <f>IF(ISERROR(VLOOKUP(Table10[[#This Row],[source2]],Table22[Label],1,FALSE)),IF(ISERROR(VLOOKUP(Table10[[#This Row],[source2]],Table2210[Label],1,FALSE)),"SPOKE","FOCUS"),"HUB")</f>
        <v>HUB</v>
      </c>
      <c r="F193" s="32" t="str">
        <f>IF(ISERROR(VLOOKUP(Table10[[#This Row],[target2]],Table22[Label],1,FALSE)),IF(ISERROR(VLOOKUP(Table10[[#This Row],[target2]],Table2210[Label],1,FALSE)),"SPOKE","FOCUS"),"HUB")</f>
        <v>SPOKE</v>
      </c>
      <c r="G193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193" s="46" t="s">
        <v>1962</v>
      </c>
      <c r="I193" s="47" t="s">
        <v>1963</v>
      </c>
      <c r="J193" s="47" t="s">
        <v>738</v>
      </c>
      <c r="K193" s="47" t="s">
        <v>1964</v>
      </c>
      <c r="L193" s="47" t="s">
        <v>769</v>
      </c>
      <c r="M193" s="47" t="s">
        <v>1965</v>
      </c>
      <c r="N193">
        <v>431</v>
      </c>
      <c r="O193">
        <v>431</v>
      </c>
      <c r="P193" s="11" t="s">
        <v>550</v>
      </c>
    </row>
    <row r="194" spans="1:16" x14ac:dyDescent="0.2">
      <c r="A194">
        <v>575</v>
      </c>
      <c r="B194">
        <v>673</v>
      </c>
      <c r="C194" t="str">
        <f>VLOOKUP(Table10[[#This Row],[source]],Table2226[[#All],[ID]:[Label]],3,FALSE)</f>
        <v>DFW</v>
      </c>
      <c r="D194" t="str">
        <f>VLOOKUP(Table10[[#This Row],[target]],Table2226[[#All],[ID]:[Label]],3,FALSE)</f>
        <v>MIA</v>
      </c>
      <c r="E194" s="32" t="str">
        <f>IF(ISERROR(VLOOKUP(Table10[[#This Row],[source2]],Table22[Label],1,FALSE)),IF(ISERROR(VLOOKUP(Table10[[#This Row],[source2]],Table2210[Label],1,FALSE)),"SPOKE","FOCUS"),"HUB")</f>
        <v>HUB</v>
      </c>
      <c r="F194" s="32" t="str">
        <f>IF(ISERROR(VLOOKUP(Table10[[#This Row],[target2]],Table22[Label],1,FALSE)),IF(ISERROR(VLOOKUP(Table10[[#This Row],[target2]],Table2210[Label],1,FALSE)),"SPOKE","FOCUS"),"HUB")</f>
        <v>HUB</v>
      </c>
      <c r="G194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194" s="46" t="s">
        <v>1996</v>
      </c>
      <c r="I194" s="47" t="s">
        <v>1997</v>
      </c>
      <c r="J194" s="47" t="s">
        <v>1998</v>
      </c>
      <c r="K194" s="47" t="s">
        <v>1999</v>
      </c>
      <c r="L194" s="47" t="s">
        <v>2000</v>
      </c>
      <c r="M194" s="47" t="s">
        <v>2001</v>
      </c>
      <c r="N194">
        <v>508</v>
      </c>
      <c r="O194">
        <v>508</v>
      </c>
      <c r="P194" s="11" t="s">
        <v>551</v>
      </c>
    </row>
    <row r="195" spans="1:16" x14ac:dyDescent="0.2">
      <c r="A195">
        <v>597</v>
      </c>
      <c r="B195">
        <v>645</v>
      </c>
      <c r="C195" t="str">
        <f>VLOOKUP(Table10[[#This Row],[source]],Table2226[[#All],[ID]:[Label]],3,FALSE)</f>
        <v>FLL</v>
      </c>
      <c r="D195" t="str">
        <f>VLOOKUP(Table10[[#This Row],[target]],Table2226[[#All],[ID]:[Label]],3,FALSE)</f>
        <v>JFK</v>
      </c>
      <c r="E195" s="32" t="str">
        <f>IF(ISERROR(VLOOKUP(Table10[[#This Row],[source2]],Table22[Label],1,FALSE)),IF(ISERROR(VLOOKUP(Table10[[#This Row],[source2]],Table2210[Label],1,FALSE)),"SPOKE","FOCUS"),"HUB")</f>
        <v>FOCUS</v>
      </c>
      <c r="F195" s="32" t="str">
        <f>IF(ISERROR(VLOOKUP(Table10[[#This Row],[target2]],Table22[Label],1,FALSE)),IF(ISERROR(VLOOKUP(Table10[[#This Row],[target2]],Table2210[Label],1,FALSE)),"SPOKE","FOCUS"),"HUB")</f>
        <v>HUB</v>
      </c>
      <c r="G195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HUB-FOCUS</v>
      </c>
      <c r="H195" s="46" t="s">
        <v>876</v>
      </c>
      <c r="I195" s="47" t="s">
        <v>877</v>
      </c>
      <c r="J195" s="47" t="s">
        <v>878</v>
      </c>
      <c r="K195" s="47" t="s">
        <v>879</v>
      </c>
      <c r="L195" s="47" t="s">
        <v>880</v>
      </c>
      <c r="M195" s="47" t="s">
        <v>881</v>
      </c>
      <c r="N195">
        <v>445</v>
      </c>
      <c r="O195">
        <v>445</v>
      </c>
      <c r="P195" s="11" t="s">
        <v>552</v>
      </c>
    </row>
    <row r="196" spans="1:16" x14ac:dyDescent="0.2">
      <c r="A196">
        <v>597</v>
      </c>
      <c r="B196">
        <v>730</v>
      </c>
      <c r="C196" t="str">
        <f>VLOOKUP(Table10[[#This Row],[source]],Table2226[[#All],[ID]:[Label]],3,FALSE)</f>
        <v>FLL</v>
      </c>
      <c r="D196" t="str">
        <f>VLOOKUP(Table10[[#This Row],[target]],Table2226[[#All],[ID]:[Label]],3,FALSE)</f>
        <v>SEA</v>
      </c>
      <c r="E196" s="32" t="str">
        <f>IF(ISERROR(VLOOKUP(Table10[[#This Row],[source2]],Table22[Label],1,FALSE)),IF(ISERROR(VLOOKUP(Table10[[#This Row],[source2]],Table2210[Label],1,FALSE)),"SPOKE","FOCUS"),"HUB")</f>
        <v>FOCUS</v>
      </c>
      <c r="F196" s="32" t="str">
        <f>IF(ISERROR(VLOOKUP(Table10[[#This Row],[target2]],Table22[Label],1,FALSE)),IF(ISERROR(VLOOKUP(Table10[[#This Row],[target2]],Table2210[Label],1,FALSE)),"SPOKE","FOCUS"),"HUB")</f>
        <v>HUB</v>
      </c>
      <c r="G196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HUB-FOCUS</v>
      </c>
      <c r="H196" s="46" t="s">
        <v>845</v>
      </c>
      <c r="I196" s="47" t="s">
        <v>846</v>
      </c>
      <c r="J196" s="47" t="s">
        <v>738</v>
      </c>
      <c r="K196" s="47" t="s">
        <v>847</v>
      </c>
      <c r="L196" s="47" t="s">
        <v>848</v>
      </c>
      <c r="M196" s="47" t="s">
        <v>849</v>
      </c>
      <c r="N196">
        <v>2933</v>
      </c>
      <c r="O196">
        <v>2933</v>
      </c>
      <c r="P196" s="11" t="s">
        <v>553</v>
      </c>
    </row>
    <row r="197" spans="1:16" x14ac:dyDescent="0.2">
      <c r="A197">
        <v>591</v>
      </c>
      <c r="B197">
        <v>682</v>
      </c>
      <c r="C197" t="str">
        <f>VLOOKUP(Table10[[#This Row],[source]],Table2226[[#All],[ID]:[Label]],3,FALSE)</f>
        <v>EWR</v>
      </c>
      <c r="D197" t="str">
        <f>VLOOKUP(Table10[[#This Row],[target]],Table2226[[#All],[ID]:[Label]],3,FALSE)</f>
        <v>MSP</v>
      </c>
      <c r="E197" s="32" t="str">
        <f>IF(ISERROR(VLOOKUP(Table10[[#This Row],[source2]],Table22[Label],1,FALSE)),IF(ISERROR(VLOOKUP(Table10[[#This Row],[source2]],Table2210[Label],1,FALSE)),"SPOKE","FOCUS"),"HUB")</f>
        <v>HUB</v>
      </c>
      <c r="F197" s="32" t="str">
        <f>IF(ISERROR(VLOOKUP(Table10[[#This Row],[target2]],Table22[Label],1,FALSE)),IF(ISERROR(VLOOKUP(Table10[[#This Row],[target2]],Table2210[Label],1,FALSE)),"SPOKE","FOCUS"),"HUB")</f>
        <v>HUB</v>
      </c>
      <c r="G197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197" s="46" t="s">
        <v>801</v>
      </c>
      <c r="I197" s="47" t="s">
        <v>1892</v>
      </c>
      <c r="J197" s="47" t="s">
        <v>727</v>
      </c>
      <c r="K197" s="47" t="s">
        <v>1893</v>
      </c>
      <c r="L197" s="47" t="s">
        <v>1894</v>
      </c>
      <c r="M197" s="47" t="s">
        <v>1895</v>
      </c>
      <c r="N197">
        <v>390</v>
      </c>
      <c r="O197">
        <v>390</v>
      </c>
      <c r="P197" s="11" t="s">
        <v>554</v>
      </c>
    </row>
    <row r="198" spans="1:16" x14ac:dyDescent="0.2">
      <c r="A198">
        <v>597</v>
      </c>
      <c r="B198">
        <v>579</v>
      </c>
      <c r="C198" t="str">
        <f>VLOOKUP(Table10[[#This Row],[source]],Table2226[[#All],[ID]:[Label]],3,FALSE)</f>
        <v>FLL</v>
      </c>
      <c r="D198" t="str">
        <f>VLOOKUP(Table10[[#This Row],[target]],Table2226[[#All],[ID]:[Label]],3,FALSE)</f>
        <v>DTW</v>
      </c>
      <c r="E198" s="32" t="str">
        <f>IF(ISERROR(VLOOKUP(Table10[[#This Row],[source2]],Table22[Label],1,FALSE)),IF(ISERROR(VLOOKUP(Table10[[#This Row],[source2]],Table2210[Label],1,FALSE)),"SPOKE","FOCUS"),"HUB")</f>
        <v>FOCUS</v>
      </c>
      <c r="F198" s="32" t="str">
        <f>IF(ISERROR(VLOOKUP(Table10[[#This Row],[target2]],Table22[Label],1,FALSE)),IF(ISERROR(VLOOKUP(Table10[[#This Row],[target2]],Table2210[Label],1,FALSE)),"SPOKE","FOCUS"),"HUB")</f>
        <v>HUB</v>
      </c>
      <c r="G198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HUB-FOCUS</v>
      </c>
      <c r="H198" s="46" t="s">
        <v>829</v>
      </c>
      <c r="I198" s="47" t="s">
        <v>830</v>
      </c>
      <c r="J198" s="47" t="s">
        <v>831</v>
      </c>
      <c r="K198" s="47" t="s">
        <v>832</v>
      </c>
      <c r="L198" s="47" t="s">
        <v>833</v>
      </c>
      <c r="M198" s="47" t="s">
        <v>834</v>
      </c>
      <c r="N198">
        <v>287</v>
      </c>
      <c r="O198">
        <v>287</v>
      </c>
      <c r="P198" s="11" t="s">
        <v>555</v>
      </c>
    </row>
    <row r="199" spans="1:16" x14ac:dyDescent="0.2">
      <c r="A199">
        <v>579</v>
      </c>
      <c r="B199">
        <v>673</v>
      </c>
      <c r="C199" t="str">
        <f>VLOOKUP(Table10[[#This Row],[source]],Table2226[[#All],[ID]:[Label]],3,FALSE)</f>
        <v>DTW</v>
      </c>
      <c r="D199" t="str">
        <f>VLOOKUP(Table10[[#This Row],[target]],Table2226[[#All],[ID]:[Label]],3,FALSE)</f>
        <v>MIA</v>
      </c>
      <c r="E199" s="32" t="str">
        <f>IF(ISERROR(VLOOKUP(Table10[[#This Row],[source2]],Table22[Label],1,FALSE)),IF(ISERROR(VLOOKUP(Table10[[#This Row],[source2]],Table2210[Label],1,FALSE)),"SPOKE","FOCUS"),"HUB")</f>
        <v>HUB</v>
      </c>
      <c r="F199" s="32" t="str">
        <f>IF(ISERROR(VLOOKUP(Table10[[#This Row],[target2]],Table22[Label],1,FALSE)),IF(ISERROR(VLOOKUP(Table10[[#This Row],[target2]],Table2210[Label],1,FALSE)),"SPOKE","FOCUS"),"HUB")</f>
        <v>HUB</v>
      </c>
      <c r="G199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199" s="46" t="s">
        <v>1319</v>
      </c>
      <c r="I199" s="47" t="s">
        <v>1320</v>
      </c>
      <c r="J199" s="47" t="s">
        <v>1321</v>
      </c>
      <c r="K199" s="47" t="s">
        <v>1322</v>
      </c>
      <c r="L199" s="47" t="s">
        <v>852</v>
      </c>
      <c r="M199" s="47" t="s">
        <v>1323</v>
      </c>
      <c r="N199">
        <v>265</v>
      </c>
      <c r="O199">
        <v>265</v>
      </c>
      <c r="P199" s="11" t="s">
        <v>556</v>
      </c>
    </row>
    <row r="200" spans="1:16" x14ac:dyDescent="0.2">
      <c r="A200">
        <v>700</v>
      </c>
      <c r="B200">
        <v>554</v>
      </c>
      <c r="C200" t="str">
        <f>VLOOKUP(Table10[[#This Row],[source]],Table2226[[#All],[ID]:[Label]],3,FALSE)</f>
        <v>PHL</v>
      </c>
      <c r="D200" t="str">
        <f>VLOOKUP(Table10[[#This Row],[target]],Table2226[[#All],[ID]:[Label]],3,FALSE)</f>
        <v>CLT</v>
      </c>
      <c r="E200" s="32" t="str">
        <f>IF(ISERROR(VLOOKUP(Table10[[#This Row],[source2]],Table22[Label],1,FALSE)),IF(ISERROR(VLOOKUP(Table10[[#This Row],[source2]],Table2210[Label],1,FALSE)),"SPOKE","FOCUS"),"HUB")</f>
        <v>HUB</v>
      </c>
      <c r="F200" s="32" t="str">
        <f>IF(ISERROR(VLOOKUP(Table10[[#This Row],[target2]],Table22[Label],1,FALSE)),IF(ISERROR(VLOOKUP(Table10[[#This Row],[target2]],Table2210[Label],1,FALSE)),"SPOKE","FOCUS"),"HUB")</f>
        <v>HUB</v>
      </c>
      <c r="G200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200" s="46" t="s">
        <v>801</v>
      </c>
      <c r="I200" s="47" t="s">
        <v>949</v>
      </c>
      <c r="J200" s="47" t="s">
        <v>727</v>
      </c>
      <c r="K200" s="47" t="s">
        <v>950</v>
      </c>
      <c r="L200" s="47" t="s">
        <v>951</v>
      </c>
      <c r="M200" s="47" t="s">
        <v>952</v>
      </c>
      <c r="N200">
        <v>471</v>
      </c>
      <c r="O200">
        <v>471</v>
      </c>
      <c r="P200" s="11" t="s">
        <v>557</v>
      </c>
    </row>
    <row r="201" spans="1:16" x14ac:dyDescent="0.2">
      <c r="A201">
        <v>574</v>
      </c>
      <c r="B201">
        <v>554</v>
      </c>
      <c r="C201" t="str">
        <f>VLOOKUP(Table10[[#This Row],[source]],Table2226[[#All],[ID]:[Label]],3,FALSE)</f>
        <v>DEN</v>
      </c>
      <c r="D201" t="str">
        <f>VLOOKUP(Table10[[#This Row],[target]],Table2226[[#All],[ID]:[Label]],3,FALSE)</f>
        <v>CLT</v>
      </c>
      <c r="E201" s="32" t="str">
        <f>IF(ISERROR(VLOOKUP(Table10[[#This Row],[source2]],Table22[Label],1,FALSE)),IF(ISERROR(VLOOKUP(Table10[[#This Row],[source2]],Table2210[Label],1,FALSE)),"SPOKE","FOCUS"),"HUB")</f>
        <v>HUB</v>
      </c>
      <c r="F201" s="32" t="str">
        <f>IF(ISERROR(VLOOKUP(Table10[[#This Row],[target2]],Table22[Label],1,FALSE)),IF(ISERROR(VLOOKUP(Table10[[#This Row],[target2]],Table2210[Label],1,FALSE)),"SPOKE","FOCUS"),"HUB")</f>
        <v>HUB</v>
      </c>
      <c r="G201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201" s="46" t="s">
        <v>801</v>
      </c>
      <c r="I201" s="47" t="s">
        <v>1491</v>
      </c>
      <c r="J201" s="47" t="s">
        <v>727</v>
      </c>
      <c r="K201" s="47" t="s">
        <v>1492</v>
      </c>
      <c r="L201" s="47" t="s">
        <v>1450</v>
      </c>
      <c r="M201" s="47" t="s">
        <v>1493</v>
      </c>
      <c r="N201">
        <v>407</v>
      </c>
      <c r="O201">
        <v>407</v>
      </c>
      <c r="P201" s="11" t="s">
        <v>558</v>
      </c>
    </row>
    <row r="202" spans="1:16" x14ac:dyDescent="0.2">
      <c r="A202">
        <v>682</v>
      </c>
      <c r="B202">
        <v>733</v>
      </c>
      <c r="C202" t="str">
        <f>VLOOKUP(Table10[[#This Row],[source]],Table2226[[#All],[ID]:[Label]],3,FALSE)</f>
        <v>MSP</v>
      </c>
      <c r="D202" t="str">
        <f>VLOOKUP(Table10[[#This Row],[target]],Table2226[[#All],[ID]:[Label]],3,FALSE)</f>
        <v>SFO</v>
      </c>
      <c r="E202" s="32" t="str">
        <f>IF(ISERROR(VLOOKUP(Table10[[#This Row],[source2]],Table22[Label],1,FALSE)),IF(ISERROR(VLOOKUP(Table10[[#This Row],[source2]],Table2210[Label],1,FALSE)),"SPOKE","FOCUS"),"HUB")</f>
        <v>HUB</v>
      </c>
      <c r="F202" s="32" t="str">
        <f>IF(ISERROR(VLOOKUP(Table10[[#This Row],[target2]],Table22[Label],1,FALSE)),IF(ISERROR(VLOOKUP(Table10[[#This Row],[target2]],Table2210[Label],1,FALSE)),"SPOKE","FOCUS"),"HUB")</f>
        <v>HUB</v>
      </c>
      <c r="G202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202" s="46" t="s">
        <v>801</v>
      </c>
      <c r="I202" s="47" t="s">
        <v>1947</v>
      </c>
      <c r="J202" s="47" t="s">
        <v>727</v>
      </c>
      <c r="K202" s="47" t="s">
        <v>1948</v>
      </c>
      <c r="L202" s="47" t="s">
        <v>904</v>
      </c>
      <c r="M202" s="47" t="s">
        <v>1949</v>
      </c>
      <c r="N202">
        <v>493</v>
      </c>
      <c r="O202">
        <v>493</v>
      </c>
      <c r="P202" s="11" t="s">
        <v>559</v>
      </c>
    </row>
    <row r="203" spans="1:16" x14ac:dyDescent="0.2">
      <c r="A203">
        <v>571</v>
      </c>
      <c r="B203">
        <v>691</v>
      </c>
      <c r="C203" t="str">
        <f>VLOOKUP(Table10[[#This Row],[source]],Table2226[[#All],[ID]:[Label]],3,FALSE)</f>
        <v>DCA</v>
      </c>
      <c r="D203" t="str">
        <f>VLOOKUP(Table10[[#This Row],[target]],Table2226[[#All],[ID]:[Label]],3,FALSE)</f>
        <v>ORD</v>
      </c>
      <c r="E203" s="32" t="str">
        <f>IF(ISERROR(VLOOKUP(Table10[[#This Row],[source2]],Table22[Label],1,FALSE)),IF(ISERROR(VLOOKUP(Table10[[#This Row],[source2]],Table2210[Label],1,FALSE)),"SPOKE","FOCUS"),"HUB")</f>
        <v>HUB</v>
      </c>
      <c r="F203" s="32" t="str">
        <f>IF(ISERROR(VLOOKUP(Table10[[#This Row],[target2]],Table22[Label],1,FALSE)),IF(ISERROR(VLOOKUP(Table10[[#This Row],[target2]],Table2210[Label],1,FALSE)),"SPOKE","FOCUS"),"HUB")</f>
        <v>HUB</v>
      </c>
      <c r="G203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203" s="46" t="s">
        <v>801</v>
      </c>
      <c r="I203" s="47" t="s">
        <v>1171</v>
      </c>
      <c r="J203" s="47" t="s">
        <v>727</v>
      </c>
      <c r="K203" s="47" t="s">
        <v>1172</v>
      </c>
      <c r="L203" s="47" t="s">
        <v>1173</v>
      </c>
      <c r="M203" s="47" t="s">
        <v>1174</v>
      </c>
      <c r="N203">
        <v>1131</v>
      </c>
      <c r="O203">
        <v>1131</v>
      </c>
      <c r="P203" s="11" t="s">
        <v>560</v>
      </c>
    </row>
    <row r="204" spans="1:16" x14ac:dyDescent="0.2">
      <c r="A204">
        <v>575</v>
      </c>
      <c r="B204">
        <v>736</v>
      </c>
      <c r="C204" t="str">
        <f>VLOOKUP(Table10[[#This Row],[source]],Table2226[[#All],[ID]:[Label]],3,FALSE)</f>
        <v>DFW</v>
      </c>
      <c r="D204" t="str">
        <f>VLOOKUP(Table10[[#This Row],[target]],Table2226[[#All],[ID]:[Label]],3,FALSE)</f>
        <v>SLC</v>
      </c>
      <c r="E204" s="32" t="str">
        <f>IF(ISERROR(VLOOKUP(Table10[[#This Row],[source2]],Table22[Label],1,FALSE)),IF(ISERROR(VLOOKUP(Table10[[#This Row],[source2]],Table2210[Label],1,FALSE)),"SPOKE","FOCUS"),"HUB")</f>
        <v>HUB</v>
      </c>
      <c r="F204" s="32" t="str">
        <f>IF(ISERROR(VLOOKUP(Table10[[#This Row],[target2]],Table22[Label],1,FALSE)),IF(ISERROR(VLOOKUP(Table10[[#This Row],[target2]],Table2210[Label],1,FALSE)),"SPOKE","FOCUS"),"HUB")</f>
        <v>HUB</v>
      </c>
      <c r="G204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204" s="46" t="s">
        <v>801</v>
      </c>
      <c r="I204" s="47" t="s">
        <v>2002</v>
      </c>
      <c r="J204" s="47" t="s">
        <v>727</v>
      </c>
      <c r="K204" s="47" t="s">
        <v>2003</v>
      </c>
      <c r="L204" s="47" t="s">
        <v>2004</v>
      </c>
      <c r="M204" s="47" t="s">
        <v>2005</v>
      </c>
      <c r="N204">
        <v>536</v>
      </c>
      <c r="O204">
        <v>536</v>
      </c>
      <c r="P204" s="11" t="s">
        <v>561</v>
      </c>
    </row>
    <row r="205" spans="1:16" x14ac:dyDescent="0.2">
      <c r="A205">
        <v>682</v>
      </c>
      <c r="B205">
        <v>647</v>
      </c>
      <c r="C205" t="str">
        <f>VLOOKUP(Table10[[#This Row],[source]],Table2226[[#All],[ID]:[Label]],3,FALSE)</f>
        <v>MSP</v>
      </c>
      <c r="D205" t="str">
        <f>VLOOKUP(Table10[[#This Row],[target]],Table2226[[#All],[ID]:[Label]],3,FALSE)</f>
        <v>LAS</v>
      </c>
      <c r="E205" s="32" t="str">
        <f>IF(ISERROR(VLOOKUP(Table10[[#This Row],[source2]],Table22[Label],1,FALSE)),IF(ISERROR(VLOOKUP(Table10[[#This Row],[source2]],Table2210[Label],1,FALSE)),"SPOKE","FOCUS"),"HUB")</f>
        <v>HUB</v>
      </c>
      <c r="F205" s="32" t="str">
        <f>IF(ISERROR(VLOOKUP(Table10[[#This Row],[target2]],Table22[Label],1,FALSE)),IF(ISERROR(VLOOKUP(Table10[[#This Row],[target2]],Table2210[Label],1,FALSE)),"SPOKE","FOCUS"),"HUB")</f>
        <v>FOCUS</v>
      </c>
      <c r="G205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HUB-FOCUS</v>
      </c>
      <c r="H205" s="46" t="s">
        <v>801</v>
      </c>
      <c r="I205" s="47" t="s">
        <v>1938</v>
      </c>
      <c r="J205" s="47" t="s">
        <v>727</v>
      </c>
      <c r="K205" s="47" t="s">
        <v>1939</v>
      </c>
      <c r="L205" s="47" t="s">
        <v>833</v>
      </c>
      <c r="M205" s="47" t="s">
        <v>1940</v>
      </c>
      <c r="N205">
        <v>442</v>
      </c>
      <c r="O205">
        <v>442</v>
      </c>
      <c r="P205" s="11" t="s">
        <v>562</v>
      </c>
    </row>
    <row r="206" spans="1:16" x14ac:dyDescent="0.2">
      <c r="A206">
        <v>591</v>
      </c>
      <c r="B206">
        <v>613</v>
      </c>
      <c r="C206" t="str">
        <f>VLOOKUP(Table10[[#This Row],[source]],Table2226[[#All],[ID]:[Label]],3,FALSE)</f>
        <v>EWR</v>
      </c>
      <c r="D206" t="str">
        <f>VLOOKUP(Table10[[#This Row],[target]],Table2226[[#All],[ID]:[Label]],3,FALSE)</f>
        <v>GSP</v>
      </c>
      <c r="E206" s="32" t="str">
        <f>IF(ISERROR(VLOOKUP(Table10[[#This Row],[source2]],Table22[Label],1,FALSE)),IF(ISERROR(VLOOKUP(Table10[[#This Row],[source2]],Table2210[Label],1,FALSE)),"SPOKE","FOCUS"),"HUB")</f>
        <v>HUB</v>
      </c>
      <c r="F206" s="32" t="str">
        <f>IF(ISERROR(VLOOKUP(Table10[[#This Row],[target2]],Table22[Label],1,FALSE)),IF(ISERROR(VLOOKUP(Table10[[#This Row],[target2]],Table2210[Label],1,FALSE)),"SPOKE","FOCUS"),"HUB")</f>
        <v>SPOKE</v>
      </c>
      <c r="G206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206" s="46" t="s">
        <v>1869</v>
      </c>
      <c r="I206" s="47" t="s">
        <v>1870</v>
      </c>
      <c r="J206" s="47" t="s">
        <v>738</v>
      </c>
      <c r="K206" s="47" t="s">
        <v>1871</v>
      </c>
      <c r="L206" s="47" t="s">
        <v>1848</v>
      </c>
      <c r="M206" s="47" t="s">
        <v>1872</v>
      </c>
      <c r="N206">
        <v>366</v>
      </c>
      <c r="O206">
        <v>366</v>
      </c>
      <c r="P206" s="11" t="s">
        <v>563</v>
      </c>
    </row>
    <row r="207" spans="1:16" x14ac:dyDescent="0.2">
      <c r="A207">
        <v>691</v>
      </c>
      <c r="B207">
        <v>736</v>
      </c>
      <c r="C207" t="str">
        <f>VLOOKUP(Table10[[#This Row],[source]],Table2226[[#All],[ID]:[Label]],3,FALSE)</f>
        <v>ORD</v>
      </c>
      <c r="D207" t="str">
        <f>VLOOKUP(Table10[[#This Row],[target]],Table2226[[#All],[ID]:[Label]],3,FALSE)</f>
        <v>SLC</v>
      </c>
      <c r="E207" s="32" t="str">
        <f>IF(ISERROR(VLOOKUP(Table10[[#This Row],[source2]],Table22[Label],1,FALSE)),IF(ISERROR(VLOOKUP(Table10[[#This Row],[source2]],Table2210[Label],1,FALSE)),"SPOKE","FOCUS"),"HUB")</f>
        <v>HUB</v>
      </c>
      <c r="F207" s="32" t="str">
        <f>IF(ISERROR(VLOOKUP(Table10[[#This Row],[target2]],Table22[Label],1,FALSE)),IF(ISERROR(VLOOKUP(Table10[[#This Row],[target2]],Table2210[Label],1,FALSE)),"SPOKE","FOCUS"),"HUB")</f>
        <v>HUB</v>
      </c>
      <c r="G207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207" s="46" t="s">
        <v>801</v>
      </c>
      <c r="I207" s="47" t="s">
        <v>1651</v>
      </c>
      <c r="J207" s="47" t="s">
        <v>727</v>
      </c>
      <c r="K207" s="47" t="s">
        <v>1652</v>
      </c>
      <c r="L207" s="47" t="s">
        <v>1653</v>
      </c>
      <c r="M207" s="47" t="s">
        <v>1654</v>
      </c>
      <c r="N207">
        <v>603</v>
      </c>
      <c r="O207">
        <v>603</v>
      </c>
      <c r="P207" s="11" t="s">
        <v>564</v>
      </c>
    </row>
    <row r="208" spans="1:16" x14ac:dyDescent="0.2">
      <c r="A208">
        <v>625</v>
      </c>
      <c r="B208">
        <v>682</v>
      </c>
      <c r="C208" t="str">
        <f>VLOOKUP(Table10[[#This Row],[source]],Table2226[[#All],[ID]:[Label]],3,FALSE)</f>
        <v>IAD</v>
      </c>
      <c r="D208" t="str">
        <f>VLOOKUP(Table10[[#This Row],[target]],Table2226[[#All],[ID]:[Label]],3,FALSE)</f>
        <v>MSP</v>
      </c>
      <c r="E208" s="32" t="str">
        <f>IF(ISERROR(VLOOKUP(Table10[[#This Row],[source2]],Table22[Label],1,FALSE)),IF(ISERROR(VLOOKUP(Table10[[#This Row],[source2]],Table2210[Label],1,FALSE)),"SPOKE","FOCUS"),"HUB")</f>
        <v>HUB</v>
      </c>
      <c r="F208" s="32" t="str">
        <f>IF(ISERROR(VLOOKUP(Table10[[#This Row],[target2]],Table22[Label],1,FALSE)),IF(ISERROR(VLOOKUP(Table10[[#This Row],[target2]],Table2210[Label],1,FALSE)),"SPOKE","FOCUS"),"HUB")</f>
        <v>HUB</v>
      </c>
      <c r="G208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208" s="46" t="s">
        <v>1099</v>
      </c>
      <c r="I208" s="47" t="s">
        <v>1100</v>
      </c>
      <c r="J208" s="47" t="s">
        <v>1101</v>
      </c>
      <c r="K208" s="47" t="s">
        <v>1102</v>
      </c>
      <c r="L208" s="47" t="s">
        <v>785</v>
      </c>
      <c r="M208" s="47" t="s">
        <v>1103</v>
      </c>
      <c r="N208">
        <v>230</v>
      </c>
      <c r="O208">
        <v>230</v>
      </c>
      <c r="P208" s="11" t="s">
        <v>565</v>
      </c>
    </row>
    <row r="209" spans="1:16" x14ac:dyDescent="0.2">
      <c r="A209">
        <v>506</v>
      </c>
      <c r="B209">
        <v>648</v>
      </c>
      <c r="C209" t="str">
        <f>VLOOKUP(Table10[[#This Row],[source]],Table2226[[#All],[ID]:[Label]],3,FALSE)</f>
        <v>ATL</v>
      </c>
      <c r="D209" t="str">
        <f>VLOOKUP(Table10[[#This Row],[target]],Table2226[[#All],[ID]:[Label]],3,FALSE)</f>
        <v>LAX</v>
      </c>
      <c r="E209" s="32" t="str">
        <f>IF(ISERROR(VLOOKUP(Table10[[#This Row],[source2]],Table22[Label],1,FALSE)),IF(ISERROR(VLOOKUP(Table10[[#This Row],[source2]],Table2210[Label],1,FALSE)),"SPOKE","FOCUS"),"HUB")</f>
        <v>HUB</v>
      </c>
      <c r="F209" s="32" t="str">
        <f>IF(ISERROR(VLOOKUP(Table10[[#This Row],[target2]],Table22[Label],1,FALSE)),IF(ISERROR(VLOOKUP(Table10[[#This Row],[target2]],Table2210[Label],1,FALSE)),"SPOKE","FOCUS"),"HUB")</f>
        <v>HUB</v>
      </c>
      <c r="G209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209" s="46" t="s">
        <v>1406</v>
      </c>
      <c r="I209" s="47" t="s">
        <v>1407</v>
      </c>
      <c r="J209" s="47" t="s">
        <v>1408</v>
      </c>
      <c r="K209" s="47" t="s">
        <v>1409</v>
      </c>
      <c r="L209" s="47" t="s">
        <v>1410</v>
      </c>
      <c r="M209" s="47" t="s">
        <v>1411</v>
      </c>
      <c r="N209">
        <v>1457</v>
      </c>
      <c r="O209">
        <v>1457</v>
      </c>
      <c r="P209" s="11" t="s">
        <v>566</v>
      </c>
    </row>
    <row r="210" spans="1:16" x14ac:dyDescent="0.2">
      <c r="A210">
        <v>648</v>
      </c>
      <c r="B210">
        <v>673</v>
      </c>
      <c r="C210" t="str">
        <f>VLOOKUP(Table10[[#This Row],[source]],Table2226[[#All],[ID]:[Label]],3,FALSE)</f>
        <v>LAX</v>
      </c>
      <c r="D210" t="str">
        <f>VLOOKUP(Table10[[#This Row],[target]],Table2226[[#All],[ID]:[Label]],3,FALSE)</f>
        <v>MIA</v>
      </c>
      <c r="E210" s="32" t="str">
        <f>IF(ISERROR(VLOOKUP(Table10[[#This Row],[source2]],Table22[Label],1,FALSE)),IF(ISERROR(VLOOKUP(Table10[[#This Row],[source2]],Table2210[Label],1,FALSE)),"SPOKE","FOCUS"),"HUB")</f>
        <v>HUB</v>
      </c>
      <c r="F210" s="32" t="str">
        <f>IF(ISERROR(VLOOKUP(Table10[[#This Row],[target2]],Table22[Label],1,FALSE)),IF(ISERROR(VLOOKUP(Table10[[#This Row],[target2]],Table2210[Label],1,FALSE)),"SPOKE","FOCUS"),"HUB")</f>
        <v>HUB</v>
      </c>
      <c r="G210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210" s="46" t="s">
        <v>801</v>
      </c>
      <c r="I210" s="47" t="s">
        <v>2283</v>
      </c>
      <c r="J210" s="47" t="s">
        <v>727</v>
      </c>
      <c r="K210" s="47" t="s">
        <v>2284</v>
      </c>
      <c r="L210" s="47" t="s">
        <v>1169</v>
      </c>
      <c r="M210" s="47" t="s">
        <v>2285</v>
      </c>
      <c r="N210">
        <v>594</v>
      </c>
      <c r="O210">
        <v>594</v>
      </c>
      <c r="P210" s="11" t="s">
        <v>567</v>
      </c>
    </row>
    <row r="211" spans="1:16" x14ac:dyDescent="0.2">
      <c r="A211">
        <v>691</v>
      </c>
      <c r="B211">
        <v>578</v>
      </c>
      <c r="C211" t="str">
        <f>VLOOKUP(Table10[[#This Row],[source]],Table2226[[#All],[ID]:[Label]],3,FALSE)</f>
        <v>ORD</v>
      </c>
      <c r="D211" t="str">
        <f>VLOOKUP(Table10[[#This Row],[target]],Table2226[[#All],[ID]:[Label]],3,FALSE)</f>
        <v>DSM</v>
      </c>
      <c r="E211" s="32" t="str">
        <f>IF(ISERROR(VLOOKUP(Table10[[#This Row],[source2]],Table22[Label],1,FALSE)),IF(ISERROR(VLOOKUP(Table10[[#This Row],[source2]],Table2210[Label],1,FALSE)),"SPOKE","FOCUS"),"HUB")</f>
        <v>HUB</v>
      </c>
      <c r="F211" s="32" t="str">
        <f>IF(ISERROR(VLOOKUP(Table10[[#This Row],[target2]],Table22[Label],1,FALSE)),IF(ISERROR(VLOOKUP(Table10[[#This Row],[target2]],Table2210[Label],1,FALSE)),"SPOKE","FOCUS"),"HUB")</f>
        <v>SPOKE</v>
      </c>
      <c r="G211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211" s="46" t="s">
        <v>1674</v>
      </c>
      <c r="I211" s="47" t="s">
        <v>1675</v>
      </c>
      <c r="J211" s="47" t="s">
        <v>1676</v>
      </c>
      <c r="K211" s="47" t="s">
        <v>1677</v>
      </c>
      <c r="L211" s="47" t="s">
        <v>904</v>
      </c>
      <c r="M211" s="47" t="s">
        <v>1678</v>
      </c>
      <c r="N211">
        <v>535</v>
      </c>
      <c r="O211">
        <v>535</v>
      </c>
      <c r="P211" s="11" t="s">
        <v>568</v>
      </c>
    </row>
    <row r="212" spans="1:16" x14ac:dyDescent="0.2">
      <c r="A212">
        <v>506</v>
      </c>
      <c r="B212">
        <v>720</v>
      </c>
      <c r="C212" t="str">
        <f>VLOOKUP(Table10[[#This Row],[source]],Table2226[[#All],[ID]:[Label]],3,FALSE)</f>
        <v>ATL</v>
      </c>
      <c r="D212" t="str">
        <f>VLOOKUP(Table10[[#This Row],[target]],Table2226[[#All],[ID]:[Label]],3,FALSE)</f>
        <v>RIC</v>
      </c>
      <c r="E212" s="32" t="str">
        <f>IF(ISERROR(VLOOKUP(Table10[[#This Row],[source2]],Table22[Label],1,FALSE)),IF(ISERROR(VLOOKUP(Table10[[#This Row],[source2]],Table2210[Label],1,FALSE)),"SPOKE","FOCUS"),"HUB")</f>
        <v>HUB</v>
      </c>
      <c r="F212" s="32" t="str">
        <f>IF(ISERROR(VLOOKUP(Table10[[#This Row],[target2]],Table22[Label],1,FALSE)),IF(ISERROR(VLOOKUP(Table10[[#This Row],[target2]],Table2210[Label],1,FALSE)),"SPOKE","FOCUS"),"HUB")</f>
        <v>SPOKE</v>
      </c>
      <c r="G212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212" s="46" t="s">
        <v>1417</v>
      </c>
      <c r="I212" s="47" t="s">
        <v>1418</v>
      </c>
      <c r="J212" s="47" t="s">
        <v>1419</v>
      </c>
      <c r="K212" s="47" t="s">
        <v>1420</v>
      </c>
      <c r="L212" s="47" t="s">
        <v>1246</v>
      </c>
      <c r="M212" s="47" t="s">
        <v>1421</v>
      </c>
      <c r="N212">
        <v>695</v>
      </c>
      <c r="O212">
        <v>695</v>
      </c>
      <c r="P212" s="11" t="s">
        <v>569</v>
      </c>
    </row>
    <row r="213" spans="1:16" x14ac:dyDescent="0.2">
      <c r="A213">
        <v>700</v>
      </c>
      <c r="B213">
        <v>733</v>
      </c>
      <c r="C213" t="str">
        <f>VLOOKUP(Table10[[#This Row],[source]],Table2226[[#All],[ID]:[Label]],3,FALSE)</f>
        <v>PHL</v>
      </c>
      <c r="D213" t="str">
        <f>VLOOKUP(Table10[[#This Row],[target]],Table2226[[#All],[ID]:[Label]],3,FALSE)</f>
        <v>SFO</v>
      </c>
      <c r="E213" s="32" t="str">
        <f>IF(ISERROR(VLOOKUP(Table10[[#This Row],[source2]],Table22[Label],1,FALSE)),IF(ISERROR(VLOOKUP(Table10[[#This Row],[source2]],Table2210[Label],1,FALSE)),"SPOKE","FOCUS"),"HUB")</f>
        <v>HUB</v>
      </c>
      <c r="F213" s="32" t="str">
        <f>IF(ISERROR(VLOOKUP(Table10[[#This Row],[target2]],Table22[Label],1,FALSE)),IF(ISERROR(VLOOKUP(Table10[[#This Row],[target2]],Table2210[Label],1,FALSE)),"SPOKE","FOCUS"),"HUB")</f>
        <v>HUB</v>
      </c>
      <c r="G213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213" s="46" t="s">
        <v>801</v>
      </c>
      <c r="I213" s="47" t="s">
        <v>1016</v>
      </c>
      <c r="J213" s="47" t="s">
        <v>727</v>
      </c>
      <c r="K213" s="47" t="s">
        <v>1017</v>
      </c>
      <c r="L213" s="47" t="s">
        <v>1018</v>
      </c>
      <c r="M213" s="47" t="s">
        <v>1019</v>
      </c>
      <c r="N213">
        <v>540</v>
      </c>
      <c r="O213">
        <v>540</v>
      </c>
      <c r="P213" s="11" t="s">
        <v>570</v>
      </c>
    </row>
    <row r="214" spans="1:16" x14ac:dyDescent="0.2">
      <c r="A214">
        <v>625</v>
      </c>
      <c r="B214">
        <v>591</v>
      </c>
      <c r="C214" t="str">
        <f>VLOOKUP(Table10[[#This Row],[source]],Table2226[[#All],[ID]:[Label]],3,FALSE)</f>
        <v>IAD</v>
      </c>
      <c r="D214" t="str">
        <f>VLOOKUP(Table10[[#This Row],[target]],Table2226[[#All],[ID]:[Label]],3,FALSE)</f>
        <v>EWR</v>
      </c>
      <c r="E214" s="32" t="str">
        <f>IF(ISERROR(VLOOKUP(Table10[[#This Row],[source2]],Table22[Label],1,FALSE)),IF(ISERROR(VLOOKUP(Table10[[#This Row],[source2]],Table2210[Label],1,FALSE)),"SPOKE","FOCUS"),"HUB")</f>
        <v>HUB</v>
      </c>
      <c r="F214" s="32" t="str">
        <f>IF(ISERROR(VLOOKUP(Table10[[#This Row],[target2]],Table22[Label],1,FALSE)),IF(ISERROR(VLOOKUP(Table10[[#This Row],[target2]],Table2210[Label],1,FALSE)),"SPOKE","FOCUS"),"HUB")</f>
        <v>HUB</v>
      </c>
      <c r="G214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214" s="46" t="s">
        <v>1045</v>
      </c>
      <c r="I214" s="47" t="s">
        <v>1046</v>
      </c>
      <c r="J214" s="47" t="s">
        <v>1047</v>
      </c>
      <c r="K214" s="47" t="s">
        <v>1048</v>
      </c>
      <c r="L214" s="47" t="s">
        <v>904</v>
      </c>
      <c r="M214" s="47" t="s">
        <v>1049</v>
      </c>
      <c r="N214">
        <v>214</v>
      </c>
      <c r="O214">
        <v>214</v>
      </c>
      <c r="P214" s="11" t="s">
        <v>571</v>
      </c>
    </row>
    <row r="215" spans="1:16" x14ac:dyDescent="0.2">
      <c r="A215">
        <v>529</v>
      </c>
      <c r="B215">
        <v>673</v>
      </c>
      <c r="C215" t="str">
        <f>VLOOKUP(Table10[[#This Row],[source]],Table2226[[#All],[ID]:[Label]],3,FALSE)</f>
        <v>BOS</v>
      </c>
      <c r="D215" t="str">
        <f>VLOOKUP(Table10[[#This Row],[target]],Table2226[[#All],[ID]:[Label]],3,FALSE)</f>
        <v>MIA</v>
      </c>
      <c r="E215" s="32" t="str">
        <f>IF(ISERROR(VLOOKUP(Table10[[#This Row],[source2]],Table22[Label],1,FALSE)),IF(ISERROR(VLOOKUP(Table10[[#This Row],[source2]],Table2210[Label],1,FALSE)),"SPOKE","FOCUS"),"HUB")</f>
        <v>HUB</v>
      </c>
      <c r="F215" s="32" t="str">
        <f>IF(ISERROR(VLOOKUP(Table10[[#This Row],[target2]],Table22[Label],1,FALSE)),IF(ISERROR(VLOOKUP(Table10[[#This Row],[target2]],Table2210[Label],1,FALSE)),"SPOKE","FOCUS"),"HUB")</f>
        <v>HUB</v>
      </c>
      <c r="G215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215" s="46" t="s">
        <v>2317</v>
      </c>
      <c r="I215" s="47" t="s">
        <v>2318</v>
      </c>
      <c r="J215" s="47" t="s">
        <v>2319</v>
      </c>
      <c r="K215" s="47" t="s">
        <v>2320</v>
      </c>
      <c r="L215" s="47" t="s">
        <v>2321</v>
      </c>
      <c r="M215" s="47" t="s">
        <v>2322</v>
      </c>
      <c r="N215">
        <v>353</v>
      </c>
      <c r="O215">
        <v>353</v>
      </c>
      <c r="P215" s="11" t="s">
        <v>572</v>
      </c>
    </row>
    <row r="216" spans="1:16" x14ac:dyDescent="0.2">
      <c r="A216">
        <v>597</v>
      </c>
      <c r="B216">
        <v>691</v>
      </c>
      <c r="C216" t="str">
        <f>VLOOKUP(Table10[[#This Row],[source]],Table2226[[#All],[ID]:[Label]],3,FALSE)</f>
        <v>FLL</v>
      </c>
      <c r="D216" t="str">
        <f>VLOOKUP(Table10[[#This Row],[target]],Table2226[[#All],[ID]:[Label]],3,FALSE)</f>
        <v>ORD</v>
      </c>
      <c r="E216" s="32" t="str">
        <f>IF(ISERROR(VLOOKUP(Table10[[#This Row],[source2]],Table22[Label],1,FALSE)),IF(ISERROR(VLOOKUP(Table10[[#This Row],[source2]],Table2210[Label],1,FALSE)),"SPOKE","FOCUS"),"HUB")</f>
        <v>FOCUS</v>
      </c>
      <c r="F216" s="32" t="str">
        <f>IF(ISERROR(VLOOKUP(Table10[[#This Row],[target2]],Table22[Label],1,FALSE)),IF(ISERROR(VLOOKUP(Table10[[#This Row],[target2]],Table2210[Label],1,FALSE)),"SPOKE","FOCUS"),"HUB")</f>
        <v>HUB</v>
      </c>
      <c r="G216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HUB-FOCUS</v>
      </c>
      <c r="H216" s="46" t="s">
        <v>801</v>
      </c>
      <c r="I216" s="47" t="s">
        <v>806</v>
      </c>
      <c r="J216" s="47" t="s">
        <v>727</v>
      </c>
      <c r="K216" s="47" t="s">
        <v>807</v>
      </c>
      <c r="L216" s="47" t="s">
        <v>808</v>
      </c>
      <c r="M216" s="47" t="s">
        <v>809</v>
      </c>
      <c r="N216">
        <v>526</v>
      </c>
      <c r="O216">
        <v>526</v>
      </c>
      <c r="P216" s="11" t="s">
        <v>573</v>
      </c>
    </row>
    <row r="217" spans="1:16" x14ac:dyDescent="0.2">
      <c r="A217">
        <v>700</v>
      </c>
      <c r="B217">
        <v>682</v>
      </c>
      <c r="C217" t="str">
        <f>VLOOKUP(Table10[[#This Row],[source]],Table2226[[#All],[ID]:[Label]],3,FALSE)</f>
        <v>PHL</v>
      </c>
      <c r="D217" t="str">
        <f>VLOOKUP(Table10[[#This Row],[target]],Table2226[[#All],[ID]:[Label]],3,FALSE)</f>
        <v>MSP</v>
      </c>
      <c r="E217" s="32" t="str">
        <f>IF(ISERROR(VLOOKUP(Table10[[#This Row],[source2]],Table22[Label],1,FALSE)),IF(ISERROR(VLOOKUP(Table10[[#This Row],[source2]],Table2210[Label],1,FALSE)),"SPOKE","FOCUS"),"HUB")</f>
        <v>HUB</v>
      </c>
      <c r="F217" s="32" t="str">
        <f>IF(ISERROR(VLOOKUP(Table10[[#This Row],[target2]],Table22[Label],1,FALSE)),IF(ISERROR(VLOOKUP(Table10[[#This Row],[target2]],Table2210[Label],1,FALSE)),"SPOKE","FOCUS"),"HUB")</f>
        <v>HUB</v>
      </c>
      <c r="G217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217" s="46" t="s">
        <v>801</v>
      </c>
      <c r="I217" s="47" t="s">
        <v>1020</v>
      </c>
      <c r="J217" s="47" t="s">
        <v>727</v>
      </c>
      <c r="K217" s="47" t="s">
        <v>1021</v>
      </c>
      <c r="L217" s="47" t="s">
        <v>1022</v>
      </c>
      <c r="M217" s="47" t="s">
        <v>1023</v>
      </c>
      <c r="N217">
        <v>379</v>
      </c>
      <c r="O217">
        <v>379</v>
      </c>
      <c r="P217" s="11" t="s">
        <v>574</v>
      </c>
    </row>
    <row r="218" spans="1:16" x14ac:dyDescent="0.2">
      <c r="A218">
        <v>627</v>
      </c>
      <c r="B218">
        <v>736</v>
      </c>
      <c r="C218" t="str">
        <f>VLOOKUP(Table10[[#This Row],[source]],Table2226[[#All],[ID]:[Label]],3,FALSE)</f>
        <v>IAH</v>
      </c>
      <c r="D218" t="str">
        <f>VLOOKUP(Table10[[#This Row],[target]],Table2226[[#All],[ID]:[Label]],3,FALSE)</f>
        <v>SLC</v>
      </c>
      <c r="E218" s="32" t="str">
        <f>IF(ISERROR(VLOOKUP(Table10[[#This Row],[source2]],Table22[Label],1,FALSE)),IF(ISERROR(VLOOKUP(Table10[[#This Row],[source2]],Table2210[Label],1,FALSE)),"SPOKE","FOCUS"),"HUB")</f>
        <v>HUB</v>
      </c>
      <c r="F218" s="32" t="str">
        <f>IF(ISERROR(VLOOKUP(Table10[[#This Row],[target2]],Table22[Label],1,FALSE)),IF(ISERROR(VLOOKUP(Table10[[#This Row],[target2]],Table2210[Label],1,FALSE)),"SPOKE","FOCUS"),"HUB")</f>
        <v>HUB</v>
      </c>
      <c r="G218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218" s="46" t="s">
        <v>801</v>
      </c>
      <c r="I218" s="47" t="s">
        <v>1807</v>
      </c>
      <c r="J218" s="47" t="s">
        <v>727</v>
      </c>
      <c r="K218" s="47" t="s">
        <v>1808</v>
      </c>
      <c r="L218" s="47" t="s">
        <v>1809</v>
      </c>
      <c r="M218" s="47" t="s">
        <v>1810</v>
      </c>
      <c r="N218">
        <v>295</v>
      </c>
      <c r="O218">
        <v>295</v>
      </c>
      <c r="P218" s="11" t="s">
        <v>575</v>
      </c>
    </row>
    <row r="219" spans="1:16" x14ac:dyDescent="0.2">
      <c r="A219">
        <v>702</v>
      </c>
      <c r="B219">
        <v>648</v>
      </c>
      <c r="C219" t="str">
        <f>VLOOKUP(Table10[[#This Row],[source]],Table2226[[#All],[ID]:[Label]],3,FALSE)</f>
        <v>PHX</v>
      </c>
      <c r="D219" t="str">
        <f>VLOOKUP(Table10[[#This Row],[target]],Table2226[[#All],[ID]:[Label]],3,FALSE)</f>
        <v>LAX</v>
      </c>
      <c r="E219" s="32" t="str">
        <f>IF(ISERROR(VLOOKUP(Table10[[#This Row],[source2]],Table22[Label],1,FALSE)),IF(ISERROR(VLOOKUP(Table10[[#This Row],[source2]],Table2210[Label],1,FALSE)),"SPOKE","FOCUS"),"HUB")</f>
        <v>HUB</v>
      </c>
      <c r="F219" s="32" t="str">
        <f>IF(ISERROR(VLOOKUP(Table10[[#This Row],[target2]],Table22[Label],1,FALSE)),IF(ISERROR(VLOOKUP(Table10[[#This Row],[target2]],Table2210[Label],1,FALSE)),"SPOKE","FOCUS"),"HUB")</f>
        <v>HUB</v>
      </c>
      <c r="G219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219" s="46" t="s">
        <v>2088</v>
      </c>
      <c r="I219" s="47" t="s">
        <v>2089</v>
      </c>
      <c r="J219" s="47" t="s">
        <v>2090</v>
      </c>
      <c r="K219" s="47" t="s">
        <v>2091</v>
      </c>
      <c r="L219" s="47" t="s">
        <v>2092</v>
      </c>
      <c r="M219" s="47" t="s">
        <v>2093</v>
      </c>
      <c r="N219">
        <v>1431</v>
      </c>
      <c r="O219">
        <v>1431</v>
      </c>
      <c r="P219" s="11" t="s">
        <v>576</v>
      </c>
    </row>
    <row r="220" spans="1:16" x14ac:dyDescent="0.2">
      <c r="A220">
        <v>554</v>
      </c>
      <c r="B220">
        <v>613</v>
      </c>
      <c r="C220" t="str">
        <f>VLOOKUP(Table10[[#This Row],[source]],Table2226[[#All],[ID]:[Label]],3,FALSE)</f>
        <v>CLT</v>
      </c>
      <c r="D220" t="str">
        <f>VLOOKUP(Table10[[#This Row],[target]],Table2226[[#All],[ID]:[Label]],3,FALSE)</f>
        <v>GSP</v>
      </c>
      <c r="E220" s="32" t="str">
        <f>IF(ISERROR(VLOOKUP(Table10[[#This Row],[source2]],Table22[Label],1,FALSE)),IF(ISERROR(VLOOKUP(Table10[[#This Row],[source2]],Table2210[Label],1,FALSE)),"SPOKE","FOCUS"),"HUB")</f>
        <v>HUB</v>
      </c>
      <c r="F220" s="32" t="str">
        <f>IF(ISERROR(VLOOKUP(Table10[[#This Row],[target2]],Table22[Label],1,FALSE)),IF(ISERROR(VLOOKUP(Table10[[#This Row],[target2]],Table2210[Label],1,FALSE)),"SPOKE","FOCUS"),"HUB")</f>
        <v>SPOKE</v>
      </c>
      <c r="G220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220" s="46" t="s">
        <v>1701</v>
      </c>
      <c r="I220" s="47" t="s">
        <v>1702</v>
      </c>
      <c r="J220" s="47" t="s">
        <v>1703</v>
      </c>
      <c r="K220" s="47" t="s">
        <v>1704</v>
      </c>
      <c r="L220" s="47" t="s">
        <v>1228</v>
      </c>
      <c r="M220" s="47" t="s">
        <v>1705</v>
      </c>
      <c r="N220">
        <v>317</v>
      </c>
      <c r="O220">
        <v>317</v>
      </c>
      <c r="P220" s="11" t="s">
        <v>577</v>
      </c>
    </row>
    <row r="221" spans="1:16" x14ac:dyDescent="0.2">
      <c r="A221">
        <v>648</v>
      </c>
      <c r="B221">
        <v>2190</v>
      </c>
      <c r="C221" t="str">
        <f>VLOOKUP(Table10[[#This Row],[source]],Table2226[[#All],[ID]:[Label]],3,FALSE)</f>
        <v>LAX</v>
      </c>
      <c r="D221" t="str">
        <f>VLOOKUP(Table10[[#This Row],[target]],Table2226[[#All],[ID]:[Label]],3,FALSE)</f>
        <v>TUS</v>
      </c>
      <c r="E221" s="32" t="str">
        <f>IF(ISERROR(VLOOKUP(Table10[[#This Row],[source2]],Table22[Label],1,FALSE)),IF(ISERROR(VLOOKUP(Table10[[#This Row],[source2]],Table2210[Label],1,FALSE)),"SPOKE","FOCUS"),"HUB")</f>
        <v>HUB</v>
      </c>
      <c r="F221" s="32" t="str">
        <f>IF(ISERROR(VLOOKUP(Table10[[#This Row],[target2]],Table22[Label],1,FALSE)),IF(ISERROR(VLOOKUP(Table10[[#This Row],[target2]],Table2210[Label],1,FALSE)),"SPOKE","FOCUS"),"HUB")</f>
        <v>SPOKE</v>
      </c>
      <c r="G221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221" s="46" t="s">
        <v>2286</v>
      </c>
      <c r="I221" s="47" t="s">
        <v>2287</v>
      </c>
      <c r="J221" s="47" t="s">
        <v>2288</v>
      </c>
      <c r="K221" s="47" t="s">
        <v>2289</v>
      </c>
      <c r="L221" s="47" t="s">
        <v>1608</v>
      </c>
      <c r="M221" s="47" t="s">
        <v>2290</v>
      </c>
      <c r="N221">
        <v>535</v>
      </c>
      <c r="O221">
        <v>535</v>
      </c>
      <c r="P221" s="11" t="s">
        <v>578</v>
      </c>
    </row>
    <row r="222" spans="1:16" x14ac:dyDescent="0.2">
      <c r="A222">
        <v>730</v>
      </c>
      <c r="B222">
        <v>529</v>
      </c>
      <c r="C222" t="str">
        <f>VLOOKUP(Table10[[#This Row],[source]],Table2226[[#All],[ID]:[Label]],3,FALSE)</f>
        <v>SEA</v>
      </c>
      <c r="D222" t="str">
        <f>VLOOKUP(Table10[[#This Row],[target]],Table2226[[#All],[ID]:[Label]],3,FALSE)</f>
        <v>BOS</v>
      </c>
      <c r="E222" s="32" t="str">
        <f>IF(ISERROR(VLOOKUP(Table10[[#This Row],[source2]],Table22[Label],1,FALSE)),IF(ISERROR(VLOOKUP(Table10[[#This Row],[source2]],Table2210[Label],1,FALSE)),"SPOKE","FOCUS"),"HUB")</f>
        <v>HUB</v>
      </c>
      <c r="F222" s="32" t="str">
        <f>IF(ISERROR(VLOOKUP(Table10[[#This Row],[target2]],Table22[Label],1,FALSE)),IF(ISERROR(VLOOKUP(Table10[[#This Row],[target2]],Table2210[Label],1,FALSE)),"SPOKE","FOCUS"),"HUB")</f>
        <v>HUB</v>
      </c>
      <c r="G222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222" s="46" t="s">
        <v>801</v>
      </c>
      <c r="I222" s="47" t="s">
        <v>2148</v>
      </c>
      <c r="J222" s="47" t="s">
        <v>727</v>
      </c>
      <c r="K222" s="47" t="s">
        <v>2149</v>
      </c>
      <c r="L222" s="47" t="s">
        <v>2150</v>
      </c>
      <c r="M222" s="47" t="s">
        <v>2151</v>
      </c>
      <c r="N222">
        <v>384</v>
      </c>
      <c r="O222">
        <v>384</v>
      </c>
      <c r="P222" s="11" t="s">
        <v>579</v>
      </c>
    </row>
    <row r="223" spans="1:16" x14ac:dyDescent="0.2">
      <c r="A223">
        <v>575</v>
      </c>
      <c r="B223">
        <v>2189</v>
      </c>
      <c r="C223" t="str">
        <f>VLOOKUP(Table10[[#This Row],[source]],Table2226[[#All],[ID]:[Label]],3,FALSE)</f>
        <v>DFW</v>
      </c>
      <c r="D223" t="str">
        <f>VLOOKUP(Table10[[#This Row],[target]],Table2226[[#All],[ID]:[Label]],3,FALSE)</f>
        <v>TUL</v>
      </c>
      <c r="E223" s="32" t="str">
        <f>IF(ISERROR(VLOOKUP(Table10[[#This Row],[source2]],Table22[Label],1,FALSE)),IF(ISERROR(VLOOKUP(Table10[[#This Row],[source2]],Table2210[Label],1,FALSE)),"SPOKE","FOCUS"),"HUB")</f>
        <v>HUB</v>
      </c>
      <c r="F223" s="32" t="str">
        <f>IF(ISERROR(VLOOKUP(Table10[[#This Row],[target2]],Table22[Label],1,FALSE)),IF(ISERROR(VLOOKUP(Table10[[#This Row],[target2]],Table2210[Label],1,FALSE)),"SPOKE","FOCUS"),"HUB")</f>
        <v>SPOKE</v>
      </c>
      <c r="G223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223" s="46" t="s">
        <v>2015</v>
      </c>
      <c r="I223" s="47" t="s">
        <v>2016</v>
      </c>
      <c r="J223" s="47" t="s">
        <v>2017</v>
      </c>
      <c r="K223" s="47" t="s">
        <v>2018</v>
      </c>
      <c r="L223" s="47" t="s">
        <v>779</v>
      </c>
      <c r="M223" s="47" t="s">
        <v>2019</v>
      </c>
      <c r="N223">
        <v>372</v>
      </c>
      <c r="O223">
        <v>372</v>
      </c>
      <c r="P223" s="11" t="s">
        <v>580</v>
      </c>
    </row>
    <row r="224" spans="1:16" x14ac:dyDescent="0.2">
      <c r="A224">
        <v>682</v>
      </c>
      <c r="B224">
        <v>730</v>
      </c>
      <c r="C224" t="str">
        <f>VLOOKUP(Table10[[#This Row],[source]],Table2226[[#All],[ID]:[Label]],3,FALSE)</f>
        <v>MSP</v>
      </c>
      <c r="D224" t="str">
        <f>VLOOKUP(Table10[[#This Row],[target]],Table2226[[#All],[ID]:[Label]],3,FALSE)</f>
        <v>SEA</v>
      </c>
      <c r="E224" s="32" t="str">
        <f>IF(ISERROR(VLOOKUP(Table10[[#This Row],[source2]],Table22[Label],1,FALSE)),IF(ISERROR(VLOOKUP(Table10[[#This Row],[source2]],Table2210[Label],1,FALSE)),"SPOKE","FOCUS"),"HUB")</f>
        <v>HUB</v>
      </c>
      <c r="F224" s="32" t="str">
        <f>IF(ISERROR(VLOOKUP(Table10[[#This Row],[target2]],Table22[Label],1,FALSE)),IF(ISERROR(VLOOKUP(Table10[[#This Row],[target2]],Table2210[Label],1,FALSE)),"SPOKE","FOCUS"),"HUB")</f>
        <v>HUB</v>
      </c>
      <c r="G224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224" s="46" t="s">
        <v>801</v>
      </c>
      <c r="I224" s="47" t="s">
        <v>1941</v>
      </c>
      <c r="J224" s="47" t="s">
        <v>727</v>
      </c>
      <c r="K224" s="47" t="s">
        <v>1942</v>
      </c>
      <c r="L224" s="47" t="s">
        <v>1232</v>
      </c>
      <c r="M224" s="47" t="s">
        <v>1943</v>
      </c>
      <c r="N224">
        <v>539</v>
      </c>
      <c r="O224">
        <v>539</v>
      </c>
      <c r="P224" s="11" t="s">
        <v>581</v>
      </c>
    </row>
    <row r="225" spans="1:16" x14ac:dyDescent="0.2">
      <c r="A225">
        <v>597</v>
      </c>
      <c r="B225">
        <v>663</v>
      </c>
      <c r="C225" t="str">
        <f>VLOOKUP(Table10[[#This Row],[source]],Table2226[[#All],[ID]:[Label]],3,FALSE)</f>
        <v>FLL</v>
      </c>
      <c r="D225" t="str">
        <f>VLOOKUP(Table10[[#This Row],[target]],Table2226[[#All],[ID]:[Label]],3,FALSE)</f>
        <v>MCO</v>
      </c>
      <c r="E225" s="32" t="str">
        <f>IF(ISERROR(VLOOKUP(Table10[[#This Row],[source2]],Table22[Label],1,FALSE)),IF(ISERROR(VLOOKUP(Table10[[#This Row],[source2]],Table2210[Label],1,FALSE)),"SPOKE","FOCUS"),"HUB")</f>
        <v>FOCUS</v>
      </c>
      <c r="F225" s="32" t="str">
        <f>IF(ISERROR(VLOOKUP(Table10[[#This Row],[target2]],Table22[Label],1,FALSE)),IF(ISERROR(VLOOKUP(Table10[[#This Row],[target2]],Table2210[Label],1,FALSE)),"SPOKE","FOCUS"),"HUB")</f>
        <v>FOCUS</v>
      </c>
      <c r="G225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FOCUS-FOCUS</v>
      </c>
      <c r="H225" s="46" t="s">
        <v>801</v>
      </c>
      <c r="I225" s="47" t="s">
        <v>890</v>
      </c>
      <c r="J225" s="47" t="s">
        <v>727</v>
      </c>
      <c r="K225" s="47" t="s">
        <v>891</v>
      </c>
      <c r="L225" s="47" t="s">
        <v>892</v>
      </c>
      <c r="M225" s="47" t="s">
        <v>893</v>
      </c>
      <c r="N225">
        <v>449</v>
      </c>
      <c r="O225">
        <v>449</v>
      </c>
      <c r="P225" s="11" t="s">
        <v>582</v>
      </c>
    </row>
    <row r="226" spans="1:16" x14ac:dyDescent="0.2">
      <c r="A226">
        <v>647</v>
      </c>
      <c r="B226">
        <v>736</v>
      </c>
      <c r="C226" t="str">
        <f>VLOOKUP(Table10[[#This Row],[source]],Table2226[[#All],[ID]:[Label]],3,FALSE)</f>
        <v>LAS</v>
      </c>
      <c r="D226" t="str">
        <f>VLOOKUP(Table10[[#This Row],[target]],Table2226[[#All],[ID]:[Label]],3,FALSE)</f>
        <v>SLC</v>
      </c>
      <c r="E226" s="32" t="str">
        <f>IF(ISERROR(VLOOKUP(Table10[[#This Row],[source2]],Table22[Label],1,FALSE)),IF(ISERROR(VLOOKUP(Table10[[#This Row],[source2]],Table2210[Label],1,FALSE)),"SPOKE","FOCUS"),"HUB")</f>
        <v>FOCUS</v>
      </c>
      <c r="F226" s="32" t="str">
        <f>IF(ISERROR(VLOOKUP(Table10[[#This Row],[target2]],Table22[Label],1,FALSE)),IF(ISERROR(VLOOKUP(Table10[[#This Row],[target2]],Table2210[Label],1,FALSE)),"SPOKE","FOCUS"),"HUB")</f>
        <v>HUB</v>
      </c>
      <c r="G226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HUB-FOCUS</v>
      </c>
      <c r="H226" s="46" t="s">
        <v>801</v>
      </c>
      <c r="I226" s="47" t="s">
        <v>2222</v>
      </c>
      <c r="J226" s="47" t="s">
        <v>727</v>
      </c>
      <c r="K226" s="47" t="s">
        <v>2223</v>
      </c>
      <c r="L226" s="47" t="s">
        <v>2224</v>
      </c>
      <c r="M226" s="47" t="s">
        <v>2225</v>
      </c>
      <c r="N226">
        <v>504</v>
      </c>
      <c r="O226">
        <v>504</v>
      </c>
      <c r="P226" s="11" t="s">
        <v>583</v>
      </c>
    </row>
    <row r="227" spans="1:16" x14ac:dyDescent="0.2">
      <c r="A227">
        <v>571</v>
      </c>
      <c r="B227">
        <v>579</v>
      </c>
      <c r="C227" t="str">
        <f>VLOOKUP(Table10[[#This Row],[source]],Table2226[[#All],[ID]:[Label]],3,FALSE)</f>
        <v>DCA</v>
      </c>
      <c r="D227" t="str">
        <f>VLOOKUP(Table10[[#This Row],[target]],Table2226[[#All],[ID]:[Label]],3,FALSE)</f>
        <v>DTW</v>
      </c>
      <c r="E227" s="32" t="str">
        <f>IF(ISERROR(VLOOKUP(Table10[[#This Row],[source2]],Table22[Label],1,FALSE)),IF(ISERROR(VLOOKUP(Table10[[#This Row],[source2]],Table2210[Label],1,FALSE)),"SPOKE","FOCUS"),"HUB")</f>
        <v>HUB</v>
      </c>
      <c r="F227" s="32" t="str">
        <f>IF(ISERROR(VLOOKUP(Table10[[#This Row],[target2]],Table22[Label],1,FALSE)),IF(ISERROR(VLOOKUP(Table10[[#This Row],[target2]],Table2210[Label],1,FALSE)),"SPOKE","FOCUS"),"HUB")</f>
        <v>HUB</v>
      </c>
      <c r="G227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227" s="46" t="s">
        <v>801</v>
      </c>
      <c r="I227" s="47" t="s">
        <v>1230</v>
      </c>
      <c r="J227" s="47" t="s">
        <v>727</v>
      </c>
      <c r="K227" s="47" t="s">
        <v>1231</v>
      </c>
      <c r="L227" s="47" t="s">
        <v>1232</v>
      </c>
      <c r="M227" s="47" t="s">
        <v>1233</v>
      </c>
      <c r="N227">
        <v>385</v>
      </c>
      <c r="O227">
        <v>385</v>
      </c>
      <c r="P227" s="11" t="s">
        <v>584</v>
      </c>
    </row>
    <row r="228" spans="1:16" x14ac:dyDescent="0.2">
      <c r="A228">
        <v>702</v>
      </c>
      <c r="B228">
        <v>736</v>
      </c>
      <c r="C228" t="str">
        <f>VLOOKUP(Table10[[#This Row],[source]],Table2226[[#All],[ID]:[Label]],3,FALSE)</f>
        <v>PHX</v>
      </c>
      <c r="D228" t="str">
        <f>VLOOKUP(Table10[[#This Row],[target]],Table2226[[#All],[ID]:[Label]],3,FALSE)</f>
        <v>SLC</v>
      </c>
      <c r="E228" s="32" t="str">
        <f>IF(ISERROR(VLOOKUP(Table10[[#This Row],[source2]],Table22[Label],1,FALSE)),IF(ISERROR(VLOOKUP(Table10[[#This Row],[source2]],Table2210[Label],1,FALSE)),"SPOKE","FOCUS"),"HUB")</f>
        <v>HUB</v>
      </c>
      <c r="F228" s="32" t="str">
        <f>IF(ISERROR(VLOOKUP(Table10[[#This Row],[target2]],Table22[Label],1,FALSE)),IF(ISERROR(VLOOKUP(Table10[[#This Row],[target2]],Table2210[Label],1,FALSE)),"SPOKE","FOCUS"),"HUB")</f>
        <v>HUB</v>
      </c>
      <c r="G228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228" s="46" t="s">
        <v>801</v>
      </c>
      <c r="I228" s="47" t="s">
        <v>2066</v>
      </c>
      <c r="J228" s="47" t="s">
        <v>727</v>
      </c>
      <c r="K228" s="47" t="s">
        <v>2067</v>
      </c>
      <c r="L228" s="47" t="s">
        <v>2068</v>
      </c>
      <c r="M228" s="47" t="s">
        <v>2069</v>
      </c>
      <c r="N228">
        <v>706</v>
      </c>
      <c r="O228">
        <v>706</v>
      </c>
      <c r="P228" s="11" t="s">
        <v>585</v>
      </c>
    </row>
    <row r="229" spans="1:16" x14ac:dyDescent="0.2">
      <c r="A229">
        <v>625</v>
      </c>
      <c r="B229">
        <v>691</v>
      </c>
      <c r="C229" t="str">
        <f>VLOOKUP(Table10[[#This Row],[source]],Table2226[[#All],[ID]:[Label]],3,FALSE)</f>
        <v>IAD</v>
      </c>
      <c r="D229" t="str">
        <f>VLOOKUP(Table10[[#This Row],[target]],Table2226[[#All],[ID]:[Label]],3,FALSE)</f>
        <v>ORD</v>
      </c>
      <c r="E229" s="32" t="str">
        <f>IF(ISERROR(VLOOKUP(Table10[[#This Row],[source2]],Table22[Label],1,FALSE)),IF(ISERROR(VLOOKUP(Table10[[#This Row],[source2]],Table2210[Label],1,FALSE)),"SPOKE","FOCUS"),"HUB")</f>
        <v>HUB</v>
      </c>
      <c r="F229" s="32" t="str">
        <f>IF(ISERROR(VLOOKUP(Table10[[#This Row],[target2]],Table22[Label],1,FALSE)),IF(ISERROR(VLOOKUP(Table10[[#This Row],[target2]],Table2210[Label],1,FALSE)),"SPOKE","FOCUS"),"HUB")</f>
        <v>HUB</v>
      </c>
      <c r="G229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229" s="46" t="s">
        <v>801</v>
      </c>
      <c r="I229" s="47" t="s">
        <v>1119</v>
      </c>
      <c r="J229" s="47" t="s">
        <v>727</v>
      </c>
      <c r="K229" s="47" t="s">
        <v>1120</v>
      </c>
      <c r="L229" s="47" t="s">
        <v>769</v>
      </c>
      <c r="M229" s="47" t="s">
        <v>1121</v>
      </c>
      <c r="N229">
        <v>192</v>
      </c>
      <c r="O229">
        <v>192</v>
      </c>
      <c r="P229" s="11" t="s">
        <v>586</v>
      </c>
    </row>
    <row r="230" spans="1:16" x14ac:dyDescent="0.2">
      <c r="A230">
        <v>571</v>
      </c>
      <c r="B230">
        <v>645</v>
      </c>
      <c r="C230" t="str">
        <f>VLOOKUP(Table10[[#This Row],[source]],Table2226[[#All],[ID]:[Label]],3,FALSE)</f>
        <v>DCA</v>
      </c>
      <c r="D230" t="str">
        <f>VLOOKUP(Table10[[#This Row],[target]],Table2226[[#All],[ID]:[Label]],3,FALSE)</f>
        <v>JFK</v>
      </c>
      <c r="E230" s="32" t="str">
        <f>IF(ISERROR(VLOOKUP(Table10[[#This Row],[source2]],Table22[Label],1,FALSE)),IF(ISERROR(VLOOKUP(Table10[[#This Row],[source2]],Table2210[Label],1,FALSE)),"SPOKE","FOCUS"),"HUB")</f>
        <v>HUB</v>
      </c>
      <c r="F230" s="32" t="str">
        <f>IF(ISERROR(VLOOKUP(Table10[[#This Row],[target2]],Table22[Label],1,FALSE)),IF(ISERROR(VLOOKUP(Table10[[#This Row],[target2]],Table2210[Label],1,FALSE)),"SPOKE","FOCUS"),"HUB")</f>
        <v>HUB</v>
      </c>
      <c r="G230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230" s="46" t="s">
        <v>801</v>
      </c>
      <c r="I230" s="47" t="s">
        <v>1226</v>
      </c>
      <c r="J230" s="47" t="s">
        <v>727</v>
      </c>
      <c r="K230" s="47" t="s">
        <v>1227</v>
      </c>
      <c r="L230" s="47" t="s">
        <v>1228</v>
      </c>
      <c r="M230" s="47" t="s">
        <v>1229</v>
      </c>
      <c r="N230">
        <v>395</v>
      </c>
      <c r="O230">
        <v>395</v>
      </c>
      <c r="P230" s="11" t="s">
        <v>587</v>
      </c>
    </row>
    <row r="231" spans="1:16" x14ac:dyDescent="0.2">
      <c r="A231">
        <v>554</v>
      </c>
      <c r="B231">
        <v>682</v>
      </c>
      <c r="C231" t="str">
        <f>VLOOKUP(Table10[[#This Row],[source]],Table2226[[#All],[ID]:[Label]],3,FALSE)</f>
        <v>CLT</v>
      </c>
      <c r="D231" t="str">
        <f>VLOOKUP(Table10[[#This Row],[target]],Table2226[[#All],[ID]:[Label]],3,FALSE)</f>
        <v>MSP</v>
      </c>
      <c r="E231" s="32" t="str">
        <f>IF(ISERROR(VLOOKUP(Table10[[#This Row],[source2]],Table22[Label],1,FALSE)),IF(ISERROR(VLOOKUP(Table10[[#This Row],[source2]],Table2210[Label],1,FALSE)),"SPOKE","FOCUS"),"HUB")</f>
        <v>HUB</v>
      </c>
      <c r="F231" s="32" t="str">
        <f>IF(ISERROR(VLOOKUP(Table10[[#This Row],[target2]],Table22[Label],1,FALSE)),IF(ISERROR(VLOOKUP(Table10[[#This Row],[target2]],Table2210[Label],1,FALSE)),"SPOKE","FOCUS"),"HUB")</f>
        <v>HUB</v>
      </c>
      <c r="G231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231" s="46" t="s">
        <v>801</v>
      </c>
      <c r="I231" s="47" t="s">
        <v>1725</v>
      </c>
      <c r="J231" s="47" t="s">
        <v>727</v>
      </c>
      <c r="K231" s="47" t="s">
        <v>1726</v>
      </c>
      <c r="L231" s="47" t="s">
        <v>1308</v>
      </c>
      <c r="M231" s="47" t="s">
        <v>1727</v>
      </c>
      <c r="N231">
        <v>334</v>
      </c>
      <c r="O231">
        <v>334</v>
      </c>
      <c r="P231" s="11" t="s">
        <v>588</v>
      </c>
    </row>
    <row r="232" spans="1:16" x14ac:dyDescent="0.2">
      <c r="A232">
        <v>597</v>
      </c>
      <c r="B232">
        <v>700</v>
      </c>
      <c r="C232" t="str">
        <f>VLOOKUP(Table10[[#This Row],[source]],Table2226[[#All],[ID]:[Label]],3,FALSE)</f>
        <v>FLL</v>
      </c>
      <c r="D232" t="str">
        <f>VLOOKUP(Table10[[#This Row],[target]],Table2226[[#All],[ID]:[Label]],3,FALSE)</f>
        <v>PHL</v>
      </c>
      <c r="E232" s="32" t="str">
        <f>IF(ISERROR(VLOOKUP(Table10[[#This Row],[source2]],Table22[Label],1,FALSE)),IF(ISERROR(VLOOKUP(Table10[[#This Row],[source2]],Table2210[Label],1,FALSE)),"SPOKE","FOCUS"),"HUB")</f>
        <v>FOCUS</v>
      </c>
      <c r="F232" s="32" t="str">
        <f>IF(ISERROR(VLOOKUP(Table10[[#This Row],[target2]],Table22[Label],1,FALSE)),IF(ISERROR(VLOOKUP(Table10[[#This Row],[target2]],Table2210[Label],1,FALSE)),"SPOKE","FOCUS"),"HUB")</f>
        <v>HUB</v>
      </c>
      <c r="G232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HUB-FOCUS</v>
      </c>
      <c r="H232" s="46" t="s">
        <v>801</v>
      </c>
      <c r="I232" s="47" t="s">
        <v>859</v>
      </c>
      <c r="J232" s="47" t="s">
        <v>727</v>
      </c>
      <c r="K232" s="47" t="s">
        <v>860</v>
      </c>
      <c r="L232" s="47" t="s">
        <v>861</v>
      </c>
      <c r="M232" s="47" t="s">
        <v>862</v>
      </c>
      <c r="N232">
        <v>419</v>
      </c>
      <c r="O232">
        <v>419</v>
      </c>
      <c r="P232" s="11" t="s">
        <v>589</v>
      </c>
    </row>
    <row r="233" spans="1:16" x14ac:dyDescent="0.2">
      <c r="A233">
        <v>700</v>
      </c>
      <c r="B233">
        <v>648</v>
      </c>
      <c r="C233" t="str">
        <f>VLOOKUP(Table10[[#This Row],[source]],Table2226[[#All],[ID]:[Label]],3,FALSE)</f>
        <v>PHL</v>
      </c>
      <c r="D233" t="str">
        <f>VLOOKUP(Table10[[#This Row],[target]],Table2226[[#All],[ID]:[Label]],3,FALSE)</f>
        <v>LAX</v>
      </c>
      <c r="E233" s="32" t="str">
        <f>IF(ISERROR(VLOOKUP(Table10[[#This Row],[source2]],Table22[Label],1,FALSE)),IF(ISERROR(VLOOKUP(Table10[[#This Row],[source2]],Table2210[Label],1,FALSE)),"SPOKE","FOCUS"),"HUB")</f>
        <v>HUB</v>
      </c>
      <c r="F233" s="32" t="str">
        <f>IF(ISERROR(VLOOKUP(Table10[[#This Row],[target2]],Table22[Label],1,FALSE)),IF(ISERROR(VLOOKUP(Table10[[#This Row],[target2]],Table2210[Label],1,FALSE)),"SPOKE","FOCUS"),"HUB")</f>
        <v>HUB</v>
      </c>
      <c r="G233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233" s="46" t="s">
        <v>801</v>
      </c>
      <c r="I233" s="47" t="s">
        <v>966</v>
      </c>
      <c r="J233" s="47" t="s">
        <v>727</v>
      </c>
      <c r="K233" s="47" t="s">
        <v>967</v>
      </c>
      <c r="L233" s="47" t="s">
        <v>968</v>
      </c>
      <c r="M233" s="47" t="s">
        <v>969</v>
      </c>
      <c r="N233">
        <v>450</v>
      </c>
      <c r="O233">
        <v>450</v>
      </c>
      <c r="P233" s="11" t="s">
        <v>590</v>
      </c>
    </row>
    <row r="234" spans="1:16" x14ac:dyDescent="0.2">
      <c r="A234">
        <v>720</v>
      </c>
      <c r="B234">
        <v>529</v>
      </c>
      <c r="C234" t="str">
        <f>VLOOKUP(Table10[[#This Row],[source]],Table2226[[#All],[ID]:[Label]],3,FALSE)</f>
        <v>RIC</v>
      </c>
      <c r="D234" t="str">
        <f>VLOOKUP(Table10[[#This Row],[target]],Table2226[[#All],[ID]:[Label]],3,FALSE)</f>
        <v>BOS</v>
      </c>
      <c r="E234" s="32" t="str">
        <f>IF(ISERROR(VLOOKUP(Table10[[#This Row],[source2]],Table22[Label],1,FALSE)),IF(ISERROR(VLOOKUP(Table10[[#This Row],[source2]],Table2210[Label],1,FALSE)),"SPOKE","FOCUS"),"HUB")</f>
        <v>SPOKE</v>
      </c>
      <c r="F234" s="32" t="str">
        <f>IF(ISERROR(VLOOKUP(Table10[[#This Row],[target2]],Table22[Label],1,FALSE)),IF(ISERROR(VLOOKUP(Table10[[#This Row],[target2]],Table2210[Label],1,FALSE)),"SPOKE","FOCUS"),"HUB")</f>
        <v>HUB</v>
      </c>
      <c r="G234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234" s="46" t="s">
        <v>2182</v>
      </c>
      <c r="I234" s="47" t="s">
        <v>2183</v>
      </c>
      <c r="J234" s="47" t="s">
        <v>2184</v>
      </c>
      <c r="K234" s="47" t="s">
        <v>2185</v>
      </c>
      <c r="L234" s="47" t="s">
        <v>1450</v>
      </c>
      <c r="M234" s="47" t="s">
        <v>2186</v>
      </c>
      <c r="N234">
        <v>319</v>
      </c>
      <c r="O234">
        <v>319</v>
      </c>
      <c r="P234" s="11" t="s">
        <v>591</v>
      </c>
    </row>
    <row r="235" spans="1:16" x14ac:dyDescent="0.2">
      <c r="A235">
        <v>663</v>
      </c>
      <c r="B235">
        <v>673</v>
      </c>
      <c r="C235" t="str">
        <f>VLOOKUP(Table10[[#This Row],[source]],Table2226[[#All],[ID]:[Label]],3,FALSE)</f>
        <v>MCO</v>
      </c>
      <c r="D235" t="str">
        <f>VLOOKUP(Table10[[#This Row],[target]],Table2226[[#All],[ID]:[Label]],3,FALSE)</f>
        <v>MIA</v>
      </c>
      <c r="E235" s="32" t="str">
        <f>IF(ISERROR(VLOOKUP(Table10[[#This Row],[source2]],Table22[Label],1,FALSE)),IF(ISERROR(VLOOKUP(Table10[[#This Row],[source2]],Table2210[Label],1,FALSE)),"SPOKE","FOCUS"),"HUB")</f>
        <v>FOCUS</v>
      </c>
      <c r="F235" s="32" t="str">
        <f>IF(ISERROR(VLOOKUP(Table10[[#This Row],[target2]],Table22[Label],1,FALSE)),IF(ISERROR(VLOOKUP(Table10[[#This Row],[target2]],Table2210[Label],1,FALSE)),"SPOKE","FOCUS"),"HUB")</f>
        <v>HUB</v>
      </c>
      <c r="G235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HUB-FOCUS</v>
      </c>
      <c r="H235" s="46" t="s">
        <v>801</v>
      </c>
      <c r="I235" s="47" t="s">
        <v>2302</v>
      </c>
      <c r="J235" s="47" t="s">
        <v>727</v>
      </c>
      <c r="K235" s="47" t="s">
        <v>2303</v>
      </c>
      <c r="L235" s="47" t="s">
        <v>1228</v>
      </c>
      <c r="M235" s="47" t="s">
        <v>2304</v>
      </c>
      <c r="N235">
        <v>403</v>
      </c>
      <c r="O235">
        <v>403</v>
      </c>
      <c r="P235" s="11" t="s">
        <v>592</v>
      </c>
    </row>
    <row r="236" spans="1:16" x14ac:dyDescent="0.2">
      <c r="A236">
        <v>597</v>
      </c>
      <c r="B236">
        <v>575</v>
      </c>
      <c r="C236" t="str">
        <f>VLOOKUP(Table10[[#This Row],[source]],Table2226[[#All],[ID]:[Label]],3,FALSE)</f>
        <v>FLL</v>
      </c>
      <c r="D236" t="str">
        <f>VLOOKUP(Table10[[#This Row],[target]],Table2226[[#All],[ID]:[Label]],3,FALSE)</f>
        <v>DFW</v>
      </c>
      <c r="E236" s="32" t="str">
        <f>IF(ISERROR(VLOOKUP(Table10[[#This Row],[source2]],Table22[Label],1,FALSE)),IF(ISERROR(VLOOKUP(Table10[[#This Row],[source2]],Table2210[Label],1,FALSE)),"SPOKE","FOCUS"),"HUB")</f>
        <v>FOCUS</v>
      </c>
      <c r="F236" s="32" t="str">
        <f>IF(ISERROR(VLOOKUP(Table10[[#This Row],[target2]],Table22[Label],1,FALSE)),IF(ISERROR(VLOOKUP(Table10[[#This Row],[target2]],Table2210[Label],1,FALSE)),"SPOKE","FOCUS"),"HUB")</f>
        <v>HUB</v>
      </c>
      <c r="G236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HUB-FOCUS</v>
      </c>
      <c r="H236" s="46" t="s">
        <v>801</v>
      </c>
      <c r="I236" s="47" t="s">
        <v>841</v>
      </c>
      <c r="J236" s="47" t="s">
        <v>727</v>
      </c>
      <c r="K236" s="47" t="s">
        <v>842</v>
      </c>
      <c r="L236" s="47" t="s">
        <v>843</v>
      </c>
      <c r="M236" s="47" t="s">
        <v>844</v>
      </c>
      <c r="N236">
        <v>411</v>
      </c>
      <c r="O236">
        <v>411</v>
      </c>
      <c r="P236" s="11" t="s">
        <v>593</v>
      </c>
    </row>
    <row r="237" spans="1:16" x14ac:dyDescent="0.2">
      <c r="A237">
        <v>571</v>
      </c>
      <c r="B237">
        <v>682</v>
      </c>
      <c r="C237" t="str">
        <f>VLOOKUP(Table10[[#This Row],[source]],Table2226[[#All],[ID]:[Label]],3,FALSE)</f>
        <v>DCA</v>
      </c>
      <c r="D237" t="str">
        <f>VLOOKUP(Table10[[#This Row],[target]],Table2226[[#All],[ID]:[Label]],3,FALSE)</f>
        <v>MSP</v>
      </c>
      <c r="E237" s="32" t="str">
        <f>IF(ISERROR(VLOOKUP(Table10[[#This Row],[source2]],Table22[Label],1,FALSE)),IF(ISERROR(VLOOKUP(Table10[[#This Row],[source2]],Table2210[Label],1,FALSE)),"SPOKE","FOCUS"),"HUB")</f>
        <v>HUB</v>
      </c>
      <c r="F237" s="32" t="str">
        <f>IF(ISERROR(VLOOKUP(Table10[[#This Row],[target2]],Table22[Label],1,FALSE)),IF(ISERROR(VLOOKUP(Table10[[#This Row],[target2]],Table2210[Label],1,FALSE)),"SPOKE","FOCUS"),"HUB")</f>
        <v>HUB</v>
      </c>
      <c r="G237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237" s="46" t="s">
        <v>801</v>
      </c>
      <c r="I237" s="47" t="s">
        <v>1218</v>
      </c>
      <c r="J237" s="47" t="s">
        <v>727</v>
      </c>
      <c r="K237" s="47" t="s">
        <v>1219</v>
      </c>
      <c r="L237" s="47" t="s">
        <v>1220</v>
      </c>
      <c r="M237" s="47" t="s">
        <v>1221</v>
      </c>
      <c r="N237">
        <v>420</v>
      </c>
      <c r="O237">
        <v>420</v>
      </c>
      <c r="P237" s="11" t="s">
        <v>594</v>
      </c>
    </row>
    <row r="238" spans="1:16" x14ac:dyDescent="0.2">
      <c r="A238">
        <v>700</v>
      </c>
      <c r="B238">
        <v>702</v>
      </c>
      <c r="C238" t="str">
        <f>VLOOKUP(Table10[[#This Row],[source]],Table2226[[#All],[ID]:[Label]],3,FALSE)</f>
        <v>PHL</v>
      </c>
      <c r="D238" t="str">
        <f>VLOOKUP(Table10[[#This Row],[target]],Table2226[[#All],[ID]:[Label]],3,FALSE)</f>
        <v>PHX</v>
      </c>
      <c r="E238" s="32" t="str">
        <f>IF(ISERROR(VLOOKUP(Table10[[#This Row],[source2]],Table22[Label],1,FALSE)),IF(ISERROR(VLOOKUP(Table10[[#This Row],[source2]],Table2210[Label],1,FALSE)),"SPOKE","FOCUS"),"HUB")</f>
        <v>HUB</v>
      </c>
      <c r="F238" s="32" t="str">
        <f>IF(ISERROR(VLOOKUP(Table10[[#This Row],[target2]],Table22[Label],1,FALSE)),IF(ISERROR(VLOOKUP(Table10[[#This Row],[target2]],Table2210[Label],1,FALSE)),"SPOKE","FOCUS"),"HUB")</f>
        <v>HUB</v>
      </c>
      <c r="G238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238" s="46" t="s">
        <v>801</v>
      </c>
      <c r="I238" s="47" t="s">
        <v>912</v>
      </c>
      <c r="J238" s="47" t="s">
        <v>727</v>
      </c>
      <c r="K238" s="47" t="s">
        <v>913</v>
      </c>
      <c r="L238" s="47" t="s">
        <v>914</v>
      </c>
      <c r="M238" s="47" t="s">
        <v>915</v>
      </c>
      <c r="N238">
        <v>444</v>
      </c>
      <c r="O238">
        <v>444</v>
      </c>
      <c r="P238" s="11" t="s">
        <v>595</v>
      </c>
    </row>
    <row r="239" spans="1:16" x14ac:dyDescent="0.2">
      <c r="A239">
        <v>627</v>
      </c>
      <c r="B239">
        <v>578</v>
      </c>
      <c r="C239" t="str">
        <f>VLOOKUP(Table10[[#This Row],[source]],Table2226[[#All],[ID]:[Label]],3,FALSE)</f>
        <v>IAH</v>
      </c>
      <c r="D239" t="str">
        <f>VLOOKUP(Table10[[#This Row],[target]],Table2226[[#All],[ID]:[Label]],3,FALSE)</f>
        <v>DSM</v>
      </c>
      <c r="E239" s="32" t="str">
        <f>IF(ISERROR(VLOOKUP(Table10[[#This Row],[source2]],Table22[Label],1,FALSE)),IF(ISERROR(VLOOKUP(Table10[[#This Row],[source2]],Table2210[Label],1,FALSE)),"SPOKE","FOCUS"),"HUB")</f>
        <v>HUB</v>
      </c>
      <c r="F239" s="32" t="str">
        <f>IF(ISERROR(VLOOKUP(Table10[[#This Row],[target2]],Table22[Label],1,FALSE)),IF(ISERROR(VLOOKUP(Table10[[#This Row],[target2]],Table2210[Label],1,FALSE)),"SPOKE","FOCUS"),"HUB")</f>
        <v>SPOKE</v>
      </c>
      <c r="G239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239" s="46" t="s">
        <v>1759</v>
      </c>
      <c r="I239" s="47" t="s">
        <v>1760</v>
      </c>
      <c r="J239" s="47" t="s">
        <v>1761</v>
      </c>
      <c r="K239" s="47" t="s">
        <v>1762</v>
      </c>
      <c r="L239" s="47" t="s">
        <v>852</v>
      </c>
      <c r="M239" s="47" t="s">
        <v>1763</v>
      </c>
      <c r="N239">
        <v>288</v>
      </c>
      <c r="O239">
        <v>288</v>
      </c>
      <c r="P239" s="11" t="s">
        <v>596</v>
      </c>
    </row>
    <row r="240" spans="1:16" x14ac:dyDescent="0.2">
      <c r="A240">
        <v>575</v>
      </c>
      <c r="B240">
        <v>730</v>
      </c>
      <c r="C240" t="str">
        <f>VLOOKUP(Table10[[#This Row],[source]],Table2226[[#All],[ID]:[Label]],3,FALSE)</f>
        <v>DFW</v>
      </c>
      <c r="D240" t="str">
        <f>VLOOKUP(Table10[[#This Row],[target]],Table2226[[#All],[ID]:[Label]],3,FALSE)</f>
        <v>SEA</v>
      </c>
      <c r="E240" s="32" t="str">
        <f>IF(ISERROR(VLOOKUP(Table10[[#This Row],[source2]],Table22[Label],1,FALSE)),IF(ISERROR(VLOOKUP(Table10[[#This Row],[source2]],Table2210[Label],1,FALSE)),"SPOKE","FOCUS"),"HUB")</f>
        <v>HUB</v>
      </c>
      <c r="F240" s="32" t="str">
        <f>IF(ISERROR(VLOOKUP(Table10[[#This Row],[target2]],Table22[Label],1,FALSE)),IF(ISERROR(VLOOKUP(Table10[[#This Row],[target2]],Table2210[Label],1,FALSE)),"SPOKE","FOCUS"),"HUB")</f>
        <v>HUB</v>
      </c>
      <c r="G240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240" s="46" t="s">
        <v>801</v>
      </c>
      <c r="I240" s="47" t="s">
        <v>2020</v>
      </c>
      <c r="J240" s="47" t="s">
        <v>727</v>
      </c>
      <c r="K240" s="47" t="s">
        <v>2021</v>
      </c>
      <c r="L240" s="47" t="s">
        <v>1608</v>
      </c>
      <c r="M240" s="47" t="s">
        <v>2022</v>
      </c>
      <c r="N240">
        <v>735</v>
      </c>
      <c r="O240">
        <v>735</v>
      </c>
      <c r="P240" s="11" t="s">
        <v>597</v>
      </c>
    </row>
    <row r="241" spans="1:16" x14ac:dyDescent="0.2">
      <c r="A241">
        <v>702</v>
      </c>
      <c r="B241">
        <v>529</v>
      </c>
      <c r="C241" t="str">
        <f>VLOOKUP(Table10[[#This Row],[source]],Table2226[[#All],[ID]:[Label]],3,FALSE)</f>
        <v>PHX</v>
      </c>
      <c r="D241" t="str">
        <f>VLOOKUP(Table10[[#This Row],[target]],Table2226[[#All],[ID]:[Label]],3,FALSE)</f>
        <v>BOS</v>
      </c>
      <c r="E241" s="32" t="str">
        <f>IF(ISERROR(VLOOKUP(Table10[[#This Row],[source2]],Table22[Label],1,FALSE)),IF(ISERROR(VLOOKUP(Table10[[#This Row],[source2]],Table2210[Label],1,FALSE)),"SPOKE","FOCUS"),"HUB")</f>
        <v>HUB</v>
      </c>
      <c r="F241" s="32" t="str">
        <f>IF(ISERROR(VLOOKUP(Table10[[#This Row],[target2]],Table22[Label],1,FALSE)),IF(ISERROR(VLOOKUP(Table10[[#This Row],[target2]],Table2210[Label],1,FALSE)),"SPOKE","FOCUS"),"HUB")</f>
        <v>HUB</v>
      </c>
      <c r="G241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241" s="46" t="s">
        <v>801</v>
      </c>
      <c r="I241" s="47" t="s">
        <v>2085</v>
      </c>
      <c r="J241" s="47" t="s">
        <v>727</v>
      </c>
      <c r="K241" s="47" t="s">
        <v>2086</v>
      </c>
      <c r="L241" s="47" t="s">
        <v>1212</v>
      </c>
      <c r="M241" s="47" t="s">
        <v>2087</v>
      </c>
      <c r="N241">
        <v>300</v>
      </c>
      <c r="O241">
        <v>300</v>
      </c>
      <c r="P241" s="11" t="s">
        <v>598</v>
      </c>
    </row>
    <row r="242" spans="1:16" x14ac:dyDescent="0.2">
      <c r="A242">
        <v>2191</v>
      </c>
      <c r="B242">
        <v>554</v>
      </c>
      <c r="C242" t="str">
        <f>VLOOKUP(Table10[[#This Row],[source]],Table2226[[#All],[ID]:[Label]],3,FALSE)</f>
        <v>TYS</v>
      </c>
      <c r="D242" t="str">
        <f>VLOOKUP(Table10[[#This Row],[target]],Table2226[[#All],[ID]:[Label]],3,FALSE)</f>
        <v>CLT</v>
      </c>
      <c r="E242" s="32" t="str">
        <f>IF(ISERROR(VLOOKUP(Table10[[#This Row],[source2]],Table22[Label],1,FALSE)),IF(ISERROR(VLOOKUP(Table10[[#This Row],[source2]],Table2210[Label],1,FALSE)),"SPOKE","FOCUS"),"HUB")</f>
        <v>SPOKE</v>
      </c>
      <c r="F242" s="32" t="str">
        <f>IF(ISERROR(VLOOKUP(Table10[[#This Row],[target2]],Table22[Label],1,FALSE)),IF(ISERROR(VLOOKUP(Table10[[#This Row],[target2]],Table2210[Label],1,FALSE)),"SPOKE","FOCUS"),"HUB")</f>
        <v>HUB</v>
      </c>
      <c r="G242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242" s="46" t="s">
        <v>781</v>
      </c>
      <c r="I242" s="47" t="s">
        <v>782</v>
      </c>
      <c r="J242" s="47" t="s">
        <v>783</v>
      </c>
      <c r="K242" s="47" t="s">
        <v>784</v>
      </c>
      <c r="L242" s="47" t="s">
        <v>785</v>
      </c>
      <c r="M242" s="47" t="s">
        <v>786</v>
      </c>
      <c r="N242">
        <v>370</v>
      </c>
      <c r="O242">
        <v>370</v>
      </c>
      <c r="P242" s="11" t="s">
        <v>599</v>
      </c>
    </row>
    <row r="243" spans="1:16" x14ac:dyDescent="0.2">
      <c r="A243">
        <v>625</v>
      </c>
      <c r="B243">
        <v>663</v>
      </c>
      <c r="C243" t="str">
        <f>VLOOKUP(Table10[[#This Row],[source]],Table2226[[#All],[ID]:[Label]],3,FALSE)</f>
        <v>IAD</v>
      </c>
      <c r="D243" t="str">
        <f>VLOOKUP(Table10[[#This Row],[target]],Table2226[[#All],[ID]:[Label]],3,FALSE)</f>
        <v>MCO</v>
      </c>
      <c r="E243" s="32" t="str">
        <f>IF(ISERROR(VLOOKUP(Table10[[#This Row],[source2]],Table22[Label],1,FALSE)),IF(ISERROR(VLOOKUP(Table10[[#This Row],[source2]],Table2210[Label],1,FALSE)),"SPOKE","FOCUS"),"HUB")</f>
        <v>HUB</v>
      </c>
      <c r="F243" s="32" t="str">
        <f>IF(ISERROR(VLOOKUP(Table10[[#This Row],[target2]],Table22[Label],1,FALSE)),IF(ISERROR(VLOOKUP(Table10[[#This Row],[target2]],Table2210[Label],1,FALSE)),"SPOKE","FOCUS"),"HUB")</f>
        <v>FOCUS</v>
      </c>
      <c r="G243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HUB-FOCUS</v>
      </c>
      <c r="H243" s="46" t="s">
        <v>801</v>
      </c>
      <c r="I243" s="47" t="s">
        <v>1061</v>
      </c>
      <c r="J243" s="47" t="s">
        <v>727</v>
      </c>
      <c r="K243" s="47" t="s">
        <v>1062</v>
      </c>
      <c r="L243" s="47" t="s">
        <v>779</v>
      </c>
      <c r="M243" s="47" t="s">
        <v>1063</v>
      </c>
      <c r="N243">
        <v>183</v>
      </c>
      <c r="O243">
        <v>183</v>
      </c>
      <c r="P243" s="11" t="s">
        <v>600</v>
      </c>
    </row>
    <row r="244" spans="1:16" x14ac:dyDescent="0.2">
      <c r="A244">
        <v>591</v>
      </c>
      <c r="B244">
        <v>647</v>
      </c>
      <c r="C244" t="str">
        <f>VLOOKUP(Table10[[#This Row],[source]],Table2226[[#All],[ID]:[Label]],3,FALSE)</f>
        <v>EWR</v>
      </c>
      <c r="D244" t="str">
        <f>VLOOKUP(Table10[[#This Row],[target]],Table2226[[#All],[ID]:[Label]],3,FALSE)</f>
        <v>LAS</v>
      </c>
      <c r="E244" s="32" t="str">
        <f>IF(ISERROR(VLOOKUP(Table10[[#This Row],[source2]],Table22[Label],1,FALSE)),IF(ISERROR(VLOOKUP(Table10[[#This Row],[source2]],Table2210[Label],1,FALSE)),"SPOKE","FOCUS"),"HUB")</f>
        <v>HUB</v>
      </c>
      <c r="F244" s="32" t="str">
        <f>IF(ISERROR(VLOOKUP(Table10[[#This Row],[target2]],Table22[Label],1,FALSE)),IF(ISERROR(VLOOKUP(Table10[[#This Row],[target2]],Table2210[Label],1,FALSE)),"SPOKE","FOCUS"),"HUB")</f>
        <v>FOCUS</v>
      </c>
      <c r="G244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HUB-FOCUS</v>
      </c>
      <c r="H244" s="46" t="s">
        <v>801</v>
      </c>
      <c r="I244" s="47" t="s">
        <v>1880</v>
      </c>
      <c r="J244" s="47" t="s">
        <v>727</v>
      </c>
      <c r="K244" s="47" t="s">
        <v>1881</v>
      </c>
      <c r="L244" s="47" t="s">
        <v>1882</v>
      </c>
      <c r="M244" s="47" t="s">
        <v>1883</v>
      </c>
      <c r="N244">
        <v>292</v>
      </c>
      <c r="O244">
        <v>292</v>
      </c>
      <c r="P244" s="11" t="s">
        <v>601</v>
      </c>
    </row>
    <row r="245" spans="1:16" x14ac:dyDescent="0.2">
      <c r="A245">
        <v>691</v>
      </c>
      <c r="B245">
        <v>723</v>
      </c>
      <c r="C245" t="str">
        <f>VLOOKUP(Table10[[#This Row],[source]],Table2226[[#All],[ID]:[Label]],3,FALSE)</f>
        <v>ORD</v>
      </c>
      <c r="D245" t="str">
        <f>VLOOKUP(Table10[[#This Row],[target]],Table2226[[#All],[ID]:[Label]],3,FALSE)</f>
        <v>ROC</v>
      </c>
      <c r="E245" s="32" t="str">
        <f>IF(ISERROR(VLOOKUP(Table10[[#This Row],[source2]],Table22[Label],1,FALSE)),IF(ISERROR(VLOOKUP(Table10[[#This Row],[source2]],Table2210[Label],1,FALSE)),"SPOKE","FOCUS"),"HUB")</f>
        <v>HUB</v>
      </c>
      <c r="F245" s="32" t="str">
        <f>IF(ISERROR(VLOOKUP(Table10[[#This Row],[target2]],Table22[Label],1,FALSE)),IF(ISERROR(VLOOKUP(Table10[[#This Row],[target2]],Table2210[Label],1,FALSE)),"SPOKE","FOCUS"),"HUB")</f>
        <v>SPOKE</v>
      </c>
      <c r="G245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245" s="46" t="s">
        <v>1604</v>
      </c>
      <c r="I245" s="47" t="s">
        <v>1605</v>
      </c>
      <c r="J245" s="47" t="s">
        <v>1606</v>
      </c>
      <c r="K245" s="47" t="s">
        <v>1607</v>
      </c>
      <c r="L245" s="47" t="s">
        <v>1608</v>
      </c>
      <c r="M245" s="47" t="s">
        <v>1609</v>
      </c>
      <c r="N245">
        <v>407</v>
      </c>
      <c r="O245">
        <v>407</v>
      </c>
      <c r="P245" s="11" t="s">
        <v>602</v>
      </c>
    </row>
    <row r="246" spans="1:16" x14ac:dyDescent="0.2">
      <c r="A246">
        <v>506</v>
      </c>
      <c r="B246">
        <v>733</v>
      </c>
      <c r="C246" t="str">
        <f>VLOOKUP(Table10[[#This Row],[source]],Table2226[[#All],[ID]:[Label]],3,FALSE)</f>
        <v>ATL</v>
      </c>
      <c r="D246" t="str">
        <f>VLOOKUP(Table10[[#This Row],[target]],Table2226[[#All],[ID]:[Label]],3,FALSE)</f>
        <v>SFO</v>
      </c>
      <c r="E246" s="32" t="str">
        <f>IF(ISERROR(VLOOKUP(Table10[[#This Row],[source2]],Table22[Label],1,FALSE)),IF(ISERROR(VLOOKUP(Table10[[#This Row],[source2]],Table2210[Label],1,FALSE)),"SPOKE","FOCUS"),"HUB")</f>
        <v>HUB</v>
      </c>
      <c r="F246" s="32" t="str">
        <f>IF(ISERROR(VLOOKUP(Table10[[#This Row],[target2]],Table22[Label],1,FALSE)),IF(ISERROR(VLOOKUP(Table10[[#This Row],[target2]],Table2210[Label],1,FALSE)),"SPOKE","FOCUS"),"HUB")</f>
        <v>HUB</v>
      </c>
      <c r="G246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246" s="46" t="s">
        <v>801</v>
      </c>
      <c r="I246" s="47" t="s">
        <v>1431</v>
      </c>
      <c r="J246" s="47" t="s">
        <v>727</v>
      </c>
      <c r="K246" s="47" t="s">
        <v>1432</v>
      </c>
      <c r="L246" s="47" t="s">
        <v>1433</v>
      </c>
      <c r="M246" s="47" t="s">
        <v>1434</v>
      </c>
      <c r="N246">
        <v>755</v>
      </c>
      <c r="O246">
        <v>755</v>
      </c>
      <c r="P246" s="11" t="s">
        <v>603</v>
      </c>
    </row>
    <row r="247" spans="1:16" x14ac:dyDescent="0.2">
      <c r="A247">
        <v>691</v>
      </c>
      <c r="B247">
        <v>720</v>
      </c>
      <c r="C247" t="str">
        <f>VLOOKUP(Table10[[#This Row],[source]],Table2226[[#All],[ID]:[Label]],3,FALSE)</f>
        <v>ORD</v>
      </c>
      <c r="D247" t="str">
        <f>VLOOKUP(Table10[[#This Row],[target]],Table2226[[#All],[ID]:[Label]],3,FALSE)</f>
        <v>RIC</v>
      </c>
      <c r="E247" s="32" t="str">
        <f>IF(ISERROR(VLOOKUP(Table10[[#This Row],[source2]],Table22[Label],1,FALSE)),IF(ISERROR(VLOOKUP(Table10[[#This Row],[source2]],Table2210[Label],1,FALSE)),"SPOKE","FOCUS"),"HUB")</f>
        <v>HUB</v>
      </c>
      <c r="F247" s="32" t="str">
        <f>IF(ISERROR(VLOOKUP(Table10[[#This Row],[target2]],Table22[Label],1,FALSE)),IF(ISERROR(VLOOKUP(Table10[[#This Row],[target2]],Table2210[Label],1,FALSE)),"SPOKE","FOCUS"),"HUB")</f>
        <v>SPOKE</v>
      </c>
      <c r="G247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247" s="46" t="s">
        <v>801</v>
      </c>
      <c r="I247" s="47" t="s">
        <v>1624</v>
      </c>
      <c r="J247" s="47" t="s">
        <v>727</v>
      </c>
      <c r="K247" s="47" t="s">
        <v>1625</v>
      </c>
      <c r="L247" s="47" t="s">
        <v>1295</v>
      </c>
      <c r="M247" s="47" t="s">
        <v>1626</v>
      </c>
      <c r="N247">
        <v>417</v>
      </c>
      <c r="O247">
        <v>417</v>
      </c>
      <c r="P247" s="11" t="s">
        <v>604</v>
      </c>
    </row>
    <row r="248" spans="1:16" x14ac:dyDescent="0.2">
      <c r="A248">
        <v>554</v>
      </c>
      <c r="B248">
        <v>702</v>
      </c>
      <c r="C248" t="str">
        <f>VLOOKUP(Table10[[#This Row],[source]],Table2226[[#All],[ID]:[Label]],3,FALSE)</f>
        <v>CLT</v>
      </c>
      <c r="D248" t="str">
        <f>VLOOKUP(Table10[[#This Row],[target]],Table2226[[#All],[ID]:[Label]],3,FALSE)</f>
        <v>PHX</v>
      </c>
      <c r="E248" s="32" t="str">
        <f>IF(ISERROR(VLOOKUP(Table10[[#This Row],[source2]],Table22[Label],1,FALSE)),IF(ISERROR(VLOOKUP(Table10[[#This Row],[source2]],Table2210[Label],1,FALSE)),"SPOKE","FOCUS"),"HUB")</f>
        <v>HUB</v>
      </c>
      <c r="F248" s="32" t="str">
        <f>IF(ISERROR(VLOOKUP(Table10[[#This Row],[target2]],Table22[Label],1,FALSE)),IF(ISERROR(VLOOKUP(Table10[[#This Row],[target2]],Table2210[Label],1,FALSE)),"SPOKE","FOCUS"),"HUB")</f>
        <v>HUB</v>
      </c>
      <c r="G248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248" s="46" t="s">
        <v>801</v>
      </c>
      <c r="I248" s="47" t="s">
        <v>1684</v>
      </c>
      <c r="J248" s="47" t="s">
        <v>727</v>
      </c>
      <c r="K248" s="47" t="s">
        <v>1685</v>
      </c>
      <c r="L248" s="47" t="s">
        <v>1011</v>
      </c>
      <c r="M248" s="47" t="s">
        <v>1686</v>
      </c>
      <c r="N248">
        <v>411</v>
      </c>
      <c r="O248">
        <v>411</v>
      </c>
      <c r="P248" s="11" t="s">
        <v>605</v>
      </c>
    </row>
    <row r="249" spans="1:16" x14ac:dyDescent="0.2">
      <c r="A249">
        <v>702</v>
      </c>
      <c r="B249">
        <v>733</v>
      </c>
      <c r="C249" t="str">
        <f>VLOOKUP(Table10[[#This Row],[source]],Table2226[[#All],[ID]:[Label]],3,FALSE)</f>
        <v>PHX</v>
      </c>
      <c r="D249" t="str">
        <f>VLOOKUP(Table10[[#This Row],[target]],Table2226[[#All],[ID]:[Label]],3,FALSE)</f>
        <v>SFO</v>
      </c>
      <c r="E249" s="32" t="str">
        <f>IF(ISERROR(VLOOKUP(Table10[[#This Row],[source2]],Table22[Label],1,FALSE)),IF(ISERROR(VLOOKUP(Table10[[#This Row],[source2]],Table2210[Label],1,FALSE)),"SPOKE","FOCUS"),"HUB")</f>
        <v>HUB</v>
      </c>
      <c r="F249" s="32" t="str">
        <f>IF(ISERROR(VLOOKUP(Table10[[#This Row],[target2]],Table22[Label],1,FALSE)),IF(ISERROR(VLOOKUP(Table10[[#This Row],[target2]],Table2210[Label],1,FALSE)),"SPOKE","FOCUS"),"HUB")</f>
        <v>HUB</v>
      </c>
      <c r="G249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249" s="46" t="s">
        <v>801</v>
      </c>
      <c r="I249" s="47" t="s">
        <v>2070</v>
      </c>
      <c r="J249" s="47" t="s">
        <v>727</v>
      </c>
      <c r="K249" s="47" t="s">
        <v>2071</v>
      </c>
      <c r="L249" s="47" t="s">
        <v>1246</v>
      </c>
      <c r="M249" s="47" t="s">
        <v>2072</v>
      </c>
      <c r="N249">
        <v>842</v>
      </c>
      <c r="O249">
        <v>842</v>
      </c>
      <c r="P249" s="11" t="s">
        <v>606</v>
      </c>
    </row>
    <row r="250" spans="1:16" x14ac:dyDescent="0.2">
      <c r="A250">
        <v>700</v>
      </c>
      <c r="B250">
        <v>673</v>
      </c>
      <c r="C250" t="str">
        <f>VLOOKUP(Table10[[#This Row],[source]],Table2226[[#All],[ID]:[Label]],3,FALSE)</f>
        <v>PHL</v>
      </c>
      <c r="D250" t="str">
        <f>VLOOKUP(Table10[[#This Row],[target]],Table2226[[#All],[ID]:[Label]],3,FALSE)</f>
        <v>MIA</v>
      </c>
      <c r="E250" s="32" t="str">
        <f>IF(ISERROR(VLOOKUP(Table10[[#This Row],[source2]],Table22[Label],1,FALSE)),IF(ISERROR(VLOOKUP(Table10[[#This Row],[source2]],Table2210[Label],1,FALSE)),"SPOKE","FOCUS"),"HUB")</f>
        <v>HUB</v>
      </c>
      <c r="F250" s="32" t="str">
        <f>IF(ISERROR(VLOOKUP(Table10[[#This Row],[target2]],Table22[Label],1,FALSE)),IF(ISERROR(VLOOKUP(Table10[[#This Row],[target2]],Table2210[Label],1,FALSE)),"SPOKE","FOCUS"),"HUB")</f>
        <v>HUB</v>
      </c>
      <c r="G250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250" s="46" t="s">
        <v>801</v>
      </c>
      <c r="I250" s="47" t="s">
        <v>1009</v>
      </c>
      <c r="J250" s="47" t="s">
        <v>727</v>
      </c>
      <c r="K250" s="47" t="s">
        <v>1010</v>
      </c>
      <c r="L250" s="47" t="s">
        <v>1011</v>
      </c>
      <c r="M250" s="47" t="s">
        <v>1012</v>
      </c>
      <c r="N250">
        <v>343</v>
      </c>
      <c r="O250">
        <v>343</v>
      </c>
      <c r="P250" s="11" t="s">
        <v>607</v>
      </c>
    </row>
    <row r="251" spans="1:16" x14ac:dyDescent="0.2">
      <c r="A251">
        <v>682</v>
      </c>
      <c r="B251">
        <v>663</v>
      </c>
      <c r="C251" t="str">
        <f>VLOOKUP(Table10[[#This Row],[source]],Table2226[[#All],[ID]:[Label]],3,FALSE)</f>
        <v>MSP</v>
      </c>
      <c r="D251" t="str">
        <f>VLOOKUP(Table10[[#This Row],[target]],Table2226[[#All],[ID]:[Label]],3,FALSE)</f>
        <v>MCO</v>
      </c>
      <c r="E251" s="32" t="str">
        <f>IF(ISERROR(VLOOKUP(Table10[[#This Row],[source2]],Table22[Label],1,FALSE)),IF(ISERROR(VLOOKUP(Table10[[#This Row],[source2]],Table2210[Label],1,FALSE)),"SPOKE","FOCUS"),"HUB")</f>
        <v>HUB</v>
      </c>
      <c r="F251" s="32" t="str">
        <f>IF(ISERROR(VLOOKUP(Table10[[#This Row],[target2]],Table22[Label],1,FALSE)),IF(ISERROR(VLOOKUP(Table10[[#This Row],[target2]],Table2210[Label],1,FALSE)),"SPOKE","FOCUS"),"HUB")</f>
        <v>FOCUS</v>
      </c>
      <c r="G251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HUB-FOCUS</v>
      </c>
      <c r="H251" s="46" t="s">
        <v>801</v>
      </c>
      <c r="I251" s="47" t="s">
        <v>1916</v>
      </c>
      <c r="J251" s="47" t="s">
        <v>727</v>
      </c>
      <c r="K251" s="47" t="s">
        <v>1917</v>
      </c>
      <c r="L251" s="47" t="s">
        <v>1711</v>
      </c>
      <c r="M251" s="47" t="s">
        <v>1918</v>
      </c>
      <c r="N251">
        <v>293</v>
      </c>
      <c r="O251">
        <v>293</v>
      </c>
      <c r="P251" s="11" t="s">
        <v>608</v>
      </c>
    </row>
    <row r="252" spans="1:16" x14ac:dyDescent="0.2">
      <c r="A252">
        <v>625</v>
      </c>
      <c r="B252">
        <v>723</v>
      </c>
      <c r="C252" t="str">
        <f>VLOOKUP(Table10[[#This Row],[source]],Table2226[[#All],[ID]:[Label]],3,FALSE)</f>
        <v>IAD</v>
      </c>
      <c r="D252" t="str">
        <f>VLOOKUP(Table10[[#This Row],[target]],Table2226[[#All],[ID]:[Label]],3,FALSE)</f>
        <v>ROC</v>
      </c>
      <c r="E252" s="32" t="str">
        <f>IF(ISERROR(VLOOKUP(Table10[[#This Row],[source2]],Table22[Label],1,FALSE)),IF(ISERROR(VLOOKUP(Table10[[#This Row],[source2]],Table2210[Label],1,FALSE)),"SPOKE","FOCUS"),"HUB")</f>
        <v>HUB</v>
      </c>
      <c r="F252" s="32" t="str">
        <f>IF(ISERROR(VLOOKUP(Table10[[#This Row],[target2]],Table22[Label],1,FALSE)),IF(ISERROR(VLOOKUP(Table10[[#This Row],[target2]],Table2210[Label],1,FALSE)),"SPOKE","FOCUS"),"HUB")</f>
        <v>SPOKE</v>
      </c>
      <c r="G252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252" s="46" t="s">
        <v>1087</v>
      </c>
      <c r="I252" s="47" t="s">
        <v>1088</v>
      </c>
      <c r="J252" s="47" t="s">
        <v>1089</v>
      </c>
      <c r="K252" s="47" t="s">
        <v>1090</v>
      </c>
      <c r="L252" s="47" t="s">
        <v>1091</v>
      </c>
      <c r="M252" s="47" t="s">
        <v>1092</v>
      </c>
      <c r="N252">
        <v>191</v>
      </c>
      <c r="O252">
        <v>191</v>
      </c>
      <c r="P252" s="11" t="s">
        <v>609</v>
      </c>
    </row>
    <row r="253" spans="1:16" x14ac:dyDescent="0.2">
      <c r="A253">
        <v>554</v>
      </c>
      <c r="B253">
        <v>673</v>
      </c>
      <c r="C253" t="str">
        <f>VLOOKUP(Table10[[#This Row],[source]],Table2226[[#All],[ID]:[Label]],3,FALSE)</f>
        <v>CLT</v>
      </c>
      <c r="D253" t="str">
        <f>VLOOKUP(Table10[[#This Row],[target]],Table2226[[#All],[ID]:[Label]],3,FALSE)</f>
        <v>MIA</v>
      </c>
      <c r="E253" s="32" t="str">
        <f>IF(ISERROR(VLOOKUP(Table10[[#This Row],[source2]],Table22[Label],1,FALSE)),IF(ISERROR(VLOOKUP(Table10[[#This Row],[source2]],Table2210[Label],1,FALSE)),"SPOKE","FOCUS"),"HUB")</f>
        <v>HUB</v>
      </c>
      <c r="F253" s="32" t="str">
        <f>IF(ISERROR(VLOOKUP(Table10[[#This Row],[target2]],Table22[Label],1,FALSE)),IF(ISERROR(VLOOKUP(Table10[[#This Row],[target2]],Table2210[Label],1,FALSE)),"SPOKE","FOCUS"),"HUB")</f>
        <v>HUB</v>
      </c>
      <c r="G253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253" s="46" t="s">
        <v>801</v>
      </c>
      <c r="I253" s="47" t="s">
        <v>1728</v>
      </c>
      <c r="J253" s="47" t="s">
        <v>727</v>
      </c>
      <c r="K253" s="47" t="s">
        <v>1729</v>
      </c>
      <c r="L253" s="47" t="s">
        <v>939</v>
      </c>
      <c r="M253" s="47" t="s">
        <v>1730</v>
      </c>
      <c r="N253">
        <v>338</v>
      </c>
      <c r="O253">
        <v>338</v>
      </c>
      <c r="P253" s="11" t="s">
        <v>610</v>
      </c>
    </row>
    <row r="254" spans="1:16" x14ac:dyDescent="0.2">
      <c r="A254">
        <v>733</v>
      </c>
      <c r="B254">
        <v>712</v>
      </c>
      <c r="C254" t="str">
        <f>VLOOKUP(Table10[[#This Row],[source]],Table2226[[#All],[ID]:[Label]],3,FALSE)</f>
        <v>SFO</v>
      </c>
      <c r="D254" t="str">
        <f>VLOOKUP(Table10[[#This Row],[target]],Table2226[[#All],[ID]:[Label]],3,FALSE)</f>
        <v>PSP</v>
      </c>
      <c r="E254" s="32" t="str">
        <f>IF(ISERROR(VLOOKUP(Table10[[#This Row],[source2]],Table22[Label],1,FALSE)),IF(ISERROR(VLOOKUP(Table10[[#This Row],[source2]],Table2210[Label],1,FALSE)),"SPOKE","FOCUS"),"HUB")</f>
        <v>HUB</v>
      </c>
      <c r="F254" s="32" t="str">
        <f>IF(ISERROR(VLOOKUP(Table10[[#This Row],[target2]],Table22[Label],1,FALSE)),IF(ISERROR(VLOOKUP(Table10[[#This Row],[target2]],Table2210[Label],1,FALSE)),"SPOKE","FOCUS"),"HUB")</f>
        <v>SPOKE</v>
      </c>
      <c r="G254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254" s="46" t="s">
        <v>2098</v>
      </c>
      <c r="I254" s="47" t="s">
        <v>2099</v>
      </c>
      <c r="J254" s="47" t="s">
        <v>2100</v>
      </c>
      <c r="K254" s="47" t="s">
        <v>2101</v>
      </c>
      <c r="L254" s="47" t="s">
        <v>1848</v>
      </c>
      <c r="M254" s="47" t="s">
        <v>2102</v>
      </c>
      <c r="N254">
        <v>362</v>
      </c>
      <c r="O254">
        <v>362</v>
      </c>
      <c r="P254" s="11" t="s">
        <v>611</v>
      </c>
    </row>
    <row r="255" spans="1:16" x14ac:dyDescent="0.2">
      <c r="A255">
        <v>571</v>
      </c>
      <c r="B255">
        <v>575</v>
      </c>
      <c r="C255" t="str">
        <f>VLOOKUP(Table10[[#This Row],[source]],Table2226[[#All],[ID]:[Label]],3,FALSE)</f>
        <v>DCA</v>
      </c>
      <c r="D255" t="str">
        <f>VLOOKUP(Table10[[#This Row],[target]],Table2226[[#All],[ID]:[Label]],3,FALSE)</f>
        <v>DFW</v>
      </c>
      <c r="E255" s="32" t="str">
        <f>IF(ISERROR(VLOOKUP(Table10[[#This Row],[source2]],Table22[Label],1,FALSE)),IF(ISERROR(VLOOKUP(Table10[[#This Row],[source2]],Table2210[Label],1,FALSE)),"SPOKE","FOCUS"),"HUB")</f>
        <v>HUB</v>
      </c>
      <c r="F255" s="32" t="str">
        <f>IF(ISERROR(VLOOKUP(Table10[[#This Row],[target2]],Table22[Label],1,FALSE)),IF(ISERROR(VLOOKUP(Table10[[#This Row],[target2]],Table2210[Label],1,FALSE)),"SPOKE","FOCUS"),"HUB")</f>
        <v>HUB</v>
      </c>
      <c r="G255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255" s="46" t="s">
        <v>801</v>
      </c>
      <c r="I255" s="47" t="s">
        <v>1200</v>
      </c>
      <c r="J255" s="47" t="s">
        <v>727</v>
      </c>
      <c r="K255" s="47" t="s">
        <v>1201</v>
      </c>
      <c r="L255" s="47" t="s">
        <v>1202</v>
      </c>
      <c r="M255" s="47" t="s">
        <v>1203</v>
      </c>
      <c r="N255">
        <v>443</v>
      </c>
      <c r="O255">
        <v>443</v>
      </c>
      <c r="P255" s="11" t="s">
        <v>612</v>
      </c>
    </row>
    <row r="256" spans="1:16" x14ac:dyDescent="0.2">
      <c r="A256">
        <v>597</v>
      </c>
      <c r="B256">
        <v>554</v>
      </c>
      <c r="C256" t="str">
        <f>VLOOKUP(Table10[[#This Row],[source]],Table2226[[#All],[ID]:[Label]],3,FALSE)</f>
        <v>FLL</v>
      </c>
      <c r="D256" t="str">
        <f>VLOOKUP(Table10[[#This Row],[target]],Table2226[[#All],[ID]:[Label]],3,FALSE)</f>
        <v>CLT</v>
      </c>
      <c r="E256" s="32" t="str">
        <f>IF(ISERROR(VLOOKUP(Table10[[#This Row],[source2]],Table22[Label],1,FALSE)),IF(ISERROR(VLOOKUP(Table10[[#This Row],[source2]],Table2210[Label],1,FALSE)),"SPOKE","FOCUS"),"HUB")</f>
        <v>FOCUS</v>
      </c>
      <c r="F256" s="32" t="str">
        <f>IF(ISERROR(VLOOKUP(Table10[[#This Row],[target2]],Table22[Label],1,FALSE)),IF(ISERROR(VLOOKUP(Table10[[#This Row],[target2]],Table2210[Label],1,FALSE)),"SPOKE","FOCUS"),"HUB")</f>
        <v>HUB</v>
      </c>
      <c r="G256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HUB-FOCUS</v>
      </c>
      <c r="H256" s="46" t="s">
        <v>801</v>
      </c>
      <c r="I256" s="47" t="s">
        <v>850</v>
      </c>
      <c r="J256" s="47" t="s">
        <v>727</v>
      </c>
      <c r="K256" s="47" t="s">
        <v>851</v>
      </c>
      <c r="L256" s="47" t="s">
        <v>852</v>
      </c>
      <c r="M256" s="47" t="s">
        <v>853</v>
      </c>
      <c r="N256">
        <v>352</v>
      </c>
      <c r="O256">
        <v>352</v>
      </c>
      <c r="P256" s="11" t="s">
        <v>613</v>
      </c>
    </row>
    <row r="257" spans="1:16" x14ac:dyDescent="0.2">
      <c r="A257">
        <v>625</v>
      </c>
      <c r="B257">
        <v>673</v>
      </c>
      <c r="C257" t="str">
        <f>VLOOKUP(Table10[[#This Row],[source]],Table2226[[#All],[ID]:[Label]],3,FALSE)</f>
        <v>IAD</v>
      </c>
      <c r="D257" t="str">
        <f>VLOOKUP(Table10[[#This Row],[target]],Table2226[[#All],[ID]:[Label]],3,FALSE)</f>
        <v>MIA</v>
      </c>
      <c r="E257" s="32" t="str">
        <f>IF(ISERROR(VLOOKUP(Table10[[#This Row],[source2]],Table22[Label],1,FALSE)),IF(ISERROR(VLOOKUP(Table10[[#This Row],[source2]],Table2210[Label],1,FALSE)),"SPOKE","FOCUS"),"HUB")</f>
        <v>HUB</v>
      </c>
      <c r="F257" s="32" t="str">
        <f>IF(ISERROR(VLOOKUP(Table10[[#This Row],[target2]],Table22[Label],1,FALSE)),IF(ISERROR(VLOOKUP(Table10[[#This Row],[target2]],Table2210[Label],1,FALSE)),"SPOKE","FOCUS"),"HUB")</f>
        <v>HUB</v>
      </c>
      <c r="G257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257" s="46" t="s">
        <v>1093</v>
      </c>
      <c r="I257" s="47" t="s">
        <v>1094</v>
      </c>
      <c r="J257" s="47" t="s">
        <v>1095</v>
      </c>
      <c r="K257" s="47" t="s">
        <v>1096</v>
      </c>
      <c r="L257" s="47" t="s">
        <v>1097</v>
      </c>
      <c r="M257" s="47" t="s">
        <v>1098</v>
      </c>
      <c r="N257">
        <v>178</v>
      </c>
      <c r="O257">
        <v>178</v>
      </c>
      <c r="P257" s="11" t="s">
        <v>614</v>
      </c>
    </row>
    <row r="258" spans="1:16" x14ac:dyDescent="0.2">
      <c r="A258">
        <v>575</v>
      </c>
      <c r="B258">
        <v>653</v>
      </c>
      <c r="C258" t="str">
        <f>VLOOKUP(Table10[[#This Row],[source]],Table2226[[#All],[ID]:[Label]],3,FALSE)</f>
        <v>DFW</v>
      </c>
      <c r="D258" t="str">
        <f>VLOOKUP(Table10[[#This Row],[target]],Table2226[[#All],[ID]:[Label]],3,FALSE)</f>
        <v>LIT</v>
      </c>
      <c r="E258" s="32" t="str">
        <f>IF(ISERROR(VLOOKUP(Table10[[#This Row],[source2]],Table22[Label],1,FALSE)),IF(ISERROR(VLOOKUP(Table10[[#This Row],[source2]],Table2210[Label],1,FALSE)),"SPOKE","FOCUS"),"HUB")</f>
        <v>HUB</v>
      </c>
      <c r="F258" s="32" t="str">
        <f>IF(ISERROR(VLOOKUP(Table10[[#This Row],[target2]],Table22[Label],1,FALSE)),IF(ISERROR(VLOOKUP(Table10[[#This Row],[target2]],Table2210[Label],1,FALSE)),"SPOKE","FOCUS"),"HUB")</f>
        <v>SPOKE</v>
      </c>
      <c r="G258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258" s="46" t="s">
        <v>2033</v>
      </c>
      <c r="I258" s="47" t="s">
        <v>2034</v>
      </c>
      <c r="J258" s="47" t="s">
        <v>2035</v>
      </c>
      <c r="K258" s="47" t="s">
        <v>2036</v>
      </c>
      <c r="L258" s="47" t="s">
        <v>904</v>
      </c>
      <c r="M258" s="47" t="s">
        <v>2037</v>
      </c>
      <c r="N258">
        <v>367</v>
      </c>
      <c r="O258">
        <v>367</v>
      </c>
      <c r="P258" s="11" t="s">
        <v>615</v>
      </c>
    </row>
    <row r="259" spans="1:16" x14ac:dyDescent="0.2">
      <c r="A259">
        <v>2191</v>
      </c>
      <c r="B259">
        <v>506</v>
      </c>
      <c r="C259" t="str">
        <f>VLOOKUP(Table10[[#This Row],[source]],Table2226[[#All],[ID]:[Label]],3,FALSE)</f>
        <v>TYS</v>
      </c>
      <c r="D259" t="str">
        <f>VLOOKUP(Table10[[#This Row],[target]],Table2226[[#All],[ID]:[Label]],3,FALSE)</f>
        <v>ATL</v>
      </c>
      <c r="E259" s="32" t="str">
        <f>IF(ISERROR(VLOOKUP(Table10[[#This Row],[source2]],Table22[Label],1,FALSE)),IF(ISERROR(VLOOKUP(Table10[[#This Row],[source2]],Table2210[Label],1,FALSE)),"SPOKE","FOCUS"),"HUB")</f>
        <v>SPOKE</v>
      </c>
      <c r="F259" s="32" t="str">
        <f>IF(ISERROR(VLOOKUP(Table10[[#This Row],[target2]],Table22[Label],1,FALSE)),IF(ISERROR(VLOOKUP(Table10[[#This Row],[target2]],Table2210[Label],1,FALSE)),"SPOKE","FOCUS"),"HUB")</f>
        <v>HUB</v>
      </c>
      <c r="G259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259" s="46" t="s">
        <v>765</v>
      </c>
      <c r="I259" s="47" t="s">
        <v>766</v>
      </c>
      <c r="J259" s="47" t="s">
        <v>767</v>
      </c>
      <c r="K259" s="47" t="s">
        <v>768</v>
      </c>
      <c r="L259" s="47" t="s">
        <v>769</v>
      </c>
      <c r="M259" s="47" t="s">
        <v>770</v>
      </c>
      <c r="N259">
        <v>361</v>
      </c>
      <c r="O259">
        <v>361</v>
      </c>
      <c r="P259" s="11" t="s">
        <v>616</v>
      </c>
    </row>
    <row r="260" spans="1:16" x14ac:dyDescent="0.2">
      <c r="A260">
        <v>571</v>
      </c>
      <c r="B260">
        <v>673</v>
      </c>
      <c r="C260" t="str">
        <f>VLOOKUP(Table10[[#This Row],[source]],Table2226[[#All],[ID]:[Label]],3,FALSE)</f>
        <v>DCA</v>
      </c>
      <c r="D260" t="str">
        <f>VLOOKUP(Table10[[#This Row],[target]],Table2226[[#All],[ID]:[Label]],3,FALSE)</f>
        <v>MIA</v>
      </c>
      <c r="E260" s="32" t="str">
        <f>IF(ISERROR(VLOOKUP(Table10[[#This Row],[source2]],Table22[Label],1,FALSE)),IF(ISERROR(VLOOKUP(Table10[[#This Row],[source2]],Table2210[Label],1,FALSE)),"SPOKE","FOCUS"),"HUB")</f>
        <v>HUB</v>
      </c>
      <c r="F260" s="32" t="str">
        <f>IF(ISERROR(VLOOKUP(Table10[[#This Row],[target2]],Table22[Label],1,FALSE)),IF(ISERROR(VLOOKUP(Table10[[#This Row],[target2]],Table2210[Label],1,FALSE)),"SPOKE","FOCUS"),"HUB")</f>
        <v>HUB</v>
      </c>
      <c r="G260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260" s="46" t="s">
        <v>801</v>
      </c>
      <c r="I260" s="47" t="s">
        <v>1214</v>
      </c>
      <c r="J260" s="47" t="s">
        <v>727</v>
      </c>
      <c r="K260" s="47" t="s">
        <v>1215</v>
      </c>
      <c r="L260" s="47" t="s">
        <v>1216</v>
      </c>
      <c r="M260" s="47" t="s">
        <v>1217</v>
      </c>
      <c r="N260">
        <v>447</v>
      </c>
      <c r="O260">
        <v>447</v>
      </c>
      <c r="P260" s="11" t="s">
        <v>617</v>
      </c>
    </row>
    <row r="261" spans="1:16" x14ac:dyDescent="0.2">
      <c r="A261">
        <v>574</v>
      </c>
      <c r="B261">
        <v>2189</v>
      </c>
      <c r="C261" t="str">
        <f>VLOOKUP(Table10[[#This Row],[source]],Table2226[[#All],[ID]:[Label]],3,FALSE)</f>
        <v>DEN</v>
      </c>
      <c r="D261" t="str">
        <f>VLOOKUP(Table10[[#This Row],[target]],Table2226[[#All],[ID]:[Label]],3,FALSE)</f>
        <v>TUL</v>
      </c>
      <c r="E261" s="32" t="str">
        <f>IF(ISERROR(VLOOKUP(Table10[[#This Row],[source2]],Table22[Label],1,FALSE)),IF(ISERROR(VLOOKUP(Table10[[#This Row],[source2]],Table2210[Label],1,FALSE)),"SPOKE","FOCUS"),"HUB")</f>
        <v>HUB</v>
      </c>
      <c r="F261" s="32" t="str">
        <f>IF(ISERROR(VLOOKUP(Table10[[#This Row],[target2]],Table22[Label],1,FALSE)),IF(ISERROR(VLOOKUP(Table10[[#This Row],[target2]],Table2210[Label],1,FALSE)),"SPOKE","FOCUS"),"HUB")</f>
        <v>SPOKE</v>
      </c>
      <c r="G261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261" s="46" t="s">
        <v>1541</v>
      </c>
      <c r="I261" s="47" t="s">
        <v>1542</v>
      </c>
      <c r="J261" s="47" t="s">
        <v>1543</v>
      </c>
      <c r="K261" s="47" t="s">
        <v>1544</v>
      </c>
      <c r="L261" s="47" t="s">
        <v>1289</v>
      </c>
      <c r="M261" s="47" t="s">
        <v>1545</v>
      </c>
      <c r="N261">
        <v>263</v>
      </c>
      <c r="O261">
        <v>263</v>
      </c>
      <c r="P261" s="11" t="s">
        <v>618</v>
      </c>
    </row>
    <row r="262" spans="1:16" x14ac:dyDescent="0.2">
      <c r="A262">
        <v>571</v>
      </c>
      <c r="B262">
        <v>627</v>
      </c>
      <c r="C262" t="str">
        <f>VLOOKUP(Table10[[#This Row],[source]],Table2226[[#All],[ID]:[Label]],3,FALSE)</f>
        <v>DCA</v>
      </c>
      <c r="D262" t="str">
        <f>VLOOKUP(Table10[[#This Row],[target]],Table2226[[#All],[ID]:[Label]],3,FALSE)</f>
        <v>IAH</v>
      </c>
      <c r="E262" s="32" t="str">
        <f>IF(ISERROR(VLOOKUP(Table10[[#This Row],[source2]],Table22[Label],1,FALSE)),IF(ISERROR(VLOOKUP(Table10[[#This Row],[source2]],Table2210[Label],1,FALSE)),"SPOKE","FOCUS"),"HUB")</f>
        <v>HUB</v>
      </c>
      <c r="F262" s="32" t="str">
        <f>IF(ISERROR(VLOOKUP(Table10[[#This Row],[target2]],Table22[Label],1,FALSE)),IF(ISERROR(VLOOKUP(Table10[[#This Row],[target2]],Table2210[Label],1,FALSE)),"SPOKE","FOCUS"),"HUB")</f>
        <v>HUB</v>
      </c>
      <c r="G262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262" s="46" t="s">
        <v>801</v>
      </c>
      <c r="I262" s="47" t="s">
        <v>1142</v>
      </c>
      <c r="J262" s="47" t="s">
        <v>727</v>
      </c>
      <c r="K262" s="47" t="s">
        <v>1143</v>
      </c>
      <c r="L262" s="47" t="s">
        <v>1144</v>
      </c>
      <c r="M262" s="47" t="s">
        <v>1145</v>
      </c>
      <c r="N262">
        <v>236</v>
      </c>
      <c r="O262">
        <v>236</v>
      </c>
      <c r="P262" s="11" t="s">
        <v>619</v>
      </c>
    </row>
    <row r="263" spans="1:16" x14ac:dyDescent="0.2">
      <c r="A263">
        <v>682</v>
      </c>
      <c r="B263">
        <v>645</v>
      </c>
      <c r="C263" t="str">
        <f>VLOOKUP(Table10[[#This Row],[source]],Table2226[[#All],[ID]:[Label]],3,FALSE)</f>
        <v>MSP</v>
      </c>
      <c r="D263" t="str">
        <f>VLOOKUP(Table10[[#This Row],[target]],Table2226[[#All],[ID]:[Label]],3,FALSE)</f>
        <v>JFK</v>
      </c>
      <c r="E263" s="32" t="str">
        <f>IF(ISERROR(VLOOKUP(Table10[[#This Row],[source2]],Table22[Label],1,FALSE)),IF(ISERROR(VLOOKUP(Table10[[#This Row],[source2]],Table2210[Label],1,FALSE)),"SPOKE","FOCUS"),"HUB")</f>
        <v>HUB</v>
      </c>
      <c r="F263" s="32" t="str">
        <f>IF(ISERROR(VLOOKUP(Table10[[#This Row],[target2]],Table22[Label],1,FALSE)),IF(ISERROR(VLOOKUP(Table10[[#This Row],[target2]],Table2210[Label],1,FALSE)),"SPOKE","FOCUS"),"HUB")</f>
        <v>HUB</v>
      </c>
      <c r="G263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263" s="46" t="s">
        <v>801</v>
      </c>
      <c r="I263" s="47" t="s">
        <v>1954</v>
      </c>
      <c r="J263" s="47" t="s">
        <v>727</v>
      </c>
      <c r="K263" s="47" t="s">
        <v>1955</v>
      </c>
      <c r="L263" s="47" t="s">
        <v>1956</v>
      </c>
      <c r="M263" s="47" t="s">
        <v>1957</v>
      </c>
      <c r="N263">
        <v>245</v>
      </c>
      <c r="O263">
        <v>245</v>
      </c>
      <c r="P263" s="11" t="s">
        <v>620</v>
      </c>
    </row>
    <row r="264" spans="1:16" x14ac:dyDescent="0.2">
      <c r="A264">
        <v>571</v>
      </c>
      <c r="B264">
        <v>663</v>
      </c>
      <c r="C264" t="str">
        <f>VLOOKUP(Table10[[#This Row],[source]],Table2226[[#All],[ID]:[Label]],3,FALSE)</f>
        <v>DCA</v>
      </c>
      <c r="D264" t="str">
        <f>VLOOKUP(Table10[[#This Row],[target]],Table2226[[#All],[ID]:[Label]],3,FALSE)</f>
        <v>MCO</v>
      </c>
      <c r="E264" s="32" t="str">
        <f>IF(ISERROR(VLOOKUP(Table10[[#This Row],[source2]],Table22[Label],1,FALSE)),IF(ISERROR(VLOOKUP(Table10[[#This Row],[source2]],Table2210[Label],1,FALSE)),"SPOKE","FOCUS"),"HUB")</f>
        <v>HUB</v>
      </c>
      <c r="F264" s="32" t="str">
        <f>IF(ISERROR(VLOOKUP(Table10[[#This Row],[target2]],Table22[Label],1,FALSE)),IF(ISERROR(VLOOKUP(Table10[[#This Row],[target2]],Table2210[Label],1,FALSE)),"SPOKE","FOCUS"),"HUB")</f>
        <v>FOCUS</v>
      </c>
      <c r="G264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HUB-FOCUS</v>
      </c>
      <c r="H264" s="46" t="s">
        <v>801</v>
      </c>
      <c r="I264" s="47" t="s">
        <v>1178</v>
      </c>
      <c r="J264" s="47" t="s">
        <v>727</v>
      </c>
      <c r="K264" s="47" t="s">
        <v>1179</v>
      </c>
      <c r="L264" s="47" t="s">
        <v>1180</v>
      </c>
      <c r="M264" s="47" t="s">
        <v>1181</v>
      </c>
      <c r="N264">
        <v>521</v>
      </c>
      <c r="O264">
        <v>521</v>
      </c>
      <c r="P264" s="11" t="s">
        <v>621</v>
      </c>
    </row>
    <row r="265" spans="1:16" x14ac:dyDescent="0.2">
      <c r="A265">
        <v>506</v>
      </c>
      <c r="B265">
        <v>702</v>
      </c>
      <c r="C265" t="str">
        <f>VLOOKUP(Table10[[#This Row],[source]],Table2226[[#All],[ID]:[Label]],3,FALSE)</f>
        <v>ATL</v>
      </c>
      <c r="D265" t="str">
        <f>VLOOKUP(Table10[[#This Row],[target]],Table2226[[#All],[ID]:[Label]],3,FALSE)</f>
        <v>PHX</v>
      </c>
      <c r="E265" s="32" t="str">
        <f>IF(ISERROR(VLOOKUP(Table10[[#This Row],[source2]],Table22[Label],1,FALSE)),IF(ISERROR(VLOOKUP(Table10[[#This Row],[source2]],Table2210[Label],1,FALSE)),"SPOKE","FOCUS"),"HUB")</f>
        <v>HUB</v>
      </c>
      <c r="F265" s="32" t="str">
        <f>IF(ISERROR(VLOOKUP(Table10[[#This Row],[target2]],Table22[Label],1,FALSE)),IF(ISERROR(VLOOKUP(Table10[[#This Row],[target2]],Table2210[Label],1,FALSE)),"SPOKE","FOCUS"),"HUB")</f>
        <v>HUB</v>
      </c>
      <c r="G265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265" s="46" t="s">
        <v>801</v>
      </c>
      <c r="I265" s="47" t="s">
        <v>1361</v>
      </c>
      <c r="J265" s="47" t="s">
        <v>727</v>
      </c>
      <c r="K265" s="47" t="s">
        <v>1362</v>
      </c>
      <c r="L265" s="47" t="s">
        <v>1216</v>
      </c>
      <c r="M265" s="47" t="s">
        <v>1363</v>
      </c>
      <c r="N265">
        <v>737</v>
      </c>
      <c r="O265">
        <v>737</v>
      </c>
      <c r="P265" s="11" t="s">
        <v>622</v>
      </c>
    </row>
    <row r="266" spans="1:16" x14ac:dyDescent="0.2">
      <c r="A266">
        <v>625</v>
      </c>
      <c r="B266">
        <v>627</v>
      </c>
      <c r="C266" t="str">
        <f>VLOOKUP(Table10[[#This Row],[source]],Table2226[[#All],[ID]:[Label]],3,FALSE)</f>
        <v>IAD</v>
      </c>
      <c r="D266" t="str">
        <f>VLOOKUP(Table10[[#This Row],[target]],Table2226[[#All],[ID]:[Label]],3,FALSE)</f>
        <v>IAH</v>
      </c>
      <c r="E266" s="32" t="str">
        <f>IF(ISERROR(VLOOKUP(Table10[[#This Row],[source2]],Table22[Label],1,FALSE)),IF(ISERROR(VLOOKUP(Table10[[#This Row],[source2]],Table2210[Label],1,FALSE)),"SPOKE","FOCUS"),"HUB")</f>
        <v>HUB</v>
      </c>
      <c r="F266" s="32" t="str">
        <f>IF(ISERROR(VLOOKUP(Table10[[#This Row],[target2]],Table22[Label],1,FALSE)),IF(ISERROR(VLOOKUP(Table10[[#This Row],[target2]],Table2210[Label],1,FALSE)),"SPOKE","FOCUS"),"HUB")</f>
        <v>HUB</v>
      </c>
      <c r="G266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266" s="46" t="s">
        <v>1024</v>
      </c>
      <c r="I266" s="47" t="s">
        <v>1025</v>
      </c>
      <c r="J266" s="47" t="s">
        <v>1026</v>
      </c>
      <c r="K266" s="47" t="s">
        <v>1027</v>
      </c>
      <c r="L266" s="47" t="s">
        <v>1028</v>
      </c>
      <c r="M266" s="47" t="s">
        <v>1029</v>
      </c>
      <c r="N266">
        <v>141</v>
      </c>
      <c r="O266">
        <v>141</v>
      </c>
      <c r="P266" s="11" t="s">
        <v>623</v>
      </c>
    </row>
    <row r="267" spans="1:16" x14ac:dyDescent="0.2">
      <c r="A267">
        <v>591</v>
      </c>
      <c r="B267">
        <v>730</v>
      </c>
      <c r="C267" t="str">
        <f>VLOOKUP(Table10[[#This Row],[source]],Table2226[[#All],[ID]:[Label]],3,FALSE)</f>
        <v>EWR</v>
      </c>
      <c r="D267" t="str">
        <f>VLOOKUP(Table10[[#This Row],[target]],Table2226[[#All],[ID]:[Label]],3,FALSE)</f>
        <v>SEA</v>
      </c>
      <c r="E267" s="32" t="str">
        <f>IF(ISERROR(VLOOKUP(Table10[[#This Row],[source2]],Table22[Label],1,FALSE)),IF(ISERROR(VLOOKUP(Table10[[#This Row],[source2]],Table2210[Label],1,FALSE)),"SPOKE","FOCUS"),"HUB")</f>
        <v>HUB</v>
      </c>
      <c r="F267" s="32" t="str">
        <f>IF(ISERROR(VLOOKUP(Table10[[#This Row],[target2]],Table22[Label],1,FALSE)),IF(ISERROR(VLOOKUP(Table10[[#This Row],[target2]],Table2210[Label],1,FALSE)),"SPOKE","FOCUS"),"HUB")</f>
        <v>HUB</v>
      </c>
      <c r="G267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267" s="46" t="s">
        <v>801</v>
      </c>
      <c r="I267" s="47" t="s">
        <v>1896</v>
      </c>
      <c r="J267" s="47" t="s">
        <v>727</v>
      </c>
      <c r="K267" s="47" t="s">
        <v>1897</v>
      </c>
      <c r="L267" s="47" t="s">
        <v>1882</v>
      </c>
      <c r="M267" s="47" t="s">
        <v>1898</v>
      </c>
      <c r="N267">
        <v>351</v>
      </c>
      <c r="O267">
        <v>351</v>
      </c>
      <c r="P267" s="11" t="s">
        <v>624</v>
      </c>
    </row>
    <row r="268" spans="1:16" x14ac:dyDescent="0.2">
      <c r="A268">
        <v>625</v>
      </c>
      <c r="B268">
        <v>498</v>
      </c>
      <c r="C268" t="str">
        <f>VLOOKUP(Table10[[#This Row],[source]],Table2226[[#All],[ID]:[Label]],3,FALSE)</f>
        <v>IAD</v>
      </c>
      <c r="D268" t="str">
        <f>VLOOKUP(Table10[[#This Row],[target]],Table2226[[#All],[ID]:[Label]],3,FALSE)</f>
        <v>ALB</v>
      </c>
      <c r="E268" s="32" t="str">
        <f>IF(ISERROR(VLOOKUP(Table10[[#This Row],[source2]],Table22[Label],1,FALSE)),IF(ISERROR(VLOOKUP(Table10[[#This Row],[source2]],Table2210[Label],1,FALSE)),"SPOKE","FOCUS"),"HUB")</f>
        <v>HUB</v>
      </c>
      <c r="F268" s="32" t="str">
        <f>IF(ISERROR(VLOOKUP(Table10[[#This Row],[target2]],Table22[Label],1,FALSE)),IF(ISERROR(VLOOKUP(Table10[[#This Row],[target2]],Table2210[Label],1,FALSE)),"SPOKE","FOCUS"),"HUB")</f>
        <v>SPOKE</v>
      </c>
      <c r="G268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268" s="46" t="s">
        <v>1050</v>
      </c>
      <c r="I268" s="47" t="s">
        <v>1051</v>
      </c>
      <c r="J268" s="47" t="s">
        <v>1052</v>
      </c>
      <c r="K268" s="47" t="s">
        <v>1053</v>
      </c>
      <c r="L268" s="47" t="s">
        <v>791</v>
      </c>
      <c r="M268" s="47" t="s">
        <v>1054</v>
      </c>
      <c r="N268">
        <v>177</v>
      </c>
      <c r="O268">
        <v>177</v>
      </c>
      <c r="P268" s="11" t="s">
        <v>625</v>
      </c>
    </row>
    <row r="269" spans="1:16" x14ac:dyDescent="0.2">
      <c r="A269">
        <v>2191</v>
      </c>
      <c r="B269">
        <v>691</v>
      </c>
      <c r="C269" t="str">
        <f>VLOOKUP(Table10[[#This Row],[source]],Table2226[[#All],[ID]:[Label]],3,FALSE)</f>
        <v>TYS</v>
      </c>
      <c r="D269" t="str">
        <f>VLOOKUP(Table10[[#This Row],[target]],Table2226[[#All],[ID]:[Label]],3,FALSE)</f>
        <v>ORD</v>
      </c>
      <c r="E269" s="32" t="str">
        <f>IF(ISERROR(VLOOKUP(Table10[[#This Row],[source2]],Table22[Label],1,FALSE)),IF(ISERROR(VLOOKUP(Table10[[#This Row],[source2]],Table2210[Label],1,FALSE)),"SPOKE","FOCUS"),"HUB")</f>
        <v>SPOKE</v>
      </c>
      <c r="F269" s="32" t="str">
        <f>IF(ISERROR(VLOOKUP(Table10[[#This Row],[target2]],Table22[Label],1,FALSE)),IF(ISERROR(VLOOKUP(Table10[[#This Row],[target2]],Table2210[Label],1,FALSE)),"SPOKE","FOCUS"),"HUB")</f>
        <v>HUB</v>
      </c>
      <c r="G269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269" s="46" t="s">
        <v>775</v>
      </c>
      <c r="I269" s="47" t="s">
        <v>776</v>
      </c>
      <c r="J269" s="47" t="s">
        <v>777</v>
      </c>
      <c r="K269" s="47" t="s">
        <v>778</v>
      </c>
      <c r="L269" s="47" t="s">
        <v>779</v>
      </c>
      <c r="M269" s="47" t="s">
        <v>780</v>
      </c>
      <c r="N269">
        <v>308</v>
      </c>
      <c r="O269">
        <v>308</v>
      </c>
      <c r="P269" s="11" t="s">
        <v>626</v>
      </c>
    </row>
    <row r="270" spans="1:16" x14ac:dyDescent="0.2">
      <c r="A270">
        <v>554</v>
      </c>
      <c r="B270">
        <v>720</v>
      </c>
      <c r="C270" t="str">
        <f>VLOOKUP(Table10[[#This Row],[source]],Table2226[[#All],[ID]:[Label]],3,FALSE)</f>
        <v>CLT</v>
      </c>
      <c r="D270" t="str">
        <f>VLOOKUP(Table10[[#This Row],[target]],Table2226[[#All],[ID]:[Label]],3,FALSE)</f>
        <v>RIC</v>
      </c>
      <c r="E270" s="32" t="str">
        <f>IF(ISERROR(VLOOKUP(Table10[[#This Row],[source2]],Table22[Label],1,FALSE)),IF(ISERROR(VLOOKUP(Table10[[#This Row],[source2]],Table2210[Label],1,FALSE)),"SPOKE","FOCUS"),"HUB")</f>
        <v>HUB</v>
      </c>
      <c r="F270" s="32" t="str">
        <f>IF(ISERROR(VLOOKUP(Table10[[#This Row],[target2]],Table22[Label],1,FALSE)),IF(ISERROR(VLOOKUP(Table10[[#This Row],[target2]],Table2210[Label],1,FALSE)),"SPOKE","FOCUS"),"HUB")</f>
        <v>SPOKE</v>
      </c>
      <c r="G270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270" s="46" t="s">
        <v>801</v>
      </c>
      <c r="I270" s="47" t="s">
        <v>1737</v>
      </c>
      <c r="J270" s="47" t="s">
        <v>727</v>
      </c>
      <c r="K270" s="47" t="s">
        <v>1738</v>
      </c>
      <c r="L270" s="47" t="s">
        <v>1283</v>
      </c>
      <c r="M270" s="47" t="s">
        <v>1739</v>
      </c>
      <c r="N270">
        <v>345</v>
      </c>
      <c r="O270">
        <v>345</v>
      </c>
      <c r="P270" s="11" t="s">
        <v>627</v>
      </c>
    </row>
    <row r="271" spans="1:16" x14ac:dyDescent="0.2">
      <c r="A271">
        <v>700</v>
      </c>
      <c r="B271">
        <v>647</v>
      </c>
      <c r="C271" t="str">
        <f>VLOOKUP(Table10[[#This Row],[source]],Table2226[[#All],[ID]:[Label]],3,FALSE)</f>
        <v>PHL</v>
      </c>
      <c r="D271" t="str">
        <f>VLOOKUP(Table10[[#This Row],[target]],Table2226[[#All],[ID]:[Label]],3,FALSE)</f>
        <v>LAS</v>
      </c>
      <c r="E271" s="32" t="str">
        <f>IF(ISERROR(VLOOKUP(Table10[[#This Row],[source2]],Table22[Label],1,FALSE)),IF(ISERROR(VLOOKUP(Table10[[#This Row],[source2]],Table2210[Label],1,FALSE)),"SPOKE","FOCUS"),"HUB")</f>
        <v>HUB</v>
      </c>
      <c r="F271" s="32" t="str">
        <f>IF(ISERROR(VLOOKUP(Table10[[#This Row],[target2]],Table22[Label],1,FALSE)),IF(ISERROR(VLOOKUP(Table10[[#This Row],[target2]],Table2210[Label],1,FALSE)),"SPOKE","FOCUS"),"HUB")</f>
        <v>FOCUS</v>
      </c>
      <c r="G271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HUB-FOCUS</v>
      </c>
      <c r="H271" s="46" t="s">
        <v>801</v>
      </c>
      <c r="I271" s="47" t="s">
        <v>981</v>
      </c>
      <c r="J271" s="47" t="s">
        <v>727</v>
      </c>
      <c r="K271" s="47" t="s">
        <v>982</v>
      </c>
      <c r="L271" s="47" t="s">
        <v>983</v>
      </c>
      <c r="M271" s="47" t="s">
        <v>984</v>
      </c>
      <c r="N271">
        <v>308</v>
      </c>
      <c r="O271">
        <v>308</v>
      </c>
      <c r="P271" s="11" t="s">
        <v>628</v>
      </c>
    </row>
    <row r="272" spans="1:16" x14ac:dyDescent="0.2">
      <c r="A272">
        <v>506</v>
      </c>
      <c r="B272">
        <v>736</v>
      </c>
      <c r="C272" t="str">
        <f>VLOOKUP(Table10[[#This Row],[source]],Table2226[[#All],[ID]:[Label]],3,FALSE)</f>
        <v>ATL</v>
      </c>
      <c r="D272" t="str">
        <f>VLOOKUP(Table10[[#This Row],[target]],Table2226[[#All],[ID]:[Label]],3,FALSE)</f>
        <v>SLC</v>
      </c>
      <c r="E272" s="32" t="str">
        <f>IF(ISERROR(VLOOKUP(Table10[[#This Row],[source2]],Table22[Label],1,FALSE)),IF(ISERROR(VLOOKUP(Table10[[#This Row],[source2]],Table2210[Label],1,FALSE)),"SPOKE","FOCUS"),"HUB")</f>
        <v>HUB</v>
      </c>
      <c r="F272" s="32" t="str">
        <f>IF(ISERROR(VLOOKUP(Table10[[#This Row],[target2]],Table22[Label],1,FALSE)),IF(ISERROR(VLOOKUP(Table10[[#This Row],[target2]],Table2210[Label],1,FALSE)),"SPOKE","FOCUS"),"HUB")</f>
        <v>HUB</v>
      </c>
      <c r="G272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272" s="46" t="s">
        <v>801</v>
      </c>
      <c r="I272" s="47" t="s">
        <v>1439</v>
      </c>
      <c r="J272" s="47" t="s">
        <v>727</v>
      </c>
      <c r="K272" s="47" t="s">
        <v>1440</v>
      </c>
      <c r="L272" s="47" t="s">
        <v>1441</v>
      </c>
      <c r="M272" s="47" t="s">
        <v>1442</v>
      </c>
      <c r="N272">
        <v>458</v>
      </c>
      <c r="O272">
        <v>458</v>
      </c>
      <c r="P272" s="11" t="s">
        <v>629</v>
      </c>
    </row>
    <row r="273" spans="1:16" x14ac:dyDescent="0.2">
      <c r="A273">
        <v>597</v>
      </c>
      <c r="B273">
        <v>627</v>
      </c>
      <c r="C273" t="str">
        <f>VLOOKUP(Table10[[#This Row],[source]],Table2226[[#All],[ID]:[Label]],3,FALSE)</f>
        <v>FLL</v>
      </c>
      <c r="D273" t="str">
        <f>VLOOKUP(Table10[[#This Row],[target]],Table2226[[#All],[ID]:[Label]],3,FALSE)</f>
        <v>IAH</v>
      </c>
      <c r="E273" s="32" t="str">
        <f>IF(ISERROR(VLOOKUP(Table10[[#This Row],[source2]],Table22[Label],1,FALSE)),IF(ISERROR(VLOOKUP(Table10[[#This Row],[source2]],Table2210[Label],1,FALSE)),"SPOKE","FOCUS"),"HUB")</f>
        <v>FOCUS</v>
      </c>
      <c r="F273" s="32" t="str">
        <f>IF(ISERROR(VLOOKUP(Table10[[#This Row],[target2]],Table22[Label],1,FALSE)),IF(ISERROR(VLOOKUP(Table10[[#This Row],[target2]],Table2210[Label],1,FALSE)),"SPOKE","FOCUS"),"HUB")</f>
        <v>HUB</v>
      </c>
      <c r="G273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HUB-FOCUS</v>
      </c>
      <c r="H273" s="46" t="s">
        <v>801</v>
      </c>
      <c r="I273" s="47" t="s">
        <v>825</v>
      </c>
      <c r="J273" s="47" t="s">
        <v>727</v>
      </c>
      <c r="K273" s="47" t="s">
        <v>826</v>
      </c>
      <c r="L273" s="47" t="s">
        <v>827</v>
      </c>
      <c r="M273" s="47" t="s">
        <v>828</v>
      </c>
      <c r="N273">
        <v>201</v>
      </c>
      <c r="O273">
        <v>201</v>
      </c>
      <c r="P273" s="11" t="s">
        <v>630</v>
      </c>
    </row>
    <row r="274" spans="1:16" x14ac:dyDescent="0.2">
      <c r="A274">
        <v>597</v>
      </c>
      <c r="B274">
        <v>574</v>
      </c>
      <c r="C274" t="str">
        <f>VLOOKUP(Table10[[#This Row],[source]],Table2226[[#All],[ID]:[Label]],3,FALSE)</f>
        <v>FLL</v>
      </c>
      <c r="D274" t="str">
        <f>VLOOKUP(Table10[[#This Row],[target]],Table2226[[#All],[ID]:[Label]],3,FALSE)</f>
        <v>DEN</v>
      </c>
      <c r="E274" s="32" t="str">
        <f>IF(ISERROR(VLOOKUP(Table10[[#This Row],[source2]],Table22[Label],1,FALSE)),IF(ISERROR(VLOOKUP(Table10[[#This Row],[source2]],Table2210[Label],1,FALSE)),"SPOKE","FOCUS"),"HUB")</f>
        <v>FOCUS</v>
      </c>
      <c r="F274" s="32" t="str">
        <f>IF(ISERROR(VLOOKUP(Table10[[#This Row],[target2]],Table22[Label],1,FALSE)),IF(ISERROR(VLOOKUP(Table10[[#This Row],[target2]],Table2210[Label],1,FALSE)),"SPOKE","FOCUS"),"HUB")</f>
        <v>HUB</v>
      </c>
      <c r="G274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HUB-FOCUS</v>
      </c>
      <c r="H274" s="46" t="s">
        <v>801</v>
      </c>
      <c r="I274" s="47" t="s">
        <v>863</v>
      </c>
      <c r="J274" s="47" t="s">
        <v>727</v>
      </c>
      <c r="K274" s="47" t="s">
        <v>864</v>
      </c>
      <c r="L274" s="47" t="s">
        <v>852</v>
      </c>
      <c r="M274" s="47" t="s">
        <v>865</v>
      </c>
      <c r="N274">
        <v>251</v>
      </c>
      <c r="O274">
        <v>251</v>
      </c>
      <c r="P274" s="11" t="s">
        <v>631</v>
      </c>
    </row>
    <row r="275" spans="1:16" x14ac:dyDescent="0.2">
      <c r="A275">
        <v>571</v>
      </c>
      <c r="B275">
        <v>554</v>
      </c>
      <c r="C275" t="str">
        <f>VLOOKUP(Table10[[#This Row],[source]],Table2226[[#All],[ID]:[Label]],3,FALSE)</f>
        <v>DCA</v>
      </c>
      <c r="D275" t="str">
        <f>VLOOKUP(Table10[[#This Row],[target]],Table2226[[#All],[ID]:[Label]],3,FALSE)</f>
        <v>CLT</v>
      </c>
      <c r="E275" s="32" t="str">
        <f>IF(ISERROR(VLOOKUP(Table10[[#This Row],[source2]],Table22[Label],1,FALSE)),IF(ISERROR(VLOOKUP(Table10[[#This Row],[source2]],Table2210[Label],1,FALSE)),"SPOKE","FOCUS"),"HUB")</f>
        <v>HUB</v>
      </c>
      <c r="F275" s="32" t="str">
        <f>IF(ISERROR(VLOOKUP(Table10[[#This Row],[target2]],Table22[Label],1,FALSE)),IF(ISERROR(VLOOKUP(Table10[[#This Row],[target2]],Table2210[Label],1,FALSE)),"SPOKE","FOCUS"),"HUB")</f>
        <v>HUB</v>
      </c>
      <c r="G275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275" s="46" t="s">
        <v>801</v>
      </c>
      <c r="I275" s="47" t="s">
        <v>1175</v>
      </c>
      <c r="J275" s="47" t="s">
        <v>727</v>
      </c>
      <c r="K275" s="47" t="s">
        <v>1176</v>
      </c>
      <c r="L275" s="47" t="s">
        <v>1022</v>
      </c>
      <c r="M275" s="47" t="s">
        <v>1177</v>
      </c>
      <c r="N275">
        <v>414</v>
      </c>
      <c r="O275">
        <v>414</v>
      </c>
      <c r="P275" s="11" t="s">
        <v>632</v>
      </c>
    </row>
    <row r="276" spans="1:16" x14ac:dyDescent="0.2">
      <c r="A276">
        <v>627</v>
      </c>
      <c r="B276">
        <v>529</v>
      </c>
      <c r="C276" t="str">
        <f>VLOOKUP(Table10[[#This Row],[source]],Table2226[[#All],[ID]:[Label]],3,FALSE)</f>
        <v>IAH</v>
      </c>
      <c r="D276" t="str">
        <f>VLOOKUP(Table10[[#This Row],[target]],Table2226[[#All],[ID]:[Label]],3,FALSE)</f>
        <v>BOS</v>
      </c>
      <c r="E276" s="32" t="str">
        <f>IF(ISERROR(VLOOKUP(Table10[[#This Row],[source2]],Table22[Label],1,FALSE)),IF(ISERROR(VLOOKUP(Table10[[#This Row],[source2]],Table2210[Label],1,FALSE)),"SPOKE","FOCUS"),"HUB")</f>
        <v>HUB</v>
      </c>
      <c r="F276" s="32" t="str">
        <f>IF(ISERROR(VLOOKUP(Table10[[#This Row],[target2]],Table22[Label],1,FALSE)),IF(ISERROR(VLOOKUP(Table10[[#This Row],[target2]],Table2210[Label],1,FALSE)),"SPOKE","FOCUS"),"HUB")</f>
        <v>HUB</v>
      </c>
      <c r="G276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276" s="46" t="s">
        <v>801</v>
      </c>
      <c r="I276" s="47" t="s">
        <v>1821</v>
      </c>
      <c r="J276" s="47" t="s">
        <v>727</v>
      </c>
      <c r="K276" s="47" t="s">
        <v>1822</v>
      </c>
      <c r="L276" s="47" t="s">
        <v>1823</v>
      </c>
      <c r="M276" s="47" t="s">
        <v>1824</v>
      </c>
      <c r="N276">
        <v>175</v>
      </c>
      <c r="O276">
        <v>175</v>
      </c>
      <c r="P276" s="11" t="s">
        <v>633</v>
      </c>
    </row>
    <row r="277" spans="1:16" x14ac:dyDescent="0.2">
      <c r="A277">
        <v>691</v>
      </c>
      <c r="B277">
        <v>613</v>
      </c>
      <c r="C277" t="str">
        <f>VLOOKUP(Table10[[#This Row],[source]],Table2226[[#All],[ID]:[Label]],3,FALSE)</f>
        <v>ORD</v>
      </c>
      <c r="D277" t="str">
        <f>VLOOKUP(Table10[[#This Row],[target]],Table2226[[#All],[ID]:[Label]],3,FALSE)</f>
        <v>GSP</v>
      </c>
      <c r="E277" s="32" t="str">
        <f>IF(ISERROR(VLOOKUP(Table10[[#This Row],[source2]],Table22[Label],1,FALSE)),IF(ISERROR(VLOOKUP(Table10[[#This Row],[source2]],Table2210[Label],1,FALSE)),"SPOKE","FOCUS"),"HUB")</f>
        <v>HUB</v>
      </c>
      <c r="F277" s="32" t="str">
        <f>IF(ISERROR(VLOOKUP(Table10[[#This Row],[target2]],Table22[Label],1,FALSE)),IF(ISERROR(VLOOKUP(Table10[[#This Row],[target2]],Table2210[Label],1,FALSE)),"SPOKE","FOCUS"),"HUB")</f>
        <v>SPOKE</v>
      </c>
      <c r="G277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277" s="46" t="s">
        <v>1595</v>
      </c>
      <c r="I277" s="47" t="s">
        <v>1596</v>
      </c>
      <c r="J277" s="47" t="s">
        <v>1597</v>
      </c>
      <c r="K277" s="47" t="s">
        <v>1598</v>
      </c>
      <c r="L277" s="47" t="s">
        <v>1599</v>
      </c>
      <c r="M277" s="47" t="s">
        <v>1600</v>
      </c>
      <c r="N277">
        <v>212</v>
      </c>
      <c r="O277">
        <v>212</v>
      </c>
      <c r="P277" s="11" t="s">
        <v>634</v>
      </c>
    </row>
    <row r="278" spans="1:16" x14ac:dyDescent="0.2">
      <c r="A278">
        <v>733</v>
      </c>
      <c r="B278">
        <v>673</v>
      </c>
      <c r="C278" t="str">
        <f>VLOOKUP(Table10[[#This Row],[source]],Table2226[[#All],[ID]:[Label]],3,FALSE)</f>
        <v>SFO</v>
      </c>
      <c r="D278" t="str">
        <f>VLOOKUP(Table10[[#This Row],[target]],Table2226[[#All],[ID]:[Label]],3,FALSE)</f>
        <v>MIA</v>
      </c>
      <c r="E278" s="32" t="str">
        <f>IF(ISERROR(VLOOKUP(Table10[[#This Row],[source2]],Table22[Label],1,FALSE)),IF(ISERROR(VLOOKUP(Table10[[#This Row],[source2]],Table2210[Label],1,FALSE)),"SPOKE","FOCUS"),"HUB")</f>
        <v>HUB</v>
      </c>
      <c r="F278" s="32" t="str">
        <f>IF(ISERROR(VLOOKUP(Table10[[#This Row],[target2]],Table22[Label],1,FALSE)),IF(ISERROR(VLOOKUP(Table10[[#This Row],[target2]],Table2210[Label],1,FALSE)),"SPOKE","FOCUS"),"HUB")</f>
        <v>HUB</v>
      </c>
      <c r="G278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278" s="46" t="s">
        <v>801</v>
      </c>
      <c r="I278" s="47" t="s">
        <v>2109</v>
      </c>
      <c r="J278" s="47" t="s">
        <v>727</v>
      </c>
      <c r="K278" s="47" t="s">
        <v>2110</v>
      </c>
      <c r="L278" s="47" t="s">
        <v>2111</v>
      </c>
      <c r="M278" s="47" t="s">
        <v>2112</v>
      </c>
      <c r="N278">
        <v>354</v>
      </c>
      <c r="O278">
        <v>354</v>
      </c>
      <c r="P278" s="11" t="s">
        <v>635</v>
      </c>
    </row>
    <row r="279" spans="1:16" x14ac:dyDescent="0.2">
      <c r="A279">
        <v>645</v>
      </c>
      <c r="B279">
        <v>736</v>
      </c>
      <c r="C279" t="str">
        <f>VLOOKUP(Table10[[#This Row],[source]],Table2226[[#All],[ID]:[Label]],3,FALSE)</f>
        <v>JFK</v>
      </c>
      <c r="D279" t="str">
        <f>VLOOKUP(Table10[[#This Row],[target]],Table2226[[#All],[ID]:[Label]],3,FALSE)</f>
        <v>SLC</v>
      </c>
      <c r="E279" s="32" t="str">
        <f>IF(ISERROR(VLOOKUP(Table10[[#This Row],[source2]],Table22[Label],1,FALSE)),IF(ISERROR(VLOOKUP(Table10[[#This Row],[source2]],Table2210[Label],1,FALSE)),"SPOKE","FOCUS"),"HUB")</f>
        <v>HUB</v>
      </c>
      <c r="F279" s="32" t="str">
        <f>IF(ISERROR(VLOOKUP(Table10[[#This Row],[target2]],Table22[Label],1,FALSE)),IF(ISERROR(VLOOKUP(Table10[[#This Row],[target2]],Table2210[Label],1,FALSE)),"SPOKE","FOCUS"),"HUB")</f>
        <v>HUB</v>
      </c>
      <c r="G279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279" s="46" t="s">
        <v>801</v>
      </c>
      <c r="I279" s="47" t="s">
        <v>2262</v>
      </c>
      <c r="J279" s="47" t="s">
        <v>727</v>
      </c>
      <c r="K279" s="47" t="s">
        <v>2263</v>
      </c>
      <c r="L279" s="47" t="s">
        <v>1599</v>
      </c>
      <c r="M279" s="47" t="s">
        <v>2264</v>
      </c>
      <c r="N279">
        <v>254</v>
      </c>
      <c r="O279">
        <v>254</v>
      </c>
      <c r="P279" s="11" t="s">
        <v>636</v>
      </c>
    </row>
    <row r="280" spans="1:16" x14ac:dyDescent="0.2">
      <c r="A280">
        <v>733</v>
      </c>
      <c r="B280">
        <v>736</v>
      </c>
      <c r="C280" t="str">
        <f>VLOOKUP(Table10[[#This Row],[source]],Table2226[[#All],[ID]:[Label]],3,FALSE)</f>
        <v>SFO</v>
      </c>
      <c r="D280" t="str">
        <f>VLOOKUP(Table10[[#This Row],[target]],Table2226[[#All],[ID]:[Label]],3,FALSE)</f>
        <v>SLC</v>
      </c>
      <c r="E280" s="32" t="str">
        <f>IF(ISERROR(VLOOKUP(Table10[[#This Row],[source2]],Table22[Label],1,FALSE)),IF(ISERROR(VLOOKUP(Table10[[#This Row],[source2]],Table2210[Label],1,FALSE)),"SPOKE","FOCUS"),"HUB")</f>
        <v>HUB</v>
      </c>
      <c r="F280" s="32" t="str">
        <f>IF(ISERROR(VLOOKUP(Table10[[#This Row],[target2]],Table22[Label],1,FALSE)),IF(ISERROR(VLOOKUP(Table10[[#This Row],[target2]],Table2210[Label],1,FALSE)),"SPOKE","FOCUS"),"HUB")</f>
        <v>HUB</v>
      </c>
      <c r="G280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280" s="46" t="s">
        <v>801</v>
      </c>
      <c r="I280" s="47" t="s">
        <v>2113</v>
      </c>
      <c r="J280" s="47" t="s">
        <v>727</v>
      </c>
      <c r="K280" s="47" t="s">
        <v>2114</v>
      </c>
      <c r="L280" s="47" t="s">
        <v>2115</v>
      </c>
      <c r="M280" s="47" t="s">
        <v>2116</v>
      </c>
      <c r="N280">
        <v>437</v>
      </c>
      <c r="O280">
        <v>437</v>
      </c>
      <c r="P280" s="11" t="s">
        <v>637</v>
      </c>
    </row>
    <row r="281" spans="1:16" x14ac:dyDescent="0.2">
      <c r="A281">
        <v>575</v>
      </c>
      <c r="B281">
        <v>2190</v>
      </c>
      <c r="C281" t="str">
        <f>VLOOKUP(Table10[[#This Row],[source]],Table2226[[#All],[ID]:[Label]],3,FALSE)</f>
        <v>DFW</v>
      </c>
      <c r="D281" t="str">
        <f>VLOOKUP(Table10[[#This Row],[target]],Table2226[[#All],[ID]:[Label]],3,FALSE)</f>
        <v>TUS</v>
      </c>
      <c r="E281" s="32" t="str">
        <f>IF(ISERROR(VLOOKUP(Table10[[#This Row],[source2]],Table22[Label],1,FALSE)),IF(ISERROR(VLOOKUP(Table10[[#This Row],[source2]],Table2210[Label],1,FALSE)),"SPOKE","FOCUS"),"HUB")</f>
        <v>HUB</v>
      </c>
      <c r="F281" s="32" t="str">
        <f>IF(ISERROR(VLOOKUP(Table10[[#This Row],[target2]],Table22[Label],1,FALSE)),IF(ISERROR(VLOOKUP(Table10[[#This Row],[target2]],Table2210[Label],1,FALSE)),"SPOKE","FOCUS"),"HUB")</f>
        <v>SPOKE</v>
      </c>
      <c r="G281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281" s="46" t="s">
        <v>2023</v>
      </c>
      <c r="I281" s="47" t="s">
        <v>2024</v>
      </c>
      <c r="J281" s="47" t="s">
        <v>2025</v>
      </c>
      <c r="K281" s="47" t="s">
        <v>2026</v>
      </c>
      <c r="L281" s="47" t="s">
        <v>843</v>
      </c>
      <c r="M281" s="47" t="s">
        <v>2027</v>
      </c>
      <c r="N281">
        <v>292</v>
      </c>
      <c r="O281">
        <v>292</v>
      </c>
      <c r="P281" s="11" t="s">
        <v>638</v>
      </c>
    </row>
    <row r="282" spans="1:16" x14ac:dyDescent="0.2">
      <c r="A282">
        <v>730</v>
      </c>
      <c r="B282">
        <v>647</v>
      </c>
      <c r="C282" t="str">
        <f>VLOOKUP(Table10[[#This Row],[source]],Table2226[[#All],[ID]:[Label]],3,FALSE)</f>
        <v>SEA</v>
      </c>
      <c r="D282" t="str">
        <f>VLOOKUP(Table10[[#This Row],[target]],Table2226[[#All],[ID]:[Label]],3,FALSE)</f>
        <v>LAS</v>
      </c>
      <c r="E282" s="32" t="str">
        <f>IF(ISERROR(VLOOKUP(Table10[[#This Row],[source2]],Table22[Label],1,FALSE)),IF(ISERROR(VLOOKUP(Table10[[#This Row],[source2]],Table2210[Label],1,FALSE)),"SPOKE","FOCUS"),"HUB")</f>
        <v>HUB</v>
      </c>
      <c r="F282" s="32" t="str">
        <f>IF(ISERROR(VLOOKUP(Table10[[#This Row],[target2]],Table22[Label],1,FALSE)),IF(ISERROR(VLOOKUP(Table10[[#This Row],[target2]],Table2210[Label],1,FALSE)),"SPOKE","FOCUS"),"HUB")</f>
        <v>FOCUS</v>
      </c>
      <c r="G282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HUB-FOCUS</v>
      </c>
      <c r="H282" s="46" t="s">
        <v>801</v>
      </c>
      <c r="I282" s="47" t="s">
        <v>2175</v>
      </c>
      <c r="J282" s="47" t="s">
        <v>727</v>
      </c>
      <c r="K282" s="47" t="s">
        <v>2176</v>
      </c>
      <c r="L282" s="47" t="s">
        <v>898</v>
      </c>
      <c r="M282" s="47" t="s">
        <v>2177</v>
      </c>
      <c r="N282">
        <v>919</v>
      </c>
      <c r="O282">
        <v>919</v>
      </c>
      <c r="P282" s="11" t="s">
        <v>639</v>
      </c>
    </row>
    <row r="283" spans="1:16" x14ac:dyDescent="0.2">
      <c r="A283">
        <v>691</v>
      </c>
      <c r="B283">
        <v>730</v>
      </c>
      <c r="C283" t="str">
        <f>VLOOKUP(Table10[[#This Row],[source]],Table2226[[#All],[ID]:[Label]],3,FALSE)</f>
        <v>ORD</v>
      </c>
      <c r="D283" t="str">
        <f>VLOOKUP(Table10[[#This Row],[target]],Table2226[[#All],[ID]:[Label]],3,FALSE)</f>
        <v>SEA</v>
      </c>
      <c r="E283" s="32" t="str">
        <f>IF(ISERROR(VLOOKUP(Table10[[#This Row],[source2]],Table22[Label],1,FALSE)),IF(ISERROR(VLOOKUP(Table10[[#This Row],[source2]],Table2210[Label],1,FALSE)),"SPOKE","FOCUS"),"HUB")</f>
        <v>HUB</v>
      </c>
      <c r="F283" s="32" t="str">
        <f>IF(ISERROR(VLOOKUP(Table10[[#This Row],[target2]],Table22[Label],1,FALSE)),IF(ISERROR(VLOOKUP(Table10[[#This Row],[target2]],Table2210[Label],1,FALSE)),"SPOKE","FOCUS"),"HUB")</f>
        <v>HUB</v>
      </c>
      <c r="G283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283" s="46" t="s">
        <v>801</v>
      </c>
      <c r="I283" s="47" t="s">
        <v>1632</v>
      </c>
      <c r="J283" s="47" t="s">
        <v>727</v>
      </c>
      <c r="K283" s="47" t="s">
        <v>1633</v>
      </c>
      <c r="L283" s="47" t="s">
        <v>1634</v>
      </c>
      <c r="M283" s="47" t="s">
        <v>1635</v>
      </c>
      <c r="N283">
        <v>1038</v>
      </c>
      <c r="O283">
        <v>1038</v>
      </c>
      <c r="P283" s="11" t="s">
        <v>640</v>
      </c>
    </row>
    <row r="284" spans="1:16" x14ac:dyDescent="0.2">
      <c r="A284">
        <v>574</v>
      </c>
      <c r="B284">
        <v>2190</v>
      </c>
      <c r="C284" t="str">
        <f>VLOOKUP(Table10[[#This Row],[source]],Table2226[[#All],[ID]:[Label]],3,FALSE)</f>
        <v>DEN</v>
      </c>
      <c r="D284" t="str">
        <f>VLOOKUP(Table10[[#This Row],[target]],Table2226[[#All],[ID]:[Label]],3,FALSE)</f>
        <v>TUS</v>
      </c>
      <c r="E284" s="32" t="str">
        <f>IF(ISERROR(VLOOKUP(Table10[[#This Row],[source2]],Table22[Label],1,FALSE)),IF(ISERROR(VLOOKUP(Table10[[#This Row],[source2]],Table2210[Label],1,FALSE)),"SPOKE","FOCUS"),"HUB")</f>
        <v>HUB</v>
      </c>
      <c r="F284" s="32" t="str">
        <f>IF(ISERROR(VLOOKUP(Table10[[#This Row],[target2]],Table22[Label],1,FALSE)),IF(ISERROR(VLOOKUP(Table10[[#This Row],[target2]],Table2210[Label],1,FALSE)),"SPOKE","FOCUS"),"HUB")</f>
        <v>SPOKE</v>
      </c>
      <c r="G284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284" s="46" t="s">
        <v>1502</v>
      </c>
      <c r="I284" s="47" t="s">
        <v>1503</v>
      </c>
      <c r="J284" s="47" t="s">
        <v>1504</v>
      </c>
      <c r="K284" s="47" t="s">
        <v>1505</v>
      </c>
      <c r="L284" s="47" t="s">
        <v>852</v>
      </c>
      <c r="M284" s="47" t="s">
        <v>1506</v>
      </c>
      <c r="N284">
        <v>249</v>
      </c>
      <c r="O284">
        <v>249</v>
      </c>
      <c r="P284" s="11" t="s">
        <v>641</v>
      </c>
    </row>
    <row r="285" spans="1:16" x14ac:dyDescent="0.2">
      <c r="A285">
        <v>2190</v>
      </c>
      <c r="B285">
        <v>736</v>
      </c>
      <c r="C285" t="str">
        <f>VLOOKUP(Table10[[#This Row],[source]],Table2226[[#All],[ID]:[Label]],3,FALSE)</f>
        <v>TUS</v>
      </c>
      <c r="D285" t="str">
        <f>VLOOKUP(Table10[[#This Row],[target]],Table2226[[#All],[ID]:[Label]],3,FALSE)</f>
        <v>SLC</v>
      </c>
      <c r="E285" s="32" t="str">
        <f>IF(ISERROR(VLOOKUP(Table10[[#This Row],[source2]],Table22[Label],1,FALSE)),IF(ISERROR(VLOOKUP(Table10[[#This Row],[source2]],Table2210[Label],1,FALSE)),"SPOKE","FOCUS"),"HUB")</f>
        <v>SPOKE</v>
      </c>
      <c r="F285" s="32" t="str">
        <f>IF(ISERROR(VLOOKUP(Table10[[#This Row],[target2]],Table22[Label],1,FALSE)),IF(ISERROR(VLOOKUP(Table10[[#This Row],[target2]],Table2210[Label],1,FALSE)),"SPOKE","FOCUS"),"HUB")</f>
        <v>HUB</v>
      </c>
      <c r="G285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285" s="46" t="s">
        <v>2343</v>
      </c>
      <c r="I285" s="47" t="s">
        <v>2344</v>
      </c>
      <c r="J285" s="47" t="s">
        <v>2345</v>
      </c>
      <c r="K285" s="47" t="s">
        <v>2346</v>
      </c>
      <c r="L285" s="47" t="s">
        <v>892</v>
      </c>
      <c r="M285" s="47" t="s">
        <v>2347</v>
      </c>
      <c r="N285">
        <v>348</v>
      </c>
      <c r="O285">
        <v>348</v>
      </c>
      <c r="P285" s="11" t="s">
        <v>642</v>
      </c>
    </row>
    <row r="286" spans="1:16" x14ac:dyDescent="0.2">
      <c r="A286">
        <v>712</v>
      </c>
      <c r="B286">
        <v>736</v>
      </c>
      <c r="C286" t="str">
        <f>VLOOKUP(Table10[[#This Row],[source]],Table2226[[#All],[ID]:[Label]],3,FALSE)</f>
        <v>PSP</v>
      </c>
      <c r="D286" t="str">
        <f>VLOOKUP(Table10[[#This Row],[target]],Table2226[[#All],[ID]:[Label]],3,FALSE)</f>
        <v>SLC</v>
      </c>
      <c r="E286" s="32" t="str">
        <f>IF(ISERROR(VLOOKUP(Table10[[#This Row],[source2]],Table22[Label],1,FALSE)),IF(ISERROR(VLOOKUP(Table10[[#This Row],[source2]],Table2210[Label],1,FALSE)),"SPOKE","FOCUS"),"HUB")</f>
        <v>SPOKE</v>
      </c>
      <c r="F286" s="32" t="str">
        <f>IF(ISERROR(VLOOKUP(Table10[[#This Row],[target2]],Table22[Label],1,FALSE)),IF(ISERROR(VLOOKUP(Table10[[#This Row],[target2]],Table2210[Label],1,FALSE)),"SPOKE","FOCUS"),"HUB")</f>
        <v>HUB</v>
      </c>
      <c r="G286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286" s="46" t="s">
        <v>2348</v>
      </c>
      <c r="I286" s="47" t="s">
        <v>2349</v>
      </c>
      <c r="J286" s="47" t="s">
        <v>2350</v>
      </c>
      <c r="K286" s="47" t="s">
        <v>2351</v>
      </c>
      <c r="L286" s="47" t="s">
        <v>1228</v>
      </c>
      <c r="M286" s="47" t="s">
        <v>2352</v>
      </c>
      <c r="N286">
        <v>278</v>
      </c>
      <c r="O286">
        <v>278</v>
      </c>
      <c r="P286" s="11" t="s">
        <v>643</v>
      </c>
    </row>
    <row r="287" spans="1:16" x14ac:dyDescent="0.2">
      <c r="A287">
        <v>691</v>
      </c>
      <c r="B287">
        <v>2189</v>
      </c>
      <c r="C287" t="str">
        <f>VLOOKUP(Table10[[#This Row],[source]],Table2226[[#All],[ID]:[Label]],3,FALSE)</f>
        <v>ORD</v>
      </c>
      <c r="D287" t="str">
        <f>VLOOKUP(Table10[[#This Row],[target]],Table2226[[#All],[ID]:[Label]],3,FALSE)</f>
        <v>TUL</v>
      </c>
      <c r="E287" s="32" t="str">
        <f>IF(ISERROR(VLOOKUP(Table10[[#This Row],[source2]],Table22[Label],1,FALSE)),IF(ISERROR(VLOOKUP(Table10[[#This Row],[source2]],Table2210[Label],1,FALSE)),"SPOKE","FOCUS"),"HUB")</f>
        <v>HUB</v>
      </c>
      <c r="F287" s="32" t="str">
        <f>IF(ISERROR(VLOOKUP(Table10[[#This Row],[target2]],Table22[Label],1,FALSE)),IF(ISERROR(VLOOKUP(Table10[[#This Row],[target2]],Table2210[Label],1,FALSE)),"SPOKE","FOCUS"),"HUB")</f>
        <v>SPOKE</v>
      </c>
      <c r="G287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287" s="46" t="s">
        <v>1613</v>
      </c>
      <c r="I287" s="47" t="s">
        <v>1614</v>
      </c>
      <c r="J287" s="47" t="s">
        <v>1615</v>
      </c>
      <c r="K287" s="47" t="s">
        <v>1616</v>
      </c>
      <c r="L287" s="47" t="s">
        <v>804</v>
      </c>
      <c r="M287" s="47" t="s">
        <v>1617</v>
      </c>
      <c r="N287">
        <v>248</v>
      </c>
      <c r="O287">
        <v>248</v>
      </c>
      <c r="P287" s="11" t="s">
        <v>644</v>
      </c>
    </row>
    <row r="288" spans="1:16" x14ac:dyDescent="0.2">
      <c r="A288">
        <v>700</v>
      </c>
      <c r="B288">
        <v>645</v>
      </c>
      <c r="C288" t="str">
        <f>VLOOKUP(Table10[[#This Row],[source]],Table2226[[#All],[ID]:[Label]],3,FALSE)</f>
        <v>PHL</v>
      </c>
      <c r="D288" t="str">
        <f>VLOOKUP(Table10[[#This Row],[target]],Table2226[[#All],[ID]:[Label]],3,FALSE)</f>
        <v>JFK</v>
      </c>
      <c r="E288" s="32" t="str">
        <f>IF(ISERROR(VLOOKUP(Table10[[#This Row],[source2]],Table22[Label],1,FALSE)),IF(ISERROR(VLOOKUP(Table10[[#This Row],[source2]],Table2210[Label],1,FALSE)),"SPOKE","FOCUS"),"HUB")</f>
        <v>HUB</v>
      </c>
      <c r="F288" s="32" t="str">
        <f>IF(ISERROR(VLOOKUP(Table10[[#This Row],[target2]],Table22[Label],1,FALSE)),IF(ISERROR(VLOOKUP(Table10[[#This Row],[target2]],Table2210[Label],1,FALSE)),"SPOKE","FOCUS"),"HUB")</f>
        <v>HUB</v>
      </c>
      <c r="G288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288" s="46" t="s">
        <v>801</v>
      </c>
      <c r="I288" s="47" t="s">
        <v>963</v>
      </c>
      <c r="J288" s="47" t="s">
        <v>727</v>
      </c>
      <c r="K288" s="47" t="s">
        <v>964</v>
      </c>
      <c r="L288" s="47" t="s">
        <v>827</v>
      </c>
      <c r="M288" s="47" t="s">
        <v>965</v>
      </c>
      <c r="N288">
        <v>221</v>
      </c>
      <c r="O288">
        <v>221</v>
      </c>
      <c r="P288" s="11" t="s">
        <v>645</v>
      </c>
    </row>
    <row r="289" spans="1:16" x14ac:dyDescent="0.2">
      <c r="A289">
        <v>574</v>
      </c>
      <c r="B289">
        <v>673</v>
      </c>
      <c r="C289" t="str">
        <f>VLOOKUP(Table10[[#This Row],[source]],Table2226[[#All],[ID]:[Label]],3,FALSE)</f>
        <v>DEN</v>
      </c>
      <c r="D289" t="str">
        <f>VLOOKUP(Table10[[#This Row],[target]],Table2226[[#All],[ID]:[Label]],3,FALSE)</f>
        <v>MIA</v>
      </c>
      <c r="E289" s="32" t="str">
        <f>IF(ISERROR(VLOOKUP(Table10[[#This Row],[source2]],Table22[Label],1,FALSE)),IF(ISERROR(VLOOKUP(Table10[[#This Row],[source2]],Table2210[Label],1,FALSE)),"SPOKE","FOCUS"),"HUB")</f>
        <v>HUB</v>
      </c>
      <c r="F289" s="32" t="str">
        <f>IF(ISERROR(VLOOKUP(Table10[[#This Row],[target2]],Table22[Label],1,FALSE)),IF(ISERROR(VLOOKUP(Table10[[#This Row],[target2]],Table2210[Label],1,FALSE)),"SPOKE","FOCUS"),"HUB")</f>
        <v>HUB</v>
      </c>
      <c r="G289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289" s="46" t="s">
        <v>801</v>
      </c>
      <c r="I289" s="47" t="s">
        <v>1494</v>
      </c>
      <c r="J289" s="47" t="s">
        <v>727</v>
      </c>
      <c r="K289" s="47" t="s">
        <v>1495</v>
      </c>
      <c r="L289" s="47" t="s">
        <v>1308</v>
      </c>
      <c r="M289" s="47" t="s">
        <v>1496</v>
      </c>
      <c r="N289">
        <v>223</v>
      </c>
      <c r="O289">
        <v>223</v>
      </c>
      <c r="P289" s="11" t="s">
        <v>646</v>
      </c>
    </row>
    <row r="290" spans="1:16" x14ac:dyDescent="0.2">
      <c r="A290">
        <v>647</v>
      </c>
      <c r="B290">
        <v>529</v>
      </c>
      <c r="C290" t="str">
        <f>VLOOKUP(Table10[[#This Row],[source]],Table2226[[#All],[ID]:[Label]],3,FALSE)</f>
        <v>LAS</v>
      </c>
      <c r="D290" t="str">
        <f>VLOOKUP(Table10[[#This Row],[target]],Table2226[[#All],[ID]:[Label]],3,FALSE)</f>
        <v>BOS</v>
      </c>
      <c r="E290" s="32" t="str">
        <f>IF(ISERROR(VLOOKUP(Table10[[#This Row],[source2]],Table22[Label],1,FALSE)),IF(ISERROR(VLOOKUP(Table10[[#This Row],[source2]],Table2210[Label],1,FALSE)),"SPOKE","FOCUS"),"HUB")</f>
        <v>FOCUS</v>
      </c>
      <c r="F290" s="32" t="str">
        <f>IF(ISERROR(VLOOKUP(Table10[[#This Row],[target2]],Table22[Label],1,FALSE)),IF(ISERROR(VLOOKUP(Table10[[#This Row],[target2]],Table2210[Label],1,FALSE)),"SPOKE","FOCUS"),"HUB")</f>
        <v>HUB</v>
      </c>
      <c r="G290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HUB-FOCUS</v>
      </c>
      <c r="H290" s="46" t="s">
        <v>801</v>
      </c>
      <c r="I290" s="47" t="s">
        <v>2200</v>
      </c>
      <c r="J290" s="47" t="s">
        <v>727</v>
      </c>
      <c r="K290" s="47" t="s">
        <v>2201</v>
      </c>
      <c r="L290" s="47" t="s">
        <v>2202</v>
      </c>
      <c r="M290" s="47" t="s">
        <v>2203</v>
      </c>
      <c r="N290">
        <v>199</v>
      </c>
      <c r="O290">
        <v>199</v>
      </c>
      <c r="P290" s="11" t="s">
        <v>647</v>
      </c>
    </row>
    <row r="291" spans="1:16" x14ac:dyDescent="0.2">
      <c r="A291">
        <v>702</v>
      </c>
      <c r="B291">
        <v>2190</v>
      </c>
      <c r="C291" t="str">
        <f>VLOOKUP(Table10[[#This Row],[source]],Table2226[[#All],[ID]:[Label]],3,FALSE)</f>
        <v>PHX</v>
      </c>
      <c r="D291" t="str">
        <f>VLOOKUP(Table10[[#This Row],[target]],Table2226[[#All],[ID]:[Label]],3,FALSE)</f>
        <v>TUS</v>
      </c>
      <c r="E291" s="32" t="str">
        <f>IF(ISERROR(VLOOKUP(Table10[[#This Row],[source2]],Table22[Label],1,FALSE)),IF(ISERROR(VLOOKUP(Table10[[#This Row],[source2]],Table2210[Label],1,FALSE)),"SPOKE","FOCUS"),"HUB")</f>
        <v>HUB</v>
      </c>
      <c r="F291" s="32" t="str">
        <f>IF(ISERROR(VLOOKUP(Table10[[#This Row],[target2]],Table22[Label],1,FALSE)),IF(ISERROR(VLOOKUP(Table10[[#This Row],[target2]],Table2210[Label],1,FALSE)),"SPOKE","FOCUS"),"HUB")</f>
        <v>SPOKE</v>
      </c>
      <c r="G291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291" s="46" t="s">
        <v>2058</v>
      </c>
      <c r="I291" s="47" t="s">
        <v>2059</v>
      </c>
      <c r="J291" s="47" t="s">
        <v>2060</v>
      </c>
      <c r="K291" s="47" t="s">
        <v>2061</v>
      </c>
      <c r="L291" s="47" t="s">
        <v>904</v>
      </c>
      <c r="M291" s="47" t="s">
        <v>2062</v>
      </c>
      <c r="N291">
        <v>344</v>
      </c>
      <c r="O291">
        <v>344</v>
      </c>
      <c r="P291" s="11" t="s">
        <v>648</v>
      </c>
    </row>
    <row r="292" spans="1:16" x14ac:dyDescent="0.2">
      <c r="A292">
        <v>700</v>
      </c>
      <c r="B292">
        <v>498</v>
      </c>
      <c r="C292" t="str">
        <f>VLOOKUP(Table10[[#This Row],[source]],Table2226[[#All],[ID]:[Label]],3,FALSE)</f>
        <v>PHL</v>
      </c>
      <c r="D292" t="str">
        <f>VLOOKUP(Table10[[#This Row],[target]],Table2226[[#All],[ID]:[Label]],3,FALSE)</f>
        <v>ALB</v>
      </c>
      <c r="E292" s="32" t="str">
        <f>IF(ISERROR(VLOOKUP(Table10[[#This Row],[source2]],Table22[Label],1,FALSE)),IF(ISERROR(VLOOKUP(Table10[[#This Row],[source2]],Table2210[Label],1,FALSE)),"SPOKE","FOCUS"),"HUB")</f>
        <v>HUB</v>
      </c>
      <c r="F292" s="32" t="str">
        <f>IF(ISERROR(VLOOKUP(Table10[[#This Row],[target2]],Table22[Label],1,FALSE)),IF(ISERROR(VLOOKUP(Table10[[#This Row],[target2]],Table2210[Label],1,FALSE)),"SPOKE","FOCUS"),"HUB")</f>
        <v>SPOKE</v>
      </c>
      <c r="G292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292" s="46" t="s">
        <v>929</v>
      </c>
      <c r="I292" s="47" t="s">
        <v>930</v>
      </c>
      <c r="J292" s="47" t="s">
        <v>931</v>
      </c>
      <c r="K292" s="47" t="s">
        <v>932</v>
      </c>
      <c r="L292" s="47" t="s">
        <v>933</v>
      </c>
      <c r="M292" s="47" t="s">
        <v>934</v>
      </c>
      <c r="N292">
        <v>260</v>
      </c>
      <c r="O292">
        <v>260</v>
      </c>
      <c r="P292" s="11" t="s">
        <v>649</v>
      </c>
    </row>
    <row r="293" spans="1:16" x14ac:dyDescent="0.2">
      <c r="A293">
        <v>700</v>
      </c>
      <c r="B293">
        <v>720</v>
      </c>
      <c r="C293" t="str">
        <f>VLOOKUP(Table10[[#This Row],[source]],Table2226[[#All],[ID]:[Label]],3,FALSE)</f>
        <v>PHL</v>
      </c>
      <c r="D293" t="str">
        <f>VLOOKUP(Table10[[#This Row],[target]],Table2226[[#All],[ID]:[Label]],3,FALSE)</f>
        <v>RIC</v>
      </c>
      <c r="E293" s="32" t="str">
        <f>IF(ISERROR(VLOOKUP(Table10[[#This Row],[source2]],Table22[Label],1,FALSE)),IF(ISERROR(VLOOKUP(Table10[[#This Row],[source2]],Table2210[Label],1,FALSE)),"SPOKE","FOCUS"),"HUB")</f>
        <v>HUB</v>
      </c>
      <c r="F293" s="32" t="str">
        <f>IF(ISERROR(VLOOKUP(Table10[[#This Row],[target2]],Table22[Label],1,FALSE)),IF(ISERROR(VLOOKUP(Table10[[#This Row],[target2]],Table2210[Label],1,FALSE)),"SPOKE","FOCUS"),"HUB")</f>
        <v>SPOKE</v>
      </c>
      <c r="G293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293" s="46" t="s">
        <v>801</v>
      </c>
      <c r="I293" s="47" t="s">
        <v>959</v>
      </c>
      <c r="J293" s="47" t="s">
        <v>727</v>
      </c>
      <c r="K293" s="47" t="s">
        <v>960</v>
      </c>
      <c r="L293" s="47" t="s">
        <v>961</v>
      </c>
      <c r="M293" s="47" t="s">
        <v>962</v>
      </c>
      <c r="N293">
        <v>283</v>
      </c>
      <c r="O293">
        <v>283</v>
      </c>
      <c r="P293" s="11" t="s">
        <v>650</v>
      </c>
    </row>
    <row r="294" spans="1:16" x14ac:dyDescent="0.2">
      <c r="A294">
        <v>2191</v>
      </c>
      <c r="B294">
        <v>627</v>
      </c>
      <c r="C294" t="str">
        <f>VLOOKUP(Table10[[#This Row],[source]],Table2226[[#All],[ID]:[Label]],3,FALSE)</f>
        <v>TYS</v>
      </c>
      <c r="D294" t="str">
        <f>VLOOKUP(Table10[[#This Row],[target]],Table2226[[#All],[ID]:[Label]],3,FALSE)</f>
        <v>IAH</v>
      </c>
      <c r="E294" s="32" t="str">
        <f>IF(ISERROR(VLOOKUP(Table10[[#This Row],[source2]],Table22[Label],1,FALSE)),IF(ISERROR(VLOOKUP(Table10[[#This Row],[source2]],Table2210[Label],1,FALSE)),"SPOKE","FOCUS"),"HUB")</f>
        <v>SPOKE</v>
      </c>
      <c r="F294" s="32" t="str">
        <f>IF(ISERROR(VLOOKUP(Table10[[#This Row],[target2]],Table22[Label],1,FALSE)),IF(ISERROR(VLOOKUP(Table10[[#This Row],[target2]],Table2210[Label],1,FALSE)),"SPOKE","FOCUS"),"HUB")</f>
        <v>HUB</v>
      </c>
      <c r="G294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294" s="46" t="s">
        <v>787</v>
      </c>
      <c r="I294" s="47" t="s">
        <v>788</v>
      </c>
      <c r="J294" s="47" t="s">
        <v>789</v>
      </c>
      <c r="K294" s="47" t="s">
        <v>790</v>
      </c>
      <c r="L294" s="47" t="s">
        <v>791</v>
      </c>
      <c r="M294" s="47" t="s">
        <v>792</v>
      </c>
      <c r="N294">
        <v>185</v>
      </c>
      <c r="O294">
        <v>185</v>
      </c>
      <c r="P294" s="11" t="s">
        <v>651</v>
      </c>
    </row>
    <row r="295" spans="1:16" x14ac:dyDescent="0.2">
      <c r="A295">
        <v>720</v>
      </c>
      <c r="B295">
        <v>645</v>
      </c>
      <c r="C295" t="str">
        <f>VLOOKUP(Table10[[#This Row],[source]],Table2226[[#All],[ID]:[Label]],3,FALSE)</f>
        <v>RIC</v>
      </c>
      <c r="D295" t="str">
        <f>VLOOKUP(Table10[[#This Row],[target]],Table2226[[#All],[ID]:[Label]],3,FALSE)</f>
        <v>JFK</v>
      </c>
      <c r="E295" s="32" t="str">
        <f>IF(ISERROR(VLOOKUP(Table10[[#This Row],[source2]],Table22[Label],1,FALSE)),IF(ISERROR(VLOOKUP(Table10[[#This Row],[source2]],Table2210[Label],1,FALSE)),"SPOKE","FOCUS"),"HUB")</f>
        <v>SPOKE</v>
      </c>
      <c r="F295" s="32" t="str">
        <f>IF(ISERROR(VLOOKUP(Table10[[#This Row],[target2]],Table22[Label],1,FALSE)),IF(ISERROR(VLOOKUP(Table10[[#This Row],[target2]],Table2210[Label],1,FALSE)),"SPOKE","FOCUS"),"HUB")</f>
        <v>HUB</v>
      </c>
      <c r="G295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295" s="46" t="s">
        <v>2195</v>
      </c>
      <c r="I295" s="47" t="s">
        <v>2196</v>
      </c>
      <c r="J295" s="47" t="s">
        <v>2197</v>
      </c>
      <c r="K295" s="47" t="s">
        <v>2198</v>
      </c>
      <c r="L295" s="47" t="s">
        <v>939</v>
      </c>
      <c r="M295" s="47" t="s">
        <v>2199</v>
      </c>
      <c r="N295">
        <v>232</v>
      </c>
      <c r="O295">
        <v>232</v>
      </c>
      <c r="P295" s="11" t="s">
        <v>652</v>
      </c>
    </row>
    <row r="296" spans="1:16" x14ac:dyDescent="0.2">
      <c r="A296">
        <v>700</v>
      </c>
      <c r="B296">
        <v>625</v>
      </c>
      <c r="C296" t="str">
        <f>VLOOKUP(Table10[[#This Row],[source]],Table2226[[#All],[ID]:[Label]],3,FALSE)</f>
        <v>PHL</v>
      </c>
      <c r="D296" t="str">
        <f>VLOOKUP(Table10[[#This Row],[target]],Table2226[[#All],[ID]:[Label]],3,FALSE)</f>
        <v>IAD</v>
      </c>
      <c r="E296" s="32" t="str">
        <f>IF(ISERROR(VLOOKUP(Table10[[#This Row],[source2]],Table22[Label],1,FALSE)),IF(ISERROR(VLOOKUP(Table10[[#This Row],[source2]],Table2210[Label],1,FALSE)),"SPOKE","FOCUS"),"HUB")</f>
        <v>HUB</v>
      </c>
      <c r="F296" s="32" t="str">
        <f>IF(ISERROR(VLOOKUP(Table10[[#This Row],[target2]],Table22[Label],1,FALSE)),IF(ISERROR(VLOOKUP(Table10[[#This Row],[target2]],Table2210[Label],1,FALSE)),"SPOKE","FOCUS"),"HUB")</f>
        <v>HUB</v>
      </c>
      <c r="G296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296" s="46" t="s">
        <v>801</v>
      </c>
      <c r="I296" s="47" t="s">
        <v>941</v>
      </c>
      <c r="J296" s="47" t="s">
        <v>727</v>
      </c>
      <c r="K296" s="47" t="s">
        <v>942</v>
      </c>
      <c r="L296" s="47" t="s">
        <v>943</v>
      </c>
      <c r="M296" s="47" t="s">
        <v>944</v>
      </c>
      <c r="N296">
        <v>138</v>
      </c>
      <c r="O296">
        <v>138</v>
      </c>
      <c r="P296" s="11" t="s">
        <v>653</v>
      </c>
    </row>
    <row r="297" spans="1:16" x14ac:dyDescent="0.2">
      <c r="A297">
        <v>627</v>
      </c>
      <c r="B297">
        <v>2189</v>
      </c>
      <c r="C297" t="str">
        <f>VLOOKUP(Table10[[#This Row],[source]],Table2226[[#All],[ID]:[Label]],3,FALSE)</f>
        <v>IAH</v>
      </c>
      <c r="D297" t="str">
        <f>VLOOKUP(Table10[[#This Row],[target]],Table2226[[#All],[ID]:[Label]],3,FALSE)</f>
        <v>TUL</v>
      </c>
      <c r="E297" s="32" t="str">
        <f>IF(ISERROR(VLOOKUP(Table10[[#This Row],[source2]],Table22[Label],1,FALSE)),IF(ISERROR(VLOOKUP(Table10[[#This Row],[source2]],Table2210[Label],1,FALSE)),"SPOKE","FOCUS"),"HUB")</f>
        <v>HUB</v>
      </c>
      <c r="F297" s="32" t="str">
        <f>IF(ISERROR(VLOOKUP(Table10[[#This Row],[target2]],Table22[Label],1,FALSE)),IF(ISERROR(VLOOKUP(Table10[[#This Row],[target2]],Table2210[Label],1,FALSE)),"SPOKE","FOCUS"),"HUB")</f>
        <v>SPOKE</v>
      </c>
      <c r="G297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297" s="46" t="s">
        <v>1764</v>
      </c>
      <c r="I297" s="47" t="s">
        <v>1765</v>
      </c>
      <c r="J297" s="47" t="s">
        <v>1766</v>
      </c>
      <c r="K297" s="47" t="s">
        <v>1767</v>
      </c>
      <c r="L297" s="47" t="s">
        <v>1768</v>
      </c>
      <c r="M297" s="47" t="s">
        <v>1769</v>
      </c>
      <c r="N297">
        <v>178</v>
      </c>
      <c r="O297">
        <v>178</v>
      </c>
      <c r="P297" s="11" t="s">
        <v>654</v>
      </c>
    </row>
    <row r="298" spans="1:16" x14ac:dyDescent="0.2">
      <c r="A298">
        <v>554</v>
      </c>
      <c r="B298">
        <v>648</v>
      </c>
      <c r="C298" t="str">
        <f>VLOOKUP(Table10[[#This Row],[source]],Table2226[[#All],[ID]:[Label]],3,FALSE)</f>
        <v>CLT</v>
      </c>
      <c r="D298" t="str">
        <f>VLOOKUP(Table10[[#This Row],[target]],Table2226[[#All],[ID]:[Label]],3,FALSE)</f>
        <v>LAX</v>
      </c>
      <c r="E298" s="32" t="str">
        <f>IF(ISERROR(VLOOKUP(Table10[[#This Row],[source2]],Table22[Label],1,FALSE)),IF(ISERROR(VLOOKUP(Table10[[#This Row],[source2]],Table2210[Label],1,FALSE)),"SPOKE","FOCUS"),"HUB")</f>
        <v>HUB</v>
      </c>
      <c r="F298" s="32" t="str">
        <f>IF(ISERROR(VLOOKUP(Table10[[#This Row],[target2]],Table22[Label],1,FALSE)),IF(ISERROR(VLOOKUP(Table10[[#This Row],[target2]],Table2210[Label],1,FALSE)),"SPOKE","FOCUS"),"HUB")</f>
        <v>HUB</v>
      </c>
      <c r="G298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298" s="46" t="s">
        <v>801</v>
      </c>
      <c r="I298" s="47" t="s">
        <v>1713</v>
      </c>
      <c r="J298" s="47" t="s">
        <v>727</v>
      </c>
      <c r="K298" s="47" t="s">
        <v>1714</v>
      </c>
      <c r="L298" s="47" t="s">
        <v>823</v>
      </c>
      <c r="M298" s="47" t="s">
        <v>1715</v>
      </c>
      <c r="N298">
        <v>290</v>
      </c>
      <c r="O298">
        <v>290</v>
      </c>
      <c r="P298" s="11" t="s">
        <v>655</v>
      </c>
    </row>
    <row r="299" spans="1:16" x14ac:dyDescent="0.2">
      <c r="A299">
        <v>579</v>
      </c>
      <c r="B299">
        <v>733</v>
      </c>
      <c r="C299" t="str">
        <f>VLOOKUP(Table10[[#This Row],[source]],Table2226[[#All],[ID]:[Label]],3,FALSE)</f>
        <v>DTW</v>
      </c>
      <c r="D299" t="str">
        <f>VLOOKUP(Table10[[#This Row],[target]],Table2226[[#All],[ID]:[Label]],3,FALSE)</f>
        <v>SFO</v>
      </c>
      <c r="E299" s="32" t="str">
        <f>IF(ISERROR(VLOOKUP(Table10[[#This Row],[source2]],Table22[Label],1,FALSE)),IF(ISERROR(VLOOKUP(Table10[[#This Row],[source2]],Table2210[Label],1,FALSE)),"SPOKE","FOCUS"),"HUB")</f>
        <v>HUB</v>
      </c>
      <c r="F299" s="32" t="str">
        <f>IF(ISERROR(VLOOKUP(Table10[[#This Row],[target2]],Table22[Label],1,FALSE)),IF(ISERROR(VLOOKUP(Table10[[#This Row],[target2]],Table2210[Label],1,FALSE)),"SPOKE","FOCUS"),"HUB")</f>
        <v>HUB</v>
      </c>
      <c r="G299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299" s="46" t="s">
        <v>801</v>
      </c>
      <c r="I299" s="47" t="s">
        <v>1306</v>
      </c>
      <c r="J299" s="47" t="s">
        <v>727</v>
      </c>
      <c r="K299" s="47" t="s">
        <v>1307</v>
      </c>
      <c r="L299" s="47" t="s">
        <v>1308</v>
      </c>
      <c r="M299" s="47" t="s">
        <v>1309</v>
      </c>
      <c r="N299">
        <v>164</v>
      </c>
      <c r="O299">
        <v>164</v>
      </c>
      <c r="P299" s="11" t="s">
        <v>656</v>
      </c>
    </row>
    <row r="300" spans="1:16" x14ac:dyDescent="0.2">
      <c r="A300">
        <v>571</v>
      </c>
      <c r="B300">
        <v>702</v>
      </c>
      <c r="C300" t="str">
        <f>VLOOKUP(Table10[[#This Row],[source]],Table2226[[#All],[ID]:[Label]],3,FALSE)</f>
        <v>DCA</v>
      </c>
      <c r="D300" t="str">
        <f>VLOOKUP(Table10[[#This Row],[target]],Table2226[[#All],[ID]:[Label]],3,FALSE)</f>
        <v>PHX</v>
      </c>
      <c r="E300" s="32" t="str">
        <f>IF(ISERROR(VLOOKUP(Table10[[#This Row],[source2]],Table22[Label],1,FALSE)),IF(ISERROR(VLOOKUP(Table10[[#This Row],[source2]],Table2210[Label],1,FALSE)),"SPOKE","FOCUS"),"HUB")</f>
        <v>HUB</v>
      </c>
      <c r="F300" s="32" t="str">
        <f>IF(ISERROR(VLOOKUP(Table10[[#This Row],[target2]],Table22[Label],1,FALSE)),IF(ISERROR(VLOOKUP(Table10[[#This Row],[target2]],Table2210[Label],1,FALSE)),"SPOKE","FOCUS"),"HUB")</f>
        <v>HUB</v>
      </c>
      <c r="G300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300" s="46" t="s">
        <v>771</v>
      </c>
      <c r="I300" s="47" t="s">
        <v>1146</v>
      </c>
      <c r="J300" s="47" t="s">
        <v>738</v>
      </c>
      <c r="K300" s="47" t="s">
        <v>1147</v>
      </c>
      <c r="L300" s="47" t="s">
        <v>1148</v>
      </c>
      <c r="M300" s="47" t="s">
        <v>1149</v>
      </c>
      <c r="N300">
        <v>3906</v>
      </c>
      <c r="O300">
        <v>3906</v>
      </c>
      <c r="P300" s="11" t="s">
        <v>657</v>
      </c>
    </row>
    <row r="301" spans="1:16" x14ac:dyDescent="0.2">
      <c r="A301">
        <v>700</v>
      </c>
      <c r="B301">
        <v>723</v>
      </c>
      <c r="C301" t="str">
        <f>VLOOKUP(Table10[[#This Row],[source]],Table2226[[#All],[ID]:[Label]],3,FALSE)</f>
        <v>PHL</v>
      </c>
      <c r="D301" t="str">
        <f>VLOOKUP(Table10[[#This Row],[target]],Table2226[[#All],[ID]:[Label]],3,FALSE)</f>
        <v>ROC</v>
      </c>
      <c r="E301" s="32" t="str">
        <f>IF(ISERROR(VLOOKUP(Table10[[#This Row],[source2]],Table22[Label],1,FALSE)),IF(ISERROR(VLOOKUP(Table10[[#This Row],[source2]],Table2210[Label],1,FALSE)),"SPOKE","FOCUS"),"HUB")</f>
        <v>HUB</v>
      </c>
      <c r="F301" s="32" t="str">
        <f>IF(ISERROR(VLOOKUP(Table10[[#This Row],[target2]],Table22[Label],1,FALSE)),IF(ISERROR(VLOOKUP(Table10[[#This Row],[target2]],Table2210[Label],1,FALSE)),"SPOKE","FOCUS"),"HUB")</f>
        <v>SPOKE</v>
      </c>
      <c r="G301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301" s="46" t="s">
        <v>1000</v>
      </c>
      <c r="I301" s="47" t="s">
        <v>1001</v>
      </c>
      <c r="J301" s="47" t="s">
        <v>1002</v>
      </c>
      <c r="K301" s="47" t="s">
        <v>1003</v>
      </c>
      <c r="L301" s="47" t="s">
        <v>892</v>
      </c>
      <c r="M301" s="47" t="s">
        <v>1004</v>
      </c>
      <c r="N301">
        <v>269</v>
      </c>
      <c r="O301">
        <v>269</v>
      </c>
      <c r="P301" s="11" t="s">
        <v>658</v>
      </c>
    </row>
    <row r="302" spans="1:16" x14ac:dyDescent="0.2">
      <c r="A302">
        <v>554</v>
      </c>
      <c r="B302">
        <v>733</v>
      </c>
      <c r="C302" t="str">
        <f>VLOOKUP(Table10[[#This Row],[source]],Table2226[[#All],[ID]:[Label]],3,FALSE)</f>
        <v>CLT</v>
      </c>
      <c r="D302" t="str">
        <f>VLOOKUP(Table10[[#This Row],[target]],Table2226[[#All],[ID]:[Label]],3,FALSE)</f>
        <v>SFO</v>
      </c>
      <c r="E302" s="32" t="str">
        <f>IF(ISERROR(VLOOKUP(Table10[[#This Row],[source2]],Table22[Label],1,FALSE)),IF(ISERROR(VLOOKUP(Table10[[#This Row],[source2]],Table2210[Label],1,FALSE)),"SPOKE","FOCUS"),"HUB")</f>
        <v>HUB</v>
      </c>
      <c r="F302" s="32" t="str">
        <f>IF(ISERROR(VLOOKUP(Table10[[#This Row],[target2]],Table22[Label],1,FALSE)),IF(ISERROR(VLOOKUP(Table10[[#This Row],[target2]],Table2210[Label],1,FALSE)),"SPOKE","FOCUS"),"HUB")</f>
        <v>HUB</v>
      </c>
      <c r="G302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302" s="46" t="s">
        <v>801</v>
      </c>
      <c r="I302" s="47" t="s">
        <v>1709</v>
      </c>
      <c r="J302" s="47" t="s">
        <v>727</v>
      </c>
      <c r="K302" s="47" t="s">
        <v>1710</v>
      </c>
      <c r="L302" s="47" t="s">
        <v>1711</v>
      </c>
      <c r="M302" s="47" t="s">
        <v>1712</v>
      </c>
      <c r="N302">
        <v>284</v>
      </c>
      <c r="O302">
        <v>284</v>
      </c>
      <c r="P302" s="11" t="s">
        <v>659</v>
      </c>
    </row>
    <row r="303" spans="1:16" x14ac:dyDescent="0.2">
      <c r="A303">
        <v>554</v>
      </c>
      <c r="B303">
        <v>647</v>
      </c>
      <c r="C303" t="str">
        <f>VLOOKUP(Table10[[#This Row],[source]],Table2226[[#All],[ID]:[Label]],3,FALSE)</f>
        <v>CLT</v>
      </c>
      <c r="D303" t="str">
        <f>VLOOKUP(Table10[[#This Row],[target]],Table2226[[#All],[ID]:[Label]],3,FALSE)</f>
        <v>LAS</v>
      </c>
      <c r="E303" s="32" t="str">
        <f>IF(ISERROR(VLOOKUP(Table10[[#This Row],[source2]],Table22[Label],1,FALSE)),IF(ISERROR(VLOOKUP(Table10[[#This Row],[source2]],Table2210[Label],1,FALSE)),"SPOKE","FOCUS"),"HUB")</f>
        <v>HUB</v>
      </c>
      <c r="F303" s="32" t="str">
        <f>IF(ISERROR(VLOOKUP(Table10[[#This Row],[target2]],Table22[Label],1,FALSE)),IF(ISERROR(VLOOKUP(Table10[[#This Row],[target2]],Table2210[Label],1,FALSE)),"SPOKE","FOCUS"),"HUB")</f>
        <v>FOCUS</v>
      </c>
      <c r="G303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HUB-FOCUS</v>
      </c>
      <c r="H303" s="46" t="s">
        <v>801</v>
      </c>
      <c r="I303" s="47" t="s">
        <v>1719</v>
      </c>
      <c r="J303" s="47" t="s">
        <v>727</v>
      </c>
      <c r="K303" s="47" t="s">
        <v>1223</v>
      </c>
      <c r="L303" s="47" t="s">
        <v>884</v>
      </c>
      <c r="M303" s="47" t="s">
        <v>1720</v>
      </c>
      <c r="N303">
        <v>240</v>
      </c>
      <c r="O303">
        <v>240</v>
      </c>
      <c r="P303" s="11" t="s">
        <v>660</v>
      </c>
    </row>
    <row r="304" spans="1:16" x14ac:dyDescent="0.2">
      <c r="A304">
        <v>682</v>
      </c>
      <c r="B304">
        <v>673</v>
      </c>
      <c r="C304" t="str">
        <f>VLOOKUP(Table10[[#This Row],[source]],Table2226[[#All],[ID]:[Label]],3,FALSE)</f>
        <v>MSP</v>
      </c>
      <c r="D304" t="str">
        <f>VLOOKUP(Table10[[#This Row],[target]],Table2226[[#All],[ID]:[Label]],3,FALSE)</f>
        <v>MIA</v>
      </c>
      <c r="E304" s="32" t="str">
        <f>IF(ISERROR(VLOOKUP(Table10[[#This Row],[source2]],Table22[Label],1,FALSE)),IF(ISERROR(VLOOKUP(Table10[[#This Row],[source2]],Table2210[Label],1,FALSE)),"SPOKE","FOCUS"),"HUB")</f>
        <v>HUB</v>
      </c>
      <c r="F304" s="32" t="str">
        <f>IF(ISERROR(VLOOKUP(Table10[[#This Row],[target2]],Table22[Label],1,FALSE)),IF(ISERROR(VLOOKUP(Table10[[#This Row],[target2]],Table2210[Label],1,FALSE)),"SPOKE","FOCUS"),"HUB")</f>
        <v>HUB</v>
      </c>
      <c r="G304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304" s="46" t="s">
        <v>801</v>
      </c>
      <c r="I304" s="47" t="s">
        <v>1950</v>
      </c>
      <c r="J304" s="47" t="s">
        <v>727</v>
      </c>
      <c r="K304" s="47" t="s">
        <v>1951</v>
      </c>
      <c r="L304" s="47" t="s">
        <v>1952</v>
      </c>
      <c r="M304" s="47" t="s">
        <v>1953</v>
      </c>
      <c r="N304">
        <v>210</v>
      </c>
      <c r="O304">
        <v>210</v>
      </c>
      <c r="P304" s="11" t="s">
        <v>661</v>
      </c>
    </row>
    <row r="305" spans="1:16" x14ac:dyDescent="0.2">
      <c r="A305">
        <v>571</v>
      </c>
      <c r="B305">
        <v>591</v>
      </c>
      <c r="C305" t="str">
        <f>VLOOKUP(Table10[[#This Row],[source]],Table2226[[#All],[ID]:[Label]],3,FALSE)</f>
        <v>DCA</v>
      </c>
      <c r="D305" t="str">
        <f>VLOOKUP(Table10[[#This Row],[target]],Table2226[[#All],[ID]:[Label]],3,FALSE)</f>
        <v>EWR</v>
      </c>
      <c r="E305" s="32" t="str">
        <f>IF(ISERROR(VLOOKUP(Table10[[#This Row],[source2]],Table22[Label],1,FALSE)),IF(ISERROR(VLOOKUP(Table10[[#This Row],[source2]],Table2210[Label],1,FALSE)),"SPOKE","FOCUS"),"HUB")</f>
        <v>HUB</v>
      </c>
      <c r="F305" s="32" t="str">
        <f>IF(ISERROR(VLOOKUP(Table10[[#This Row],[target2]],Table22[Label],1,FALSE)),IF(ISERROR(VLOOKUP(Table10[[#This Row],[target2]],Table2210[Label],1,FALSE)),"SPOKE","FOCUS"),"HUB")</f>
        <v>HUB</v>
      </c>
      <c r="G305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305" s="46" t="s">
        <v>801</v>
      </c>
      <c r="I305" s="47" t="s">
        <v>1159</v>
      </c>
      <c r="J305" s="47" t="s">
        <v>727</v>
      </c>
      <c r="K305" s="47" t="s">
        <v>1160</v>
      </c>
      <c r="L305" s="47" t="s">
        <v>1161</v>
      </c>
      <c r="M305" s="47" t="s">
        <v>1162</v>
      </c>
      <c r="N305">
        <v>228</v>
      </c>
      <c r="O305">
        <v>228</v>
      </c>
      <c r="P305" s="11" t="s">
        <v>662</v>
      </c>
    </row>
    <row r="306" spans="1:16" x14ac:dyDescent="0.2">
      <c r="A306">
        <v>702</v>
      </c>
      <c r="B306">
        <v>663</v>
      </c>
      <c r="C306" t="str">
        <f>VLOOKUP(Table10[[#This Row],[source]],Table2226[[#All],[ID]:[Label]],3,FALSE)</f>
        <v>PHX</v>
      </c>
      <c r="D306" t="str">
        <f>VLOOKUP(Table10[[#This Row],[target]],Table2226[[#All],[ID]:[Label]],3,FALSE)</f>
        <v>MCO</v>
      </c>
      <c r="E306" s="32" t="str">
        <f>IF(ISERROR(VLOOKUP(Table10[[#This Row],[source2]],Table22[Label],1,FALSE)),IF(ISERROR(VLOOKUP(Table10[[#This Row],[source2]],Table2210[Label],1,FALSE)),"SPOKE","FOCUS"),"HUB")</f>
        <v>HUB</v>
      </c>
      <c r="F306" s="32" t="str">
        <f>IF(ISERROR(VLOOKUP(Table10[[#This Row],[target2]],Table22[Label],1,FALSE)),IF(ISERROR(VLOOKUP(Table10[[#This Row],[target2]],Table2210[Label],1,FALSE)),"SPOKE","FOCUS"),"HUB")</f>
        <v>FOCUS</v>
      </c>
      <c r="G306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HUB-FOCUS</v>
      </c>
      <c r="H306" s="46" t="s">
        <v>801</v>
      </c>
      <c r="I306" s="47" t="s">
        <v>2077</v>
      </c>
      <c r="J306" s="47" t="s">
        <v>727</v>
      </c>
      <c r="K306" s="47" t="s">
        <v>2078</v>
      </c>
      <c r="L306" s="47" t="s">
        <v>2079</v>
      </c>
      <c r="M306" s="47" t="s">
        <v>2080</v>
      </c>
      <c r="N306">
        <v>312</v>
      </c>
      <c r="O306">
        <v>312</v>
      </c>
      <c r="P306" s="11" t="s">
        <v>663</v>
      </c>
    </row>
    <row r="307" spans="1:16" x14ac:dyDescent="0.2">
      <c r="A307">
        <v>506</v>
      </c>
      <c r="B307">
        <v>653</v>
      </c>
      <c r="C307" t="str">
        <f>VLOOKUP(Table10[[#This Row],[source]],Table2226[[#All],[ID]:[Label]],3,FALSE)</f>
        <v>ATL</v>
      </c>
      <c r="D307" t="str">
        <f>VLOOKUP(Table10[[#This Row],[target]],Table2226[[#All],[ID]:[Label]],3,FALSE)</f>
        <v>LIT</v>
      </c>
      <c r="E307" s="32" t="str">
        <f>IF(ISERROR(VLOOKUP(Table10[[#This Row],[source2]],Table22[Label],1,FALSE)),IF(ISERROR(VLOOKUP(Table10[[#This Row],[source2]],Table2210[Label],1,FALSE)),"SPOKE","FOCUS"),"HUB")</f>
        <v>HUB</v>
      </c>
      <c r="F307" s="32" t="str">
        <f>IF(ISERROR(VLOOKUP(Table10[[#This Row],[target2]],Table22[Label],1,FALSE)),IF(ISERROR(VLOOKUP(Table10[[#This Row],[target2]],Table2210[Label],1,FALSE)),"SPOKE","FOCUS"),"HUB")</f>
        <v>SPOKE</v>
      </c>
      <c r="G307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307" s="46" t="s">
        <v>1446</v>
      </c>
      <c r="I307" s="47" t="s">
        <v>1447</v>
      </c>
      <c r="J307" s="47" t="s">
        <v>1448</v>
      </c>
      <c r="K307" s="47" t="s">
        <v>1449</v>
      </c>
      <c r="L307" s="47" t="s">
        <v>1450</v>
      </c>
      <c r="M307" s="47" t="s">
        <v>1451</v>
      </c>
      <c r="N307">
        <v>309</v>
      </c>
      <c r="O307">
        <v>309</v>
      </c>
      <c r="P307" s="11" t="s">
        <v>664</v>
      </c>
    </row>
    <row r="308" spans="1:16" x14ac:dyDescent="0.2">
      <c r="A308">
        <v>691</v>
      </c>
      <c r="B308">
        <v>653</v>
      </c>
      <c r="C308" t="str">
        <f>VLOOKUP(Table10[[#This Row],[source]],Table2226[[#All],[ID]:[Label]],3,FALSE)</f>
        <v>ORD</v>
      </c>
      <c r="D308" t="str">
        <f>VLOOKUP(Table10[[#This Row],[target]],Table2226[[#All],[ID]:[Label]],3,FALSE)</f>
        <v>LIT</v>
      </c>
      <c r="E308" s="32" t="str">
        <f>IF(ISERROR(VLOOKUP(Table10[[#This Row],[source2]],Table22[Label],1,FALSE)),IF(ISERROR(VLOOKUP(Table10[[#This Row],[source2]],Table2210[Label],1,FALSE)),"SPOKE","FOCUS"),"HUB")</f>
        <v>HUB</v>
      </c>
      <c r="F308" s="32" t="str">
        <f>IF(ISERROR(VLOOKUP(Table10[[#This Row],[target2]],Table22[Label],1,FALSE)),IF(ISERROR(VLOOKUP(Table10[[#This Row],[target2]],Table2210[Label],1,FALSE)),"SPOKE","FOCUS"),"HUB")</f>
        <v>SPOKE</v>
      </c>
      <c r="G308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308" s="46" t="s">
        <v>1660</v>
      </c>
      <c r="I308" s="47" t="s">
        <v>1661</v>
      </c>
      <c r="J308" s="47" t="s">
        <v>1662</v>
      </c>
      <c r="K308" s="47" t="s">
        <v>1663</v>
      </c>
      <c r="L308" s="47" t="s">
        <v>1317</v>
      </c>
      <c r="M308" s="47" t="s">
        <v>1664</v>
      </c>
      <c r="N308">
        <v>265</v>
      </c>
      <c r="O308">
        <v>265</v>
      </c>
      <c r="P308" s="11" t="s">
        <v>665</v>
      </c>
    </row>
    <row r="309" spans="1:16" x14ac:dyDescent="0.2">
      <c r="A309">
        <v>645</v>
      </c>
      <c r="B309">
        <v>723</v>
      </c>
      <c r="C309" t="str">
        <f>VLOOKUP(Table10[[#This Row],[source]],Table2226[[#All],[ID]:[Label]],3,FALSE)</f>
        <v>JFK</v>
      </c>
      <c r="D309" t="str">
        <f>VLOOKUP(Table10[[#This Row],[target]],Table2226[[#All],[ID]:[Label]],3,FALSE)</f>
        <v>ROC</v>
      </c>
      <c r="E309" s="32" t="str">
        <f>IF(ISERROR(VLOOKUP(Table10[[#This Row],[source2]],Table22[Label],1,FALSE)),IF(ISERROR(VLOOKUP(Table10[[#This Row],[source2]],Table2210[Label],1,FALSE)),"SPOKE","FOCUS"),"HUB")</f>
        <v>HUB</v>
      </c>
      <c r="F309" s="32" t="str">
        <f>IF(ISERROR(VLOOKUP(Table10[[#This Row],[target2]],Table22[Label],1,FALSE)),IF(ISERROR(VLOOKUP(Table10[[#This Row],[target2]],Table2210[Label],1,FALSE)),"SPOKE","FOCUS"),"HUB")</f>
        <v>SPOKE</v>
      </c>
      <c r="G309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309" s="46" t="s">
        <v>2252</v>
      </c>
      <c r="I309" s="47" t="s">
        <v>2253</v>
      </c>
      <c r="J309" s="47" t="s">
        <v>2254</v>
      </c>
      <c r="K309" s="47" t="s">
        <v>2255</v>
      </c>
      <c r="L309" s="47" t="s">
        <v>904</v>
      </c>
      <c r="M309" s="47" t="s">
        <v>2256</v>
      </c>
      <c r="N309">
        <v>230</v>
      </c>
      <c r="O309">
        <v>230</v>
      </c>
      <c r="P309" s="11" t="s">
        <v>666</v>
      </c>
    </row>
    <row r="310" spans="1:16" x14ac:dyDescent="0.2">
      <c r="A310">
        <v>702</v>
      </c>
      <c r="B310">
        <v>712</v>
      </c>
      <c r="C310" t="str">
        <f>VLOOKUP(Table10[[#This Row],[source]],Table2226[[#All],[ID]:[Label]],3,FALSE)</f>
        <v>PHX</v>
      </c>
      <c r="D310" t="str">
        <f>VLOOKUP(Table10[[#This Row],[target]],Table2226[[#All],[ID]:[Label]],3,FALSE)</f>
        <v>PSP</v>
      </c>
      <c r="E310" s="32" t="str">
        <f>IF(ISERROR(VLOOKUP(Table10[[#This Row],[source2]],Table22[Label],1,FALSE)),IF(ISERROR(VLOOKUP(Table10[[#This Row],[source2]],Table2210[Label],1,FALSE)),"SPOKE","FOCUS"),"HUB")</f>
        <v>HUB</v>
      </c>
      <c r="F310" s="32" t="str">
        <f>IF(ISERROR(VLOOKUP(Table10[[#This Row],[target2]],Table22[Label],1,FALSE)),IF(ISERROR(VLOOKUP(Table10[[#This Row],[target2]],Table2210[Label],1,FALSE)),"SPOKE","FOCUS"),"HUB")</f>
        <v>SPOKE</v>
      </c>
      <c r="G310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310" s="46" t="s">
        <v>2038</v>
      </c>
      <c r="I310" s="47" t="s">
        <v>2039</v>
      </c>
      <c r="J310" s="47" t="s">
        <v>2040</v>
      </c>
      <c r="K310" s="47" t="s">
        <v>2041</v>
      </c>
      <c r="L310" s="47" t="s">
        <v>1599</v>
      </c>
      <c r="M310" s="47" t="s">
        <v>2042</v>
      </c>
      <c r="N310">
        <v>219</v>
      </c>
      <c r="O310">
        <v>219</v>
      </c>
      <c r="P310" s="11" t="s">
        <v>667</v>
      </c>
    </row>
    <row r="311" spans="1:16" x14ac:dyDescent="0.2">
      <c r="A311">
        <v>647</v>
      </c>
      <c r="B311">
        <v>673</v>
      </c>
      <c r="C311" t="str">
        <f>VLOOKUP(Table10[[#This Row],[source]],Table2226[[#All],[ID]:[Label]],3,FALSE)</f>
        <v>LAS</v>
      </c>
      <c r="D311" t="str">
        <f>VLOOKUP(Table10[[#This Row],[target]],Table2226[[#All],[ID]:[Label]],3,FALSE)</f>
        <v>MIA</v>
      </c>
      <c r="E311" s="32" t="str">
        <f>IF(ISERROR(VLOOKUP(Table10[[#This Row],[source2]],Table22[Label],1,FALSE)),IF(ISERROR(VLOOKUP(Table10[[#This Row],[source2]],Table2210[Label],1,FALSE)),"SPOKE","FOCUS"),"HUB")</f>
        <v>FOCUS</v>
      </c>
      <c r="F311" s="32" t="str">
        <f>IF(ISERROR(VLOOKUP(Table10[[#This Row],[target2]],Table22[Label],1,FALSE)),IF(ISERROR(VLOOKUP(Table10[[#This Row],[target2]],Table2210[Label],1,FALSE)),"SPOKE","FOCUS"),"HUB")</f>
        <v>HUB</v>
      </c>
      <c r="G311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HUB-FOCUS</v>
      </c>
      <c r="H311" s="46" t="s">
        <v>801</v>
      </c>
      <c r="I311" s="47" t="s">
        <v>2219</v>
      </c>
      <c r="J311" s="47" t="s">
        <v>727</v>
      </c>
      <c r="K311" s="47" t="s">
        <v>2220</v>
      </c>
      <c r="L311" s="47" t="s">
        <v>1161</v>
      </c>
      <c r="M311" s="47" t="s">
        <v>2221</v>
      </c>
      <c r="N311">
        <v>225</v>
      </c>
      <c r="O311">
        <v>225</v>
      </c>
      <c r="P311" s="11" t="s">
        <v>668</v>
      </c>
    </row>
    <row r="312" spans="1:16" x14ac:dyDescent="0.2">
      <c r="A312">
        <v>700</v>
      </c>
      <c r="B312">
        <v>613</v>
      </c>
      <c r="C312" t="str">
        <f>VLOOKUP(Table10[[#This Row],[source]],Table2226[[#All],[ID]:[Label]],3,FALSE)</f>
        <v>PHL</v>
      </c>
      <c r="D312" t="str">
        <f>VLOOKUP(Table10[[#This Row],[target]],Table2226[[#All],[ID]:[Label]],3,FALSE)</f>
        <v>GSP</v>
      </c>
      <c r="E312" s="32" t="str">
        <f>IF(ISERROR(VLOOKUP(Table10[[#This Row],[source2]],Table22[Label],1,FALSE)),IF(ISERROR(VLOOKUP(Table10[[#This Row],[source2]],Table2210[Label],1,FALSE)),"SPOKE","FOCUS"),"HUB")</f>
        <v>HUB</v>
      </c>
      <c r="F312" s="32" t="str">
        <f>IF(ISERROR(VLOOKUP(Table10[[#This Row],[target2]],Table22[Label],1,FALSE)),IF(ISERROR(VLOOKUP(Table10[[#This Row],[target2]],Table2210[Label],1,FALSE)),"SPOKE","FOCUS"),"HUB")</f>
        <v>SPOKE</v>
      </c>
      <c r="G312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312" s="46" t="s">
        <v>935</v>
      </c>
      <c r="I312" s="47" t="s">
        <v>936</v>
      </c>
      <c r="J312" s="47" t="s">
        <v>937</v>
      </c>
      <c r="K312" s="47" t="s">
        <v>938</v>
      </c>
      <c r="L312" s="47" t="s">
        <v>939</v>
      </c>
      <c r="M312" s="47" t="s">
        <v>940</v>
      </c>
      <c r="N312">
        <v>165</v>
      </c>
      <c r="O312">
        <v>165</v>
      </c>
      <c r="P312" s="11" t="s">
        <v>669</v>
      </c>
    </row>
    <row r="313" spans="1:16" x14ac:dyDescent="0.2">
      <c r="A313">
        <v>625</v>
      </c>
      <c r="B313">
        <v>730</v>
      </c>
      <c r="C313" t="str">
        <f>VLOOKUP(Table10[[#This Row],[source]],Table2226[[#All],[ID]:[Label]],3,FALSE)</f>
        <v>IAD</v>
      </c>
      <c r="D313" t="str">
        <f>VLOOKUP(Table10[[#This Row],[target]],Table2226[[#All],[ID]:[Label]],3,FALSE)</f>
        <v>SEA</v>
      </c>
      <c r="E313" s="32" t="str">
        <f>IF(ISERROR(VLOOKUP(Table10[[#This Row],[source2]],Table22[Label],1,FALSE)),IF(ISERROR(VLOOKUP(Table10[[#This Row],[source2]],Table2210[Label],1,FALSE)),"SPOKE","FOCUS"),"HUB")</f>
        <v>HUB</v>
      </c>
      <c r="F313" s="32" t="str">
        <f>IF(ISERROR(VLOOKUP(Table10[[#This Row],[target2]],Table22[Label],1,FALSE)),IF(ISERROR(VLOOKUP(Table10[[#This Row],[target2]],Table2210[Label],1,FALSE)),"SPOKE","FOCUS"),"HUB")</f>
        <v>HUB</v>
      </c>
      <c r="G313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313" s="46" t="s">
        <v>801</v>
      </c>
      <c r="I313" s="47" t="s">
        <v>1116</v>
      </c>
      <c r="J313" s="47" t="s">
        <v>727</v>
      </c>
      <c r="K313" s="47" t="s">
        <v>1117</v>
      </c>
      <c r="L313" s="47" t="s">
        <v>1028</v>
      </c>
      <c r="M313" s="47" t="s">
        <v>1118</v>
      </c>
      <c r="N313">
        <v>141</v>
      </c>
      <c r="O313">
        <v>141</v>
      </c>
      <c r="P313" s="11" t="s">
        <v>670</v>
      </c>
    </row>
    <row r="314" spans="1:16" x14ac:dyDescent="0.2">
      <c r="A314">
        <v>591</v>
      </c>
      <c r="B314">
        <v>498</v>
      </c>
      <c r="C314" t="str">
        <f>VLOOKUP(Table10[[#This Row],[source]],Table2226[[#All],[ID]:[Label]],3,FALSE)</f>
        <v>EWR</v>
      </c>
      <c r="D314" t="str">
        <f>VLOOKUP(Table10[[#This Row],[target]],Table2226[[#All],[ID]:[Label]],3,FALSE)</f>
        <v>ALB</v>
      </c>
      <c r="E314" s="32" t="str">
        <f>IF(ISERROR(VLOOKUP(Table10[[#This Row],[source2]],Table22[Label],1,FALSE)),IF(ISERROR(VLOOKUP(Table10[[#This Row],[source2]],Table2210[Label],1,FALSE)),"SPOKE","FOCUS"),"HUB")</f>
        <v>HUB</v>
      </c>
      <c r="F314" s="32" t="str">
        <f>IF(ISERROR(VLOOKUP(Table10[[#This Row],[target2]],Table22[Label],1,FALSE)),IF(ISERROR(VLOOKUP(Table10[[#This Row],[target2]],Table2210[Label],1,FALSE)),"SPOKE","FOCUS"),"HUB")</f>
        <v>SPOKE</v>
      </c>
      <c r="G314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314" s="46" t="s">
        <v>1839</v>
      </c>
      <c r="I314" s="47" t="s">
        <v>1840</v>
      </c>
      <c r="J314" s="47" t="s">
        <v>1841</v>
      </c>
      <c r="K314" s="47" t="s">
        <v>1842</v>
      </c>
      <c r="L314" s="47" t="s">
        <v>769</v>
      </c>
      <c r="M314" s="47" t="s">
        <v>1843</v>
      </c>
      <c r="N314">
        <v>188</v>
      </c>
      <c r="O314">
        <v>188</v>
      </c>
      <c r="P314" s="11" t="s">
        <v>671</v>
      </c>
    </row>
    <row r="315" spans="1:16" x14ac:dyDescent="0.2">
      <c r="A315">
        <v>506</v>
      </c>
      <c r="B315">
        <v>2189</v>
      </c>
      <c r="C315" t="str">
        <f>VLOOKUP(Table10[[#This Row],[source]],Table2226[[#All],[ID]:[Label]],3,FALSE)</f>
        <v>ATL</v>
      </c>
      <c r="D315" t="str">
        <f>VLOOKUP(Table10[[#This Row],[target]],Table2226[[#All],[ID]:[Label]],3,FALSE)</f>
        <v>TUL</v>
      </c>
      <c r="E315" s="32" t="str">
        <f>IF(ISERROR(VLOOKUP(Table10[[#This Row],[source2]],Table22[Label],1,FALSE)),IF(ISERROR(VLOOKUP(Table10[[#This Row],[source2]],Table2210[Label],1,FALSE)),"SPOKE","FOCUS"),"HUB")</f>
        <v>HUB</v>
      </c>
      <c r="F315" s="32" t="str">
        <f>IF(ISERROR(VLOOKUP(Table10[[#This Row],[target2]],Table22[Label],1,FALSE)),IF(ISERROR(VLOOKUP(Table10[[#This Row],[target2]],Table2210[Label],1,FALSE)),"SPOKE","FOCUS"),"HUB")</f>
        <v>SPOKE</v>
      </c>
      <c r="G315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315" s="46" t="s">
        <v>801</v>
      </c>
      <c r="I315" s="47" t="s">
        <v>1460</v>
      </c>
      <c r="J315" s="47" t="s">
        <v>727</v>
      </c>
      <c r="K315" s="47" t="s">
        <v>1461</v>
      </c>
      <c r="L315" s="47" t="s">
        <v>1108</v>
      </c>
      <c r="M315" s="47" t="s">
        <v>1462</v>
      </c>
      <c r="N315">
        <v>203</v>
      </c>
      <c r="O315">
        <v>203</v>
      </c>
      <c r="P315" s="11" t="s">
        <v>672</v>
      </c>
    </row>
    <row r="316" spans="1:16" x14ac:dyDescent="0.2">
      <c r="A316">
        <v>691</v>
      </c>
      <c r="B316">
        <v>498</v>
      </c>
      <c r="C316" t="str">
        <f>VLOOKUP(Table10[[#This Row],[source]],Table2226[[#All],[ID]:[Label]],3,FALSE)</f>
        <v>ORD</v>
      </c>
      <c r="D316" t="str">
        <f>VLOOKUP(Table10[[#This Row],[target]],Table2226[[#All],[ID]:[Label]],3,FALSE)</f>
        <v>ALB</v>
      </c>
      <c r="E316" s="32" t="str">
        <f>IF(ISERROR(VLOOKUP(Table10[[#This Row],[source2]],Table22[Label],1,FALSE)),IF(ISERROR(VLOOKUP(Table10[[#This Row],[source2]],Table2210[Label],1,FALSE)),"SPOKE","FOCUS"),"HUB")</f>
        <v>HUB</v>
      </c>
      <c r="F316" s="32" t="str">
        <f>IF(ISERROR(VLOOKUP(Table10[[#This Row],[target2]],Table22[Label],1,FALSE)),IF(ISERROR(VLOOKUP(Table10[[#This Row],[target2]],Table2210[Label],1,FALSE)),"SPOKE","FOCUS"),"HUB")</f>
        <v>SPOKE</v>
      </c>
      <c r="G316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316" s="46" t="s">
        <v>801</v>
      </c>
      <c r="I316" s="47" t="s">
        <v>1592</v>
      </c>
      <c r="J316" s="47" t="s">
        <v>727</v>
      </c>
      <c r="K316" s="47" t="s">
        <v>1593</v>
      </c>
      <c r="L316" s="47" t="s">
        <v>785</v>
      </c>
      <c r="M316" s="47" t="s">
        <v>1594</v>
      </c>
      <c r="N316">
        <v>211</v>
      </c>
      <c r="O316">
        <v>211</v>
      </c>
      <c r="P316" s="11" t="s">
        <v>673</v>
      </c>
    </row>
    <row r="317" spans="1:16" x14ac:dyDescent="0.2">
      <c r="A317">
        <v>579</v>
      </c>
      <c r="B317">
        <v>645</v>
      </c>
      <c r="C317" t="str">
        <f>VLOOKUP(Table10[[#This Row],[source]],Table2226[[#All],[ID]:[Label]],3,FALSE)</f>
        <v>DTW</v>
      </c>
      <c r="D317" t="str">
        <f>VLOOKUP(Table10[[#This Row],[target]],Table2226[[#All],[ID]:[Label]],3,FALSE)</f>
        <v>JFK</v>
      </c>
      <c r="E317" s="32" t="str">
        <f>IF(ISERROR(VLOOKUP(Table10[[#This Row],[source2]],Table22[Label],1,FALSE)),IF(ISERROR(VLOOKUP(Table10[[#This Row],[source2]],Table2210[Label],1,FALSE)),"SPOKE","FOCUS"),"HUB")</f>
        <v>HUB</v>
      </c>
      <c r="F317" s="32" t="str">
        <f>IF(ISERROR(VLOOKUP(Table10[[#This Row],[target2]],Table22[Label],1,FALSE)),IF(ISERROR(VLOOKUP(Table10[[#This Row],[target2]],Table2210[Label],1,FALSE)),"SPOKE","FOCUS"),"HUB")</f>
        <v>HUB</v>
      </c>
      <c r="G317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317" s="46" t="s">
        <v>801</v>
      </c>
      <c r="I317" s="47" t="s">
        <v>1327</v>
      </c>
      <c r="J317" s="47" t="s">
        <v>727</v>
      </c>
      <c r="K317" s="47" t="s">
        <v>1328</v>
      </c>
      <c r="L317" s="47" t="s">
        <v>1329</v>
      </c>
      <c r="M317" s="47" t="s">
        <v>1330</v>
      </c>
      <c r="N317">
        <v>118</v>
      </c>
      <c r="O317">
        <v>118</v>
      </c>
      <c r="P317" s="11" t="s">
        <v>674</v>
      </c>
    </row>
    <row r="318" spans="1:16" x14ac:dyDescent="0.2">
      <c r="A318">
        <v>574</v>
      </c>
      <c r="B318">
        <v>645</v>
      </c>
      <c r="C318" t="str">
        <f>VLOOKUP(Table10[[#This Row],[source]],Table2226[[#All],[ID]:[Label]],3,FALSE)</f>
        <v>DEN</v>
      </c>
      <c r="D318" t="str">
        <f>VLOOKUP(Table10[[#This Row],[target]],Table2226[[#All],[ID]:[Label]],3,FALSE)</f>
        <v>JFK</v>
      </c>
      <c r="E318" s="32" t="str">
        <f>IF(ISERROR(VLOOKUP(Table10[[#This Row],[source2]],Table22[Label],1,FALSE)),IF(ISERROR(VLOOKUP(Table10[[#This Row],[source2]],Table2210[Label],1,FALSE)),"SPOKE","FOCUS"),"HUB")</f>
        <v>HUB</v>
      </c>
      <c r="F318" s="32" t="str">
        <f>IF(ISERROR(VLOOKUP(Table10[[#This Row],[target2]],Table22[Label],1,FALSE)),IF(ISERROR(VLOOKUP(Table10[[#This Row],[target2]],Table2210[Label],1,FALSE)),"SPOKE","FOCUS"),"HUB")</f>
        <v>HUB</v>
      </c>
      <c r="G318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318" s="46" t="s">
        <v>801</v>
      </c>
      <c r="I318" s="47" t="s">
        <v>1517</v>
      </c>
      <c r="J318" s="47" t="s">
        <v>727</v>
      </c>
      <c r="K318" s="47" t="s">
        <v>1518</v>
      </c>
      <c r="L318" s="47" t="s">
        <v>763</v>
      </c>
      <c r="M318" s="47" t="s">
        <v>1519</v>
      </c>
      <c r="N318">
        <v>161</v>
      </c>
      <c r="O318">
        <v>161</v>
      </c>
      <c r="P318" s="11" t="s">
        <v>675</v>
      </c>
    </row>
    <row r="319" spans="1:16" x14ac:dyDescent="0.2">
      <c r="A319">
        <v>574</v>
      </c>
      <c r="B319">
        <v>578</v>
      </c>
      <c r="C319" t="str">
        <f>VLOOKUP(Table10[[#This Row],[source]],Table2226[[#All],[ID]:[Label]],3,FALSE)</f>
        <v>DEN</v>
      </c>
      <c r="D319" t="str">
        <f>VLOOKUP(Table10[[#This Row],[target]],Table2226[[#All],[ID]:[Label]],3,FALSE)</f>
        <v>DSM</v>
      </c>
      <c r="E319" s="32" t="str">
        <f>IF(ISERROR(VLOOKUP(Table10[[#This Row],[source2]],Table22[Label],1,FALSE)),IF(ISERROR(VLOOKUP(Table10[[#This Row],[source2]],Table2210[Label],1,FALSE)),"SPOKE","FOCUS"),"HUB")</f>
        <v>HUB</v>
      </c>
      <c r="F319" s="32" t="str">
        <f>IF(ISERROR(VLOOKUP(Table10[[#This Row],[target2]],Table22[Label],1,FALSE)),IF(ISERROR(VLOOKUP(Table10[[#This Row],[target2]],Table2210[Label],1,FALSE)),"SPOKE","FOCUS"),"HUB")</f>
        <v>SPOKE</v>
      </c>
      <c r="G319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319" s="46" t="s">
        <v>801</v>
      </c>
      <c r="I319" s="47" t="s">
        <v>1529</v>
      </c>
      <c r="J319" s="47" t="s">
        <v>727</v>
      </c>
      <c r="K319" s="47" t="s">
        <v>1530</v>
      </c>
      <c r="L319" s="47" t="s">
        <v>884</v>
      </c>
      <c r="M319" s="47" t="s">
        <v>1531</v>
      </c>
      <c r="N319">
        <v>191</v>
      </c>
      <c r="O319">
        <v>191</v>
      </c>
      <c r="P319" s="11" t="s">
        <v>676</v>
      </c>
    </row>
    <row r="320" spans="1:16" x14ac:dyDescent="0.2">
      <c r="A320">
        <v>682</v>
      </c>
      <c r="B320">
        <v>736</v>
      </c>
      <c r="C320" t="str">
        <f>VLOOKUP(Table10[[#This Row],[source]],Table2226[[#All],[ID]:[Label]],3,FALSE)</f>
        <v>MSP</v>
      </c>
      <c r="D320" t="str">
        <f>VLOOKUP(Table10[[#This Row],[target]],Table2226[[#All],[ID]:[Label]],3,FALSE)</f>
        <v>SLC</v>
      </c>
      <c r="E320" s="32" t="str">
        <f>IF(ISERROR(VLOOKUP(Table10[[#This Row],[source2]],Table22[Label],1,FALSE)),IF(ISERROR(VLOOKUP(Table10[[#This Row],[source2]],Table2210[Label],1,FALSE)),"SPOKE","FOCUS"),"HUB")</f>
        <v>HUB</v>
      </c>
      <c r="F320" s="32" t="str">
        <f>IF(ISERROR(VLOOKUP(Table10[[#This Row],[target2]],Table22[Label],1,FALSE)),IF(ISERROR(VLOOKUP(Table10[[#This Row],[target2]],Table2210[Label],1,FALSE)),"SPOKE","FOCUS"),"HUB")</f>
        <v>HUB</v>
      </c>
      <c r="G320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320" s="46" t="s">
        <v>801</v>
      </c>
      <c r="I320" s="47" t="s">
        <v>1934</v>
      </c>
      <c r="J320" s="47" t="s">
        <v>727</v>
      </c>
      <c r="K320" s="47" t="s">
        <v>1935</v>
      </c>
      <c r="L320" s="47" t="s">
        <v>1936</v>
      </c>
      <c r="M320" s="47" t="s">
        <v>1937</v>
      </c>
      <c r="N320">
        <v>184</v>
      </c>
      <c r="O320">
        <v>184</v>
      </c>
      <c r="P320" s="11" t="s">
        <v>677</v>
      </c>
    </row>
    <row r="321" spans="1:16" x14ac:dyDescent="0.2">
      <c r="A321">
        <v>2191</v>
      </c>
      <c r="B321">
        <v>575</v>
      </c>
      <c r="C321" t="str">
        <f>VLOOKUP(Table10[[#This Row],[source]],Table2226[[#All],[ID]:[Label]],3,FALSE)</f>
        <v>TYS</v>
      </c>
      <c r="D321" t="str">
        <f>VLOOKUP(Table10[[#This Row],[target]],Table2226[[#All],[ID]:[Label]],3,FALSE)</f>
        <v>DFW</v>
      </c>
      <c r="E321" s="32" t="str">
        <f>IF(ISERROR(VLOOKUP(Table10[[#This Row],[source2]],Table22[Label],1,FALSE)),IF(ISERROR(VLOOKUP(Table10[[#This Row],[source2]],Table2210[Label],1,FALSE)),"SPOKE","FOCUS"),"HUB")</f>
        <v>SPOKE</v>
      </c>
      <c r="F321" s="32" t="str">
        <f>IF(ISERROR(VLOOKUP(Table10[[#This Row],[target2]],Table22[Label],1,FALSE)),IF(ISERROR(VLOOKUP(Table10[[#This Row],[target2]],Table2210[Label],1,FALSE)),"SPOKE","FOCUS"),"HUB")</f>
        <v>HUB</v>
      </c>
      <c r="G321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321" s="46" t="s">
        <v>801</v>
      </c>
      <c r="I321" s="47" t="s">
        <v>802</v>
      </c>
      <c r="J321" s="47" t="s">
        <v>727</v>
      </c>
      <c r="K321" s="47" t="s">
        <v>803</v>
      </c>
      <c r="L321" s="47" t="s">
        <v>804</v>
      </c>
      <c r="M321" s="47" t="s">
        <v>805</v>
      </c>
      <c r="N321">
        <v>184</v>
      </c>
      <c r="O321">
        <v>184</v>
      </c>
      <c r="P321" s="11" t="s">
        <v>678</v>
      </c>
    </row>
    <row r="322" spans="1:16" x14ac:dyDescent="0.2">
      <c r="A322">
        <v>597</v>
      </c>
      <c r="B322">
        <v>648</v>
      </c>
      <c r="C322" t="str">
        <f>VLOOKUP(Table10[[#This Row],[source]],Table2226[[#All],[ID]:[Label]],3,FALSE)</f>
        <v>FLL</v>
      </c>
      <c r="D322" t="str">
        <f>VLOOKUP(Table10[[#This Row],[target]],Table2226[[#All],[ID]:[Label]],3,FALSE)</f>
        <v>LAX</v>
      </c>
      <c r="E322" s="32" t="str">
        <f>IF(ISERROR(VLOOKUP(Table10[[#This Row],[source2]],Table22[Label],1,FALSE)),IF(ISERROR(VLOOKUP(Table10[[#This Row],[source2]],Table2210[Label],1,FALSE)),"SPOKE","FOCUS"),"HUB")</f>
        <v>FOCUS</v>
      </c>
      <c r="F322" s="32" t="str">
        <f>IF(ISERROR(VLOOKUP(Table10[[#This Row],[target2]],Table22[Label],1,FALSE)),IF(ISERROR(VLOOKUP(Table10[[#This Row],[target2]],Table2210[Label],1,FALSE)),"SPOKE","FOCUS"),"HUB")</f>
        <v>HUB</v>
      </c>
      <c r="G322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HUB-FOCUS</v>
      </c>
      <c r="H322" s="46" t="s">
        <v>801</v>
      </c>
      <c r="I322" s="47" t="s">
        <v>882</v>
      </c>
      <c r="J322" s="47" t="s">
        <v>727</v>
      </c>
      <c r="K322" s="47" t="s">
        <v>883</v>
      </c>
      <c r="L322" s="47" t="s">
        <v>884</v>
      </c>
      <c r="M322" s="47" t="s">
        <v>885</v>
      </c>
      <c r="N322">
        <v>270</v>
      </c>
      <c r="O322">
        <v>270</v>
      </c>
      <c r="P322" s="11" t="s">
        <v>679</v>
      </c>
    </row>
    <row r="323" spans="1:16" x14ac:dyDescent="0.2">
      <c r="A323">
        <v>575</v>
      </c>
      <c r="B323">
        <v>645</v>
      </c>
      <c r="C323" t="str">
        <f>VLOOKUP(Table10[[#This Row],[source]],Table2226[[#All],[ID]:[Label]],3,FALSE)</f>
        <v>DFW</v>
      </c>
      <c r="D323" t="str">
        <f>VLOOKUP(Table10[[#This Row],[target]],Table2226[[#All],[ID]:[Label]],3,FALSE)</f>
        <v>JFK</v>
      </c>
      <c r="E323" s="32" t="str">
        <f>IF(ISERROR(VLOOKUP(Table10[[#This Row],[source2]],Table22[Label],1,FALSE)),IF(ISERROR(VLOOKUP(Table10[[#This Row],[source2]],Table2210[Label],1,FALSE)),"SPOKE","FOCUS"),"HUB")</f>
        <v>HUB</v>
      </c>
      <c r="F323" s="32" t="str">
        <f>IF(ISERROR(VLOOKUP(Table10[[#This Row],[target2]],Table22[Label],1,FALSE)),IF(ISERROR(VLOOKUP(Table10[[#This Row],[target2]],Table2210[Label],1,FALSE)),"SPOKE","FOCUS"),"HUB")</f>
        <v>HUB</v>
      </c>
      <c r="G323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323" s="46" t="s">
        <v>801</v>
      </c>
      <c r="I323" s="47" t="s">
        <v>2006</v>
      </c>
      <c r="J323" s="47" t="s">
        <v>727</v>
      </c>
      <c r="K323" s="47" t="s">
        <v>2007</v>
      </c>
      <c r="L323" s="47" t="s">
        <v>2008</v>
      </c>
      <c r="M323" s="47" t="s">
        <v>2009</v>
      </c>
      <c r="N323">
        <v>168</v>
      </c>
      <c r="O323">
        <v>168</v>
      </c>
      <c r="P323" s="11" t="s">
        <v>680</v>
      </c>
    </row>
    <row r="324" spans="1:16" x14ac:dyDescent="0.2">
      <c r="A324">
        <v>625</v>
      </c>
      <c r="B324">
        <v>720</v>
      </c>
      <c r="C324" t="str">
        <f>VLOOKUP(Table10[[#This Row],[source]],Table2226[[#All],[ID]:[Label]],3,FALSE)</f>
        <v>IAD</v>
      </c>
      <c r="D324" t="str">
        <f>VLOOKUP(Table10[[#This Row],[target]],Table2226[[#All],[ID]:[Label]],3,FALSE)</f>
        <v>RIC</v>
      </c>
      <c r="E324" s="32" t="str">
        <f>IF(ISERROR(VLOOKUP(Table10[[#This Row],[source2]],Table22[Label],1,FALSE)),IF(ISERROR(VLOOKUP(Table10[[#This Row],[source2]],Table2210[Label],1,FALSE)),"SPOKE","FOCUS"),"HUB")</f>
        <v>HUB</v>
      </c>
      <c r="F324" s="32" t="str">
        <f>IF(ISERROR(VLOOKUP(Table10[[#This Row],[target2]],Table22[Label],1,FALSE)),IF(ISERROR(VLOOKUP(Table10[[#This Row],[target2]],Table2210[Label],1,FALSE)),"SPOKE","FOCUS"),"HUB")</f>
        <v>SPOKE</v>
      </c>
      <c r="G324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324" s="46" t="s">
        <v>1104</v>
      </c>
      <c r="I324" s="47" t="s">
        <v>1105</v>
      </c>
      <c r="J324" s="47" t="s">
        <v>1106</v>
      </c>
      <c r="K324" s="47" t="s">
        <v>1107</v>
      </c>
      <c r="L324" s="47" t="s">
        <v>1108</v>
      </c>
      <c r="M324" s="47" t="s">
        <v>1109</v>
      </c>
      <c r="N324">
        <v>127</v>
      </c>
      <c r="O324">
        <v>127</v>
      </c>
      <c r="P324" s="11" t="s">
        <v>681</v>
      </c>
    </row>
    <row r="325" spans="1:16" x14ac:dyDescent="0.2">
      <c r="A325">
        <v>571</v>
      </c>
      <c r="B325">
        <v>574</v>
      </c>
      <c r="C325" t="str">
        <f>VLOOKUP(Table10[[#This Row],[source]],Table2226[[#All],[ID]:[Label]],3,FALSE)</f>
        <v>DCA</v>
      </c>
      <c r="D325" t="str">
        <f>VLOOKUP(Table10[[#This Row],[target]],Table2226[[#All],[ID]:[Label]],3,FALSE)</f>
        <v>DEN</v>
      </c>
      <c r="E325" s="32" t="str">
        <f>IF(ISERROR(VLOOKUP(Table10[[#This Row],[source2]],Table22[Label],1,FALSE)),IF(ISERROR(VLOOKUP(Table10[[#This Row],[source2]],Table2210[Label],1,FALSE)),"SPOKE","FOCUS"),"HUB")</f>
        <v>HUB</v>
      </c>
      <c r="F325" s="32" t="str">
        <f>IF(ISERROR(VLOOKUP(Table10[[#This Row],[target2]],Table22[Label],1,FALSE)),IF(ISERROR(VLOOKUP(Table10[[#This Row],[target2]],Table2210[Label],1,FALSE)),"SPOKE","FOCUS"),"HUB")</f>
        <v>HUB</v>
      </c>
      <c r="G325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325" s="46" t="s">
        <v>801</v>
      </c>
      <c r="I325" s="47" t="s">
        <v>1156</v>
      </c>
      <c r="J325" s="47" t="s">
        <v>727</v>
      </c>
      <c r="K325" s="47" t="s">
        <v>1157</v>
      </c>
      <c r="L325" s="47" t="s">
        <v>823</v>
      </c>
      <c r="M325" s="47" t="s">
        <v>1158</v>
      </c>
      <c r="N325">
        <v>180</v>
      </c>
      <c r="O325">
        <v>180</v>
      </c>
      <c r="P325" s="11" t="s">
        <v>682</v>
      </c>
    </row>
    <row r="326" spans="1:16" x14ac:dyDescent="0.2">
      <c r="A326">
        <v>597</v>
      </c>
      <c r="B326">
        <v>571</v>
      </c>
      <c r="C326" t="str">
        <f>VLOOKUP(Table10[[#This Row],[source]],Table2226[[#All],[ID]:[Label]],3,FALSE)</f>
        <v>FLL</v>
      </c>
      <c r="D326" t="str">
        <f>VLOOKUP(Table10[[#This Row],[target]],Table2226[[#All],[ID]:[Label]],3,FALSE)</f>
        <v>DCA</v>
      </c>
      <c r="E326" s="32" t="str">
        <f>IF(ISERROR(VLOOKUP(Table10[[#This Row],[source2]],Table22[Label],1,FALSE)),IF(ISERROR(VLOOKUP(Table10[[#This Row],[source2]],Table2210[Label],1,FALSE)),"SPOKE","FOCUS"),"HUB")</f>
        <v>FOCUS</v>
      </c>
      <c r="F326" s="32" t="str">
        <f>IF(ISERROR(VLOOKUP(Table10[[#This Row],[target2]],Table22[Label],1,FALSE)),IF(ISERROR(VLOOKUP(Table10[[#This Row],[target2]],Table2210[Label],1,FALSE)),"SPOKE","FOCUS"),"HUB")</f>
        <v>HUB</v>
      </c>
      <c r="G326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HUB-FOCUS</v>
      </c>
      <c r="H326" s="46" t="s">
        <v>801</v>
      </c>
      <c r="I326" s="47" t="s">
        <v>810</v>
      </c>
      <c r="J326" s="47" t="s">
        <v>727</v>
      </c>
      <c r="K326" s="47" t="s">
        <v>811</v>
      </c>
      <c r="L326" s="47" t="s">
        <v>812</v>
      </c>
      <c r="M326" s="47" t="s">
        <v>813</v>
      </c>
      <c r="N326">
        <v>359</v>
      </c>
      <c r="O326">
        <v>359</v>
      </c>
      <c r="P326" s="11" t="s">
        <v>683</v>
      </c>
    </row>
    <row r="327" spans="1:16" x14ac:dyDescent="0.2">
      <c r="A327">
        <v>579</v>
      </c>
      <c r="B327">
        <v>730</v>
      </c>
      <c r="C327" t="str">
        <f>VLOOKUP(Table10[[#This Row],[source]],Table2226[[#All],[ID]:[Label]],3,FALSE)</f>
        <v>DTW</v>
      </c>
      <c r="D327" t="str">
        <f>VLOOKUP(Table10[[#This Row],[target]],Table2226[[#All],[ID]:[Label]],3,FALSE)</f>
        <v>SEA</v>
      </c>
      <c r="E327" s="32" t="str">
        <f>IF(ISERROR(VLOOKUP(Table10[[#This Row],[source2]],Table22[Label],1,FALSE)),IF(ISERROR(VLOOKUP(Table10[[#This Row],[source2]],Table2210[Label],1,FALSE)),"SPOKE","FOCUS"),"HUB")</f>
        <v>HUB</v>
      </c>
      <c r="F327" s="32" t="str">
        <f>IF(ISERROR(VLOOKUP(Table10[[#This Row],[target2]],Table22[Label],1,FALSE)),IF(ISERROR(VLOOKUP(Table10[[#This Row],[target2]],Table2210[Label],1,FALSE)),"SPOKE","FOCUS"),"HUB")</f>
        <v>HUB</v>
      </c>
      <c r="G327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327" s="46" t="s">
        <v>801</v>
      </c>
      <c r="I327" s="47" t="s">
        <v>1315</v>
      </c>
      <c r="J327" s="47" t="s">
        <v>727</v>
      </c>
      <c r="K327" s="47" t="s">
        <v>1316</v>
      </c>
      <c r="L327" s="47" t="s">
        <v>1317</v>
      </c>
      <c r="M327" s="47" t="s">
        <v>1318</v>
      </c>
      <c r="N327">
        <v>247</v>
      </c>
      <c r="O327">
        <v>247</v>
      </c>
      <c r="P327" s="11" t="s">
        <v>684</v>
      </c>
    </row>
    <row r="328" spans="1:16" x14ac:dyDescent="0.2">
      <c r="A328">
        <v>627</v>
      </c>
      <c r="B328">
        <v>653</v>
      </c>
      <c r="C328" t="str">
        <f>VLOOKUP(Table10[[#This Row],[source]],Table2226[[#All],[ID]:[Label]],3,FALSE)</f>
        <v>IAH</v>
      </c>
      <c r="D328" t="str">
        <f>VLOOKUP(Table10[[#This Row],[target]],Table2226[[#All],[ID]:[Label]],3,FALSE)</f>
        <v>LIT</v>
      </c>
      <c r="E328" s="32" t="str">
        <f>IF(ISERROR(VLOOKUP(Table10[[#This Row],[source2]],Table22[Label],1,FALSE)),IF(ISERROR(VLOOKUP(Table10[[#This Row],[source2]],Table2210[Label],1,FALSE)),"SPOKE","FOCUS"),"HUB")</f>
        <v>HUB</v>
      </c>
      <c r="F328" s="32" t="str">
        <f>IF(ISERROR(VLOOKUP(Table10[[#This Row],[target2]],Table22[Label],1,FALSE)),IF(ISERROR(VLOOKUP(Table10[[#This Row],[target2]],Table2210[Label],1,FALSE)),"SPOKE","FOCUS"),"HUB")</f>
        <v>SPOKE</v>
      </c>
      <c r="G328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328" s="46" t="s">
        <v>1787</v>
      </c>
      <c r="I328" s="47" t="s">
        <v>1513</v>
      </c>
      <c r="J328" s="47" t="s">
        <v>1788</v>
      </c>
      <c r="K328" s="47" t="s">
        <v>1789</v>
      </c>
      <c r="L328" s="47" t="s">
        <v>823</v>
      </c>
      <c r="M328" s="47" t="s">
        <v>1790</v>
      </c>
      <c r="N328">
        <v>144</v>
      </c>
      <c r="O328">
        <v>144</v>
      </c>
      <c r="P328" s="11" t="s">
        <v>685</v>
      </c>
    </row>
    <row r="329" spans="1:16" x14ac:dyDescent="0.2">
      <c r="A329">
        <v>597</v>
      </c>
      <c r="B329">
        <v>733</v>
      </c>
      <c r="C329" t="str">
        <f>VLOOKUP(Table10[[#This Row],[source]],Table2226[[#All],[ID]:[Label]],3,FALSE)</f>
        <v>FLL</v>
      </c>
      <c r="D329" t="str">
        <f>VLOOKUP(Table10[[#This Row],[target]],Table2226[[#All],[ID]:[Label]],3,FALSE)</f>
        <v>SFO</v>
      </c>
      <c r="E329" s="32" t="str">
        <f>IF(ISERROR(VLOOKUP(Table10[[#This Row],[source2]],Table22[Label],1,FALSE)),IF(ISERROR(VLOOKUP(Table10[[#This Row],[source2]],Table2210[Label],1,FALSE)),"SPOKE","FOCUS"),"HUB")</f>
        <v>FOCUS</v>
      </c>
      <c r="F329" s="32" t="str">
        <f>IF(ISERROR(VLOOKUP(Table10[[#This Row],[target2]],Table22[Label],1,FALSE)),IF(ISERROR(VLOOKUP(Table10[[#This Row],[target2]],Table2210[Label],1,FALSE)),"SPOKE","FOCUS"),"HUB")</f>
        <v>HUB</v>
      </c>
      <c r="G329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HUB-FOCUS</v>
      </c>
      <c r="H329" s="46" t="s">
        <v>801</v>
      </c>
      <c r="I329" s="47" t="s">
        <v>821</v>
      </c>
      <c r="J329" s="47" t="s">
        <v>727</v>
      </c>
      <c r="K329" s="47" t="s">
        <v>822</v>
      </c>
      <c r="L329" s="47" t="s">
        <v>823</v>
      </c>
      <c r="M329" s="47" t="s">
        <v>824</v>
      </c>
      <c r="N329">
        <v>240</v>
      </c>
      <c r="O329">
        <v>240</v>
      </c>
      <c r="P329" s="11" t="s">
        <v>686</v>
      </c>
    </row>
    <row r="330" spans="1:16" x14ac:dyDescent="0.2">
      <c r="A330">
        <v>730</v>
      </c>
      <c r="B330">
        <v>736</v>
      </c>
      <c r="C330" t="str">
        <f>VLOOKUP(Table10[[#This Row],[source]],Table2226[[#All],[ID]:[Label]],3,FALSE)</f>
        <v>SEA</v>
      </c>
      <c r="D330" t="str">
        <f>VLOOKUP(Table10[[#This Row],[target]],Table2226[[#All],[ID]:[Label]],3,FALSE)</f>
        <v>SLC</v>
      </c>
      <c r="E330" s="32" t="str">
        <f>IF(ISERROR(VLOOKUP(Table10[[#This Row],[source2]],Table22[Label],1,FALSE)),IF(ISERROR(VLOOKUP(Table10[[#This Row],[source2]],Table2210[Label],1,FALSE)),"SPOKE","FOCUS"),"HUB")</f>
        <v>HUB</v>
      </c>
      <c r="F330" s="32" t="str">
        <f>IF(ISERROR(VLOOKUP(Table10[[#This Row],[target2]],Table22[Label],1,FALSE)),IF(ISERROR(VLOOKUP(Table10[[#This Row],[target2]],Table2210[Label],1,FALSE)),"SPOKE","FOCUS"),"HUB")</f>
        <v>HUB</v>
      </c>
      <c r="G330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330" s="46" t="s">
        <v>801</v>
      </c>
      <c r="I330" s="47" t="s">
        <v>2168</v>
      </c>
      <c r="J330" s="47" t="s">
        <v>727</v>
      </c>
      <c r="K330" s="47" t="s">
        <v>2169</v>
      </c>
      <c r="L330" s="47" t="s">
        <v>2170</v>
      </c>
      <c r="M330" s="47" t="s">
        <v>2171</v>
      </c>
      <c r="N330">
        <v>549</v>
      </c>
      <c r="O330">
        <v>549</v>
      </c>
      <c r="P330" s="11" t="s">
        <v>687</v>
      </c>
    </row>
    <row r="331" spans="1:16" x14ac:dyDescent="0.2">
      <c r="A331">
        <v>597</v>
      </c>
      <c r="B331">
        <v>625</v>
      </c>
      <c r="C331" t="str">
        <f>VLOOKUP(Table10[[#This Row],[source]],Table2226[[#All],[ID]:[Label]],3,FALSE)</f>
        <v>FLL</v>
      </c>
      <c r="D331" t="str">
        <f>VLOOKUP(Table10[[#This Row],[target]],Table2226[[#All],[ID]:[Label]],3,FALSE)</f>
        <v>IAD</v>
      </c>
      <c r="E331" s="32" t="str">
        <f>IF(ISERROR(VLOOKUP(Table10[[#This Row],[source2]],Table22[Label],1,FALSE)),IF(ISERROR(VLOOKUP(Table10[[#This Row],[source2]],Table2210[Label],1,FALSE)),"SPOKE","FOCUS"),"HUB")</f>
        <v>FOCUS</v>
      </c>
      <c r="F331" s="32" t="str">
        <f>IF(ISERROR(VLOOKUP(Table10[[#This Row],[target2]],Table22[Label],1,FALSE)),IF(ISERROR(VLOOKUP(Table10[[#This Row],[target2]],Table2210[Label],1,FALSE)),"SPOKE","FOCUS"),"HUB")</f>
        <v>HUB</v>
      </c>
      <c r="G331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HUB-FOCUS</v>
      </c>
      <c r="H331" s="46" t="s">
        <v>801</v>
      </c>
      <c r="I331" s="47" t="s">
        <v>814</v>
      </c>
      <c r="J331" s="47" t="s">
        <v>727</v>
      </c>
      <c r="K331" s="47" t="s">
        <v>815</v>
      </c>
      <c r="L331" s="47" t="s">
        <v>816</v>
      </c>
      <c r="M331" s="47" t="s">
        <v>817</v>
      </c>
      <c r="N331">
        <v>114</v>
      </c>
      <c r="O331">
        <v>114</v>
      </c>
      <c r="P331" s="11" t="s">
        <v>688</v>
      </c>
    </row>
    <row r="332" spans="1:16" x14ac:dyDescent="0.2">
      <c r="A332">
        <v>571</v>
      </c>
      <c r="B332">
        <v>506</v>
      </c>
      <c r="C332" t="str">
        <f>VLOOKUP(Table10[[#This Row],[source]],Table2226[[#All],[ID]:[Label]],3,FALSE)</f>
        <v>DCA</v>
      </c>
      <c r="D332" t="str">
        <f>VLOOKUP(Table10[[#This Row],[target]],Table2226[[#All],[ID]:[Label]],3,FALSE)</f>
        <v>ATL</v>
      </c>
      <c r="E332" s="32" t="str">
        <f>IF(ISERROR(VLOOKUP(Table10[[#This Row],[source2]],Table22[Label],1,FALSE)),IF(ISERROR(VLOOKUP(Table10[[#This Row],[source2]],Table2210[Label],1,FALSE)),"SPOKE","FOCUS"),"HUB")</f>
        <v>HUB</v>
      </c>
      <c r="F332" s="32" t="str">
        <f>IF(ISERROR(VLOOKUP(Table10[[#This Row],[target2]],Table22[Label],1,FALSE)),IF(ISERROR(VLOOKUP(Table10[[#This Row],[target2]],Table2210[Label],1,FALSE)),"SPOKE","FOCUS"),"HUB")</f>
        <v>HUB</v>
      </c>
      <c r="G332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332" s="46" t="s">
        <v>801</v>
      </c>
      <c r="I332" s="47" t="s">
        <v>1222</v>
      </c>
      <c r="J332" s="47" t="s">
        <v>727</v>
      </c>
      <c r="K332" s="47" t="s">
        <v>1223</v>
      </c>
      <c r="L332" s="47" t="s">
        <v>1224</v>
      </c>
      <c r="M332" s="47" t="s">
        <v>1225</v>
      </c>
      <c r="N332">
        <v>1172</v>
      </c>
      <c r="O332">
        <v>1172</v>
      </c>
      <c r="P332" s="11" t="s">
        <v>689</v>
      </c>
    </row>
    <row r="333" spans="1:16" x14ac:dyDescent="0.2">
      <c r="A333">
        <v>591</v>
      </c>
      <c r="B333">
        <v>723</v>
      </c>
      <c r="C333" t="str">
        <f>VLOOKUP(Table10[[#This Row],[source]],Table2226[[#All],[ID]:[Label]],3,FALSE)</f>
        <v>EWR</v>
      </c>
      <c r="D333" t="str">
        <f>VLOOKUP(Table10[[#This Row],[target]],Table2226[[#All],[ID]:[Label]],3,FALSE)</f>
        <v>ROC</v>
      </c>
      <c r="E333" s="32" t="str">
        <f>IF(ISERROR(VLOOKUP(Table10[[#This Row],[source2]],Table22[Label],1,FALSE)),IF(ISERROR(VLOOKUP(Table10[[#This Row],[source2]],Table2210[Label],1,FALSE)),"SPOKE","FOCUS"),"HUB")</f>
        <v>HUB</v>
      </c>
      <c r="F333" s="32" t="str">
        <f>IF(ISERROR(VLOOKUP(Table10[[#This Row],[target2]],Table22[Label],1,FALSE)),IF(ISERROR(VLOOKUP(Table10[[#This Row],[target2]],Table2210[Label],1,FALSE)),"SPOKE","FOCUS"),"HUB")</f>
        <v>SPOKE</v>
      </c>
      <c r="G333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333" s="46" t="s">
        <v>801</v>
      </c>
      <c r="I333" s="47" t="s">
        <v>1889</v>
      </c>
      <c r="J333" s="47" t="s">
        <v>727</v>
      </c>
      <c r="K333" s="47" t="s">
        <v>1890</v>
      </c>
      <c r="L333" s="47" t="s">
        <v>884</v>
      </c>
      <c r="M333" s="47" t="s">
        <v>1891</v>
      </c>
      <c r="N333">
        <v>153</v>
      </c>
      <c r="O333">
        <v>153</v>
      </c>
      <c r="P333" s="11" t="s">
        <v>690</v>
      </c>
    </row>
    <row r="334" spans="1:16" x14ac:dyDescent="0.2">
      <c r="A334">
        <v>733</v>
      </c>
      <c r="B334">
        <v>663</v>
      </c>
      <c r="C334" t="str">
        <f>VLOOKUP(Table10[[#This Row],[source]],Table2226[[#All],[ID]:[Label]],3,FALSE)</f>
        <v>SFO</v>
      </c>
      <c r="D334" t="str">
        <f>VLOOKUP(Table10[[#This Row],[target]],Table2226[[#All],[ID]:[Label]],3,FALSE)</f>
        <v>MCO</v>
      </c>
      <c r="E334" s="32" t="str">
        <f>IF(ISERROR(VLOOKUP(Table10[[#This Row],[source2]],Table22[Label],1,FALSE)),IF(ISERROR(VLOOKUP(Table10[[#This Row],[source2]],Table2210[Label],1,FALSE)),"SPOKE","FOCUS"),"HUB")</f>
        <v>HUB</v>
      </c>
      <c r="F334" s="32" t="str">
        <f>IF(ISERROR(VLOOKUP(Table10[[#This Row],[target2]],Table22[Label],1,FALSE)),IF(ISERROR(VLOOKUP(Table10[[#This Row],[target2]],Table2210[Label],1,FALSE)),"SPOKE","FOCUS"),"HUB")</f>
        <v>FOCUS</v>
      </c>
      <c r="G334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HUB-FOCUS</v>
      </c>
      <c r="H334" s="46" t="s">
        <v>801</v>
      </c>
      <c r="I334" s="47" t="s">
        <v>2103</v>
      </c>
      <c r="J334" s="47" t="s">
        <v>727</v>
      </c>
      <c r="K334" s="47" t="s">
        <v>2104</v>
      </c>
      <c r="L334" s="47" t="s">
        <v>823</v>
      </c>
      <c r="M334" s="47" t="s">
        <v>2105</v>
      </c>
      <c r="N334">
        <v>195</v>
      </c>
      <c r="O334">
        <v>195</v>
      </c>
      <c r="P334" s="11" t="s">
        <v>691</v>
      </c>
    </row>
    <row r="335" spans="1:16" x14ac:dyDescent="0.2">
      <c r="A335">
        <v>579</v>
      </c>
      <c r="B335">
        <v>736</v>
      </c>
      <c r="C335" t="str">
        <f>VLOOKUP(Table10[[#This Row],[source]],Table2226[[#All],[ID]:[Label]],3,FALSE)</f>
        <v>DTW</v>
      </c>
      <c r="D335" t="str">
        <f>VLOOKUP(Table10[[#This Row],[target]],Table2226[[#All],[ID]:[Label]],3,FALSE)</f>
        <v>SLC</v>
      </c>
      <c r="E335" s="32" t="str">
        <f>IF(ISERROR(VLOOKUP(Table10[[#This Row],[source2]],Table22[Label],1,FALSE)),IF(ISERROR(VLOOKUP(Table10[[#This Row],[source2]],Table2210[Label],1,FALSE)),"SPOKE","FOCUS"),"HUB")</f>
        <v>HUB</v>
      </c>
      <c r="F335" s="32" t="str">
        <f>IF(ISERROR(VLOOKUP(Table10[[#This Row],[target2]],Table22[Label],1,FALSE)),IF(ISERROR(VLOOKUP(Table10[[#This Row],[target2]],Table2210[Label],1,FALSE)),"SPOKE","FOCUS"),"HUB")</f>
        <v>HUB</v>
      </c>
      <c r="G335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335" s="46" t="s">
        <v>801</v>
      </c>
      <c r="I335" s="47" t="s">
        <v>1324</v>
      </c>
      <c r="J335" s="47" t="s">
        <v>727</v>
      </c>
      <c r="K335" s="47" t="s">
        <v>1325</v>
      </c>
      <c r="L335" s="47" t="s">
        <v>823</v>
      </c>
      <c r="M335" s="47" t="s">
        <v>1326</v>
      </c>
      <c r="N335">
        <v>113</v>
      </c>
      <c r="O335">
        <v>113</v>
      </c>
      <c r="P335" s="11" t="s">
        <v>692</v>
      </c>
    </row>
    <row r="336" spans="1:16" x14ac:dyDescent="0.2">
      <c r="A336">
        <v>591</v>
      </c>
      <c r="B336">
        <v>720</v>
      </c>
      <c r="C336" t="str">
        <f>VLOOKUP(Table10[[#This Row],[source]],Table2226[[#All],[ID]:[Label]],3,FALSE)</f>
        <v>EWR</v>
      </c>
      <c r="D336" t="str">
        <f>VLOOKUP(Table10[[#This Row],[target]],Table2226[[#All],[ID]:[Label]],3,FALSE)</f>
        <v>RIC</v>
      </c>
      <c r="E336" s="32" t="str">
        <f>IF(ISERROR(VLOOKUP(Table10[[#This Row],[source2]],Table22[Label],1,FALSE)),IF(ISERROR(VLOOKUP(Table10[[#This Row],[source2]],Table2210[Label],1,FALSE)),"SPOKE","FOCUS"),"HUB")</f>
        <v>HUB</v>
      </c>
      <c r="F336" s="32" t="str">
        <f>IF(ISERROR(VLOOKUP(Table10[[#This Row],[target2]],Table22[Label],1,FALSE)),IF(ISERROR(VLOOKUP(Table10[[#This Row],[target2]],Table2210[Label],1,FALSE)),"SPOKE","FOCUS"),"HUB")</f>
        <v>SPOKE</v>
      </c>
      <c r="G336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336" s="46" t="s">
        <v>801</v>
      </c>
      <c r="I336" s="47" t="s">
        <v>1866</v>
      </c>
      <c r="J336" s="47" t="s">
        <v>727</v>
      </c>
      <c r="K336" s="47" t="s">
        <v>1867</v>
      </c>
      <c r="L336" s="47" t="s">
        <v>823</v>
      </c>
      <c r="M336" s="47" t="s">
        <v>1868</v>
      </c>
      <c r="N336">
        <v>148</v>
      </c>
      <c r="O336">
        <v>148</v>
      </c>
      <c r="P336" s="11" t="s">
        <v>693</v>
      </c>
    </row>
    <row r="337" spans="1:16" x14ac:dyDescent="0.2">
      <c r="A337">
        <v>529</v>
      </c>
      <c r="B337">
        <v>736</v>
      </c>
      <c r="C337" t="str">
        <f>VLOOKUP(Table10[[#This Row],[source]],Table2226[[#All],[ID]:[Label]],3,FALSE)</f>
        <v>BOS</v>
      </c>
      <c r="D337" t="str">
        <f>VLOOKUP(Table10[[#This Row],[target]],Table2226[[#All],[ID]:[Label]],3,FALSE)</f>
        <v>SLC</v>
      </c>
      <c r="E337" s="32" t="str">
        <f>IF(ISERROR(VLOOKUP(Table10[[#This Row],[source2]],Table22[Label],1,FALSE)),IF(ISERROR(VLOOKUP(Table10[[#This Row],[source2]],Table2210[Label],1,FALSE)),"SPOKE","FOCUS"),"HUB")</f>
        <v>HUB</v>
      </c>
      <c r="F337" s="32" t="str">
        <f>IF(ISERROR(VLOOKUP(Table10[[#This Row],[target2]],Table22[Label],1,FALSE)),IF(ISERROR(VLOOKUP(Table10[[#This Row],[target2]],Table2210[Label],1,FALSE)),"SPOKE","FOCUS"),"HUB")</f>
        <v>HUB</v>
      </c>
      <c r="G337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337" s="46" t="s">
        <v>801</v>
      </c>
      <c r="I337" s="47" t="s">
        <v>2323</v>
      </c>
      <c r="J337" s="47" t="s">
        <v>727</v>
      </c>
      <c r="K337" s="47" t="s">
        <v>2324</v>
      </c>
      <c r="L337" s="47" t="s">
        <v>2325</v>
      </c>
      <c r="M337" s="47" t="s">
        <v>2326</v>
      </c>
      <c r="N337">
        <v>137</v>
      </c>
      <c r="O337">
        <v>137</v>
      </c>
      <c r="P337" s="11" t="s">
        <v>694</v>
      </c>
    </row>
    <row r="338" spans="1:16" x14ac:dyDescent="0.2">
      <c r="A338">
        <v>574</v>
      </c>
      <c r="B338">
        <v>653</v>
      </c>
      <c r="C338" t="str">
        <f>VLOOKUP(Table10[[#This Row],[source]],Table2226[[#All],[ID]:[Label]],3,FALSE)</f>
        <v>DEN</v>
      </c>
      <c r="D338" t="str">
        <f>VLOOKUP(Table10[[#This Row],[target]],Table2226[[#All],[ID]:[Label]],3,FALSE)</f>
        <v>LIT</v>
      </c>
      <c r="E338" s="32" t="str">
        <f>IF(ISERROR(VLOOKUP(Table10[[#This Row],[source2]],Table22[Label],1,FALSE)),IF(ISERROR(VLOOKUP(Table10[[#This Row],[source2]],Table2210[Label],1,FALSE)),"SPOKE","FOCUS"),"HUB")</f>
        <v>HUB</v>
      </c>
      <c r="F338" s="32" t="str">
        <f>IF(ISERROR(VLOOKUP(Table10[[#This Row],[target2]],Table22[Label],1,FALSE)),IF(ISERROR(VLOOKUP(Table10[[#This Row],[target2]],Table2210[Label],1,FALSE)),"SPOKE","FOCUS"),"HUB")</f>
        <v>SPOKE</v>
      </c>
      <c r="G338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338" s="46" t="s">
        <v>1512</v>
      </c>
      <c r="I338" s="47" t="s">
        <v>1513</v>
      </c>
      <c r="J338" s="47" t="s">
        <v>1514</v>
      </c>
      <c r="K338" s="47" t="s">
        <v>1515</v>
      </c>
      <c r="L338" s="47" t="s">
        <v>823</v>
      </c>
      <c r="M338" s="47" t="s">
        <v>1516</v>
      </c>
      <c r="N338">
        <v>144</v>
      </c>
      <c r="O338">
        <v>144</v>
      </c>
      <c r="P338" s="11" t="s">
        <v>695</v>
      </c>
    </row>
    <row r="339" spans="1:16" x14ac:dyDescent="0.2">
      <c r="A339">
        <v>2191</v>
      </c>
      <c r="B339">
        <v>579</v>
      </c>
      <c r="C339" t="str">
        <f>VLOOKUP(Table10[[#This Row],[source]],Table2226[[#All],[ID]:[Label]],3,FALSE)</f>
        <v>TYS</v>
      </c>
      <c r="D339" t="str">
        <f>VLOOKUP(Table10[[#This Row],[target]],Table2226[[#All],[ID]:[Label]],3,FALSE)</f>
        <v>DTW</v>
      </c>
      <c r="E339" s="32" t="str">
        <f>IF(ISERROR(VLOOKUP(Table10[[#This Row],[source2]],Table22[Label],1,FALSE)),IF(ISERROR(VLOOKUP(Table10[[#This Row],[source2]],Table2210[Label],1,FALSE)),"SPOKE","FOCUS"),"HUB")</f>
        <v>SPOKE</v>
      </c>
      <c r="F339" s="32" t="str">
        <f>IF(ISERROR(VLOOKUP(Table10[[#This Row],[target2]],Table22[Label],1,FALSE)),IF(ISERROR(VLOOKUP(Table10[[#This Row],[target2]],Table2210[Label],1,FALSE)),"SPOKE","FOCUS"),"HUB")</f>
        <v>HUB</v>
      </c>
      <c r="G339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339" s="46" t="s">
        <v>759</v>
      </c>
      <c r="I339" s="47" t="s">
        <v>760</v>
      </c>
      <c r="J339" s="47" t="s">
        <v>761</v>
      </c>
      <c r="K339" s="47" t="s">
        <v>762</v>
      </c>
      <c r="L339" s="47" t="s">
        <v>763</v>
      </c>
      <c r="M339" s="47" t="s">
        <v>764</v>
      </c>
      <c r="N339">
        <v>107</v>
      </c>
      <c r="O339">
        <v>107</v>
      </c>
      <c r="P339" s="11" t="s">
        <v>696</v>
      </c>
    </row>
    <row r="340" spans="1:16" x14ac:dyDescent="0.2">
      <c r="A340">
        <v>571</v>
      </c>
      <c r="B340">
        <v>498</v>
      </c>
      <c r="C340" t="str">
        <f>VLOOKUP(Table10[[#This Row],[source]],Table2226[[#All],[ID]:[Label]],3,FALSE)</f>
        <v>DCA</v>
      </c>
      <c r="D340" t="str">
        <f>VLOOKUP(Table10[[#This Row],[target]],Table2226[[#All],[ID]:[Label]],3,FALSE)</f>
        <v>ALB</v>
      </c>
      <c r="E340" s="32" t="str">
        <f>IF(ISERROR(VLOOKUP(Table10[[#This Row],[source2]],Table22[Label],1,FALSE)),IF(ISERROR(VLOOKUP(Table10[[#This Row],[source2]],Table2210[Label],1,FALSE)),"SPOKE","FOCUS"),"HUB")</f>
        <v>HUB</v>
      </c>
      <c r="F340" s="32" t="str">
        <f>IF(ISERROR(VLOOKUP(Table10[[#This Row],[target2]],Table22[Label],1,FALSE)),IF(ISERROR(VLOOKUP(Table10[[#This Row],[target2]],Table2210[Label],1,FALSE)),"SPOKE","FOCUS"),"HUB")</f>
        <v>SPOKE</v>
      </c>
      <c r="G340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340" s="46" t="s">
        <v>801</v>
      </c>
      <c r="I340" s="47" t="s">
        <v>1163</v>
      </c>
      <c r="J340" s="47" t="s">
        <v>727</v>
      </c>
      <c r="K340" s="47" t="s">
        <v>1164</v>
      </c>
      <c r="L340" s="47" t="s">
        <v>779</v>
      </c>
      <c r="M340" s="47" t="s">
        <v>1165</v>
      </c>
      <c r="N340">
        <v>179</v>
      </c>
      <c r="O340">
        <v>179</v>
      </c>
      <c r="P340" s="11" t="s">
        <v>697</v>
      </c>
    </row>
    <row r="341" spans="1:16" x14ac:dyDescent="0.2">
      <c r="A341">
        <v>647</v>
      </c>
      <c r="B341">
        <v>663</v>
      </c>
      <c r="C341" t="str">
        <f>VLOOKUP(Table10[[#This Row],[source]],Table2226[[#All],[ID]:[Label]],3,FALSE)</f>
        <v>LAS</v>
      </c>
      <c r="D341" t="str">
        <f>VLOOKUP(Table10[[#This Row],[target]],Table2226[[#All],[ID]:[Label]],3,FALSE)</f>
        <v>MCO</v>
      </c>
      <c r="E341" s="32" t="str">
        <f>IF(ISERROR(VLOOKUP(Table10[[#This Row],[source2]],Table22[Label],1,FALSE)),IF(ISERROR(VLOOKUP(Table10[[#This Row],[source2]],Table2210[Label],1,FALSE)),"SPOKE","FOCUS"),"HUB")</f>
        <v>FOCUS</v>
      </c>
      <c r="F341" s="32" t="str">
        <f>IF(ISERROR(VLOOKUP(Table10[[#This Row],[target2]],Table22[Label],1,FALSE)),IF(ISERROR(VLOOKUP(Table10[[#This Row],[target2]],Table2210[Label],1,FALSE)),"SPOKE","FOCUS"),"HUB")</f>
        <v>FOCUS</v>
      </c>
      <c r="G341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FOCUS-FOCUS</v>
      </c>
      <c r="H341" s="46" t="s">
        <v>801</v>
      </c>
      <c r="I341" s="47" t="s">
        <v>2207</v>
      </c>
      <c r="J341" s="47" t="s">
        <v>727</v>
      </c>
      <c r="K341" s="47" t="s">
        <v>2208</v>
      </c>
      <c r="L341" s="47" t="s">
        <v>2209</v>
      </c>
      <c r="M341" s="47" t="s">
        <v>2210</v>
      </c>
      <c r="N341">
        <v>158</v>
      </c>
      <c r="O341">
        <v>158</v>
      </c>
      <c r="P341" s="11" t="s">
        <v>698</v>
      </c>
    </row>
    <row r="342" spans="1:16" x14ac:dyDescent="0.2">
      <c r="A342">
        <v>733</v>
      </c>
      <c r="B342">
        <v>730</v>
      </c>
      <c r="C342" t="str">
        <f>VLOOKUP(Table10[[#This Row],[source]],Table2226[[#All],[ID]:[Label]],3,FALSE)</f>
        <v>SFO</v>
      </c>
      <c r="D342" t="str">
        <f>VLOOKUP(Table10[[#This Row],[target]],Table2226[[#All],[ID]:[Label]],3,FALSE)</f>
        <v>SEA</v>
      </c>
      <c r="E342" s="32" t="str">
        <f>IF(ISERROR(VLOOKUP(Table10[[#This Row],[source2]],Table22[Label],1,FALSE)),IF(ISERROR(VLOOKUP(Table10[[#This Row],[source2]],Table2210[Label],1,FALSE)),"SPOKE","FOCUS"),"HUB")</f>
        <v>HUB</v>
      </c>
      <c r="F342" s="32" t="str">
        <f>IF(ISERROR(VLOOKUP(Table10[[#This Row],[target2]],Table22[Label],1,FALSE)),IF(ISERROR(VLOOKUP(Table10[[#This Row],[target2]],Table2210[Label],1,FALSE)),"SPOKE","FOCUS"),"HUB")</f>
        <v>HUB</v>
      </c>
      <c r="G342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342" s="46" t="s">
        <v>2126</v>
      </c>
      <c r="I342" s="47" t="s">
        <v>2127</v>
      </c>
      <c r="J342" s="47" t="s">
        <v>2128</v>
      </c>
      <c r="K342" s="47" t="s">
        <v>2129</v>
      </c>
      <c r="L342" s="47" t="s">
        <v>2130</v>
      </c>
      <c r="M342" s="47" t="s">
        <v>2131</v>
      </c>
      <c r="N342">
        <v>1599</v>
      </c>
      <c r="O342">
        <v>1599</v>
      </c>
      <c r="P342" s="11" t="s">
        <v>699</v>
      </c>
    </row>
    <row r="343" spans="1:16" x14ac:dyDescent="0.2">
      <c r="A343">
        <v>554</v>
      </c>
      <c r="B343">
        <v>723</v>
      </c>
      <c r="C343" t="str">
        <f>VLOOKUP(Table10[[#This Row],[source]],Table2226[[#All],[ID]:[Label]],3,FALSE)</f>
        <v>CLT</v>
      </c>
      <c r="D343" t="str">
        <f>VLOOKUP(Table10[[#This Row],[target]],Table2226[[#All],[ID]:[Label]],3,FALSE)</f>
        <v>ROC</v>
      </c>
      <c r="E343" s="32" t="str">
        <f>IF(ISERROR(VLOOKUP(Table10[[#This Row],[source2]],Table22[Label],1,FALSE)),IF(ISERROR(VLOOKUP(Table10[[#This Row],[source2]],Table2210[Label],1,FALSE)),"SPOKE","FOCUS"),"HUB")</f>
        <v>HUB</v>
      </c>
      <c r="F343" s="32" t="str">
        <f>IF(ISERROR(VLOOKUP(Table10[[#This Row],[target2]],Table22[Label],1,FALSE)),IF(ISERROR(VLOOKUP(Table10[[#This Row],[target2]],Table2210[Label],1,FALSE)),"SPOKE","FOCUS"),"HUB")</f>
        <v>SPOKE</v>
      </c>
      <c r="G343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343" s="46" t="s">
        <v>801</v>
      </c>
      <c r="I343" s="47" t="s">
        <v>1716</v>
      </c>
      <c r="J343" s="47" t="s">
        <v>727</v>
      </c>
      <c r="K343" s="47" t="s">
        <v>1717</v>
      </c>
      <c r="L343" s="47" t="s">
        <v>852</v>
      </c>
      <c r="M343" s="47" t="s">
        <v>1718</v>
      </c>
      <c r="N343">
        <v>157</v>
      </c>
      <c r="O343">
        <v>157</v>
      </c>
      <c r="P343" s="11" t="s">
        <v>700</v>
      </c>
    </row>
    <row r="344" spans="1:16" x14ac:dyDescent="0.2">
      <c r="A344">
        <v>597</v>
      </c>
      <c r="B344">
        <v>647</v>
      </c>
      <c r="C344" t="str">
        <f>VLOOKUP(Table10[[#This Row],[source]],Table2226[[#All],[ID]:[Label]],3,FALSE)</f>
        <v>FLL</v>
      </c>
      <c r="D344" t="str">
        <f>VLOOKUP(Table10[[#This Row],[target]],Table2226[[#All],[ID]:[Label]],3,FALSE)</f>
        <v>LAS</v>
      </c>
      <c r="E344" s="32" t="str">
        <f>IF(ISERROR(VLOOKUP(Table10[[#This Row],[source2]],Table22[Label],1,FALSE)),IF(ISERROR(VLOOKUP(Table10[[#This Row],[source2]],Table2210[Label],1,FALSE)),"SPOKE","FOCUS"),"HUB")</f>
        <v>FOCUS</v>
      </c>
      <c r="F344" s="32" t="str">
        <f>IF(ISERROR(VLOOKUP(Table10[[#This Row],[target2]],Table22[Label],1,FALSE)),IF(ISERROR(VLOOKUP(Table10[[#This Row],[target2]],Table2210[Label],1,FALSE)),"SPOKE","FOCUS"),"HUB")</f>
        <v>FOCUS</v>
      </c>
      <c r="G344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FOCUS-FOCUS</v>
      </c>
      <c r="H344" s="46" t="s">
        <v>801</v>
      </c>
      <c r="I344" s="47" t="s">
        <v>866</v>
      </c>
      <c r="J344" s="47" t="s">
        <v>727</v>
      </c>
      <c r="K344" s="47" t="s">
        <v>867</v>
      </c>
      <c r="L344" s="47" t="s">
        <v>868</v>
      </c>
      <c r="M344" s="47" t="s">
        <v>869</v>
      </c>
      <c r="N344">
        <v>170</v>
      </c>
      <c r="O344">
        <v>170</v>
      </c>
      <c r="P344" s="11" t="s">
        <v>701</v>
      </c>
    </row>
    <row r="345" spans="1:16" x14ac:dyDescent="0.2">
      <c r="A345">
        <v>682</v>
      </c>
      <c r="B345">
        <v>578</v>
      </c>
      <c r="C345" t="str">
        <f>VLOOKUP(Table10[[#This Row],[source]],Table2226[[#All],[ID]:[Label]],3,FALSE)</f>
        <v>MSP</v>
      </c>
      <c r="D345" t="str">
        <f>VLOOKUP(Table10[[#This Row],[target]],Table2226[[#All],[ID]:[Label]],3,FALSE)</f>
        <v>DSM</v>
      </c>
      <c r="E345" s="32" t="str">
        <f>IF(ISERROR(VLOOKUP(Table10[[#This Row],[source2]],Table22[Label],1,FALSE)),IF(ISERROR(VLOOKUP(Table10[[#This Row],[source2]],Table2210[Label],1,FALSE)),"SPOKE","FOCUS"),"HUB")</f>
        <v>HUB</v>
      </c>
      <c r="F345" s="32" t="str">
        <f>IF(ISERROR(VLOOKUP(Table10[[#This Row],[target2]],Table22[Label],1,FALSE)),IF(ISERROR(VLOOKUP(Table10[[#This Row],[target2]],Table2210[Label],1,FALSE)),"SPOKE","FOCUS"),"HUB")</f>
        <v>SPOKE</v>
      </c>
      <c r="G345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345" s="46" t="s">
        <v>801</v>
      </c>
      <c r="I345" s="47" t="s">
        <v>1931</v>
      </c>
      <c r="J345" s="47" t="s">
        <v>727</v>
      </c>
      <c r="K345" s="47" t="s">
        <v>1932</v>
      </c>
      <c r="L345" s="47" t="s">
        <v>1777</v>
      </c>
      <c r="M345" s="47" t="s">
        <v>1933</v>
      </c>
      <c r="N345">
        <v>140</v>
      </c>
      <c r="O345">
        <v>140</v>
      </c>
      <c r="P345" s="11" t="s">
        <v>702</v>
      </c>
    </row>
    <row r="346" spans="1:16" x14ac:dyDescent="0.2">
      <c r="A346">
        <v>574</v>
      </c>
      <c r="B346">
        <v>712</v>
      </c>
      <c r="C346" t="str">
        <f>VLOOKUP(Table10[[#This Row],[source]],Table2226[[#All],[ID]:[Label]],3,FALSE)</f>
        <v>DEN</v>
      </c>
      <c r="D346" t="str">
        <f>VLOOKUP(Table10[[#This Row],[target]],Table2226[[#All],[ID]:[Label]],3,FALSE)</f>
        <v>PSP</v>
      </c>
      <c r="E346" s="32" t="str">
        <f>IF(ISERROR(VLOOKUP(Table10[[#This Row],[source2]],Table22[Label],1,FALSE)),IF(ISERROR(VLOOKUP(Table10[[#This Row],[source2]],Table2210[Label],1,FALSE)),"SPOKE","FOCUS"),"HUB")</f>
        <v>HUB</v>
      </c>
      <c r="F346" s="32" t="str">
        <f>IF(ISERROR(VLOOKUP(Table10[[#This Row],[target2]],Table22[Label],1,FALSE)),IF(ISERROR(VLOOKUP(Table10[[#This Row],[target2]],Table2210[Label],1,FALSE)),"SPOKE","FOCUS"),"HUB")</f>
        <v>SPOKE</v>
      </c>
      <c r="G346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346" s="46" t="s">
        <v>1524</v>
      </c>
      <c r="I346" s="47" t="s">
        <v>1525</v>
      </c>
      <c r="J346" s="47" t="s">
        <v>1526</v>
      </c>
      <c r="K346" s="47" t="s">
        <v>1527</v>
      </c>
      <c r="L346" s="47" t="s">
        <v>939</v>
      </c>
      <c r="M346" s="47" t="s">
        <v>1528</v>
      </c>
      <c r="N346">
        <v>132</v>
      </c>
      <c r="O346">
        <v>132</v>
      </c>
      <c r="P346" s="11" t="s">
        <v>703</v>
      </c>
    </row>
    <row r="347" spans="1:16" x14ac:dyDescent="0.2">
      <c r="A347">
        <v>575</v>
      </c>
      <c r="B347">
        <v>578</v>
      </c>
      <c r="C347" t="str">
        <f>VLOOKUP(Table10[[#This Row],[source]],Table2226[[#All],[ID]:[Label]],3,FALSE)</f>
        <v>DFW</v>
      </c>
      <c r="D347" t="str">
        <f>VLOOKUP(Table10[[#This Row],[target]],Table2226[[#All],[ID]:[Label]],3,FALSE)</f>
        <v>DSM</v>
      </c>
      <c r="E347" s="32" t="str">
        <f>IF(ISERROR(VLOOKUP(Table10[[#This Row],[source2]],Table22[Label],1,FALSE)),IF(ISERROR(VLOOKUP(Table10[[#This Row],[source2]],Table2210[Label],1,FALSE)),"SPOKE","FOCUS"),"HUB")</f>
        <v>HUB</v>
      </c>
      <c r="F347" s="32" t="str">
        <f>IF(ISERROR(VLOOKUP(Table10[[#This Row],[target2]],Table22[Label],1,FALSE)),IF(ISERROR(VLOOKUP(Table10[[#This Row],[target2]],Table2210[Label],1,FALSE)),"SPOKE","FOCUS"),"HUB")</f>
        <v>SPOKE</v>
      </c>
      <c r="G347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347" s="46" t="s">
        <v>801</v>
      </c>
      <c r="I347" s="47" t="s">
        <v>1990</v>
      </c>
      <c r="J347" s="47" t="s">
        <v>727</v>
      </c>
      <c r="K347" s="47" t="s">
        <v>1991</v>
      </c>
      <c r="L347" s="47" t="s">
        <v>763</v>
      </c>
      <c r="M347" s="47" t="s">
        <v>1992</v>
      </c>
      <c r="N347">
        <v>146</v>
      </c>
      <c r="O347">
        <v>146</v>
      </c>
      <c r="P347" s="11" t="s">
        <v>704</v>
      </c>
    </row>
    <row r="348" spans="1:16" x14ac:dyDescent="0.2">
      <c r="A348">
        <v>647</v>
      </c>
      <c r="B348">
        <v>2190</v>
      </c>
      <c r="C348" t="str">
        <f>VLOOKUP(Table10[[#This Row],[source]],Table2226[[#All],[ID]:[Label]],3,FALSE)</f>
        <v>LAS</v>
      </c>
      <c r="D348" t="str">
        <f>VLOOKUP(Table10[[#This Row],[target]],Table2226[[#All],[ID]:[Label]],3,FALSE)</f>
        <v>TUS</v>
      </c>
      <c r="E348" s="32" t="str">
        <f>IF(ISERROR(VLOOKUP(Table10[[#This Row],[source2]],Table22[Label],1,FALSE)),IF(ISERROR(VLOOKUP(Table10[[#This Row],[source2]],Table2210[Label],1,FALSE)),"SPOKE","FOCUS"),"HUB")</f>
        <v>FOCUS</v>
      </c>
      <c r="F348" s="32" t="str">
        <f>IF(ISERROR(VLOOKUP(Table10[[#This Row],[target2]],Table22[Label],1,FALSE)),IF(ISERROR(VLOOKUP(Table10[[#This Row],[target2]],Table2210[Label],1,FALSE)),"SPOKE","FOCUS"),"HUB")</f>
        <v>SPOKE</v>
      </c>
      <c r="G348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SPOKE-FOCUS</v>
      </c>
      <c r="H348" s="46" t="s">
        <v>801</v>
      </c>
      <c r="I348" s="47" t="s">
        <v>2234</v>
      </c>
      <c r="J348" s="47" t="s">
        <v>727</v>
      </c>
      <c r="K348" s="47" t="s">
        <v>2235</v>
      </c>
      <c r="L348" s="47" t="s">
        <v>884</v>
      </c>
      <c r="M348" s="47" t="s">
        <v>2236</v>
      </c>
      <c r="N348">
        <v>145</v>
      </c>
      <c r="O348">
        <v>145</v>
      </c>
      <c r="P348" s="11" t="s">
        <v>705</v>
      </c>
    </row>
    <row r="349" spans="1:16" x14ac:dyDescent="0.2">
      <c r="A349">
        <v>579</v>
      </c>
      <c r="B349">
        <v>613</v>
      </c>
      <c r="C349" t="str">
        <f>VLOOKUP(Table10[[#This Row],[source]],Table2226[[#All],[ID]:[Label]],3,FALSE)</f>
        <v>DTW</v>
      </c>
      <c r="D349" t="str">
        <f>VLOOKUP(Table10[[#This Row],[target]],Table2226[[#All],[ID]:[Label]],3,FALSE)</f>
        <v>GSP</v>
      </c>
      <c r="E349" s="32" t="str">
        <f>IF(ISERROR(VLOOKUP(Table10[[#This Row],[source2]],Table22[Label],1,FALSE)),IF(ISERROR(VLOOKUP(Table10[[#This Row],[source2]],Table2210[Label],1,FALSE)),"SPOKE","FOCUS"),"HUB")</f>
        <v>HUB</v>
      </c>
      <c r="F349" s="32" t="str">
        <f>IF(ISERROR(VLOOKUP(Table10[[#This Row],[target2]],Table22[Label],1,FALSE)),IF(ISERROR(VLOOKUP(Table10[[#This Row],[target2]],Table2210[Label],1,FALSE)),"SPOKE","FOCUS"),"HUB")</f>
        <v>SPOKE</v>
      </c>
      <c r="G349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349" s="46" t="s">
        <v>1264</v>
      </c>
      <c r="I349" s="47" t="s">
        <v>1265</v>
      </c>
      <c r="J349" s="47" t="s">
        <v>1266</v>
      </c>
      <c r="K349" s="47" t="s">
        <v>1267</v>
      </c>
      <c r="L349" s="47" t="s">
        <v>1268</v>
      </c>
      <c r="M349" s="47" t="s">
        <v>1269</v>
      </c>
      <c r="N349">
        <v>86</v>
      </c>
      <c r="O349">
        <v>86</v>
      </c>
      <c r="P349" s="11" t="s">
        <v>706</v>
      </c>
    </row>
    <row r="350" spans="1:16" x14ac:dyDescent="0.2">
      <c r="A350">
        <v>579</v>
      </c>
      <c r="B350">
        <v>723</v>
      </c>
      <c r="C350" t="str">
        <f>VLOOKUP(Table10[[#This Row],[source]],Table2226[[#All],[ID]:[Label]],3,FALSE)</f>
        <v>DTW</v>
      </c>
      <c r="D350" t="str">
        <f>VLOOKUP(Table10[[#This Row],[target]],Table2226[[#All],[ID]:[Label]],3,FALSE)</f>
        <v>ROC</v>
      </c>
      <c r="E350" s="32" t="str">
        <f>IF(ISERROR(VLOOKUP(Table10[[#This Row],[source2]],Table22[Label],1,FALSE)),IF(ISERROR(VLOOKUP(Table10[[#This Row],[source2]],Table2210[Label],1,FALSE)),"SPOKE","FOCUS"),"HUB")</f>
        <v>HUB</v>
      </c>
      <c r="F350" s="32" t="str">
        <f>IF(ISERROR(VLOOKUP(Table10[[#This Row],[target2]],Table22[Label],1,FALSE)),IF(ISERROR(VLOOKUP(Table10[[#This Row],[target2]],Table2210[Label],1,FALSE)),"SPOKE","FOCUS"),"HUB")</f>
        <v>SPOKE</v>
      </c>
      <c r="G350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350" s="46" t="s">
        <v>1346</v>
      </c>
      <c r="I350" s="47" t="s">
        <v>1347</v>
      </c>
      <c r="J350" s="47" t="s">
        <v>1348</v>
      </c>
      <c r="K350" s="47" t="s">
        <v>1349</v>
      </c>
      <c r="L350" s="47" t="s">
        <v>1262</v>
      </c>
      <c r="M350" s="47" t="s">
        <v>1350</v>
      </c>
      <c r="N350">
        <v>95</v>
      </c>
      <c r="O350">
        <v>95</v>
      </c>
      <c r="P350" s="11" t="s">
        <v>707</v>
      </c>
    </row>
    <row r="351" spans="1:16" x14ac:dyDescent="0.2">
      <c r="A351">
        <v>579</v>
      </c>
      <c r="B351">
        <v>498</v>
      </c>
      <c r="C351" t="str">
        <f>VLOOKUP(Table10[[#This Row],[source]],Table2226[[#All],[ID]:[Label]],3,FALSE)</f>
        <v>DTW</v>
      </c>
      <c r="D351" t="str">
        <f>VLOOKUP(Table10[[#This Row],[target]],Table2226[[#All],[ID]:[Label]],3,FALSE)</f>
        <v>ALB</v>
      </c>
      <c r="E351" s="32" t="str">
        <f>IF(ISERROR(VLOOKUP(Table10[[#This Row],[source2]],Table22[Label],1,FALSE)),IF(ISERROR(VLOOKUP(Table10[[#This Row],[source2]],Table2210[Label],1,FALSE)),"SPOKE","FOCUS"),"HUB")</f>
        <v>HUB</v>
      </c>
      <c r="F351" s="32" t="str">
        <f>IF(ISERROR(VLOOKUP(Table10[[#This Row],[target2]],Table22[Label],1,FALSE)),IF(ISERROR(VLOOKUP(Table10[[#This Row],[target2]],Table2210[Label],1,FALSE)),"SPOKE","FOCUS"),"HUB")</f>
        <v>SPOKE</v>
      </c>
      <c r="G351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351" s="46" t="s">
        <v>1258</v>
      </c>
      <c r="I351" s="47" t="s">
        <v>1259</v>
      </c>
      <c r="J351" s="47" t="s">
        <v>1260</v>
      </c>
      <c r="K351" s="47" t="s">
        <v>1261</v>
      </c>
      <c r="L351" s="47" t="s">
        <v>1262</v>
      </c>
      <c r="M351" s="47" t="s">
        <v>1263</v>
      </c>
      <c r="N351">
        <v>95</v>
      </c>
      <c r="O351">
        <v>95</v>
      </c>
      <c r="P351" s="11" t="s">
        <v>708</v>
      </c>
    </row>
    <row r="352" spans="1:16" x14ac:dyDescent="0.2">
      <c r="A352">
        <v>730</v>
      </c>
      <c r="B352">
        <v>648</v>
      </c>
      <c r="C352" t="str">
        <f>VLOOKUP(Table10[[#This Row],[source]],Table2226[[#All],[ID]:[Label]],3,FALSE)</f>
        <v>SEA</v>
      </c>
      <c r="D352" t="str">
        <f>VLOOKUP(Table10[[#This Row],[target]],Table2226[[#All],[ID]:[Label]],3,FALSE)</f>
        <v>LAX</v>
      </c>
      <c r="E352" s="32" t="str">
        <f>IF(ISERROR(VLOOKUP(Table10[[#This Row],[source2]],Table22[Label],1,FALSE)),IF(ISERROR(VLOOKUP(Table10[[#This Row],[source2]],Table2210[Label],1,FALSE)),"SPOKE","FOCUS"),"HUB")</f>
        <v>HUB</v>
      </c>
      <c r="F352" s="32" t="str">
        <f>IF(ISERROR(VLOOKUP(Table10[[#This Row],[target2]],Table22[Label],1,FALSE)),IF(ISERROR(VLOOKUP(Table10[[#This Row],[target2]],Table2210[Label],1,FALSE)),"SPOKE","FOCUS"),"HUB")</f>
        <v>HUB</v>
      </c>
      <c r="G352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352" s="46" t="s">
        <v>2160</v>
      </c>
      <c r="I352" s="47" t="s">
        <v>2161</v>
      </c>
      <c r="J352" s="47" t="s">
        <v>2162</v>
      </c>
      <c r="K352" s="47" t="s">
        <v>2163</v>
      </c>
      <c r="L352" s="47" t="s">
        <v>1649</v>
      </c>
      <c r="M352" s="47" t="s">
        <v>2164</v>
      </c>
      <c r="N352">
        <v>1757</v>
      </c>
      <c r="O352">
        <v>1757</v>
      </c>
      <c r="P352" s="11" t="s">
        <v>709</v>
      </c>
    </row>
    <row r="353" spans="1:16" x14ac:dyDescent="0.2">
      <c r="A353">
        <v>625</v>
      </c>
      <c r="B353">
        <v>613</v>
      </c>
      <c r="C353" t="str">
        <f>VLOOKUP(Table10[[#This Row],[source]],Table2226[[#All],[ID]:[Label]],3,FALSE)</f>
        <v>IAD</v>
      </c>
      <c r="D353" t="str">
        <f>VLOOKUP(Table10[[#This Row],[target]],Table2226[[#All],[ID]:[Label]],3,FALSE)</f>
        <v>GSP</v>
      </c>
      <c r="E353" s="32" t="str">
        <f>IF(ISERROR(VLOOKUP(Table10[[#This Row],[source2]],Table22[Label],1,FALSE)),IF(ISERROR(VLOOKUP(Table10[[#This Row],[source2]],Table2210[Label],1,FALSE)),"SPOKE","FOCUS"),"HUB")</f>
        <v>HUB</v>
      </c>
      <c r="F353" s="32" t="str">
        <f>IF(ISERROR(VLOOKUP(Table10[[#This Row],[target2]],Table22[Label],1,FALSE)),IF(ISERROR(VLOOKUP(Table10[[#This Row],[target2]],Table2210[Label],1,FALSE)),"SPOKE","FOCUS"),"HUB")</f>
        <v>SPOKE</v>
      </c>
      <c r="G353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353" s="46" t="s">
        <v>1055</v>
      </c>
      <c r="I353" s="47" t="s">
        <v>1056</v>
      </c>
      <c r="J353" s="47" t="s">
        <v>1057</v>
      </c>
      <c r="K353" s="47" t="s">
        <v>1058</v>
      </c>
      <c r="L353" s="47" t="s">
        <v>1059</v>
      </c>
      <c r="M353" s="47" t="s">
        <v>1060</v>
      </c>
      <c r="N353">
        <v>75</v>
      </c>
      <c r="O353">
        <v>75</v>
      </c>
      <c r="P353" s="11" t="s">
        <v>710</v>
      </c>
    </row>
    <row r="354" spans="1:16" x14ac:dyDescent="0.2">
      <c r="A354">
        <v>663</v>
      </c>
      <c r="B354">
        <v>736</v>
      </c>
      <c r="C354" t="str">
        <f>VLOOKUP(Table10[[#This Row],[source]],Table2226[[#All],[ID]:[Label]],3,FALSE)</f>
        <v>MCO</v>
      </c>
      <c r="D354" t="str">
        <f>VLOOKUP(Table10[[#This Row],[target]],Table2226[[#All],[ID]:[Label]],3,FALSE)</f>
        <v>SLC</v>
      </c>
      <c r="E354" s="32" t="str">
        <f>IF(ISERROR(VLOOKUP(Table10[[#This Row],[source2]],Table22[Label],1,FALSE)),IF(ISERROR(VLOOKUP(Table10[[#This Row],[source2]],Table2210[Label],1,FALSE)),"SPOKE","FOCUS"),"HUB")</f>
        <v>FOCUS</v>
      </c>
      <c r="F354" s="32" t="str">
        <f>IF(ISERROR(VLOOKUP(Table10[[#This Row],[target2]],Table22[Label],1,FALSE)),IF(ISERROR(VLOOKUP(Table10[[#This Row],[target2]],Table2210[Label],1,FALSE)),"SPOKE","FOCUS"),"HUB")</f>
        <v>HUB</v>
      </c>
      <c r="G354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HUB-FOCUS</v>
      </c>
      <c r="H354" s="46" t="s">
        <v>801</v>
      </c>
      <c r="I354" s="47" t="s">
        <v>2305</v>
      </c>
      <c r="J354" s="47" t="s">
        <v>727</v>
      </c>
      <c r="K354" s="47" t="s">
        <v>2306</v>
      </c>
      <c r="L354" s="47" t="s">
        <v>2307</v>
      </c>
      <c r="M354" s="47" t="s">
        <v>2308</v>
      </c>
      <c r="N354">
        <v>135</v>
      </c>
      <c r="O354">
        <v>135</v>
      </c>
      <c r="P354" s="11" t="s">
        <v>711</v>
      </c>
    </row>
    <row r="355" spans="1:16" x14ac:dyDescent="0.2">
      <c r="A355">
        <v>2191</v>
      </c>
      <c r="B355">
        <v>625</v>
      </c>
      <c r="C355" t="str">
        <f>VLOOKUP(Table10[[#This Row],[source]],Table2226[[#All],[ID]:[Label]],3,FALSE)</f>
        <v>TYS</v>
      </c>
      <c r="D355" t="str">
        <f>VLOOKUP(Table10[[#This Row],[target]],Table2226[[#All],[ID]:[Label]],3,FALSE)</f>
        <v>IAD</v>
      </c>
      <c r="E355" s="32" t="str">
        <f>IF(ISERROR(VLOOKUP(Table10[[#This Row],[source2]],Table22[Label],1,FALSE)),IF(ISERROR(VLOOKUP(Table10[[#This Row],[source2]],Table2210[Label],1,FALSE)),"SPOKE","FOCUS"),"HUB")</f>
        <v>SPOKE</v>
      </c>
      <c r="F355" s="32" t="str">
        <f>IF(ISERROR(VLOOKUP(Table10[[#This Row],[target2]],Table22[Label],1,FALSE)),IF(ISERROR(VLOOKUP(Table10[[#This Row],[target2]],Table2210[Label],1,FALSE)),"SPOKE","FOCUS"),"HUB")</f>
        <v>HUB</v>
      </c>
      <c r="G355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355" s="46" t="s">
        <v>747</v>
      </c>
      <c r="I355" s="47" t="s">
        <v>748</v>
      </c>
      <c r="J355" s="47" t="s">
        <v>749</v>
      </c>
      <c r="K355" s="47" t="s">
        <v>750</v>
      </c>
      <c r="L355" s="47" t="s">
        <v>751</v>
      </c>
      <c r="M355" s="47" t="s">
        <v>752</v>
      </c>
      <c r="N355">
        <v>90</v>
      </c>
      <c r="O355">
        <v>90</v>
      </c>
      <c r="P355" s="11" t="s">
        <v>712</v>
      </c>
    </row>
    <row r="356" spans="1:16" x14ac:dyDescent="0.2">
      <c r="A356">
        <v>700</v>
      </c>
      <c r="B356">
        <v>571</v>
      </c>
      <c r="C356" t="str">
        <f>VLOOKUP(Table10[[#This Row],[source]],Table2226[[#All],[ID]:[Label]],3,FALSE)</f>
        <v>PHL</v>
      </c>
      <c r="D356" t="str">
        <f>VLOOKUP(Table10[[#This Row],[target]],Table2226[[#All],[ID]:[Label]],3,FALSE)</f>
        <v>DCA</v>
      </c>
      <c r="E356" s="32" t="str">
        <f>IF(ISERROR(VLOOKUP(Table10[[#This Row],[source2]],Table22[Label],1,FALSE)),IF(ISERROR(VLOOKUP(Table10[[#This Row],[source2]],Table2210[Label],1,FALSE)),"SPOKE","FOCUS"),"HUB")</f>
        <v>HUB</v>
      </c>
      <c r="F356" s="32" t="str">
        <f>IF(ISERROR(VLOOKUP(Table10[[#This Row],[target2]],Table22[Label],1,FALSE)),IF(ISERROR(VLOOKUP(Table10[[#This Row],[target2]],Table2210[Label],1,FALSE)),"SPOKE","FOCUS"),"HUB")</f>
        <v>HUB</v>
      </c>
      <c r="G356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356" s="46" t="s">
        <v>801</v>
      </c>
      <c r="I356" s="47" t="s">
        <v>993</v>
      </c>
      <c r="J356" s="47" t="s">
        <v>727</v>
      </c>
      <c r="K356" s="47" t="s">
        <v>994</v>
      </c>
      <c r="L356" s="47" t="s">
        <v>995</v>
      </c>
      <c r="M356" s="47" t="s">
        <v>996</v>
      </c>
      <c r="N356">
        <v>137</v>
      </c>
      <c r="O356">
        <v>137</v>
      </c>
      <c r="P356" s="11" t="s">
        <v>713</v>
      </c>
    </row>
    <row r="357" spans="1:16" x14ac:dyDescent="0.2">
      <c r="A357">
        <v>498</v>
      </c>
      <c r="B357">
        <v>529</v>
      </c>
      <c r="C357" t="str">
        <f>VLOOKUP(Table10[[#This Row],[source]],Table2226[[#All],[ID]:[Label]],3,FALSE)</f>
        <v>ALB</v>
      </c>
      <c r="D357" t="str">
        <f>VLOOKUP(Table10[[#This Row],[target]],Table2226[[#All],[ID]:[Label]],3,FALSE)</f>
        <v>BOS</v>
      </c>
      <c r="E357" s="32" t="str">
        <f>IF(ISERROR(VLOOKUP(Table10[[#This Row],[source2]],Table22[Label],1,FALSE)),IF(ISERROR(VLOOKUP(Table10[[#This Row],[source2]],Table2210[Label],1,FALSE)),"SPOKE","FOCUS"),"HUB")</f>
        <v>SPOKE</v>
      </c>
      <c r="F357" s="32" t="str">
        <f>IF(ISERROR(VLOOKUP(Table10[[#This Row],[target2]],Table22[Label],1,FALSE)),IF(ISERROR(VLOOKUP(Table10[[#This Row],[target2]],Table2210[Label],1,FALSE)),"SPOKE","FOCUS"),"HUB")</f>
        <v>HUB</v>
      </c>
      <c r="G357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357" s="46" t="s">
        <v>801</v>
      </c>
      <c r="I357" s="47" t="s">
        <v>2139</v>
      </c>
      <c r="J357" s="47" t="s">
        <v>727</v>
      </c>
      <c r="K357" s="47" t="s">
        <v>2140</v>
      </c>
      <c r="L357" s="47" t="s">
        <v>1108</v>
      </c>
      <c r="M357" s="47" t="s">
        <v>2141</v>
      </c>
      <c r="N357">
        <v>110</v>
      </c>
      <c r="O357">
        <v>110</v>
      </c>
      <c r="P357" s="11" t="s">
        <v>714</v>
      </c>
    </row>
    <row r="358" spans="1:16" x14ac:dyDescent="0.2">
      <c r="A358">
        <v>579</v>
      </c>
      <c r="B358">
        <v>720</v>
      </c>
      <c r="C358" t="str">
        <f>VLOOKUP(Table10[[#This Row],[source]],Table2226[[#All],[ID]:[Label]],3,FALSE)</f>
        <v>DTW</v>
      </c>
      <c r="D358" t="str">
        <f>VLOOKUP(Table10[[#This Row],[target]],Table2226[[#All],[ID]:[Label]],3,FALSE)</f>
        <v>RIC</v>
      </c>
      <c r="E358" s="32" t="str">
        <f>IF(ISERROR(VLOOKUP(Table10[[#This Row],[source2]],Table22[Label],1,FALSE)),IF(ISERROR(VLOOKUP(Table10[[#This Row],[source2]],Table2210[Label],1,FALSE)),"SPOKE","FOCUS"),"HUB")</f>
        <v>HUB</v>
      </c>
      <c r="F358" s="32" t="str">
        <f>IF(ISERROR(VLOOKUP(Table10[[#This Row],[target2]],Table22[Label],1,FALSE)),IF(ISERROR(VLOOKUP(Table10[[#This Row],[target2]],Table2210[Label],1,FALSE)),"SPOKE","FOCUS"),"HUB")</f>
        <v>SPOKE</v>
      </c>
      <c r="G358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358" s="46" t="s">
        <v>801</v>
      </c>
      <c r="I358" s="47" t="s">
        <v>1302</v>
      </c>
      <c r="J358" s="47" t="s">
        <v>727</v>
      </c>
      <c r="K358" s="47" t="s">
        <v>1303</v>
      </c>
      <c r="L358" s="47" t="s">
        <v>1304</v>
      </c>
      <c r="M358" s="47" t="s">
        <v>1305</v>
      </c>
      <c r="N358">
        <v>80</v>
      </c>
      <c r="O358">
        <v>80</v>
      </c>
      <c r="P358" s="11" t="s">
        <v>715</v>
      </c>
    </row>
    <row r="359" spans="1:16" x14ac:dyDescent="0.2">
      <c r="A359">
        <v>498</v>
      </c>
      <c r="B359">
        <v>663</v>
      </c>
      <c r="C359" t="str">
        <f>VLOOKUP(Table10[[#This Row],[source]],Table2226[[#All],[ID]:[Label]],3,FALSE)</f>
        <v>ALB</v>
      </c>
      <c r="D359" t="str">
        <f>VLOOKUP(Table10[[#This Row],[target]],Table2226[[#All],[ID]:[Label]],3,FALSE)</f>
        <v>MCO</v>
      </c>
      <c r="E359" s="32" t="str">
        <f>IF(ISERROR(VLOOKUP(Table10[[#This Row],[source2]],Table22[Label],1,FALSE)),IF(ISERROR(VLOOKUP(Table10[[#This Row],[source2]],Table2210[Label],1,FALSE)),"SPOKE","FOCUS"),"HUB")</f>
        <v>SPOKE</v>
      </c>
      <c r="F359" s="32" t="str">
        <f>IF(ISERROR(VLOOKUP(Table10[[#This Row],[target2]],Table22[Label],1,FALSE)),IF(ISERROR(VLOOKUP(Table10[[#This Row],[target2]],Table2210[Label],1,FALSE)),"SPOKE","FOCUS"),"HUB")</f>
        <v>FOCUS</v>
      </c>
      <c r="G359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SPOKE-FOCUS</v>
      </c>
      <c r="H359" s="46" t="s">
        <v>801</v>
      </c>
      <c r="I359" s="47" t="s">
        <v>2142</v>
      </c>
      <c r="J359" s="47" t="s">
        <v>727</v>
      </c>
      <c r="K359" s="47" t="s">
        <v>2143</v>
      </c>
      <c r="L359" s="47" t="s">
        <v>804</v>
      </c>
      <c r="M359" s="47" t="s">
        <v>2144</v>
      </c>
      <c r="N359">
        <v>118</v>
      </c>
      <c r="O359">
        <v>118</v>
      </c>
      <c r="P359" s="11" t="s">
        <v>716</v>
      </c>
    </row>
    <row r="360" spans="1:16" x14ac:dyDescent="0.2">
      <c r="A360">
        <v>733</v>
      </c>
      <c r="B360">
        <v>2190</v>
      </c>
      <c r="C360" t="str">
        <f>VLOOKUP(Table10[[#This Row],[source]],Table2226[[#All],[ID]:[Label]],3,FALSE)</f>
        <v>SFO</v>
      </c>
      <c r="D360" t="str">
        <f>VLOOKUP(Table10[[#This Row],[target]],Table2226[[#All],[ID]:[Label]],3,FALSE)</f>
        <v>TUS</v>
      </c>
      <c r="E360" s="32" t="str">
        <f>IF(ISERROR(VLOOKUP(Table10[[#This Row],[source2]],Table22[Label],1,FALSE)),IF(ISERROR(VLOOKUP(Table10[[#This Row],[source2]],Table2210[Label],1,FALSE)),"SPOKE","FOCUS"),"HUB")</f>
        <v>HUB</v>
      </c>
      <c r="F360" s="32" t="str">
        <f>IF(ISERROR(VLOOKUP(Table10[[#This Row],[target2]],Table22[Label],1,FALSE)),IF(ISERROR(VLOOKUP(Table10[[#This Row],[target2]],Table2210[Label],1,FALSE)),"SPOKE","FOCUS"),"HUB")</f>
        <v>SPOKE</v>
      </c>
      <c r="G360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360" s="46" t="s">
        <v>801</v>
      </c>
      <c r="I360" s="47" t="s">
        <v>2132</v>
      </c>
      <c r="J360" s="47" t="s">
        <v>727</v>
      </c>
      <c r="K360" s="47" t="s">
        <v>2133</v>
      </c>
      <c r="L360" s="47" t="s">
        <v>763</v>
      </c>
      <c r="M360" s="47" t="s">
        <v>2134</v>
      </c>
      <c r="N360">
        <v>128</v>
      </c>
      <c r="O360">
        <v>128</v>
      </c>
      <c r="P360" s="11" t="s">
        <v>717</v>
      </c>
    </row>
    <row r="361" spans="1:16" x14ac:dyDescent="0.2">
      <c r="A361">
        <v>627</v>
      </c>
      <c r="B361">
        <v>2190</v>
      </c>
      <c r="C361" t="str">
        <f>VLOOKUP(Table10[[#This Row],[source]],Table2226[[#All],[ID]:[Label]],3,FALSE)</f>
        <v>IAH</v>
      </c>
      <c r="D361" t="str">
        <f>VLOOKUP(Table10[[#This Row],[target]],Table2226[[#All],[ID]:[Label]],3,FALSE)</f>
        <v>TUS</v>
      </c>
      <c r="E361" s="32" t="str">
        <f>IF(ISERROR(VLOOKUP(Table10[[#This Row],[source2]],Table22[Label],1,FALSE)),IF(ISERROR(VLOOKUP(Table10[[#This Row],[source2]],Table2210[Label],1,FALSE)),"SPOKE","FOCUS"),"HUB")</f>
        <v>HUB</v>
      </c>
      <c r="F361" s="32" t="str">
        <f>IF(ISERROR(VLOOKUP(Table10[[#This Row],[target2]],Table22[Label],1,FALSE)),IF(ISERROR(VLOOKUP(Table10[[#This Row],[target2]],Table2210[Label],1,FALSE)),"SPOKE","FOCUS"),"HUB")</f>
        <v>SPOKE</v>
      </c>
      <c r="G361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361" s="46" t="s">
        <v>801</v>
      </c>
      <c r="I361" s="47" t="s">
        <v>1775</v>
      </c>
      <c r="J361" s="47" t="s">
        <v>727</v>
      </c>
      <c r="K361" s="47" t="s">
        <v>1776</v>
      </c>
      <c r="L361" s="47" t="s">
        <v>1777</v>
      </c>
      <c r="M361" s="47" t="s">
        <v>1778</v>
      </c>
      <c r="N361">
        <v>93</v>
      </c>
      <c r="O361">
        <v>93</v>
      </c>
      <c r="P361" s="11" t="s">
        <v>718</v>
      </c>
    </row>
    <row r="362" spans="1:16" x14ac:dyDescent="0.2">
      <c r="A362">
        <v>571</v>
      </c>
      <c r="B362">
        <v>723</v>
      </c>
      <c r="C362" t="str">
        <f>VLOOKUP(Table10[[#This Row],[source]],Table2226[[#All],[ID]:[Label]],3,FALSE)</f>
        <v>DCA</v>
      </c>
      <c r="D362" t="str">
        <f>VLOOKUP(Table10[[#This Row],[target]],Table2226[[#All],[ID]:[Label]],3,FALSE)</f>
        <v>ROC</v>
      </c>
      <c r="E362" s="32" t="str">
        <f>IF(ISERROR(VLOOKUP(Table10[[#This Row],[source2]],Table22[Label],1,FALSE)),IF(ISERROR(VLOOKUP(Table10[[#This Row],[source2]],Table2210[Label],1,FALSE)),"SPOKE","FOCUS"),"HUB")</f>
        <v>HUB</v>
      </c>
      <c r="F362" s="32" t="str">
        <f>IF(ISERROR(VLOOKUP(Table10[[#This Row],[target2]],Table22[Label],1,FALSE)),IF(ISERROR(VLOOKUP(Table10[[#This Row],[target2]],Table2210[Label],1,FALSE)),"SPOKE","FOCUS"),"HUB")</f>
        <v>SPOKE</v>
      </c>
      <c r="G362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362" s="46" t="s">
        <v>801</v>
      </c>
      <c r="I362" s="47" t="s">
        <v>1194</v>
      </c>
      <c r="J362" s="47" t="s">
        <v>727</v>
      </c>
      <c r="K362" s="47" t="s">
        <v>1195</v>
      </c>
      <c r="L362" s="47" t="s">
        <v>763</v>
      </c>
      <c r="M362" s="47" t="s">
        <v>1196</v>
      </c>
      <c r="N362">
        <v>123</v>
      </c>
      <c r="O362">
        <v>123</v>
      </c>
      <c r="P362" s="11" t="s">
        <v>719</v>
      </c>
    </row>
    <row r="363" spans="1:16" x14ac:dyDescent="0.2">
      <c r="A363">
        <v>571</v>
      </c>
      <c r="B363">
        <v>648</v>
      </c>
      <c r="C363" t="str">
        <f>VLOOKUP(Table10[[#This Row],[source]],Table2226[[#All],[ID]:[Label]],3,FALSE)</f>
        <v>DCA</v>
      </c>
      <c r="D363" t="str">
        <f>VLOOKUP(Table10[[#This Row],[target]],Table2226[[#All],[ID]:[Label]],3,FALSE)</f>
        <v>LAX</v>
      </c>
      <c r="E363" s="32" t="str">
        <f>IF(ISERROR(VLOOKUP(Table10[[#This Row],[source2]],Table22[Label],1,FALSE)),IF(ISERROR(VLOOKUP(Table10[[#This Row],[source2]],Table2210[Label],1,FALSE)),"SPOKE","FOCUS"),"HUB")</f>
        <v>HUB</v>
      </c>
      <c r="F363" s="32" t="str">
        <f>IF(ISERROR(VLOOKUP(Table10[[#This Row],[target2]],Table22[Label],1,FALSE)),IF(ISERROR(VLOOKUP(Table10[[#This Row],[target2]],Table2210[Label],1,FALSE)),"SPOKE","FOCUS"),"HUB")</f>
        <v>HUB</v>
      </c>
      <c r="G363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363" s="46" t="s">
        <v>801</v>
      </c>
      <c r="I363" s="47" t="s">
        <v>1210</v>
      </c>
      <c r="J363" s="47" t="s">
        <v>727</v>
      </c>
      <c r="K363" s="47" t="s">
        <v>1211</v>
      </c>
      <c r="L363" s="47" t="s">
        <v>1212</v>
      </c>
      <c r="M363" s="47" t="s">
        <v>1213</v>
      </c>
      <c r="N363">
        <v>252</v>
      </c>
      <c r="O363">
        <v>252</v>
      </c>
      <c r="P363" s="11" t="s">
        <v>720</v>
      </c>
    </row>
    <row r="364" spans="1:16" x14ac:dyDescent="0.2">
      <c r="A364">
        <v>702</v>
      </c>
      <c r="B364">
        <v>730</v>
      </c>
      <c r="C364" t="str">
        <f>VLOOKUP(Table10[[#This Row],[source]],Table2226[[#All],[ID]:[Label]],3,FALSE)</f>
        <v>PHX</v>
      </c>
      <c r="D364" t="str">
        <f>VLOOKUP(Table10[[#This Row],[target]],Table2226[[#All],[ID]:[Label]],3,FALSE)</f>
        <v>SEA</v>
      </c>
      <c r="E364" s="32" t="str">
        <f>IF(ISERROR(VLOOKUP(Table10[[#This Row],[source2]],Table22[Label],1,FALSE)),IF(ISERROR(VLOOKUP(Table10[[#This Row],[source2]],Table2210[Label],1,FALSE)),"SPOKE","FOCUS"),"HUB")</f>
        <v>HUB</v>
      </c>
      <c r="F364" s="32" t="str">
        <f>IF(ISERROR(VLOOKUP(Table10[[#This Row],[target2]],Table22[Label],1,FALSE)),IF(ISERROR(VLOOKUP(Table10[[#This Row],[target2]],Table2210[Label],1,FALSE)),"SPOKE","FOCUS"),"HUB")</f>
        <v>HUB</v>
      </c>
      <c r="G364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364" s="46" t="s">
        <v>801</v>
      </c>
      <c r="I364" s="47" t="s">
        <v>2073</v>
      </c>
      <c r="J364" s="47" t="s">
        <v>727</v>
      </c>
      <c r="K364" s="47" t="s">
        <v>2074</v>
      </c>
      <c r="L364" s="47" t="s">
        <v>2075</v>
      </c>
      <c r="M364" s="47" t="s">
        <v>2076</v>
      </c>
      <c r="N364">
        <v>1012</v>
      </c>
      <c r="O364">
        <v>1012</v>
      </c>
      <c r="P364" s="11" t="s">
        <v>721</v>
      </c>
    </row>
    <row r="365" spans="1:16" x14ac:dyDescent="0.2">
      <c r="A365">
        <v>506</v>
      </c>
      <c r="B365">
        <v>730</v>
      </c>
      <c r="C365" t="str">
        <f>VLOOKUP(Table10[[#This Row],[source]],Table2226[[#All],[ID]:[Label]],3,FALSE)</f>
        <v>ATL</v>
      </c>
      <c r="D365" t="str">
        <f>VLOOKUP(Table10[[#This Row],[target]],Table2226[[#All],[ID]:[Label]],3,FALSE)</f>
        <v>SEA</v>
      </c>
      <c r="E365" s="32" t="str">
        <f>IF(ISERROR(VLOOKUP(Table10[[#This Row],[source2]],Table22[Label],1,FALSE)),IF(ISERROR(VLOOKUP(Table10[[#This Row],[source2]],Table2210[Label],1,FALSE)),"SPOKE","FOCUS"),"HUB")</f>
        <v>HUB</v>
      </c>
      <c r="F365" s="32" t="str">
        <f>IF(ISERROR(VLOOKUP(Table10[[#This Row],[target2]],Table22[Label],1,FALSE)),IF(ISERROR(VLOOKUP(Table10[[#This Row],[target2]],Table2210[Label],1,FALSE)),"SPOKE","FOCUS"),"HUB")</f>
        <v>HUB</v>
      </c>
      <c r="G365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365" s="46" t="s">
        <v>801</v>
      </c>
      <c r="I365" s="47" t="s">
        <v>1443</v>
      </c>
      <c r="J365" s="47" t="s">
        <v>727</v>
      </c>
      <c r="K365" s="47" t="s">
        <v>1444</v>
      </c>
      <c r="L365" s="47" t="s">
        <v>884</v>
      </c>
      <c r="M365" s="47" t="s">
        <v>1445</v>
      </c>
      <c r="N365">
        <v>517</v>
      </c>
      <c r="O365">
        <v>517</v>
      </c>
      <c r="P365" s="11" t="s">
        <v>722</v>
      </c>
    </row>
    <row r="366" spans="1:16" x14ac:dyDescent="0.2">
      <c r="A366">
        <v>648</v>
      </c>
      <c r="B366">
        <v>712</v>
      </c>
      <c r="C366" t="str">
        <f>VLOOKUP(Table10[[#This Row],[source]],Table2226[[#All],[ID]:[Label]],3,FALSE)</f>
        <v>LAX</v>
      </c>
      <c r="D366" t="str">
        <f>VLOOKUP(Table10[[#This Row],[target]],Table2226[[#All],[ID]:[Label]],3,FALSE)</f>
        <v>PSP</v>
      </c>
      <c r="E366" s="32" t="str">
        <f>IF(ISERROR(VLOOKUP(Table10[[#This Row],[source2]],Table22[Label],1,FALSE)),IF(ISERROR(VLOOKUP(Table10[[#This Row],[source2]],Table2210[Label],1,FALSE)),"SPOKE","FOCUS"),"HUB")</f>
        <v>HUB</v>
      </c>
      <c r="F366" s="32" t="str">
        <f>IF(ISERROR(VLOOKUP(Table10[[#This Row],[target2]],Table22[Label],1,FALSE)),IF(ISERROR(VLOOKUP(Table10[[#This Row],[target2]],Table2210[Label],1,FALSE)),"SPOKE","FOCUS"),"HUB")</f>
        <v>SPOKE</v>
      </c>
      <c r="G366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366" s="46" t="s">
        <v>801</v>
      </c>
      <c r="I366" s="47" t="s">
        <v>2269</v>
      </c>
      <c r="J366" s="47" t="s">
        <v>727</v>
      </c>
      <c r="K366" s="47" t="s">
        <v>2270</v>
      </c>
      <c r="L366" s="47" t="s">
        <v>1268</v>
      </c>
      <c r="M366" s="47" t="s">
        <v>2271</v>
      </c>
      <c r="N366">
        <v>36</v>
      </c>
      <c r="O366">
        <v>36</v>
      </c>
      <c r="P366" s="11" t="s">
        <v>723</v>
      </c>
    </row>
    <row r="367" spans="1:16" x14ac:dyDescent="0.2">
      <c r="A367">
        <v>700</v>
      </c>
      <c r="B367">
        <v>591</v>
      </c>
      <c r="C367" t="str">
        <f>VLOOKUP(Table10[[#This Row],[source]],Table2226[[#All],[ID]:[Label]],3,FALSE)</f>
        <v>PHL</v>
      </c>
      <c r="D367" t="str">
        <f>VLOOKUP(Table10[[#This Row],[target]],Table2226[[#All],[ID]:[Label]],3,FALSE)</f>
        <v>EWR</v>
      </c>
      <c r="E367" s="32" t="str">
        <f>IF(ISERROR(VLOOKUP(Table10[[#This Row],[source2]],Table22[Label],1,FALSE)),IF(ISERROR(VLOOKUP(Table10[[#This Row],[source2]],Table2210[Label],1,FALSE)),"SPOKE","FOCUS"),"HUB")</f>
        <v>HUB</v>
      </c>
      <c r="F367" s="32" t="str">
        <f>IF(ISERROR(VLOOKUP(Table10[[#This Row],[target2]],Table22[Label],1,FALSE)),IF(ISERROR(VLOOKUP(Table10[[#This Row],[target2]],Table2210[Label],1,FALSE)),"SPOKE","FOCUS"),"HUB")</f>
        <v>HUB</v>
      </c>
      <c r="G367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367" s="46" t="s">
        <v>801</v>
      </c>
      <c r="I367" s="47" t="s">
        <v>925</v>
      </c>
      <c r="J367" s="47" t="s">
        <v>727</v>
      </c>
      <c r="K367" s="47" t="s">
        <v>926</v>
      </c>
      <c r="L367" s="47" t="s">
        <v>927</v>
      </c>
      <c r="M367" s="47" t="s">
        <v>928</v>
      </c>
      <c r="N367">
        <v>8</v>
      </c>
      <c r="O367">
        <v>8</v>
      </c>
      <c r="P367" s="11" t="s">
        <v>724</v>
      </c>
    </row>
    <row r="368" spans="1:16" x14ac:dyDescent="0.2">
      <c r="A368">
        <v>571</v>
      </c>
      <c r="B368">
        <v>730</v>
      </c>
      <c r="C368" t="str">
        <f>VLOOKUP(Table10[[#This Row],[source]],Table2226[[#All],[ID]:[Label]],3,FALSE)</f>
        <v>DCA</v>
      </c>
      <c r="D368" t="str">
        <f>VLOOKUP(Table10[[#This Row],[target]],Table2226[[#All],[ID]:[Label]],3,FALSE)</f>
        <v>SEA</v>
      </c>
      <c r="E368" s="32" t="str">
        <f>IF(ISERROR(VLOOKUP(Table10[[#This Row],[source2]],Table22[Label],1,FALSE)),IF(ISERROR(VLOOKUP(Table10[[#This Row],[source2]],Table2210[Label],1,FALSE)),"SPOKE","FOCUS"),"HUB")</f>
        <v>HUB</v>
      </c>
      <c r="F368" s="32" t="str">
        <f>IF(ISERROR(VLOOKUP(Table10[[#This Row],[target2]],Table22[Label],1,FALSE)),IF(ISERROR(VLOOKUP(Table10[[#This Row],[target2]],Table2210[Label],1,FALSE)),"SPOKE","FOCUS"),"HUB")</f>
        <v>HUB</v>
      </c>
      <c r="G368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HUB-HUB</v>
      </c>
      <c r="H368" s="46" t="s">
        <v>1190</v>
      </c>
      <c r="I368" s="47" t="s">
        <v>1191</v>
      </c>
      <c r="J368" s="47" t="s">
        <v>738</v>
      </c>
      <c r="K368" s="47" t="s">
        <v>1192</v>
      </c>
      <c r="L368" s="47" t="s">
        <v>1154</v>
      </c>
      <c r="M368" s="47" t="s">
        <v>1193</v>
      </c>
      <c r="N368">
        <v>3664</v>
      </c>
      <c r="O368">
        <v>3664</v>
      </c>
      <c r="P368" s="11" t="s">
        <v>725</v>
      </c>
    </row>
    <row r="369" spans="1:16" x14ac:dyDescent="0.2">
      <c r="A369">
        <v>647</v>
      </c>
      <c r="B369">
        <v>712</v>
      </c>
      <c r="C369" t="str">
        <f>VLOOKUP(Table10[[#This Row],[source]],Table2226[[#All],[ID]:[Label]],3,FALSE)</f>
        <v>LAS</v>
      </c>
      <c r="D369" t="str">
        <f>VLOOKUP(Table10[[#This Row],[target]],Table2226[[#All],[ID]:[Label]],3,FALSE)</f>
        <v>PSP</v>
      </c>
      <c r="E369" s="32" t="str">
        <f>IF(ISERROR(VLOOKUP(Table10[[#This Row],[source2]],Table22[Label],1,FALSE)),IF(ISERROR(VLOOKUP(Table10[[#This Row],[source2]],Table2210[Label],1,FALSE)),"SPOKE","FOCUS"),"HUB")</f>
        <v>FOCUS</v>
      </c>
      <c r="F369" s="32" t="str">
        <f>IF(ISERROR(VLOOKUP(Table10[[#This Row],[target2]],Table22[Label],1,FALSE)),IF(ISERROR(VLOOKUP(Table10[[#This Row],[target2]],Table2210[Label],1,FALSE)),"SPOKE","FOCUS"),"HUB")</f>
        <v>SPOKE</v>
      </c>
      <c r="G369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SPOKE-FOCUS</v>
      </c>
      <c r="H369" s="46" t="s">
        <v>801</v>
      </c>
      <c r="I369" s="47" t="s">
        <v>2204</v>
      </c>
      <c r="J369" s="47" t="s">
        <v>727</v>
      </c>
      <c r="K369" s="47" t="s">
        <v>2205</v>
      </c>
      <c r="L369" s="47" t="s">
        <v>1059</v>
      </c>
      <c r="M369" s="47" t="s">
        <v>2206</v>
      </c>
      <c r="N369">
        <v>8</v>
      </c>
      <c r="O369">
        <v>8</v>
      </c>
      <c r="P369" s="11" t="s">
        <v>726</v>
      </c>
    </row>
    <row r="370" spans="1:16" x14ac:dyDescent="0.2">
      <c r="A370">
        <v>700</v>
      </c>
      <c r="B370">
        <v>624</v>
      </c>
      <c r="C370" t="str">
        <f>VLOOKUP(Table10[[#This Row],[source]],Table2226[[#All],[ID]:[Label]],3,FALSE)</f>
        <v>PHL</v>
      </c>
      <c r="D370" t="str">
        <f>VLOOKUP(Table10[[#This Row],[target]],Table2226[[#All],[ID]:[Label]],3,FALSE)</f>
        <v>HVN</v>
      </c>
      <c r="E370" s="32" t="str">
        <f>IF(ISERROR(VLOOKUP(Table10[[#This Row],[source2]],Table22[Label],1,FALSE)),IF(ISERROR(VLOOKUP(Table10[[#This Row],[source2]],Table2210[Label],1,FALSE)),"SPOKE","FOCUS"),"HUB")</f>
        <v>HUB</v>
      </c>
      <c r="F370" s="32" t="str">
        <f>IF(ISERROR(VLOOKUP(Table10[[#This Row],[target2]],Table22[Label],1,FALSE)),IF(ISERROR(VLOOKUP(Table10[[#This Row],[target2]],Table2210[Label],1,FALSE)),"SPOKE","FOCUS"),"HUB")</f>
        <v>SPOKE</v>
      </c>
      <c r="G370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370" s="46" t="s">
        <v>989</v>
      </c>
      <c r="I370" s="47" t="s">
        <v>990</v>
      </c>
      <c r="J370" s="47" t="s">
        <v>738</v>
      </c>
      <c r="K370" s="47" t="s">
        <v>991</v>
      </c>
      <c r="L370" s="47" t="s">
        <v>738</v>
      </c>
      <c r="M370" s="47" t="s">
        <v>992</v>
      </c>
      <c r="N370">
        <v>123</v>
      </c>
      <c r="O370">
        <v>123</v>
      </c>
      <c r="P370" s="11" t="s">
        <v>727</v>
      </c>
    </row>
    <row r="371" spans="1:16" x14ac:dyDescent="0.2">
      <c r="A371">
        <v>529</v>
      </c>
      <c r="B371">
        <v>519</v>
      </c>
      <c r="C371" t="str">
        <f>VLOOKUP(Table10[[#This Row],[source]],Table2226[[#All],[ID]:[Label]],3,FALSE)</f>
        <v>BOS</v>
      </c>
      <c r="D371" t="str">
        <f>VLOOKUP(Table10[[#This Row],[target]],Table2226[[#All],[ID]:[Label]],3,FALSE)</f>
        <v>BHB</v>
      </c>
      <c r="E371" s="32" t="str">
        <f>IF(ISERROR(VLOOKUP(Table10[[#This Row],[source2]],Table22[Label],1,FALSE)),IF(ISERROR(VLOOKUP(Table10[[#This Row],[source2]],Table2210[Label],1,FALSE)),"SPOKE","FOCUS"),"HUB")</f>
        <v>HUB</v>
      </c>
      <c r="F371" s="32" t="str">
        <f>IF(ISERROR(VLOOKUP(Table10[[#This Row],[target2]],Table22[Label],1,FALSE)),IF(ISERROR(VLOOKUP(Table10[[#This Row],[target2]],Table2210[Label],1,FALSE)),"SPOKE","FOCUS"),"HUB")</f>
        <v>SPOKE</v>
      </c>
      <c r="G371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371" s="46" t="s">
        <v>2331</v>
      </c>
      <c r="I371" s="47" t="s">
        <v>2332</v>
      </c>
      <c r="J371" s="47" t="s">
        <v>738</v>
      </c>
      <c r="K371" s="47" t="s">
        <v>2333</v>
      </c>
      <c r="L371" s="47" t="s">
        <v>738</v>
      </c>
      <c r="M371" s="47" t="s">
        <v>2334</v>
      </c>
      <c r="N371">
        <v>113</v>
      </c>
      <c r="O371">
        <v>113</v>
      </c>
      <c r="P371" s="11" t="s">
        <v>727</v>
      </c>
    </row>
    <row r="372" spans="1:16" x14ac:dyDescent="0.2">
      <c r="A372">
        <v>506</v>
      </c>
      <c r="B372">
        <v>490</v>
      </c>
      <c r="C372" t="str">
        <f>VLOOKUP(Table10[[#This Row],[source]],Table2226[[#All],[ID]:[Label]],3,FALSE)</f>
        <v>ATL</v>
      </c>
      <c r="D372" t="str">
        <f>VLOOKUP(Table10[[#This Row],[target]],Table2226[[#All],[ID]:[Label]],3,FALSE)</f>
        <v>ABY</v>
      </c>
      <c r="E372" s="32" t="str">
        <f>IF(ISERROR(VLOOKUP(Table10[[#This Row],[source2]],Table22[Label],1,FALSE)),IF(ISERROR(VLOOKUP(Table10[[#This Row],[source2]],Table2210[Label],1,FALSE)),"SPOKE","FOCUS"),"HUB")</f>
        <v>HUB</v>
      </c>
      <c r="F372" s="32" t="str">
        <f>IF(ISERROR(VLOOKUP(Table10[[#This Row],[target2]],Table22[Label],1,FALSE)),IF(ISERROR(VLOOKUP(Table10[[#This Row],[target2]],Table2210[Label],1,FALSE)),"SPOKE","FOCUS"),"HUB")</f>
        <v>SPOKE</v>
      </c>
      <c r="G372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372" s="46" t="s">
        <v>1435</v>
      </c>
      <c r="I372" s="47" t="s">
        <v>1436</v>
      </c>
      <c r="J372" s="47" t="s">
        <v>738</v>
      </c>
      <c r="K372" s="47" t="s">
        <v>1437</v>
      </c>
      <c r="L372" s="47" t="s">
        <v>738</v>
      </c>
      <c r="M372" s="47" t="s">
        <v>1438</v>
      </c>
      <c r="N372">
        <v>109</v>
      </c>
      <c r="O372">
        <v>109</v>
      </c>
      <c r="P372" s="11" t="s">
        <v>727</v>
      </c>
    </row>
    <row r="373" spans="1:16" x14ac:dyDescent="0.2">
      <c r="A373">
        <v>529</v>
      </c>
      <c r="B373">
        <v>2207</v>
      </c>
      <c r="C373" t="str">
        <f>VLOOKUP(Table10[[#This Row],[source]],Table2226[[#All],[ID]:[Label]],3,FALSE)</f>
        <v>BOS</v>
      </c>
      <c r="D373" t="str">
        <f>VLOOKUP(Table10[[#This Row],[target]],Table2226[[#All],[ID]:[Label]],3,FALSE)</f>
        <v>RKD</v>
      </c>
      <c r="E373" s="32" t="str">
        <f>IF(ISERROR(VLOOKUP(Table10[[#This Row],[source2]],Table22[Label],1,FALSE)),IF(ISERROR(VLOOKUP(Table10[[#This Row],[source2]],Table2210[Label],1,FALSE)),"SPOKE","FOCUS"),"HUB")</f>
        <v>HUB</v>
      </c>
      <c r="F373" s="32" t="str">
        <f>IF(ISERROR(VLOOKUP(Table10[[#This Row],[target2]],Table22[Label],1,FALSE)),IF(ISERROR(VLOOKUP(Table10[[#This Row],[target2]],Table2210[Label],1,FALSE)),"SPOKE","FOCUS"),"HUB")</f>
        <v>SPOKE</v>
      </c>
      <c r="G373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373" s="46" t="s">
        <v>2313</v>
      </c>
      <c r="I373" s="47" t="s">
        <v>2314</v>
      </c>
      <c r="J373" s="47" t="s">
        <v>738</v>
      </c>
      <c r="K373" s="47" t="s">
        <v>2315</v>
      </c>
      <c r="L373" s="47" t="s">
        <v>738</v>
      </c>
      <c r="M373" s="47" t="s">
        <v>2316</v>
      </c>
      <c r="N373">
        <v>103</v>
      </c>
      <c r="O373">
        <v>103</v>
      </c>
      <c r="P373" s="11" t="s">
        <v>727</v>
      </c>
    </row>
    <row r="374" spans="1:16" x14ac:dyDescent="0.2">
      <c r="A374">
        <v>574</v>
      </c>
      <c r="B374">
        <v>2219</v>
      </c>
      <c r="C374" t="str">
        <f>VLOOKUP(Table10[[#This Row],[source]],Table2226[[#All],[ID]:[Label]],3,FALSE)</f>
        <v>DEN</v>
      </c>
      <c r="D374" t="str">
        <f>VLOOKUP(Table10[[#This Row],[target]],Table2226[[#All],[ID]:[Label]],3,FALSE)</f>
        <v>GCC</v>
      </c>
      <c r="E374" s="32" t="str">
        <f>IF(ISERROR(VLOOKUP(Table10[[#This Row],[source2]],Table22[Label],1,FALSE)),IF(ISERROR(VLOOKUP(Table10[[#This Row],[source2]],Table2210[Label],1,FALSE)),"SPOKE","FOCUS"),"HUB")</f>
        <v>HUB</v>
      </c>
      <c r="F374" s="32" t="str">
        <f>IF(ISERROR(VLOOKUP(Table10[[#This Row],[target2]],Table22[Label],1,FALSE)),IF(ISERROR(VLOOKUP(Table10[[#This Row],[target2]],Table2210[Label],1,FALSE)),"SPOKE","FOCUS"),"HUB")</f>
        <v>SPOKE</v>
      </c>
      <c r="G374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374" s="46" t="s">
        <v>1561</v>
      </c>
      <c r="I374" s="47" t="s">
        <v>1562</v>
      </c>
      <c r="J374" s="47" t="s">
        <v>738</v>
      </c>
      <c r="K374" s="47" t="s">
        <v>1563</v>
      </c>
      <c r="L374" s="47" t="s">
        <v>738</v>
      </c>
      <c r="M374" s="47" t="s">
        <v>1564</v>
      </c>
      <c r="N374">
        <v>97</v>
      </c>
      <c r="O374">
        <v>97</v>
      </c>
      <c r="P374" s="11" t="s">
        <v>727</v>
      </c>
    </row>
    <row r="375" spans="1:16" x14ac:dyDescent="0.2">
      <c r="A375">
        <v>733</v>
      </c>
      <c r="B375">
        <v>716</v>
      </c>
      <c r="C375" t="str">
        <f>VLOOKUP(Table10[[#This Row],[source]],Table2226[[#All],[ID]:[Label]],3,FALSE)</f>
        <v>SFO</v>
      </c>
      <c r="D375" t="str">
        <f>VLOOKUP(Table10[[#This Row],[target]],Table2226[[#All],[ID]:[Label]],3,FALSE)</f>
        <v>RDD</v>
      </c>
      <c r="E375" s="32" t="str">
        <f>IF(ISERROR(VLOOKUP(Table10[[#This Row],[source2]],Table22[Label],1,FALSE)),IF(ISERROR(VLOOKUP(Table10[[#This Row],[source2]],Table2210[Label],1,FALSE)),"SPOKE","FOCUS"),"HUB")</f>
        <v>HUB</v>
      </c>
      <c r="F375" s="32" t="str">
        <f>IF(ISERROR(VLOOKUP(Table10[[#This Row],[target2]],Table22[Label],1,FALSE)),IF(ISERROR(VLOOKUP(Table10[[#This Row],[target2]],Table2210[Label],1,FALSE)),"SPOKE","FOCUS"),"HUB")</f>
        <v>SPOKE</v>
      </c>
      <c r="G375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375" s="46" t="s">
        <v>2135</v>
      </c>
      <c r="I375" s="47" t="s">
        <v>2136</v>
      </c>
      <c r="J375" s="47" t="s">
        <v>738</v>
      </c>
      <c r="K375" s="47" t="s">
        <v>2137</v>
      </c>
      <c r="L375" s="47" t="s">
        <v>738</v>
      </c>
      <c r="M375" s="47" t="s">
        <v>2138</v>
      </c>
      <c r="N375">
        <v>94</v>
      </c>
      <c r="O375">
        <v>94</v>
      </c>
      <c r="P375" s="11" t="s">
        <v>727</v>
      </c>
    </row>
    <row r="376" spans="1:16" x14ac:dyDescent="0.2">
      <c r="A376">
        <v>700</v>
      </c>
      <c r="B376">
        <v>635</v>
      </c>
      <c r="C376" t="str">
        <f>VLOOKUP(Table10[[#This Row],[source]],Table2226[[#All],[ID]:[Label]],3,FALSE)</f>
        <v>PHL</v>
      </c>
      <c r="D376" t="str">
        <f>VLOOKUP(Table10[[#This Row],[target]],Table2226[[#All],[ID]:[Label]],3,FALSE)</f>
        <v>IPT</v>
      </c>
      <c r="E376" s="32" t="str">
        <f>IF(ISERROR(VLOOKUP(Table10[[#This Row],[source2]],Table22[Label],1,FALSE)),IF(ISERROR(VLOOKUP(Table10[[#This Row],[source2]],Table2210[Label],1,FALSE)),"SPOKE","FOCUS"),"HUB")</f>
        <v>HUB</v>
      </c>
      <c r="F376" s="32" t="str">
        <f>IF(ISERROR(VLOOKUP(Table10[[#This Row],[target2]],Table22[Label],1,FALSE)),IF(ISERROR(VLOOKUP(Table10[[#This Row],[target2]],Table2210[Label],1,FALSE)),"SPOKE","FOCUS"),"HUB")</f>
        <v>SPOKE</v>
      </c>
      <c r="G376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376" s="46" t="s">
        <v>1005</v>
      </c>
      <c r="I376" s="47" t="s">
        <v>1006</v>
      </c>
      <c r="J376" s="47" t="s">
        <v>738</v>
      </c>
      <c r="K376" s="47" t="s">
        <v>1007</v>
      </c>
      <c r="L376" s="47" t="s">
        <v>738</v>
      </c>
      <c r="M376" s="47" t="s">
        <v>1008</v>
      </c>
      <c r="N376">
        <v>88</v>
      </c>
      <c r="O376">
        <v>88</v>
      </c>
      <c r="P376" s="11" t="s">
        <v>727</v>
      </c>
    </row>
    <row r="377" spans="1:16" x14ac:dyDescent="0.2">
      <c r="A377">
        <v>736</v>
      </c>
      <c r="B377">
        <v>534</v>
      </c>
      <c r="C377" t="str">
        <f>VLOOKUP(Table10[[#This Row],[source]],Table2226[[#All],[ID]:[Label]],3,FALSE)</f>
        <v>SLC</v>
      </c>
      <c r="D377" t="str">
        <f>VLOOKUP(Table10[[#This Row],[target]],Table2226[[#All],[ID]:[Label]],3,FALSE)</f>
        <v>BTM</v>
      </c>
      <c r="E377" s="32" t="str">
        <f>IF(ISERROR(VLOOKUP(Table10[[#This Row],[source2]],Table22[Label],1,FALSE)),IF(ISERROR(VLOOKUP(Table10[[#This Row],[source2]],Table2210[Label],1,FALSE)),"SPOKE","FOCUS"),"HUB")</f>
        <v>HUB</v>
      </c>
      <c r="F377" s="32" t="str">
        <f>IF(ISERROR(VLOOKUP(Table10[[#This Row],[target2]],Table22[Label],1,FALSE)),IF(ISERROR(VLOOKUP(Table10[[#This Row],[target2]],Table2210[Label],1,FALSE)),"SPOKE","FOCUS"),"HUB")</f>
        <v>SPOKE</v>
      </c>
      <c r="G377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377" s="46" t="s">
        <v>2353</v>
      </c>
      <c r="I377" s="47" t="s">
        <v>2354</v>
      </c>
      <c r="J377" s="47" t="s">
        <v>738</v>
      </c>
      <c r="K377" s="47" t="s">
        <v>2355</v>
      </c>
      <c r="L377" s="47" t="s">
        <v>738</v>
      </c>
      <c r="M377" s="47" t="s">
        <v>2356</v>
      </c>
      <c r="N377">
        <v>55</v>
      </c>
      <c r="O377">
        <v>55</v>
      </c>
      <c r="P377" s="11" t="s">
        <v>727</v>
      </c>
    </row>
    <row r="378" spans="1:16" x14ac:dyDescent="0.2">
      <c r="A378">
        <v>648</v>
      </c>
      <c r="B378">
        <v>563</v>
      </c>
      <c r="C378" t="str">
        <f>VLOOKUP(Table10[[#This Row],[source]],Table2226[[#All],[ID]:[Label]],3,FALSE)</f>
        <v>LAX</v>
      </c>
      <c r="D378" t="str">
        <f>VLOOKUP(Table10[[#This Row],[target]],Table2226[[#All],[ID]:[Label]],3,FALSE)</f>
        <v>CRQ</v>
      </c>
      <c r="E378" s="32" t="str">
        <f>IF(ISERROR(VLOOKUP(Table10[[#This Row],[source2]],Table22[Label],1,FALSE)),IF(ISERROR(VLOOKUP(Table10[[#This Row],[source2]],Table2210[Label],1,FALSE)),"SPOKE","FOCUS"),"HUB")</f>
        <v>HUB</v>
      </c>
      <c r="F378" s="32" t="str">
        <f>IF(ISERROR(VLOOKUP(Table10[[#This Row],[target2]],Table22[Label],1,FALSE)),IF(ISERROR(VLOOKUP(Table10[[#This Row],[target2]],Table2210[Label],1,FALSE)),"SPOKE","FOCUS"),"HUB")</f>
        <v>SPOKE</v>
      </c>
      <c r="G378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378" s="46" t="s">
        <v>2291</v>
      </c>
      <c r="I378" s="47" t="s">
        <v>2292</v>
      </c>
      <c r="J378" s="47" t="s">
        <v>2293</v>
      </c>
      <c r="K378" s="47" t="s">
        <v>2294</v>
      </c>
      <c r="L378" s="47" t="s">
        <v>738</v>
      </c>
      <c r="M378" s="47" t="s">
        <v>2295</v>
      </c>
      <c r="N378">
        <v>10</v>
      </c>
      <c r="O378">
        <v>10</v>
      </c>
      <c r="P378" s="11" t="s">
        <v>727</v>
      </c>
    </row>
    <row r="379" spans="1:16" x14ac:dyDescent="0.2">
      <c r="A379">
        <v>574</v>
      </c>
      <c r="B379">
        <v>567</v>
      </c>
      <c r="C379" t="str">
        <f>VLOOKUP(Table10[[#This Row],[source]],Table2226[[#All],[ID]:[Label]],3,FALSE)</f>
        <v>DEN</v>
      </c>
      <c r="D379" t="str">
        <f>VLOOKUP(Table10[[#This Row],[target]],Table2226[[#All],[ID]:[Label]],3,FALSE)</f>
        <v>CYS</v>
      </c>
      <c r="E379" s="32" t="str">
        <f>IF(ISERROR(VLOOKUP(Table10[[#This Row],[source2]],Table22[Label],1,FALSE)),IF(ISERROR(VLOOKUP(Table10[[#This Row],[source2]],Table2210[Label],1,FALSE)),"SPOKE","FOCUS"),"HUB")</f>
        <v>HUB</v>
      </c>
      <c r="F379" s="32" t="str">
        <f>IF(ISERROR(VLOOKUP(Table10[[#This Row],[target2]],Table22[Label],1,FALSE)),IF(ISERROR(VLOOKUP(Table10[[#This Row],[target2]],Table2210[Label],1,FALSE)),"SPOKE","FOCUS"),"HUB")</f>
        <v>SPOKE</v>
      </c>
      <c r="G379" s="32" t="str">
        <f>IF(Table10[[#This Row],[source-type]]&lt;Table10[[#This Row],[target-type]],Table10[[#This Row],[target-type]]&amp;"-"&amp;Table10[[#This Row],[source-type]],Table10[[#This Row],[source-type]]&amp;"-"&amp;Table10[[#This Row],[target-type]])</f>
        <v>SPOKE-HUB</v>
      </c>
      <c r="H379" s="46" t="s">
        <v>1556</v>
      </c>
      <c r="I379" s="47" t="s">
        <v>1557</v>
      </c>
      <c r="J379" s="47" t="s">
        <v>1558</v>
      </c>
      <c r="K379" s="47" t="s">
        <v>1559</v>
      </c>
      <c r="L379" s="47" t="s">
        <v>738</v>
      </c>
      <c r="M379" s="47" t="s">
        <v>1560</v>
      </c>
      <c r="N379">
        <v>7</v>
      </c>
      <c r="O379">
        <v>7</v>
      </c>
      <c r="P379" s="11" t="s">
        <v>727</v>
      </c>
    </row>
    <row r="380" spans="1:16" x14ac:dyDescent="0.2">
      <c r="C380" s="118"/>
      <c r="D380" s="118"/>
      <c r="N380">
        <f>SUBTOTAL(109,Table10[weight])</f>
        <v>320475</v>
      </c>
    </row>
    <row r="383" spans="1:16" x14ac:dyDescent="0.2">
      <c r="H383" s="48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80C91-8E1B-E946-BDB8-E3B29558B4EE}">
  <dimension ref="A1:AM141"/>
  <sheetViews>
    <sheetView topLeftCell="A110" workbookViewId="0">
      <selection activeCell="D134" sqref="D134"/>
    </sheetView>
  </sheetViews>
  <sheetFormatPr baseColWidth="10" defaultRowHeight="16" x14ac:dyDescent="0.2"/>
  <cols>
    <col min="1" max="1" width="22.33203125" style="5" bestFit="1" customWidth="1"/>
    <col min="2" max="2" width="13" style="5" bestFit="1" customWidth="1"/>
    <col min="3" max="3" width="20.1640625" style="5" customWidth="1"/>
    <col min="4" max="4" width="14.6640625" style="5" bestFit="1" customWidth="1"/>
    <col min="5" max="5" width="15.6640625" style="5" bestFit="1" customWidth="1"/>
    <col min="6" max="6" width="21.5" style="5" customWidth="1"/>
    <col min="7" max="7" width="12.33203125" style="5" customWidth="1"/>
    <col min="8" max="8" width="22.33203125" style="5" bestFit="1" customWidth="1"/>
    <col min="9" max="9" width="12.33203125" style="5" customWidth="1"/>
    <col min="10" max="10" width="21.33203125" style="5" customWidth="1"/>
    <col min="11" max="11" width="16.33203125" style="5" bestFit="1" customWidth="1"/>
    <col min="12" max="12" width="15.1640625" style="5" bestFit="1" customWidth="1"/>
    <col min="13" max="13" width="14.83203125" style="5" customWidth="1"/>
    <col min="14" max="14" width="11" style="5" customWidth="1"/>
    <col min="15" max="15" width="17.6640625" style="5" customWidth="1"/>
    <col min="16" max="16" width="18" style="5" customWidth="1"/>
    <col min="17" max="17" width="22.33203125" style="5" bestFit="1" customWidth="1"/>
    <col min="18" max="19" width="13.33203125" style="5" bestFit="1" customWidth="1"/>
    <col min="20" max="20" width="15.5" style="5" bestFit="1" customWidth="1"/>
    <col min="21" max="21" width="16.83203125" style="5" bestFit="1" customWidth="1"/>
    <col min="22" max="22" width="17.1640625" style="5" bestFit="1" customWidth="1"/>
    <col min="23" max="23" width="20.5" style="5" bestFit="1" customWidth="1"/>
    <col min="24" max="24" width="18.5" style="5" bestFit="1" customWidth="1"/>
    <col min="25" max="25" width="10.83203125" style="5"/>
    <col min="26" max="26" width="12.83203125" style="5" bestFit="1" customWidth="1"/>
    <col min="27" max="30" width="10.83203125" style="5"/>
    <col min="31" max="31" width="14" style="5" customWidth="1"/>
    <col min="32" max="32" width="13.6640625" style="5" customWidth="1"/>
    <col min="33" max="33" width="12.5" style="5" customWidth="1"/>
    <col min="34" max="34" width="10.83203125" style="5"/>
    <col min="35" max="35" width="13.1640625" style="5" customWidth="1"/>
    <col min="36" max="36" width="12.83203125" style="5" bestFit="1" customWidth="1"/>
    <col min="37" max="39" width="12.1640625" style="5" customWidth="1"/>
    <col min="40" max="40" width="10.83203125" style="5"/>
    <col min="41" max="41" width="22.33203125" style="5" bestFit="1" customWidth="1"/>
    <col min="42" max="42" width="52.83203125" style="5" bestFit="1" customWidth="1"/>
    <col min="43" max="43" width="60.6640625" style="5" bestFit="1" customWidth="1"/>
    <col min="44" max="16384" width="10.83203125" style="5"/>
  </cols>
  <sheetData>
    <row r="1" spans="1:38" x14ac:dyDescent="0.2">
      <c r="A1" s="59" t="s">
        <v>2378</v>
      </c>
      <c r="B1" s="59" t="s">
        <v>2379</v>
      </c>
      <c r="C1" s="60" t="s">
        <v>730</v>
      </c>
      <c r="D1" s="59" t="s">
        <v>357</v>
      </c>
      <c r="E1" s="59" t="s">
        <v>2380</v>
      </c>
      <c r="F1" s="59" t="s">
        <v>2381</v>
      </c>
      <c r="G1" s="59" t="s">
        <v>2383</v>
      </c>
      <c r="H1" s="59" t="s">
        <v>2451</v>
      </c>
      <c r="I1" s="59" t="s">
        <v>2452</v>
      </c>
      <c r="K1" s="59" t="s">
        <v>2378</v>
      </c>
      <c r="L1" s="59" t="s">
        <v>2379</v>
      </c>
      <c r="M1" s="60" t="s">
        <v>731</v>
      </c>
      <c r="N1" s="59" t="s">
        <v>357</v>
      </c>
      <c r="O1" s="59" t="s">
        <v>2380</v>
      </c>
      <c r="P1" s="59" t="s">
        <v>2381</v>
      </c>
      <c r="Q1" s="59" t="s">
        <v>2383</v>
      </c>
      <c r="R1" s="59" t="s">
        <v>2451</v>
      </c>
      <c r="S1" s="59" t="s">
        <v>2452</v>
      </c>
      <c r="U1" s="59" t="s">
        <v>2378</v>
      </c>
      <c r="V1" s="59" t="s">
        <v>2379</v>
      </c>
      <c r="W1" s="60" t="s">
        <v>732</v>
      </c>
      <c r="X1" s="59" t="s">
        <v>357</v>
      </c>
      <c r="Y1" s="59" t="s">
        <v>2380</v>
      </c>
      <c r="Z1" s="59" t="s">
        <v>2381</v>
      </c>
      <c r="AA1" s="59" t="s">
        <v>2383</v>
      </c>
      <c r="AB1" s="59" t="s">
        <v>2451</v>
      </c>
      <c r="AC1" s="59" t="s">
        <v>2452</v>
      </c>
      <c r="AE1" s="59" t="s">
        <v>2378</v>
      </c>
      <c r="AF1" s="59" t="s">
        <v>2379</v>
      </c>
      <c r="AG1" s="59" t="s">
        <v>357</v>
      </c>
      <c r="AH1" s="59" t="s">
        <v>2380</v>
      </c>
      <c r="AI1" s="59" t="s">
        <v>2381</v>
      </c>
      <c r="AJ1" s="59" t="s">
        <v>2383</v>
      </c>
      <c r="AK1" s="59" t="s">
        <v>2451</v>
      </c>
      <c r="AL1" s="59" t="s">
        <v>2452</v>
      </c>
    </row>
    <row r="2" spans="1:38" x14ac:dyDescent="0.2">
      <c r="A2" s="92" t="s">
        <v>133</v>
      </c>
      <c r="B2" s="93" t="s">
        <v>134</v>
      </c>
      <c r="C2" s="61">
        <v>0</v>
      </c>
      <c r="D2" s="62">
        <v>7566</v>
      </c>
      <c r="E2" s="63" t="str">
        <f>IF(ISERROR(VLOOKUP(Table33[[#This Row],[source2]],Table22[Label],1,FALSE)),IF(ISERROR(VLOOKUP(Table33[[#This Row],[source2]],Table2210[Label],1,FALSE)),"SPOKE","FOCUS"),"HUB")</f>
        <v>HUB</v>
      </c>
      <c r="F2" s="63" t="str">
        <f>IF(ISERROR(VLOOKUP(Table33[[#This Row],[target2]],Table22[Label],1,FALSE)),IF(ISERROR(VLOOKUP(Table33[[#This Row],[target2]],Table2210[Label],1,FALSE)),"SPOKE","FOCUS"),"HUB")</f>
        <v>FOCUS</v>
      </c>
      <c r="G2" s="63" t="str">
        <f>IF(Table33[[#This Row],[source-type]]&lt;Table33[[#This Row],[target-type]],Table33[[#This Row],[target-type]]&amp;"-"&amp;Table33[[#This Row],[source-type]],Table33[[#This Row],[source-type]]&amp;"-"&amp;Table33[[#This Row],[target-type]])</f>
        <v>HUB-FOCUS</v>
      </c>
      <c r="H2" s="63">
        <f>IF(ISERROR(VLOOKUP(Table33[[#This Row],[source2]],Table22[[Label]:[Weighted Degree]],3,FALSE)),IF(ISERROR(VLOOKUP(Table33[[#This Row],[source2]],Table2210[[Label]:[Weighted Degree]],3,FALSE)),IF(ISERROR(VLOOKUP(Table33[[#This Row],[source2]],Table2214[[Label]:[Weighted Degree]],3,FALSE)),FALSE,VLOOKUP(Table33[[#This Row],[source2]],Table2214[[Label]:[Weighted Degree]],3,FALSE)),VLOOKUP(Table33[[#This Row],[source2]],Table2210[[Label]:[Weighted Degree]],3,FALSE)),VLOOKUP(Table33[[#This Row],[source2]],Table22[[Label]:[Weighted Degree]],3,FALSE))</f>
        <v>39711</v>
      </c>
      <c r="I2" s="63">
        <f>IF(ISERROR(VLOOKUP(Table33[[#This Row],[target2]],Table22[[Label]:[Weighted Degree]],3,FALSE)),IF(ISERROR(VLOOKUP(Table33[[#This Row],[target2]],Table2210[[Label]:[Weighted Degree]],3,FALSE)),IF(ISERROR(VLOOKUP(Table33[[#This Row],[target2]],Table2214[[Label]:[Weighted Degree]],3,FALSE)),FALSE,VLOOKUP(Table33[[#This Row],[target2]],Table2214[[Label]:[Weighted Degree]],3,FALSE)),VLOOKUP(Table33[[#This Row],[target2]],Table2210[[Label]:[Weighted Degree]],3,FALSE)),VLOOKUP(Table33[[#This Row],[target2]],Table22[[Label]:[Weighted Degree]],3,FALSE))</f>
        <v>26074</v>
      </c>
      <c r="K2" s="14" t="s">
        <v>131</v>
      </c>
      <c r="L2" s="14" t="s">
        <v>144</v>
      </c>
      <c r="M2" s="64" t="s">
        <v>738</v>
      </c>
      <c r="N2" s="14">
        <v>6626</v>
      </c>
      <c r="O2" s="63" t="str">
        <f>IF(ISERROR(VLOOKUP(Table34[[#This Row],[source2]],Table22[Label],1,FALSE)),IF(ISERROR(VLOOKUP(Table34[[#This Row],[source2]],Table2210[Label],1,FALSE)),"SPOKE","FOCUS"),"HUB")</f>
        <v>HUB</v>
      </c>
      <c r="P2" s="63" t="str">
        <f>IF(ISERROR(VLOOKUP(Table34[[#This Row],[target2]],Table22[Label],1,FALSE)),IF(ISERROR(VLOOKUP(Table34[[#This Row],[target2]],Table2210[Label],1,FALSE)),"SPOKE","FOCUS"),"HUB")</f>
        <v>FOCUS</v>
      </c>
      <c r="Q2" s="63" t="str">
        <f>IF(Table34[[#This Row],[source-type]]&lt;Table34[[#This Row],[target-type]],Table34[[#This Row],[target-type]]&amp;"-"&amp;Table34[[#This Row],[source-type]],Table34[[#This Row],[source-type]]&amp;"-"&amp;Table34[[#This Row],[target-type]])</f>
        <v>HUB-FOCUS</v>
      </c>
      <c r="R2" s="104">
        <f>IF(ISERROR(VLOOKUP(Table34[[#This Row],[source2]],Table22[[Label]:[Weighted Degree]],3,FALSE)),IF(ISERROR(VLOOKUP(Table34[[#This Row],[source2]],Table2210[[Label]:[Weighted Degree]],3,FALSE)),IF(ISERROR(VLOOKUP(Table34[[#This Row],[source2]],Table2214[[Label]:[Weighted Degree]],3,FALSE)),FALSE,VLOOKUP(Table34[[#This Row],[source2]],Table2214[[Label]:[Weighted Degree]],3,FALSE)),VLOOKUP(Table34[[#This Row],[source2]],Table2210[[Label]:[Weighted Degree]],3,FALSE)),VLOOKUP(Table34[[#This Row],[source2]],Table22[[Label]:[Weighted Degree]],3,FALSE))</f>
        <v>44350</v>
      </c>
      <c r="S2" s="104">
        <f>IF(ISERROR(VLOOKUP(Table34[[#This Row],[target2]],Table22[[Label]:[Weighted Degree]],3,FALSE)),IF(ISERROR(VLOOKUP(Table34[[#This Row],[target2]],Table2210[[Label]:[Weighted Degree]],3,FALSE)),IF(ISERROR(VLOOKUP(Table34[[#This Row],[target2]],Table2214[[Label]:[Weighted Degree]],3,FALSE)),FALSE,VLOOKUP(Table34[[#This Row],[target2]],Table2214[[Label]:[Weighted Degree]],3,FALSE)),VLOOKUP(Table34[[#This Row],[target2]],Table2210[[Label]:[Weighted Degree]],3,FALSE)),VLOOKUP(Table34[[#This Row],[target2]],Table22[[Label]:[Weighted Degree]],3,FALSE))</f>
        <v>22088</v>
      </c>
      <c r="U2" s="65" t="s">
        <v>133</v>
      </c>
      <c r="V2" s="65" t="s">
        <v>150</v>
      </c>
      <c r="W2" s="66" t="s">
        <v>1195</v>
      </c>
      <c r="X2" s="65">
        <v>123</v>
      </c>
      <c r="Y2" s="63" t="str">
        <f>IF(ISERROR(VLOOKUP(Table36[[#This Row],[source2]],Table22[Label],1,FALSE)),IF(ISERROR(VLOOKUP(Table36[[#This Row],[source2]],Table2210[Label],1,FALSE)),"SPOKE","FOCUS"),"HUB")</f>
        <v>HUB</v>
      </c>
      <c r="Z2" s="63" t="str">
        <f>IF(ISERROR(VLOOKUP(Table36[[#This Row],[target2]],Table22[Label],1,FALSE)),IF(ISERROR(VLOOKUP(Table36[[#This Row],[target2]],Table2210[Label],1,FALSE)),"SPOKE","FOCUS"),"HUB")</f>
        <v>SPOKE</v>
      </c>
      <c r="AA2" s="63" t="str">
        <f>IF(Table36[[#This Row],[source-type]]&lt;Table36[[#This Row],[target-type]],Table36[[#This Row],[target-type]]&amp;"-"&amp;Table36[[#This Row],[source-type]],Table36[[#This Row],[source-type]]&amp;"-"&amp;Table36[[#This Row],[target-type]])</f>
        <v>SPOKE-HUB</v>
      </c>
      <c r="AB2" s="104">
        <f>IF(ISERROR(VLOOKUP(Table36[[#This Row],[source2]],Table22[[Label]:[Weighted Degree]],3,FALSE)),IF(ISERROR(VLOOKUP(Table36[[#This Row],[source2]],Table2210[[Label]:[Weighted Degree]],3,FALSE)),IF(ISERROR(VLOOKUP(Table36[[#This Row],[source2]],Table2214[[Label]:[Weighted Degree]],3,FALSE)),FALSE,VLOOKUP(Table36[[#This Row],[source2]],Table2214[[Label]:[Weighted Degree]],3,FALSE)),VLOOKUP(Table36[[#This Row],[source2]],Table2210[[Label]:[Weighted Degree]],3,FALSE)),VLOOKUP(Table36[[#This Row],[source2]],Table22[[Label]:[Weighted Degree]],3,FALSE))</f>
        <v>39711</v>
      </c>
      <c r="AC2" s="104">
        <f>IF(ISERROR(VLOOKUP(Table36[[#This Row],[target2]],Table22[[Label]:[Weighted Degree]],3,FALSE)),IF(ISERROR(VLOOKUP(Table36[[#This Row],[target2]],Table2210[[Label]:[Weighted Degree]],3,FALSE)),IF(ISERROR(VLOOKUP(Table36[[#This Row],[target2]],Table2214[[Label]:[Weighted Degree]],3,FALSE)),FALSE,VLOOKUP(Table36[[#This Row],[target2]],Table2214[[Label]:[Weighted Degree]],3,FALSE)),VLOOKUP(Table36[[#This Row],[target2]],Table2210[[Label]:[Weighted Degree]],3,FALSE)),VLOOKUP(Table36[[#This Row],[target2]],Table22[[Label]:[Weighted Degree]],3,FALSE))</f>
        <v>10215</v>
      </c>
      <c r="AE2" s="14" t="s">
        <v>131</v>
      </c>
      <c r="AF2" s="14" t="s">
        <v>144</v>
      </c>
      <c r="AG2" s="14">
        <v>6626</v>
      </c>
      <c r="AH2" s="63" t="str">
        <f>IF(ISERROR(VLOOKUP(Table17[[#This Row],[source2]],Table22[Label],1,FALSE)),IF(ISERROR(VLOOKUP(Table17[[#This Row],[source2]],Table2210[Label],1,FALSE)),"SPOKE","FOCUS"),"HUB")</f>
        <v>HUB</v>
      </c>
      <c r="AI2" s="63" t="str">
        <f>IF(ISERROR(VLOOKUP(Table17[[#This Row],[target2]],Table22[Label],1,FALSE)),IF(ISERROR(VLOOKUP(Table17[[#This Row],[target2]],Table2210[Label],1,FALSE)),"SPOKE","FOCUS"),"HUB")</f>
        <v>FOCUS</v>
      </c>
      <c r="AJ2" s="63" t="str">
        <f>IF(Table17[[#This Row],[source-type]]&lt;Table17[[#This Row],[target-type]],Table17[[#This Row],[target-type]]&amp;"-"&amp;Table17[[#This Row],[source-type]],Table17[[#This Row],[source-type]]&amp;"-"&amp;Table17[[#This Row],[target-type]])</f>
        <v>HUB-FOCUS</v>
      </c>
      <c r="AK2" s="104">
        <f>IF(ISERROR(VLOOKUP(Table17[[#This Row],[source2]],Table22[[Label]:[Weighted Degree]],3,FALSE)),IF(ISERROR(VLOOKUP(Table17[[#This Row],[source2]],Table2210[[Label]:[Weighted Degree]],3,FALSE)),IF(ISERROR(VLOOKUP(Table17[[#This Row],[source2]],Table2214[[Label]:[Weighted Degree]],3,FALSE)),FALSE,VLOOKUP(Table17[[#This Row],[source2]],Table2214[[Label]:[Weighted Degree]],3,FALSE)),VLOOKUP(Table17[[#This Row],[source2]],Table2210[[Label]:[Weighted Degree]],3,FALSE)),VLOOKUP(Table17[[#This Row],[source2]],Table22[[Label]:[Weighted Degree]],3,FALSE))</f>
        <v>44350</v>
      </c>
      <c r="AL2" s="104">
        <f>IF(ISERROR(VLOOKUP(Table17[[#This Row],[target2]],Table22[[Label]:[Weighted Degree]],3,FALSE)),IF(ISERROR(VLOOKUP(Table17[[#This Row],[target2]],Table2210[[Label]:[Weighted Degree]],3,FALSE)),IF(ISERROR(VLOOKUP(Table17[[#This Row],[target2]],Table2214[[Label]:[Weighted Degree]],3,FALSE)),FALSE,VLOOKUP(Table17[[#This Row],[target2]],Table2214[[Label]:[Weighted Degree]],3,FALSE)),VLOOKUP(Table17[[#This Row],[target2]],Table2210[[Label]:[Weighted Degree]],3,FALSE)),VLOOKUP(Table17[[#This Row],[target2]],Table22[[Label]:[Weighted Degree]],3,FALSE))</f>
        <v>22088</v>
      </c>
    </row>
    <row r="3" spans="1:38" x14ac:dyDescent="0.2">
      <c r="A3" s="68" t="s">
        <v>132</v>
      </c>
      <c r="B3" s="68" t="s">
        <v>131</v>
      </c>
      <c r="C3" s="67" t="s">
        <v>1731</v>
      </c>
      <c r="D3" s="62">
        <v>5468</v>
      </c>
      <c r="E3" s="63" t="str">
        <f>IF(ISERROR(VLOOKUP(Table33[[#This Row],[source2]],Table22[Label],1,FALSE)),IF(ISERROR(VLOOKUP(Table33[[#This Row],[source2]],Table2210[Label],1,FALSE)),"SPOKE","FOCUS"),"HUB")</f>
        <v>HUB</v>
      </c>
      <c r="F3" s="63" t="str">
        <f>IF(ISERROR(VLOOKUP(Table33[[#This Row],[target2]],Table22[Label],1,FALSE)),IF(ISERROR(VLOOKUP(Table33[[#This Row],[target2]],Table2210[Label],1,FALSE)),"SPOKE","FOCUS"),"HUB")</f>
        <v>HUB</v>
      </c>
      <c r="G3" s="63" t="str">
        <f>IF(Table33[[#This Row],[source-type]]&lt;Table33[[#This Row],[target-type]],Table33[[#This Row],[target-type]]&amp;"-"&amp;Table33[[#This Row],[source-type]],Table33[[#This Row],[source-type]]&amp;"-"&amp;Table33[[#This Row],[target-type]])</f>
        <v>HUB-HUB</v>
      </c>
      <c r="H3" s="63">
        <f>IF(ISERROR(VLOOKUP(Table33[[#This Row],[source2]],Table22[[Label]:[Weighted Degree]],3,FALSE)),IF(ISERROR(VLOOKUP(Table33[[#This Row],[source2]],Table2210[[Label]:[Weighted Degree]],3,FALSE)),IF(ISERROR(VLOOKUP(Table33[[#This Row],[source2]],Table2214[[Label]:[Weighted Degree]],3,FALSE)),FALSE,VLOOKUP(Table33[[#This Row],[source2]],Table2214[[Label]:[Weighted Degree]],3,FALSE)),VLOOKUP(Table33[[#This Row],[source2]],Table2210[[Label]:[Weighted Degree]],3,FALSE)),VLOOKUP(Table33[[#This Row],[source2]],Table22[[Label]:[Weighted Degree]],3,FALSE))</f>
        <v>23813</v>
      </c>
      <c r="I3" s="63">
        <f>IF(ISERROR(VLOOKUP(Table33[[#This Row],[target2]],Table22[[Label]:[Weighted Degree]],3,FALSE)),IF(ISERROR(VLOOKUP(Table33[[#This Row],[target2]],Table2210[[Label]:[Weighted Degree]],3,FALSE)),IF(ISERROR(VLOOKUP(Table33[[#This Row],[target2]],Table2214[[Label]:[Weighted Degree]],3,FALSE)),FALSE,VLOOKUP(Table33[[#This Row],[target2]],Table2214[[Label]:[Weighted Degree]],3,FALSE)),VLOOKUP(Table33[[#This Row],[target2]],Table2210[[Label]:[Weighted Degree]],3,FALSE)),VLOOKUP(Table33[[#This Row],[target2]],Table22[[Label]:[Weighted Degree]],3,FALSE))</f>
        <v>44350</v>
      </c>
      <c r="K3" s="14" t="s">
        <v>133</v>
      </c>
      <c r="L3" s="14" t="s">
        <v>131</v>
      </c>
      <c r="M3" s="64" t="s">
        <v>738</v>
      </c>
      <c r="N3" s="14">
        <v>3664</v>
      </c>
      <c r="O3" s="63" t="str">
        <f>IF(ISERROR(VLOOKUP(Table34[[#This Row],[source2]],Table22[Label],1,FALSE)),IF(ISERROR(VLOOKUP(Table34[[#This Row],[source2]],Table2210[Label],1,FALSE)),"SPOKE","FOCUS"),"HUB")</f>
        <v>HUB</v>
      </c>
      <c r="P3" s="63" t="str">
        <f>IF(ISERROR(VLOOKUP(Table34[[#This Row],[target2]],Table22[Label],1,FALSE)),IF(ISERROR(VLOOKUP(Table34[[#This Row],[target2]],Table2210[Label],1,FALSE)),"SPOKE","FOCUS"),"HUB")</f>
        <v>HUB</v>
      </c>
      <c r="Q3" s="63" t="str">
        <f>IF(Table34[[#This Row],[source-type]]&lt;Table34[[#This Row],[target-type]],Table34[[#This Row],[target-type]]&amp;"-"&amp;Table34[[#This Row],[source-type]],Table34[[#This Row],[source-type]]&amp;"-"&amp;Table34[[#This Row],[target-type]])</f>
        <v>HUB-HUB</v>
      </c>
      <c r="R3" s="104">
        <f>IF(ISERROR(VLOOKUP(Table34[[#This Row],[source2]],Table22[[Label]:[Weighted Degree]],3,FALSE)),IF(ISERROR(VLOOKUP(Table34[[#This Row],[source2]],Table2210[[Label]:[Weighted Degree]],3,FALSE)),IF(ISERROR(VLOOKUP(Table34[[#This Row],[source2]],Table2214[[Label]:[Weighted Degree]],3,FALSE)),FALSE,VLOOKUP(Table34[[#This Row],[source2]],Table2214[[Label]:[Weighted Degree]],3,FALSE)),VLOOKUP(Table34[[#This Row],[source2]],Table2210[[Label]:[Weighted Degree]],3,FALSE)),VLOOKUP(Table34[[#This Row],[source2]],Table22[[Label]:[Weighted Degree]],3,FALSE))</f>
        <v>39711</v>
      </c>
      <c r="S3" s="104">
        <f>IF(ISERROR(VLOOKUP(Table34[[#This Row],[target2]],Table22[[Label]:[Weighted Degree]],3,FALSE)),IF(ISERROR(VLOOKUP(Table34[[#This Row],[target2]],Table2210[[Label]:[Weighted Degree]],3,FALSE)),IF(ISERROR(VLOOKUP(Table34[[#This Row],[target2]],Table2214[[Label]:[Weighted Degree]],3,FALSE)),FALSE,VLOOKUP(Table34[[#This Row],[target2]],Table2214[[Label]:[Weighted Degree]],3,FALSE)),VLOOKUP(Table34[[#This Row],[target2]],Table2210[[Label]:[Weighted Degree]],3,FALSE)),VLOOKUP(Table34[[#This Row],[target2]],Table22[[Label]:[Weighted Degree]],3,FALSE))</f>
        <v>44350</v>
      </c>
      <c r="U3" s="62" t="s">
        <v>132</v>
      </c>
      <c r="V3" s="62" t="s">
        <v>131</v>
      </c>
      <c r="W3" s="67" t="s">
        <v>1732</v>
      </c>
      <c r="X3" s="62">
        <v>5468</v>
      </c>
      <c r="Y3" s="63" t="str">
        <f>IF(ISERROR(VLOOKUP(Table36[[#This Row],[source2]],Table22[Label],1,FALSE)),IF(ISERROR(VLOOKUP(Table36[[#This Row],[source2]],Table2210[Label],1,FALSE)),"SPOKE","FOCUS"),"HUB")</f>
        <v>HUB</v>
      </c>
      <c r="Z3" s="63" t="str">
        <f>IF(ISERROR(VLOOKUP(Table36[[#This Row],[target2]],Table22[Label],1,FALSE)),IF(ISERROR(VLOOKUP(Table36[[#This Row],[target2]],Table2210[Label],1,FALSE)),"SPOKE","FOCUS"),"HUB")</f>
        <v>HUB</v>
      </c>
      <c r="AA3" s="63" t="str">
        <f>IF(Table36[[#This Row],[source-type]]&lt;Table36[[#This Row],[target-type]],Table36[[#This Row],[target-type]]&amp;"-"&amp;Table36[[#This Row],[source-type]],Table36[[#This Row],[source-type]]&amp;"-"&amp;Table36[[#This Row],[target-type]])</f>
        <v>HUB-HUB</v>
      </c>
      <c r="AB3" s="104">
        <f>IF(ISERROR(VLOOKUP(Table36[[#This Row],[source2]],Table22[[Label]:[Weighted Degree]],3,FALSE)),IF(ISERROR(VLOOKUP(Table36[[#This Row],[source2]],Table2210[[Label]:[Weighted Degree]],3,FALSE)),IF(ISERROR(VLOOKUP(Table36[[#This Row],[source2]],Table2214[[Label]:[Weighted Degree]],3,FALSE)),FALSE,VLOOKUP(Table36[[#This Row],[source2]],Table2214[[Label]:[Weighted Degree]],3,FALSE)),VLOOKUP(Table36[[#This Row],[source2]],Table2210[[Label]:[Weighted Degree]],3,FALSE)),VLOOKUP(Table36[[#This Row],[source2]],Table22[[Label]:[Weighted Degree]],3,FALSE))</f>
        <v>23813</v>
      </c>
      <c r="AC3" s="104">
        <f>IF(ISERROR(VLOOKUP(Table36[[#This Row],[target2]],Table22[[Label]:[Weighted Degree]],3,FALSE)),IF(ISERROR(VLOOKUP(Table36[[#This Row],[target2]],Table2210[[Label]:[Weighted Degree]],3,FALSE)),IF(ISERROR(VLOOKUP(Table36[[#This Row],[target2]],Table2214[[Label]:[Weighted Degree]],3,FALSE)),FALSE,VLOOKUP(Table36[[#This Row],[target2]],Table2214[[Label]:[Weighted Degree]],3,FALSE)),VLOOKUP(Table36[[#This Row],[target2]],Table2210[[Label]:[Weighted Degree]],3,FALSE)),VLOOKUP(Table36[[#This Row],[target2]],Table22[[Label]:[Weighted Degree]],3,FALSE))</f>
        <v>44350</v>
      </c>
      <c r="AE3" s="14" t="s">
        <v>131</v>
      </c>
      <c r="AF3" s="14" t="s">
        <v>142</v>
      </c>
      <c r="AG3" s="14">
        <v>4457</v>
      </c>
      <c r="AH3" s="63" t="str">
        <f>IF(ISERROR(VLOOKUP(Table17[[#This Row],[source2]],Table22[Label],1,FALSE)),IF(ISERROR(VLOOKUP(Table17[[#This Row],[source2]],Table2210[Label],1,FALSE)),"SPOKE","FOCUS"),"HUB")</f>
        <v>HUB</v>
      </c>
      <c r="AI3" s="63" t="str">
        <f>IF(ISERROR(VLOOKUP(Table17[[#This Row],[target2]],Table22[Label],1,FALSE)),IF(ISERROR(VLOOKUP(Table17[[#This Row],[target2]],Table2210[Label],1,FALSE)),"SPOKE","FOCUS"),"HUB")</f>
        <v>HUB</v>
      </c>
      <c r="AJ3" s="63" t="str">
        <f>IF(Table17[[#This Row],[source-type]]&lt;Table17[[#This Row],[target-type]],Table17[[#This Row],[target-type]]&amp;"-"&amp;Table17[[#This Row],[source-type]],Table17[[#This Row],[source-type]]&amp;"-"&amp;Table17[[#This Row],[target-type]])</f>
        <v>HUB-HUB</v>
      </c>
      <c r="AK3" s="104">
        <f>IF(ISERROR(VLOOKUP(Table17[[#This Row],[source2]],Table22[[Label]:[Weighted Degree]],3,FALSE)),IF(ISERROR(VLOOKUP(Table17[[#This Row],[source2]],Table2210[[Label]:[Weighted Degree]],3,FALSE)),IF(ISERROR(VLOOKUP(Table17[[#This Row],[source2]],Table2214[[Label]:[Weighted Degree]],3,FALSE)),FALSE,VLOOKUP(Table17[[#This Row],[source2]],Table2214[[Label]:[Weighted Degree]],3,FALSE)),VLOOKUP(Table17[[#This Row],[source2]],Table2210[[Label]:[Weighted Degree]],3,FALSE)),VLOOKUP(Table17[[#This Row],[source2]],Table22[[Label]:[Weighted Degree]],3,FALSE))</f>
        <v>44350</v>
      </c>
      <c r="AL3" s="104">
        <f>IF(ISERROR(VLOOKUP(Table17[[#This Row],[target2]],Table22[[Label]:[Weighted Degree]],3,FALSE)),IF(ISERROR(VLOOKUP(Table17[[#This Row],[target2]],Table2210[[Label]:[Weighted Degree]],3,FALSE)),IF(ISERROR(VLOOKUP(Table17[[#This Row],[target2]],Table2214[[Label]:[Weighted Degree]],3,FALSE)),FALSE,VLOOKUP(Table17[[#This Row],[target2]],Table2214[[Label]:[Weighted Degree]],3,FALSE)),VLOOKUP(Table17[[#This Row],[target2]],Table2210[[Label]:[Weighted Degree]],3,FALSE)),VLOOKUP(Table17[[#This Row],[target2]],Table22[[Label]:[Weighted Degree]],3,FALSE))</f>
        <v>18349</v>
      </c>
    </row>
    <row r="4" spans="1:38" x14ac:dyDescent="0.2">
      <c r="A4" s="68" t="s">
        <v>135</v>
      </c>
      <c r="B4" s="68" t="s">
        <v>131</v>
      </c>
      <c r="C4" s="67" t="s">
        <v>997</v>
      </c>
      <c r="D4" s="62">
        <v>6956</v>
      </c>
      <c r="E4" s="63" t="str">
        <f>IF(ISERROR(VLOOKUP(Table33[[#This Row],[source2]],Table22[Label],1,FALSE)),IF(ISERROR(VLOOKUP(Table33[[#This Row],[source2]],Table2210[Label],1,FALSE)),"SPOKE","FOCUS"),"HUB")</f>
        <v>HUB</v>
      </c>
      <c r="F4" s="63" t="str">
        <f>IF(ISERROR(VLOOKUP(Table33[[#This Row],[target2]],Table22[Label],1,FALSE)),IF(ISERROR(VLOOKUP(Table33[[#This Row],[target2]],Table2210[Label],1,FALSE)),"SPOKE","FOCUS"),"HUB")</f>
        <v>HUB</v>
      </c>
      <c r="G4" s="63" t="str">
        <f>IF(Table33[[#This Row],[source-type]]&lt;Table33[[#This Row],[target-type]],Table33[[#This Row],[target-type]]&amp;"-"&amp;Table33[[#This Row],[source-type]],Table33[[#This Row],[source-type]]&amp;"-"&amp;Table33[[#This Row],[target-type]])</f>
        <v>HUB-HUB</v>
      </c>
      <c r="H4" s="63">
        <f>IF(ISERROR(VLOOKUP(Table33[[#This Row],[source2]],Table22[[Label]:[Weighted Degree]],3,FALSE)),IF(ISERROR(VLOOKUP(Table33[[#This Row],[source2]],Table2210[[Label]:[Weighted Degree]],3,FALSE)),IF(ISERROR(VLOOKUP(Table33[[#This Row],[source2]],Table2214[[Label]:[Weighted Degree]],3,FALSE)),FALSE,VLOOKUP(Table33[[#This Row],[source2]],Table2214[[Label]:[Weighted Degree]],3,FALSE)),VLOOKUP(Table33[[#This Row],[source2]],Table2210[[Label]:[Weighted Degree]],3,FALSE)),VLOOKUP(Table33[[#This Row],[source2]],Table22[[Label]:[Weighted Degree]],3,FALSE))</f>
        <v>23724</v>
      </c>
      <c r="I4" s="63">
        <f>IF(ISERROR(VLOOKUP(Table33[[#This Row],[target2]],Table22[[Label]:[Weighted Degree]],3,FALSE)),IF(ISERROR(VLOOKUP(Table33[[#This Row],[target2]],Table2210[[Label]:[Weighted Degree]],3,FALSE)),IF(ISERROR(VLOOKUP(Table33[[#This Row],[target2]],Table2214[[Label]:[Weighted Degree]],3,FALSE)),FALSE,VLOOKUP(Table33[[#This Row],[target2]],Table2214[[Label]:[Weighted Degree]],3,FALSE)),VLOOKUP(Table33[[#This Row],[target2]],Table2210[[Label]:[Weighted Degree]],3,FALSE)),VLOOKUP(Table33[[#This Row],[target2]],Table22[[Label]:[Weighted Degree]],3,FALSE))</f>
        <v>44350</v>
      </c>
      <c r="K4" s="14" t="s">
        <v>134</v>
      </c>
      <c r="L4" s="14" t="s">
        <v>124</v>
      </c>
      <c r="M4" s="64" t="s">
        <v>738</v>
      </c>
      <c r="N4" s="14">
        <v>2605</v>
      </c>
      <c r="O4" s="63" t="str">
        <f>IF(ISERROR(VLOOKUP(Table34[[#This Row],[source2]],Table22[Label],1,FALSE)),IF(ISERROR(VLOOKUP(Table34[[#This Row],[source2]],Table2210[Label],1,FALSE)),"SPOKE","FOCUS"),"HUB")</f>
        <v>FOCUS</v>
      </c>
      <c r="P4" s="63" t="str">
        <f>IF(ISERROR(VLOOKUP(Table34[[#This Row],[target2]],Table22[Label],1,FALSE)),IF(ISERROR(VLOOKUP(Table34[[#This Row],[target2]],Table2210[Label],1,FALSE)),"SPOKE","FOCUS"),"HUB")</f>
        <v>HUB</v>
      </c>
      <c r="Q4" s="63" t="str">
        <f>IF(Table34[[#This Row],[source-type]]&lt;Table34[[#This Row],[target-type]],Table34[[#This Row],[target-type]]&amp;"-"&amp;Table34[[#This Row],[source-type]],Table34[[#This Row],[source-type]]&amp;"-"&amp;Table34[[#This Row],[target-type]])</f>
        <v>HUB-FOCUS</v>
      </c>
      <c r="R4" s="104">
        <f>IF(ISERROR(VLOOKUP(Table34[[#This Row],[source2]],Table22[[Label]:[Weighted Degree]],3,FALSE)),IF(ISERROR(VLOOKUP(Table34[[#This Row],[source2]],Table2210[[Label]:[Weighted Degree]],3,FALSE)),IF(ISERROR(VLOOKUP(Table34[[#This Row],[source2]],Table2214[[Label]:[Weighted Degree]],3,FALSE)),FALSE,VLOOKUP(Table34[[#This Row],[source2]],Table2214[[Label]:[Weighted Degree]],3,FALSE)),VLOOKUP(Table34[[#This Row],[source2]],Table2210[[Label]:[Weighted Degree]],3,FALSE)),VLOOKUP(Table34[[#This Row],[source2]],Table22[[Label]:[Weighted Degree]],3,FALSE))</f>
        <v>26074</v>
      </c>
      <c r="S4" s="104">
        <f>IF(ISERROR(VLOOKUP(Table34[[#This Row],[target2]],Table22[[Label]:[Weighted Degree]],3,FALSE)),IF(ISERROR(VLOOKUP(Table34[[#This Row],[target2]],Table2210[[Label]:[Weighted Degree]],3,FALSE)),IF(ISERROR(VLOOKUP(Table34[[#This Row],[target2]],Table2214[[Label]:[Weighted Degree]],3,FALSE)),FALSE,VLOOKUP(Table34[[#This Row],[target2]],Table2214[[Label]:[Weighted Degree]],3,FALSE)),VLOOKUP(Table34[[#This Row],[target2]],Table2210[[Label]:[Weighted Degree]],3,FALSE)),VLOOKUP(Table34[[#This Row],[target2]],Table22[[Label]:[Weighted Degree]],3,FALSE))</f>
        <v>28737</v>
      </c>
      <c r="U4" s="65" t="s">
        <v>132</v>
      </c>
      <c r="V4" s="65" t="s">
        <v>124</v>
      </c>
      <c r="W4" s="66" t="s">
        <v>1714</v>
      </c>
      <c r="X4" s="65">
        <v>290</v>
      </c>
      <c r="Y4" s="63" t="str">
        <f>IF(ISERROR(VLOOKUP(Table36[[#This Row],[source2]],Table22[Label],1,FALSE)),IF(ISERROR(VLOOKUP(Table36[[#This Row],[source2]],Table2210[Label],1,FALSE)),"SPOKE","FOCUS"),"HUB")</f>
        <v>HUB</v>
      </c>
      <c r="Z4" s="63" t="str">
        <f>IF(ISERROR(VLOOKUP(Table36[[#This Row],[target2]],Table22[Label],1,FALSE)),IF(ISERROR(VLOOKUP(Table36[[#This Row],[target2]],Table2210[Label],1,FALSE)),"SPOKE","FOCUS"),"HUB")</f>
        <v>HUB</v>
      </c>
      <c r="AA4" s="63" t="str">
        <f>IF(Table36[[#This Row],[source-type]]&lt;Table36[[#This Row],[target-type]],Table36[[#This Row],[target-type]]&amp;"-"&amp;Table36[[#This Row],[source-type]],Table36[[#This Row],[source-type]]&amp;"-"&amp;Table36[[#This Row],[target-type]])</f>
        <v>HUB-HUB</v>
      </c>
      <c r="AB4" s="104">
        <f>IF(ISERROR(VLOOKUP(Table36[[#This Row],[source2]],Table22[[Label]:[Weighted Degree]],3,FALSE)),IF(ISERROR(VLOOKUP(Table36[[#This Row],[source2]],Table2210[[Label]:[Weighted Degree]],3,FALSE)),IF(ISERROR(VLOOKUP(Table36[[#This Row],[source2]],Table2214[[Label]:[Weighted Degree]],3,FALSE)),FALSE,VLOOKUP(Table36[[#This Row],[source2]],Table2214[[Label]:[Weighted Degree]],3,FALSE)),VLOOKUP(Table36[[#This Row],[source2]],Table2210[[Label]:[Weighted Degree]],3,FALSE)),VLOOKUP(Table36[[#This Row],[source2]],Table22[[Label]:[Weighted Degree]],3,FALSE))</f>
        <v>23813</v>
      </c>
      <c r="AC4" s="104">
        <f>IF(ISERROR(VLOOKUP(Table36[[#This Row],[target2]],Table22[[Label]:[Weighted Degree]],3,FALSE)),IF(ISERROR(VLOOKUP(Table36[[#This Row],[target2]],Table2210[[Label]:[Weighted Degree]],3,FALSE)),IF(ISERROR(VLOOKUP(Table36[[#This Row],[target2]],Table2214[[Label]:[Weighted Degree]],3,FALSE)),FALSE,VLOOKUP(Table36[[#This Row],[target2]],Table2214[[Label]:[Weighted Degree]],3,FALSE)),VLOOKUP(Table36[[#This Row],[target2]],Table2210[[Label]:[Weighted Degree]],3,FALSE)),VLOOKUP(Table36[[#This Row],[target2]],Table22[[Label]:[Weighted Degree]],3,FALSE))</f>
        <v>28737</v>
      </c>
      <c r="AE4" s="14" t="s">
        <v>133</v>
      </c>
      <c r="AF4" s="14" t="s">
        <v>130</v>
      </c>
      <c r="AG4" s="14">
        <v>8269</v>
      </c>
      <c r="AH4" s="63" t="str">
        <f>IF(ISERROR(VLOOKUP(Table17[[#This Row],[source2]],Table22[Label],1,FALSE)),IF(ISERROR(VLOOKUP(Table17[[#This Row],[source2]],Table2210[Label],1,FALSE)),"SPOKE","FOCUS"),"HUB")</f>
        <v>HUB</v>
      </c>
      <c r="AI4" s="63" t="str">
        <f>IF(ISERROR(VLOOKUP(Table17[[#This Row],[target2]],Table22[Label],1,FALSE)),IF(ISERROR(VLOOKUP(Table17[[#This Row],[target2]],Table2210[Label],1,FALSE)),"SPOKE","FOCUS"),"HUB")</f>
        <v>HUB</v>
      </c>
      <c r="AJ4" s="63" t="str">
        <f>IF(Table17[[#This Row],[source-type]]&lt;Table17[[#This Row],[target-type]],Table17[[#This Row],[target-type]]&amp;"-"&amp;Table17[[#This Row],[source-type]],Table17[[#This Row],[source-type]]&amp;"-"&amp;Table17[[#This Row],[target-type]])</f>
        <v>HUB-HUB</v>
      </c>
      <c r="AK4" s="104">
        <f>IF(ISERROR(VLOOKUP(Table17[[#This Row],[source2]],Table22[[Label]:[Weighted Degree]],3,FALSE)),IF(ISERROR(VLOOKUP(Table17[[#This Row],[source2]],Table2210[[Label]:[Weighted Degree]],3,FALSE)),IF(ISERROR(VLOOKUP(Table17[[#This Row],[source2]],Table2214[[Label]:[Weighted Degree]],3,FALSE)),FALSE,VLOOKUP(Table17[[#This Row],[source2]],Table2214[[Label]:[Weighted Degree]],3,FALSE)),VLOOKUP(Table17[[#This Row],[source2]],Table2210[[Label]:[Weighted Degree]],3,FALSE)),VLOOKUP(Table17[[#This Row],[source2]],Table22[[Label]:[Weighted Degree]],3,FALSE))</f>
        <v>39711</v>
      </c>
      <c r="AL4" s="104">
        <f>IF(ISERROR(VLOOKUP(Table17[[#This Row],[target2]],Table22[[Label]:[Weighted Degree]],3,FALSE)),IF(ISERROR(VLOOKUP(Table17[[#This Row],[target2]],Table2210[[Label]:[Weighted Degree]],3,FALSE)),IF(ISERROR(VLOOKUP(Table17[[#This Row],[target2]],Table2214[[Label]:[Weighted Degree]],3,FALSE)),FALSE,VLOOKUP(Table17[[#This Row],[target2]],Table2214[[Label]:[Weighted Degree]],3,FALSE)),VLOOKUP(Table17[[#This Row],[target2]],Table2210[[Label]:[Weighted Degree]],3,FALSE)),VLOOKUP(Table17[[#This Row],[target2]],Table22[[Label]:[Weighted Degree]],3,FALSE))</f>
        <v>28057</v>
      </c>
    </row>
    <row r="5" spans="1:38" x14ac:dyDescent="0.2">
      <c r="A5" s="68" t="s">
        <v>133</v>
      </c>
      <c r="B5" s="68" t="s">
        <v>139</v>
      </c>
      <c r="C5" s="67" t="s">
        <v>1146</v>
      </c>
      <c r="D5" s="62">
        <v>3906</v>
      </c>
      <c r="E5" s="63" t="str">
        <f>IF(ISERROR(VLOOKUP(Table33[[#This Row],[source2]],Table22[Label],1,FALSE)),IF(ISERROR(VLOOKUP(Table33[[#This Row],[source2]],Table2210[Label],1,FALSE)),"SPOKE","FOCUS"),"HUB")</f>
        <v>HUB</v>
      </c>
      <c r="F5" s="63" t="str">
        <f>IF(ISERROR(VLOOKUP(Table33[[#This Row],[target2]],Table22[Label],1,FALSE)),IF(ISERROR(VLOOKUP(Table33[[#This Row],[target2]],Table2210[Label],1,FALSE)),"SPOKE","FOCUS"),"HUB")</f>
        <v>HUB</v>
      </c>
      <c r="G5" s="63" t="str">
        <f>IF(Table33[[#This Row],[source-type]]&lt;Table33[[#This Row],[target-type]],Table33[[#This Row],[target-type]]&amp;"-"&amp;Table33[[#This Row],[source-type]],Table33[[#This Row],[source-type]]&amp;"-"&amp;Table33[[#This Row],[target-type]])</f>
        <v>HUB-HUB</v>
      </c>
      <c r="H5" s="63">
        <f>IF(ISERROR(VLOOKUP(Table33[[#This Row],[source2]],Table22[[Label]:[Weighted Degree]],3,FALSE)),IF(ISERROR(VLOOKUP(Table33[[#This Row],[source2]],Table2210[[Label]:[Weighted Degree]],3,FALSE)),IF(ISERROR(VLOOKUP(Table33[[#This Row],[source2]],Table2214[[Label]:[Weighted Degree]],3,FALSE)),FALSE,VLOOKUP(Table33[[#This Row],[source2]],Table2214[[Label]:[Weighted Degree]],3,FALSE)),VLOOKUP(Table33[[#This Row],[source2]],Table2210[[Label]:[Weighted Degree]],3,FALSE)),VLOOKUP(Table33[[#This Row],[source2]],Table22[[Label]:[Weighted Degree]],3,FALSE))</f>
        <v>39711</v>
      </c>
      <c r="I5" s="63">
        <f>IF(ISERROR(VLOOKUP(Table33[[#This Row],[target2]],Table22[[Label]:[Weighted Degree]],3,FALSE)),IF(ISERROR(VLOOKUP(Table33[[#This Row],[target2]],Table2210[[Label]:[Weighted Degree]],3,FALSE)),IF(ISERROR(VLOOKUP(Table33[[#This Row],[target2]],Table2214[[Label]:[Weighted Degree]],3,FALSE)),FALSE,VLOOKUP(Table33[[#This Row],[target2]],Table2214[[Label]:[Weighted Degree]],3,FALSE)),VLOOKUP(Table33[[#This Row],[target2]],Table2210[[Label]:[Weighted Degree]],3,FALSE)),VLOOKUP(Table33[[#This Row],[target2]],Table22[[Label]:[Weighted Degree]],3,FALSE))</f>
        <v>31784</v>
      </c>
      <c r="K5" s="14" t="s">
        <v>133</v>
      </c>
      <c r="L5" s="14" t="s">
        <v>134</v>
      </c>
      <c r="M5" s="64" t="s">
        <v>738</v>
      </c>
      <c r="N5" s="14">
        <v>7566</v>
      </c>
      <c r="O5" s="63" t="str">
        <f>IF(ISERROR(VLOOKUP(Table34[[#This Row],[source2]],Table22[Label],1,FALSE)),IF(ISERROR(VLOOKUP(Table34[[#This Row],[source2]],Table2210[Label],1,FALSE)),"SPOKE","FOCUS"),"HUB")</f>
        <v>HUB</v>
      </c>
      <c r="P5" s="63" t="str">
        <f>IF(ISERROR(VLOOKUP(Table34[[#This Row],[target2]],Table22[Label],1,FALSE)),IF(ISERROR(VLOOKUP(Table34[[#This Row],[target2]],Table2210[Label],1,FALSE)),"SPOKE","FOCUS"),"HUB")</f>
        <v>FOCUS</v>
      </c>
      <c r="Q5" s="63" t="str">
        <f>IF(Table34[[#This Row],[source-type]]&lt;Table34[[#This Row],[target-type]],Table34[[#This Row],[target-type]]&amp;"-"&amp;Table34[[#This Row],[source-type]],Table34[[#This Row],[source-type]]&amp;"-"&amp;Table34[[#This Row],[target-type]])</f>
        <v>HUB-FOCUS</v>
      </c>
      <c r="R5" s="104">
        <f>IF(ISERROR(VLOOKUP(Table34[[#This Row],[source2]],Table22[[Label]:[Weighted Degree]],3,FALSE)),IF(ISERROR(VLOOKUP(Table34[[#This Row],[source2]],Table2210[[Label]:[Weighted Degree]],3,FALSE)),IF(ISERROR(VLOOKUP(Table34[[#This Row],[source2]],Table2214[[Label]:[Weighted Degree]],3,FALSE)),FALSE,VLOOKUP(Table34[[#This Row],[source2]],Table2214[[Label]:[Weighted Degree]],3,FALSE)),VLOOKUP(Table34[[#This Row],[source2]],Table2210[[Label]:[Weighted Degree]],3,FALSE)),VLOOKUP(Table34[[#This Row],[source2]],Table22[[Label]:[Weighted Degree]],3,FALSE))</f>
        <v>39711</v>
      </c>
      <c r="S5" s="104">
        <f>IF(ISERROR(VLOOKUP(Table34[[#This Row],[target2]],Table22[[Label]:[Weighted Degree]],3,FALSE)),IF(ISERROR(VLOOKUP(Table34[[#This Row],[target2]],Table2210[[Label]:[Weighted Degree]],3,FALSE)),IF(ISERROR(VLOOKUP(Table34[[#This Row],[target2]],Table2214[[Label]:[Weighted Degree]],3,FALSE)),FALSE,VLOOKUP(Table34[[#This Row],[target2]],Table2214[[Label]:[Weighted Degree]],3,FALSE)),VLOOKUP(Table34[[#This Row],[target2]],Table2210[[Label]:[Weighted Degree]],3,FALSE)),VLOOKUP(Table34[[#This Row],[target2]],Table22[[Label]:[Weighted Degree]],3,FALSE))</f>
        <v>26074</v>
      </c>
      <c r="U5" s="65" t="s">
        <v>124</v>
      </c>
      <c r="V5" s="65" t="s">
        <v>144</v>
      </c>
      <c r="W5" s="66" t="s">
        <v>2275</v>
      </c>
      <c r="X5" s="65">
        <v>816</v>
      </c>
      <c r="Y5" s="63" t="str">
        <f>IF(ISERROR(VLOOKUP(Table36[[#This Row],[source2]],Table22[Label],1,FALSE)),IF(ISERROR(VLOOKUP(Table36[[#This Row],[source2]],Table2210[Label],1,FALSE)),"SPOKE","FOCUS"),"HUB")</f>
        <v>HUB</v>
      </c>
      <c r="Z5" s="63" t="str">
        <f>IF(ISERROR(VLOOKUP(Table36[[#This Row],[target2]],Table22[Label],1,FALSE)),IF(ISERROR(VLOOKUP(Table36[[#This Row],[target2]],Table2210[Label],1,FALSE)),"SPOKE","FOCUS"),"HUB")</f>
        <v>FOCUS</v>
      </c>
      <c r="AA5" s="63" t="str">
        <f>IF(Table36[[#This Row],[source-type]]&lt;Table36[[#This Row],[target-type]],Table36[[#This Row],[target-type]]&amp;"-"&amp;Table36[[#This Row],[source-type]],Table36[[#This Row],[source-type]]&amp;"-"&amp;Table36[[#This Row],[target-type]])</f>
        <v>HUB-FOCUS</v>
      </c>
      <c r="AB5" s="104">
        <f>IF(ISERROR(VLOOKUP(Table36[[#This Row],[source2]],Table22[[Label]:[Weighted Degree]],3,FALSE)),IF(ISERROR(VLOOKUP(Table36[[#This Row],[source2]],Table2210[[Label]:[Weighted Degree]],3,FALSE)),IF(ISERROR(VLOOKUP(Table36[[#This Row],[source2]],Table2214[[Label]:[Weighted Degree]],3,FALSE)),FALSE,VLOOKUP(Table36[[#This Row],[source2]],Table2214[[Label]:[Weighted Degree]],3,FALSE)),VLOOKUP(Table36[[#This Row],[source2]],Table2210[[Label]:[Weighted Degree]],3,FALSE)),VLOOKUP(Table36[[#This Row],[source2]],Table22[[Label]:[Weighted Degree]],3,FALSE))</f>
        <v>28737</v>
      </c>
      <c r="AC5" s="104">
        <f>IF(ISERROR(VLOOKUP(Table36[[#This Row],[target2]],Table22[[Label]:[Weighted Degree]],3,FALSE)),IF(ISERROR(VLOOKUP(Table36[[#This Row],[target2]],Table2210[[Label]:[Weighted Degree]],3,FALSE)),IF(ISERROR(VLOOKUP(Table36[[#This Row],[target2]],Table2214[[Label]:[Weighted Degree]],3,FALSE)),FALSE,VLOOKUP(Table36[[#This Row],[target2]],Table2214[[Label]:[Weighted Degree]],3,FALSE)),VLOOKUP(Table36[[#This Row],[target2]],Table2210[[Label]:[Weighted Degree]],3,FALSE)),VLOOKUP(Table36[[#This Row],[target2]],Table22[[Label]:[Weighted Degree]],3,FALSE))</f>
        <v>22088</v>
      </c>
      <c r="AE5" s="14" t="s">
        <v>133</v>
      </c>
      <c r="AF5" s="14" t="s">
        <v>134</v>
      </c>
      <c r="AG5" s="14">
        <v>7566</v>
      </c>
      <c r="AH5" s="63" t="str">
        <f>IF(ISERROR(VLOOKUP(Table17[[#This Row],[source2]],Table22[Label],1,FALSE)),IF(ISERROR(VLOOKUP(Table17[[#This Row],[source2]],Table2210[Label],1,FALSE)),"SPOKE","FOCUS"),"HUB")</f>
        <v>HUB</v>
      </c>
      <c r="AI5" s="63" t="str">
        <f>IF(ISERROR(VLOOKUP(Table17[[#This Row],[target2]],Table22[Label],1,FALSE)),IF(ISERROR(VLOOKUP(Table17[[#This Row],[target2]],Table2210[Label],1,FALSE)),"SPOKE","FOCUS"),"HUB")</f>
        <v>FOCUS</v>
      </c>
      <c r="AJ5" s="63" t="str">
        <f>IF(Table17[[#This Row],[source-type]]&lt;Table17[[#This Row],[target-type]],Table17[[#This Row],[target-type]]&amp;"-"&amp;Table17[[#This Row],[source-type]],Table17[[#This Row],[source-type]]&amp;"-"&amp;Table17[[#This Row],[target-type]])</f>
        <v>HUB-FOCUS</v>
      </c>
      <c r="AK5" s="104">
        <f>IF(ISERROR(VLOOKUP(Table17[[#This Row],[source2]],Table22[[Label]:[Weighted Degree]],3,FALSE)),IF(ISERROR(VLOOKUP(Table17[[#This Row],[source2]],Table2210[[Label]:[Weighted Degree]],3,FALSE)),IF(ISERROR(VLOOKUP(Table17[[#This Row],[source2]],Table2214[[Label]:[Weighted Degree]],3,FALSE)),FALSE,VLOOKUP(Table17[[#This Row],[source2]],Table2214[[Label]:[Weighted Degree]],3,FALSE)),VLOOKUP(Table17[[#This Row],[source2]],Table2210[[Label]:[Weighted Degree]],3,FALSE)),VLOOKUP(Table17[[#This Row],[source2]],Table22[[Label]:[Weighted Degree]],3,FALSE))</f>
        <v>39711</v>
      </c>
      <c r="AL5" s="104">
        <f>IF(ISERROR(VLOOKUP(Table17[[#This Row],[target2]],Table22[[Label]:[Weighted Degree]],3,FALSE)),IF(ISERROR(VLOOKUP(Table17[[#This Row],[target2]],Table2210[[Label]:[Weighted Degree]],3,FALSE)),IF(ISERROR(VLOOKUP(Table17[[#This Row],[target2]],Table2214[[Label]:[Weighted Degree]],3,FALSE)),FALSE,VLOOKUP(Table17[[#This Row],[target2]],Table2214[[Label]:[Weighted Degree]],3,FALSE)),VLOOKUP(Table17[[#This Row],[target2]],Table2210[[Label]:[Weighted Degree]],3,FALSE)),VLOOKUP(Table17[[#This Row],[target2]],Table22[[Label]:[Weighted Degree]],3,FALSE))</f>
        <v>26074</v>
      </c>
    </row>
    <row r="6" spans="1:38" x14ac:dyDescent="0.2">
      <c r="A6" s="68" t="s">
        <v>131</v>
      </c>
      <c r="B6" s="68" t="s">
        <v>144</v>
      </c>
      <c r="C6" s="67" t="s">
        <v>2157</v>
      </c>
      <c r="D6" s="62">
        <v>6626</v>
      </c>
      <c r="E6" s="63" t="str">
        <f>IF(ISERROR(VLOOKUP(Table33[[#This Row],[source2]],Table22[Label],1,FALSE)),IF(ISERROR(VLOOKUP(Table33[[#This Row],[source2]],Table2210[Label],1,FALSE)),"SPOKE","FOCUS"),"HUB")</f>
        <v>HUB</v>
      </c>
      <c r="F6" s="63" t="str">
        <f>IF(ISERROR(VLOOKUP(Table33[[#This Row],[target2]],Table22[Label],1,FALSE)),IF(ISERROR(VLOOKUP(Table33[[#This Row],[target2]],Table2210[Label],1,FALSE)),"SPOKE","FOCUS"),"HUB")</f>
        <v>FOCUS</v>
      </c>
      <c r="G6" s="63" t="str">
        <f>IF(Table33[[#This Row],[source-type]]&lt;Table33[[#This Row],[target-type]],Table33[[#This Row],[target-type]]&amp;"-"&amp;Table33[[#This Row],[source-type]],Table33[[#This Row],[source-type]]&amp;"-"&amp;Table33[[#This Row],[target-type]])</f>
        <v>HUB-FOCUS</v>
      </c>
      <c r="H6" s="63">
        <f>IF(ISERROR(VLOOKUP(Table33[[#This Row],[source2]],Table22[[Label]:[Weighted Degree]],3,FALSE)),IF(ISERROR(VLOOKUP(Table33[[#This Row],[source2]],Table2210[[Label]:[Weighted Degree]],3,FALSE)),IF(ISERROR(VLOOKUP(Table33[[#This Row],[source2]],Table2214[[Label]:[Weighted Degree]],3,FALSE)),FALSE,VLOOKUP(Table33[[#This Row],[source2]],Table2214[[Label]:[Weighted Degree]],3,FALSE)),VLOOKUP(Table33[[#This Row],[source2]],Table2210[[Label]:[Weighted Degree]],3,FALSE)),VLOOKUP(Table33[[#This Row],[source2]],Table22[[Label]:[Weighted Degree]],3,FALSE))</f>
        <v>44350</v>
      </c>
      <c r="I6" s="63">
        <f>IF(ISERROR(VLOOKUP(Table33[[#This Row],[target2]],Table22[[Label]:[Weighted Degree]],3,FALSE)),IF(ISERROR(VLOOKUP(Table33[[#This Row],[target2]],Table2210[[Label]:[Weighted Degree]],3,FALSE)),IF(ISERROR(VLOOKUP(Table33[[#This Row],[target2]],Table2214[[Label]:[Weighted Degree]],3,FALSE)),FALSE,VLOOKUP(Table33[[#This Row],[target2]],Table2214[[Label]:[Weighted Degree]],3,FALSE)),VLOOKUP(Table33[[#This Row],[target2]],Table2210[[Label]:[Weighted Degree]],3,FALSE)),VLOOKUP(Table33[[#This Row],[target2]],Table22[[Label]:[Weighted Degree]],3,FALSE))</f>
        <v>22088</v>
      </c>
      <c r="K6" s="14" t="s">
        <v>132</v>
      </c>
      <c r="L6" s="14" t="s">
        <v>131</v>
      </c>
      <c r="M6" s="64" t="s">
        <v>738</v>
      </c>
      <c r="N6" s="14">
        <v>5468</v>
      </c>
      <c r="O6" s="63" t="str">
        <f>IF(ISERROR(VLOOKUP(Table34[[#This Row],[source2]],Table22[Label],1,FALSE)),IF(ISERROR(VLOOKUP(Table34[[#This Row],[source2]],Table2210[Label],1,FALSE)),"SPOKE","FOCUS"),"HUB")</f>
        <v>HUB</v>
      </c>
      <c r="P6" s="63" t="str">
        <f>IF(ISERROR(VLOOKUP(Table34[[#This Row],[target2]],Table22[Label],1,FALSE)),IF(ISERROR(VLOOKUP(Table34[[#This Row],[target2]],Table2210[Label],1,FALSE)),"SPOKE","FOCUS"),"HUB")</f>
        <v>HUB</v>
      </c>
      <c r="Q6" s="63" t="str">
        <f>IF(Table34[[#This Row],[source-type]]&lt;Table34[[#This Row],[target-type]],Table34[[#This Row],[target-type]]&amp;"-"&amp;Table34[[#This Row],[source-type]],Table34[[#This Row],[source-type]]&amp;"-"&amp;Table34[[#This Row],[target-type]])</f>
        <v>HUB-HUB</v>
      </c>
      <c r="R6" s="104">
        <f>IF(ISERROR(VLOOKUP(Table34[[#This Row],[source2]],Table22[[Label]:[Weighted Degree]],3,FALSE)),IF(ISERROR(VLOOKUP(Table34[[#This Row],[source2]],Table2210[[Label]:[Weighted Degree]],3,FALSE)),IF(ISERROR(VLOOKUP(Table34[[#This Row],[source2]],Table2214[[Label]:[Weighted Degree]],3,FALSE)),FALSE,VLOOKUP(Table34[[#This Row],[source2]],Table2214[[Label]:[Weighted Degree]],3,FALSE)),VLOOKUP(Table34[[#This Row],[source2]],Table2210[[Label]:[Weighted Degree]],3,FALSE)),VLOOKUP(Table34[[#This Row],[source2]],Table22[[Label]:[Weighted Degree]],3,FALSE))</f>
        <v>23813</v>
      </c>
      <c r="S6" s="104">
        <f>IF(ISERROR(VLOOKUP(Table34[[#This Row],[target2]],Table22[[Label]:[Weighted Degree]],3,FALSE)),IF(ISERROR(VLOOKUP(Table34[[#This Row],[target2]],Table2210[[Label]:[Weighted Degree]],3,FALSE)),IF(ISERROR(VLOOKUP(Table34[[#This Row],[target2]],Table2214[[Label]:[Weighted Degree]],3,FALSE)),FALSE,VLOOKUP(Table34[[#This Row],[target2]],Table2214[[Label]:[Weighted Degree]],3,FALSE)),VLOOKUP(Table34[[#This Row],[target2]],Table2210[[Label]:[Weighted Degree]],3,FALSE)),VLOOKUP(Table34[[#This Row],[target2]],Table22[[Label]:[Weighted Degree]],3,FALSE))</f>
        <v>44350</v>
      </c>
      <c r="U6" s="69" t="s">
        <v>135</v>
      </c>
      <c r="V6" s="69" t="s">
        <v>124</v>
      </c>
      <c r="W6" s="70" t="s">
        <v>967</v>
      </c>
      <c r="X6" s="69">
        <v>450</v>
      </c>
      <c r="Y6" s="63" t="str">
        <f>IF(ISERROR(VLOOKUP(Table36[[#This Row],[source2]],Table22[Label],1,FALSE)),IF(ISERROR(VLOOKUP(Table36[[#This Row],[source2]],Table2210[Label],1,FALSE)),"SPOKE","FOCUS"),"HUB")</f>
        <v>HUB</v>
      </c>
      <c r="Z6" s="63" t="str">
        <f>IF(ISERROR(VLOOKUP(Table36[[#This Row],[target2]],Table22[Label],1,FALSE)),IF(ISERROR(VLOOKUP(Table36[[#This Row],[target2]],Table2210[Label],1,FALSE)),"SPOKE","FOCUS"),"HUB")</f>
        <v>HUB</v>
      </c>
      <c r="AA6" s="63" t="str">
        <f>IF(Table36[[#This Row],[source-type]]&lt;Table36[[#This Row],[target-type]],Table36[[#This Row],[target-type]]&amp;"-"&amp;Table36[[#This Row],[source-type]],Table36[[#This Row],[source-type]]&amp;"-"&amp;Table36[[#This Row],[target-type]])</f>
        <v>HUB-HUB</v>
      </c>
      <c r="AB6" s="104">
        <f>IF(ISERROR(VLOOKUP(Table36[[#This Row],[source2]],Table22[[Label]:[Weighted Degree]],3,FALSE)),IF(ISERROR(VLOOKUP(Table36[[#This Row],[source2]],Table2210[[Label]:[Weighted Degree]],3,FALSE)),IF(ISERROR(VLOOKUP(Table36[[#This Row],[source2]],Table2214[[Label]:[Weighted Degree]],3,FALSE)),FALSE,VLOOKUP(Table36[[#This Row],[source2]],Table2214[[Label]:[Weighted Degree]],3,FALSE)),VLOOKUP(Table36[[#This Row],[source2]],Table2210[[Label]:[Weighted Degree]],3,FALSE)),VLOOKUP(Table36[[#This Row],[source2]],Table22[[Label]:[Weighted Degree]],3,FALSE))</f>
        <v>23724</v>
      </c>
      <c r="AC6" s="104">
        <f>IF(ISERROR(VLOOKUP(Table36[[#This Row],[target2]],Table22[[Label]:[Weighted Degree]],3,FALSE)),IF(ISERROR(VLOOKUP(Table36[[#This Row],[target2]],Table2210[[Label]:[Weighted Degree]],3,FALSE)),IF(ISERROR(VLOOKUP(Table36[[#This Row],[target2]],Table2214[[Label]:[Weighted Degree]],3,FALSE)),FALSE,VLOOKUP(Table36[[#This Row],[target2]],Table2214[[Label]:[Weighted Degree]],3,FALSE)),VLOOKUP(Table36[[#This Row],[target2]],Table2210[[Label]:[Weighted Degree]],3,FALSE)),VLOOKUP(Table36[[#This Row],[target2]],Table22[[Label]:[Weighted Degree]],3,FALSE))</f>
        <v>28737</v>
      </c>
      <c r="AE6" s="14" t="s">
        <v>146</v>
      </c>
      <c r="AF6" s="14" t="s">
        <v>139</v>
      </c>
      <c r="AG6" s="14">
        <v>5512</v>
      </c>
      <c r="AH6" s="63" t="str">
        <f>IF(ISERROR(VLOOKUP(Table17[[#This Row],[source2]],Table22[Label],1,FALSE)),IF(ISERROR(VLOOKUP(Table17[[#This Row],[source2]],Table2210[Label],1,FALSE)),"SPOKE","FOCUS"),"HUB")</f>
        <v>FOCUS</v>
      </c>
      <c r="AI6" s="63" t="str">
        <f>IF(ISERROR(VLOOKUP(Table17[[#This Row],[target2]],Table22[Label],1,FALSE)),IF(ISERROR(VLOOKUP(Table17[[#This Row],[target2]],Table2210[Label],1,FALSE)),"SPOKE","FOCUS"),"HUB")</f>
        <v>HUB</v>
      </c>
      <c r="AJ6" s="63" t="str">
        <f>IF(Table17[[#This Row],[source-type]]&lt;Table17[[#This Row],[target-type]],Table17[[#This Row],[target-type]]&amp;"-"&amp;Table17[[#This Row],[source-type]],Table17[[#This Row],[source-type]]&amp;"-"&amp;Table17[[#This Row],[target-type]])</f>
        <v>HUB-FOCUS</v>
      </c>
      <c r="AK6" s="104">
        <f>IF(ISERROR(VLOOKUP(Table17[[#This Row],[source2]],Table22[[Label]:[Weighted Degree]],3,FALSE)),IF(ISERROR(VLOOKUP(Table17[[#This Row],[source2]],Table2210[[Label]:[Weighted Degree]],3,FALSE)),IF(ISERROR(VLOOKUP(Table17[[#This Row],[source2]],Table2214[[Label]:[Weighted Degree]],3,FALSE)),FALSE,VLOOKUP(Table17[[#This Row],[source2]],Table2214[[Label]:[Weighted Degree]],3,FALSE)),VLOOKUP(Table17[[#This Row],[source2]],Table2210[[Label]:[Weighted Degree]],3,FALSE)),VLOOKUP(Table17[[#This Row],[source2]],Table22[[Label]:[Weighted Degree]],3,FALSE))</f>
        <v>22882</v>
      </c>
      <c r="AL6" s="104">
        <f>IF(ISERROR(VLOOKUP(Table17[[#This Row],[target2]],Table22[[Label]:[Weighted Degree]],3,FALSE)),IF(ISERROR(VLOOKUP(Table17[[#This Row],[target2]],Table2210[[Label]:[Weighted Degree]],3,FALSE)),IF(ISERROR(VLOOKUP(Table17[[#This Row],[target2]],Table2214[[Label]:[Weighted Degree]],3,FALSE)),FALSE,VLOOKUP(Table17[[#This Row],[target2]],Table2214[[Label]:[Weighted Degree]],3,FALSE)),VLOOKUP(Table17[[#This Row],[target2]],Table2210[[Label]:[Weighted Degree]],3,FALSE)),VLOOKUP(Table17[[#This Row],[target2]],Table22[[Label]:[Weighted Degree]],3,FALSE))</f>
        <v>31784</v>
      </c>
    </row>
    <row r="7" spans="1:38" x14ac:dyDescent="0.2">
      <c r="A7" s="68" t="s">
        <v>146</v>
      </c>
      <c r="B7" s="68" t="s">
        <v>139</v>
      </c>
      <c r="C7" s="67" t="s">
        <v>818</v>
      </c>
      <c r="D7" s="62">
        <v>5512</v>
      </c>
      <c r="E7" s="63" t="str">
        <f>IF(ISERROR(VLOOKUP(Table33[[#This Row],[source2]],Table22[Label],1,FALSE)),IF(ISERROR(VLOOKUP(Table33[[#This Row],[source2]],Table2210[Label],1,FALSE)),"SPOKE","FOCUS"),"HUB")</f>
        <v>FOCUS</v>
      </c>
      <c r="F7" s="63" t="str">
        <f>IF(ISERROR(VLOOKUP(Table33[[#This Row],[target2]],Table22[Label],1,FALSE)),IF(ISERROR(VLOOKUP(Table33[[#This Row],[target2]],Table2210[Label],1,FALSE)),"SPOKE","FOCUS"),"HUB")</f>
        <v>HUB</v>
      </c>
      <c r="G7" s="63" t="str">
        <f>IF(Table33[[#This Row],[source-type]]&lt;Table33[[#This Row],[target-type]],Table33[[#This Row],[target-type]]&amp;"-"&amp;Table33[[#This Row],[source-type]],Table33[[#This Row],[source-type]]&amp;"-"&amp;Table33[[#This Row],[target-type]])</f>
        <v>HUB-FOCUS</v>
      </c>
      <c r="H7" s="63">
        <f>IF(ISERROR(VLOOKUP(Table33[[#This Row],[source2]],Table22[[Label]:[Weighted Degree]],3,FALSE)),IF(ISERROR(VLOOKUP(Table33[[#This Row],[source2]],Table2210[[Label]:[Weighted Degree]],3,FALSE)),IF(ISERROR(VLOOKUP(Table33[[#This Row],[source2]],Table2214[[Label]:[Weighted Degree]],3,FALSE)),FALSE,VLOOKUP(Table33[[#This Row],[source2]],Table2214[[Label]:[Weighted Degree]],3,FALSE)),VLOOKUP(Table33[[#This Row],[source2]],Table2210[[Label]:[Weighted Degree]],3,FALSE)),VLOOKUP(Table33[[#This Row],[source2]],Table22[[Label]:[Weighted Degree]],3,FALSE))</f>
        <v>22882</v>
      </c>
      <c r="I7" s="63">
        <f>IF(ISERROR(VLOOKUP(Table33[[#This Row],[target2]],Table22[[Label]:[Weighted Degree]],3,FALSE)),IF(ISERROR(VLOOKUP(Table33[[#This Row],[target2]],Table2210[[Label]:[Weighted Degree]],3,FALSE)),IF(ISERROR(VLOOKUP(Table33[[#This Row],[target2]],Table2214[[Label]:[Weighted Degree]],3,FALSE)),FALSE,VLOOKUP(Table33[[#This Row],[target2]],Table2214[[Label]:[Weighted Degree]],3,FALSE)),VLOOKUP(Table33[[#This Row],[target2]],Table2210[[Label]:[Weighted Degree]],3,FALSE)),VLOOKUP(Table33[[#This Row],[target2]],Table22[[Label]:[Weighted Degree]],3,FALSE))</f>
        <v>31784</v>
      </c>
      <c r="K7" s="14" t="s">
        <v>135</v>
      </c>
      <c r="L7" s="14" t="s">
        <v>131</v>
      </c>
      <c r="M7" s="64" t="s">
        <v>738</v>
      </c>
      <c r="N7" s="14">
        <v>6956</v>
      </c>
      <c r="O7" s="63" t="str">
        <f>IF(ISERROR(VLOOKUP(Table34[[#This Row],[source2]],Table22[Label],1,FALSE)),IF(ISERROR(VLOOKUP(Table34[[#This Row],[source2]],Table2210[Label],1,FALSE)),"SPOKE","FOCUS"),"HUB")</f>
        <v>HUB</v>
      </c>
      <c r="P7" s="63" t="str">
        <f>IF(ISERROR(VLOOKUP(Table34[[#This Row],[target2]],Table22[Label],1,FALSE)),IF(ISERROR(VLOOKUP(Table34[[#This Row],[target2]],Table2210[Label],1,FALSE)),"SPOKE","FOCUS"),"HUB")</f>
        <v>HUB</v>
      </c>
      <c r="Q7" s="63" t="str">
        <f>IF(Table34[[#This Row],[source-type]]&lt;Table34[[#This Row],[target-type]],Table34[[#This Row],[target-type]]&amp;"-"&amp;Table34[[#This Row],[source-type]],Table34[[#This Row],[source-type]]&amp;"-"&amp;Table34[[#This Row],[target-type]])</f>
        <v>HUB-HUB</v>
      </c>
      <c r="R7" s="104">
        <f>IF(ISERROR(VLOOKUP(Table34[[#This Row],[source2]],Table22[[Label]:[Weighted Degree]],3,FALSE)),IF(ISERROR(VLOOKUP(Table34[[#This Row],[source2]],Table2210[[Label]:[Weighted Degree]],3,FALSE)),IF(ISERROR(VLOOKUP(Table34[[#This Row],[source2]],Table2214[[Label]:[Weighted Degree]],3,FALSE)),FALSE,VLOOKUP(Table34[[#This Row],[source2]],Table2214[[Label]:[Weighted Degree]],3,FALSE)),VLOOKUP(Table34[[#This Row],[source2]],Table2210[[Label]:[Weighted Degree]],3,FALSE)),VLOOKUP(Table34[[#This Row],[source2]],Table22[[Label]:[Weighted Degree]],3,FALSE))</f>
        <v>23724</v>
      </c>
      <c r="S7" s="104">
        <f>IF(ISERROR(VLOOKUP(Table34[[#This Row],[target2]],Table22[[Label]:[Weighted Degree]],3,FALSE)),IF(ISERROR(VLOOKUP(Table34[[#This Row],[target2]],Table2210[[Label]:[Weighted Degree]],3,FALSE)),IF(ISERROR(VLOOKUP(Table34[[#This Row],[target2]],Table2214[[Label]:[Weighted Degree]],3,FALSE)),FALSE,VLOOKUP(Table34[[#This Row],[target2]],Table2214[[Label]:[Weighted Degree]],3,FALSE)),VLOOKUP(Table34[[#This Row],[target2]],Table2210[[Label]:[Weighted Degree]],3,FALSE)),VLOOKUP(Table34[[#This Row],[target2]],Table22[[Label]:[Weighted Degree]],3,FALSE))</f>
        <v>44350</v>
      </c>
      <c r="U7" s="65" t="s">
        <v>132</v>
      </c>
      <c r="V7" s="65" t="s">
        <v>150</v>
      </c>
      <c r="W7" s="66" t="s">
        <v>1717</v>
      </c>
      <c r="X7" s="65">
        <v>157</v>
      </c>
      <c r="Y7" s="63" t="str">
        <f>IF(ISERROR(VLOOKUP(Table36[[#This Row],[source2]],Table22[Label],1,FALSE)),IF(ISERROR(VLOOKUP(Table36[[#This Row],[source2]],Table2210[Label],1,FALSE)),"SPOKE","FOCUS"),"HUB")</f>
        <v>HUB</v>
      </c>
      <c r="Z7" s="63" t="str">
        <f>IF(ISERROR(VLOOKUP(Table36[[#This Row],[target2]],Table22[Label],1,FALSE)),IF(ISERROR(VLOOKUP(Table36[[#This Row],[target2]],Table2210[Label],1,FALSE)),"SPOKE","FOCUS"),"HUB")</f>
        <v>SPOKE</v>
      </c>
      <c r="AA7" s="63" t="str">
        <f>IF(Table36[[#This Row],[source-type]]&lt;Table36[[#This Row],[target-type]],Table36[[#This Row],[target-type]]&amp;"-"&amp;Table36[[#This Row],[source-type]],Table36[[#This Row],[source-type]]&amp;"-"&amp;Table36[[#This Row],[target-type]])</f>
        <v>SPOKE-HUB</v>
      </c>
      <c r="AB7" s="104">
        <f>IF(ISERROR(VLOOKUP(Table36[[#This Row],[source2]],Table22[[Label]:[Weighted Degree]],3,FALSE)),IF(ISERROR(VLOOKUP(Table36[[#This Row],[source2]],Table2210[[Label]:[Weighted Degree]],3,FALSE)),IF(ISERROR(VLOOKUP(Table36[[#This Row],[source2]],Table2214[[Label]:[Weighted Degree]],3,FALSE)),FALSE,VLOOKUP(Table36[[#This Row],[source2]],Table2214[[Label]:[Weighted Degree]],3,FALSE)),VLOOKUP(Table36[[#This Row],[source2]],Table2210[[Label]:[Weighted Degree]],3,FALSE)),VLOOKUP(Table36[[#This Row],[source2]],Table22[[Label]:[Weighted Degree]],3,FALSE))</f>
        <v>23813</v>
      </c>
      <c r="AC7" s="104">
        <f>IF(ISERROR(VLOOKUP(Table36[[#This Row],[target2]],Table22[[Label]:[Weighted Degree]],3,FALSE)),IF(ISERROR(VLOOKUP(Table36[[#This Row],[target2]],Table2210[[Label]:[Weighted Degree]],3,FALSE)),IF(ISERROR(VLOOKUP(Table36[[#This Row],[target2]],Table2214[[Label]:[Weighted Degree]],3,FALSE)),FALSE,VLOOKUP(Table36[[#This Row],[target2]],Table2214[[Label]:[Weighted Degree]],3,FALSE)),VLOOKUP(Table36[[#This Row],[target2]],Table2210[[Label]:[Weighted Degree]],3,FALSE)),VLOOKUP(Table36[[#This Row],[target2]],Table22[[Label]:[Weighted Degree]],3,FALSE))</f>
        <v>10215</v>
      </c>
      <c r="AE7" s="14" t="s">
        <v>133</v>
      </c>
      <c r="AF7" s="14" t="s">
        <v>139</v>
      </c>
      <c r="AG7" s="14">
        <v>3906</v>
      </c>
      <c r="AH7" s="63" t="str">
        <f>IF(ISERROR(VLOOKUP(Table17[[#This Row],[source2]],Table22[Label],1,FALSE)),IF(ISERROR(VLOOKUP(Table17[[#This Row],[source2]],Table2210[Label],1,FALSE)),"SPOKE","FOCUS"),"HUB")</f>
        <v>HUB</v>
      </c>
      <c r="AI7" s="63" t="str">
        <f>IF(ISERROR(VLOOKUP(Table17[[#This Row],[target2]],Table22[Label],1,FALSE)),IF(ISERROR(VLOOKUP(Table17[[#This Row],[target2]],Table2210[Label],1,FALSE)),"SPOKE","FOCUS"),"HUB")</f>
        <v>HUB</v>
      </c>
      <c r="AJ7" s="63" t="str">
        <f>IF(Table17[[#This Row],[source-type]]&lt;Table17[[#This Row],[target-type]],Table17[[#This Row],[target-type]]&amp;"-"&amp;Table17[[#This Row],[source-type]],Table17[[#This Row],[source-type]]&amp;"-"&amp;Table17[[#This Row],[target-type]])</f>
        <v>HUB-HUB</v>
      </c>
      <c r="AK7" s="104">
        <f>IF(ISERROR(VLOOKUP(Table17[[#This Row],[source2]],Table22[[Label]:[Weighted Degree]],3,FALSE)),IF(ISERROR(VLOOKUP(Table17[[#This Row],[source2]],Table2210[[Label]:[Weighted Degree]],3,FALSE)),IF(ISERROR(VLOOKUP(Table17[[#This Row],[source2]],Table2214[[Label]:[Weighted Degree]],3,FALSE)),FALSE,VLOOKUP(Table17[[#This Row],[source2]],Table2214[[Label]:[Weighted Degree]],3,FALSE)),VLOOKUP(Table17[[#This Row],[source2]],Table2210[[Label]:[Weighted Degree]],3,FALSE)),VLOOKUP(Table17[[#This Row],[source2]],Table22[[Label]:[Weighted Degree]],3,FALSE))</f>
        <v>39711</v>
      </c>
      <c r="AL7" s="104">
        <f>IF(ISERROR(VLOOKUP(Table17[[#This Row],[target2]],Table22[[Label]:[Weighted Degree]],3,FALSE)),IF(ISERROR(VLOOKUP(Table17[[#This Row],[target2]],Table2210[[Label]:[Weighted Degree]],3,FALSE)),IF(ISERROR(VLOOKUP(Table17[[#This Row],[target2]],Table2214[[Label]:[Weighted Degree]],3,FALSE)),FALSE,VLOOKUP(Table17[[#This Row],[target2]],Table2214[[Label]:[Weighted Degree]],3,FALSE)),VLOOKUP(Table17[[#This Row],[target2]],Table2210[[Label]:[Weighted Degree]],3,FALSE)),VLOOKUP(Table17[[#This Row],[target2]],Table22[[Label]:[Weighted Degree]],3,FALSE))</f>
        <v>31784</v>
      </c>
    </row>
    <row r="8" spans="1:38" x14ac:dyDescent="0.2">
      <c r="A8" s="5" t="s">
        <v>143</v>
      </c>
      <c r="B8" s="5" t="s">
        <v>139</v>
      </c>
      <c r="C8" s="64" t="s">
        <v>1030</v>
      </c>
      <c r="D8" s="14">
        <v>3011</v>
      </c>
      <c r="E8" s="63" t="str">
        <f>IF(ISERROR(VLOOKUP(Table33[[#This Row],[source2]],Table22[Label],1,FALSE)),IF(ISERROR(VLOOKUP(Table33[[#This Row],[source2]],Table2210[Label],1,FALSE)),"SPOKE","FOCUS"),"HUB")</f>
        <v>HUB</v>
      </c>
      <c r="F8" s="63" t="str">
        <f>IF(ISERROR(VLOOKUP(Table33[[#This Row],[target2]],Table22[Label],1,FALSE)),IF(ISERROR(VLOOKUP(Table33[[#This Row],[target2]],Table2210[Label],1,FALSE)),"SPOKE","FOCUS"),"HUB")</f>
        <v>HUB</v>
      </c>
      <c r="G8" s="63" t="str">
        <f>IF(Table33[[#This Row],[source-type]]&lt;Table33[[#This Row],[target-type]],Table33[[#This Row],[target-type]]&amp;"-"&amp;Table33[[#This Row],[source-type]],Table33[[#This Row],[source-type]]&amp;"-"&amp;Table33[[#This Row],[target-type]])</f>
        <v>HUB-HUB</v>
      </c>
      <c r="H8" s="63">
        <f>IF(ISERROR(VLOOKUP(Table33[[#This Row],[source2]],Table22[[Label]:[Weighted Degree]],3,FALSE)),IF(ISERROR(VLOOKUP(Table33[[#This Row],[source2]],Table2210[[Label]:[Weighted Degree]],3,FALSE)),IF(ISERROR(VLOOKUP(Table33[[#This Row],[source2]],Table2214[[Label]:[Weighted Degree]],3,FALSE)),FALSE,VLOOKUP(Table33[[#This Row],[source2]],Table2214[[Label]:[Weighted Degree]],3,FALSE)),VLOOKUP(Table33[[#This Row],[source2]],Table2210[[Label]:[Weighted Degree]],3,FALSE)),VLOOKUP(Table33[[#This Row],[source2]],Table22[[Label]:[Weighted Degree]],3,FALSE))</f>
        <v>10697</v>
      </c>
      <c r="I8" s="63">
        <f>IF(ISERROR(VLOOKUP(Table33[[#This Row],[target2]],Table22[[Label]:[Weighted Degree]],3,FALSE)),IF(ISERROR(VLOOKUP(Table33[[#This Row],[target2]],Table2210[[Label]:[Weighted Degree]],3,FALSE)),IF(ISERROR(VLOOKUP(Table33[[#This Row],[target2]],Table2214[[Label]:[Weighted Degree]],3,FALSE)),FALSE,VLOOKUP(Table33[[#This Row],[target2]],Table2214[[Label]:[Weighted Degree]],3,FALSE)),VLOOKUP(Table33[[#This Row],[target2]],Table2210[[Label]:[Weighted Degree]],3,FALSE)),VLOOKUP(Table33[[#This Row],[target2]],Table22[[Label]:[Weighted Degree]],3,FALSE))</f>
        <v>31784</v>
      </c>
      <c r="K8" s="14" t="s">
        <v>146</v>
      </c>
      <c r="L8" s="14" t="s">
        <v>131</v>
      </c>
      <c r="M8" s="64" t="s">
        <v>738</v>
      </c>
      <c r="N8" s="14">
        <v>2933</v>
      </c>
      <c r="O8" s="63" t="str">
        <f>IF(ISERROR(VLOOKUP(Table34[[#This Row],[source2]],Table22[Label],1,FALSE)),IF(ISERROR(VLOOKUP(Table34[[#This Row],[source2]],Table2210[Label],1,FALSE)),"SPOKE","FOCUS"),"HUB")</f>
        <v>FOCUS</v>
      </c>
      <c r="P8" s="63" t="str">
        <f>IF(ISERROR(VLOOKUP(Table34[[#This Row],[target2]],Table22[Label],1,FALSE)),IF(ISERROR(VLOOKUP(Table34[[#This Row],[target2]],Table2210[Label],1,FALSE)),"SPOKE","FOCUS"),"HUB")</f>
        <v>HUB</v>
      </c>
      <c r="Q8" s="63" t="str">
        <f>IF(Table34[[#This Row],[source-type]]&lt;Table34[[#This Row],[target-type]],Table34[[#This Row],[target-type]]&amp;"-"&amp;Table34[[#This Row],[source-type]],Table34[[#This Row],[source-type]]&amp;"-"&amp;Table34[[#This Row],[target-type]])</f>
        <v>HUB-FOCUS</v>
      </c>
      <c r="R8" s="104">
        <f>IF(ISERROR(VLOOKUP(Table34[[#This Row],[source2]],Table22[[Label]:[Weighted Degree]],3,FALSE)),IF(ISERROR(VLOOKUP(Table34[[#This Row],[source2]],Table2210[[Label]:[Weighted Degree]],3,FALSE)),IF(ISERROR(VLOOKUP(Table34[[#This Row],[source2]],Table2214[[Label]:[Weighted Degree]],3,FALSE)),FALSE,VLOOKUP(Table34[[#This Row],[source2]],Table2214[[Label]:[Weighted Degree]],3,FALSE)),VLOOKUP(Table34[[#This Row],[source2]],Table2210[[Label]:[Weighted Degree]],3,FALSE)),VLOOKUP(Table34[[#This Row],[source2]],Table22[[Label]:[Weighted Degree]],3,FALSE))</f>
        <v>22882</v>
      </c>
      <c r="S8" s="104">
        <f>IF(ISERROR(VLOOKUP(Table34[[#This Row],[target2]],Table22[[Label]:[Weighted Degree]],3,FALSE)),IF(ISERROR(VLOOKUP(Table34[[#This Row],[target2]],Table2210[[Label]:[Weighted Degree]],3,FALSE)),IF(ISERROR(VLOOKUP(Table34[[#This Row],[target2]],Table2214[[Label]:[Weighted Degree]],3,FALSE)),FALSE,VLOOKUP(Table34[[#This Row],[target2]],Table2214[[Label]:[Weighted Degree]],3,FALSE)),VLOOKUP(Table34[[#This Row],[target2]],Table2210[[Label]:[Weighted Degree]],3,FALSE)),VLOOKUP(Table34[[#This Row],[target2]],Table22[[Label]:[Weighted Degree]],3,FALSE))</f>
        <v>44350</v>
      </c>
      <c r="U8" s="65" t="s">
        <v>141</v>
      </c>
      <c r="V8" s="65" t="s">
        <v>124</v>
      </c>
      <c r="W8" s="66" t="s">
        <v>1294</v>
      </c>
      <c r="X8" s="65">
        <v>382</v>
      </c>
      <c r="Y8" s="63" t="str">
        <f>IF(ISERROR(VLOOKUP(Table36[[#This Row],[source2]],Table22[Label],1,FALSE)),IF(ISERROR(VLOOKUP(Table36[[#This Row],[source2]],Table2210[Label],1,FALSE)),"SPOKE","FOCUS"),"HUB")</f>
        <v>HUB</v>
      </c>
      <c r="Z8" s="63" t="str">
        <f>IF(ISERROR(VLOOKUP(Table36[[#This Row],[target2]],Table22[Label],1,FALSE)),IF(ISERROR(VLOOKUP(Table36[[#This Row],[target2]],Table2210[Label],1,FALSE)),"SPOKE","FOCUS"),"HUB")</f>
        <v>HUB</v>
      </c>
      <c r="AA8" s="63" t="str">
        <f>IF(Table36[[#This Row],[source-type]]&lt;Table36[[#This Row],[target-type]],Table36[[#This Row],[target-type]]&amp;"-"&amp;Table36[[#This Row],[source-type]],Table36[[#This Row],[source-type]]&amp;"-"&amp;Table36[[#This Row],[target-type]])</f>
        <v>HUB-HUB</v>
      </c>
      <c r="AB8" s="104">
        <f>IF(ISERROR(VLOOKUP(Table36[[#This Row],[source2]],Table22[[Label]:[Weighted Degree]],3,FALSE)),IF(ISERROR(VLOOKUP(Table36[[#This Row],[source2]],Table2210[[Label]:[Weighted Degree]],3,FALSE)),IF(ISERROR(VLOOKUP(Table36[[#This Row],[source2]],Table2214[[Label]:[Weighted Degree]],3,FALSE)),FALSE,VLOOKUP(Table36[[#This Row],[source2]],Table2214[[Label]:[Weighted Degree]],3,FALSE)),VLOOKUP(Table36[[#This Row],[source2]],Table2210[[Label]:[Weighted Degree]],3,FALSE)),VLOOKUP(Table36[[#This Row],[source2]],Table22[[Label]:[Weighted Degree]],3,FALSE))</f>
        <v>11690</v>
      </c>
      <c r="AC8" s="104">
        <f>IF(ISERROR(VLOOKUP(Table36[[#This Row],[target2]],Table22[[Label]:[Weighted Degree]],3,FALSE)),IF(ISERROR(VLOOKUP(Table36[[#This Row],[target2]],Table2210[[Label]:[Weighted Degree]],3,FALSE)),IF(ISERROR(VLOOKUP(Table36[[#This Row],[target2]],Table2214[[Label]:[Weighted Degree]],3,FALSE)),FALSE,VLOOKUP(Table36[[#This Row],[target2]],Table2214[[Label]:[Weighted Degree]],3,FALSE)),VLOOKUP(Table36[[#This Row],[target2]],Table2210[[Label]:[Weighted Degree]],3,FALSE)),VLOOKUP(Table36[[#This Row],[target2]],Table22[[Label]:[Weighted Degree]],3,FALSE))</f>
        <v>28737</v>
      </c>
      <c r="AE8" s="14" t="s">
        <v>133</v>
      </c>
      <c r="AF8" s="14" t="s">
        <v>131</v>
      </c>
      <c r="AG8" s="14">
        <v>3664</v>
      </c>
      <c r="AH8" s="63" t="str">
        <f>IF(ISERROR(VLOOKUP(Table17[[#This Row],[source2]],Table22[Label],1,FALSE)),IF(ISERROR(VLOOKUP(Table17[[#This Row],[source2]],Table2210[Label],1,FALSE)),"SPOKE","FOCUS"),"HUB")</f>
        <v>HUB</v>
      </c>
      <c r="AI8" s="63" t="str">
        <f>IF(ISERROR(VLOOKUP(Table17[[#This Row],[target2]],Table22[Label],1,FALSE)),IF(ISERROR(VLOOKUP(Table17[[#This Row],[target2]],Table2210[Label],1,FALSE)),"SPOKE","FOCUS"),"HUB")</f>
        <v>HUB</v>
      </c>
      <c r="AJ8" s="63" t="str">
        <f>IF(Table17[[#This Row],[source-type]]&lt;Table17[[#This Row],[target-type]],Table17[[#This Row],[target-type]]&amp;"-"&amp;Table17[[#This Row],[source-type]],Table17[[#This Row],[source-type]]&amp;"-"&amp;Table17[[#This Row],[target-type]])</f>
        <v>HUB-HUB</v>
      </c>
      <c r="AK8" s="104">
        <f>IF(ISERROR(VLOOKUP(Table17[[#This Row],[source2]],Table22[[Label]:[Weighted Degree]],3,FALSE)),IF(ISERROR(VLOOKUP(Table17[[#This Row],[source2]],Table2210[[Label]:[Weighted Degree]],3,FALSE)),IF(ISERROR(VLOOKUP(Table17[[#This Row],[source2]],Table2214[[Label]:[Weighted Degree]],3,FALSE)),FALSE,VLOOKUP(Table17[[#This Row],[source2]],Table2214[[Label]:[Weighted Degree]],3,FALSE)),VLOOKUP(Table17[[#This Row],[source2]],Table2210[[Label]:[Weighted Degree]],3,FALSE)),VLOOKUP(Table17[[#This Row],[source2]],Table22[[Label]:[Weighted Degree]],3,FALSE))</f>
        <v>39711</v>
      </c>
      <c r="AL8" s="104">
        <f>IF(ISERROR(VLOOKUP(Table17[[#This Row],[target2]],Table22[[Label]:[Weighted Degree]],3,FALSE)),IF(ISERROR(VLOOKUP(Table17[[#This Row],[target2]],Table2210[[Label]:[Weighted Degree]],3,FALSE)),IF(ISERROR(VLOOKUP(Table17[[#This Row],[target2]],Table2214[[Label]:[Weighted Degree]],3,FALSE)),FALSE,VLOOKUP(Table17[[#This Row],[target2]],Table2214[[Label]:[Weighted Degree]],3,FALSE)),VLOOKUP(Table17[[#This Row],[target2]],Table2210[[Label]:[Weighted Degree]],3,FALSE)),VLOOKUP(Table17[[#This Row],[target2]],Table22[[Label]:[Weighted Degree]],3,FALSE))</f>
        <v>44350</v>
      </c>
    </row>
    <row r="9" spans="1:38" x14ac:dyDescent="0.2">
      <c r="A9" s="68" t="s">
        <v>127</v>
      </c>
      <c r="B9" s="68" t="s">
        <v>147</v>
      </c>
      <c r="C9" s="67" t="s">
        <v>1993</v>
      </c>
      <c r="D9" s="62">
        <v>4081</v>
      </c>
      <c r="E9" s="63" t="str">
        <f>IF(ISERROR(VLOOKUP(Table33[[#This Row],[source2]],Table22[Label],1,FALSE)),IF(ISERROR(VLOOKUP(Table33[[#This Row],[source2]],Table2210[Label],1,FALSE)),"SPOKE","FOCUS"),"HUB")</f>
        <v>HUB</v>
      </c>
      <c r="F9" s="63" t="str">
        <f>IF(ISERROR(VLOOKUP(Table33[[#This Row],[target2]],Table22[Label],1,FALSE)),IF(ISERROR(VLOOKUP(Table33[[#This Row],[target2]],Table2210[Label],1,FALSE)),"SPOKE","FOCUS"),"HUB")</f>
        <v>SPOKE</v>
      </c>
      <c r="G9" s="63" t="str">
        <f>IF(Table33[[#This Row],[source-type]]&lt;Table33[[#This Row],[target-type]],Table33[[#This Row],[target-type]]&amp;"-"&amp;Table33[[#This Row],[source-type]],Table33[[#This Row],[source-type]]&amp;"-"&amp;Table33[[#This Row],[target-type]])</f>
        <v>SPOKE-HUB</v>
      </c>
      <c r="H9" s="63">
        <f>IF(ISERROR(VLOOKUP(Table33[[#This Row],[source2]],Table22[[Label]:[Weighted Degree]],3,FALSE)),IF(ISERROR(VLOOKUP(Table33[[#This Row],[source2]],Table2210[[Label]:[Weighted Degree]],3,FALSE)),IF(ISERROR(VLOOKUP(Table33[[#This Row],[source2]],Table2214[[Label]:[Weighted Degree]],3,FALSE)),FALSE,VLOOKUP(Table33[[#This Row],[source2]],Table2214[[Label]:[Weighted Degree]],3,FALSE)),VLOOKUP(Table33[[#This Row],[source2]],Table2210[[Label]:[Weighted Degree]],3,FALSE)),VLOOKUP(Table33[[#This Row],[source2]],Table22[[Label]:[Weighted Degree]],3,FALSE))</f>
        <v>24221</v>
      </c>
      <c r="I9" s="63">
        <f>IF(ISERROR(VLOOKUP(Table33[[#This Row],[target2]],Table22[[Label]:[Weighted Degree]],3,FALSE)),IF(ISERROR(VLOOKUP(Table33[[#This Row],[target2]],Table2210[[Label]:[Weighted Degree]],3,FALSE)),IF(ISERROR(VLOOKUP(Table33[[#This Row],[target2]],Table2214[[Label]:[Weighted Degree]],3,FALSE)),FALSE,VLOOKUP(Table33[[#This Row],[target2]],Table2214[[Label]:[Weighted Degree]],3,FALSE)),VLOOKUP(Table33[[#This Row],[target2]],Table2210[[Label]:[Weighted Degree]],3,FALSE)),VLOOKUP(Table33[[#This Row],[target2]],Table22[[Label]:[Weighted Degree]],3,FALSE))</f>
        <v>14467</v>
      </c>
      <c r="K9" s="14" t="s">
        <v>133</v>
      </c>
      <c r="L9" s="14" t="s">
        <v>139</v>
      </c>
      <c r="M9" s="64" t="s">
        <v>738</v>
      </c>
      <c r="N9" s="14">
        <v>3906</v>
      </c>
      <c r="O9" s="63" t="str">
        <f>IF(ISERROR(VLOOKUP(Table34[[#This Row],[source2]],Table22[Label],1,FALSE)),IF(ISERROR(VLOOKUP(Table34[[#This Row],[source2]],Table2210[Label],1,FALSE)),"SPOKE","FOCUS"),"HUB")</f>
        <v>HUB</v>
      </c>
      <c r="P9" s="63" t="str">
        <f>IF(ISERROR(VLOOKUP(Table34[[#This Row],[target2]],Table22[Label],1,FALSE)),IF(ISERROR(VLOOKUP(Table34[[#This Row],[target2]],Table2210[Label],1,FALSE)),"SPOKE","FOCUS"),"HUB")</f>
        <v>HUB</v>
      </c>
      <c r="Q9" s="63" t="str">
        <f>IF(Table34[[#This Row],[source-type]]&lt;Table34[[#This Row],[target-type]],Table34[[#This Row],[target-type]]&amp;"-"&amp;Table34[[#This Row],[source-type]],Table34[[#This Row],[source-type]]&amp;"-"&amp;Table34[[#This Row],[target-type]])</f>
        <v>HUB-HUB</v>
      </c>
      <c r="R9" s="104">
        <f>IF(ISERROR(VLOOKUP(Table34[[#This Row],[source2]],Table22[[Label]:[Weighted Degree]],3,FALSE)),IF(ISERROR(VLOOKUP(Table34[[#This Row],[source2]],Table2210[[Label]:[Weighted Degree]],3,FALSE)),IF(ISERROR(VLOOKUP(Table34[[#This Row],[source2]],Table2214[[Label]:[Weighted Degree]],3,FALSE)),FALSE,VLOOKUP(Table34[[#This Row],[source2]],Table2214[[Label]:[Weighted Degree]],3,FALSE)),VLOOKUP(Table34[[#This Row],[source2]],Table2210[[Label]:[Weighted Degree]],3,FALSE)),VLOOKUP(Table34[[#This Row],[source2]],Table22[[Label]:[Weighted Degree]],3,FALSE))</f>
        <v>39711</v>
      </c>
      <c r="S9" s="104">
        <f>IF(ISERROR(VLOOKUP(Table34[[#This Row],[target2]],Table22[[Label]:[Weighted Degree]],3,FALSE)),IF(ISERROR(VLOOKUP(Table34[[#This Row],[target2]],Table2210[[Label]:[Weighted Degree]],3,FALSE)),IF(ISERROR(VLOOKUP(Table34[[#This Row],[target2]],Table2214[[Label]:[Weighted Degree]],3,FALSE)),FALSE,VLOOKUP(Table34[[#This Row],[target2]],Table2214[[Label]:[Weighted Degree]],3,FALSE)),VLOOKUP(Table34[[#This Row],[target2]],Table2210[[Label]:[Weighted Degree]],3,FALSE)),VLOOKUP(Table34[[#This Row],[target2]],Table22[[Label]:[Weighted Degree]],3,FALSE))</f>
        <v>31784</v>
      </c>
      <c r="U9" s="65" t="s">
        <v>140</v>
      </c>
      <c r="V9" s="65" t="s">
        <v>127</v>
      </c>
      <c r="W9" s="66" t="s">
        <v>1929</v>
      </c>
      <c r="X9" s="65">
        <v>651</v>
      </c>
      <c r="Y9" s="63" t="str">
        <f>IF(ISERROR(VLOOKUP(Table36[[#This Row],[source2]],Table22[Label],1,FALSE)),IF(ISERROR(VLOOKUP(Table36[[#This Row],[source2]],Table2210[Label],1,FALSE)),"SPOKE","FOCUS"),"HUB")</f>
        <v>HUB</v>
      </c>
      <c r="Z9" s="63" t="str">
        <f>IF(ISERROR(VLOOKUP(Table36[[#This Row],[target2]],Table22[Label],1,FALSE)),IF(ISERROR(VLOOKUP(Table36[[#This Row],[target2]],Table2210[Label],1,FALSE)),"SPOKE","FOCUS"),"HUB")</f>
        <v>HUB</v>
      </c>
      <c r="AA9" s="63" t="str">
        <f>IF(Table36[[#This Row],[source-type]]&lt;Table36[[#This Row],[target-type]],Table36[[#This Row],[target-type]]&amp;"-"&amp;Table36[[#This Row],[source-type]],Table36[[#This Row],[source-type]]&amp;"-"&amp;Table36[[#This Row],[target-type]])</f>
        <v>HUB-HUB</v>
      </c>
      <c r="AB9" s="104">
        <f>IF(ISERROR(VLOOKUP(Table36[[#This Row],[source2]],Table22[[Label]:[Weighted Degree]],3,FALSE)),IF(ISERROR(VLOOKUP(Table36[[#This Row],[source2]],Table2210[[Label]:[Weighted Degree]],3,FALSE)),IF(ISERROR(VLOOKUP(Table36[[#This Row],[source2]],Table2214[[Label]:[Weighted Degree]],3,FALSE)),FALSE,VLOOKUP(Table36[[#This Row],[source2]],Table2214[[Label]:[Weighted Degree]],3,FALSE)),VLOOKUP(Table36[[#This Row],[source2]],Table2210[[Label]:[Weighted Degree]],3,FALSE)),VLOOKUP(Table36[[#This Row],[source2]],Table22[[Label]:[Weighted Degree]],3,FALSE))</f>
        <v>21171</v>
      </c>
      <c r="AC9" s="104">
        <f>IF(ISERROR(VLOOKUP(Table36[[#This Row],[target2]],Table22[[Label]:[Weighted Degree]],3,FALSE)),IF(ISERROR(VLOOKUP(Table36[[#This Row],[target2]],Table2210[[Label]:[Weighted Degree]],3,FALSE)),IF(ISERROR(VLOOKUP(Table36[[#This Row],[target2]],Table2214[[Label]:[Weighted Degree]],3,FALSE)),FALSE,VLOOKUP(Table36[[#This Row],[target2]],Table2214[[Label]:[Weighted Degree]],3,FALSE)),VLOOKUP(Table36[[#This Row],[target2]],Table2210[[Label]:[Weighted Degree]],3,FALSE)),VLOOKUP(Table36[[#This Row],[target2]],Table22[[Label]:[Weighted Degree]],3,FALSE))</f>
        <v>24221</v>
      </c>
      <c r="AE9" s="14" t="s">
        <v>133</v>
      </c>
      <c r="AF9" s="14" t="s">
        <v>145</v>
      </c>
      <c r="AG9" s="14">
        <v>2642</v>
      </c>
      <c r="AH9" s="63" t="str">
        <f>IF(ISERROR(VLOOKUP(Table17[[#This Row],[source2]],Table22[Label],1,FALSE)),IF(ISERROR(VLOOKUP(Table17[[#This Row],[source2]],Table2210[Label],1,FALSE)),"SPOKE","FOCUS"),"HUB")</f>
        <v>HUB</v>
      </c>
      <c r="AI9" s="63" t="str">
        <f>IF(ISERROR(VLOOKUP(Table17[[#This Row],[target2]],Table22[Label],1,FALSE)),IF(ISERROR(VLOOKUP(Table17[[#This Row],[target2]],Table2210[Label],1,FALSE)),"SPOKE","FOCUS"),"HUB")</f>
        <v>HUB</v>
      </c>
      <c r="AJ9" s="63" t="str">
        <f>IF(Table17[[#This Row],[source-type]]&lt;Table17[[#This Row],[target-type]],Table17[[#This Row],[target-type]]&amp;"-"&amp;Table17[[#This Row],[source-type]],Table17[[#This Row],[source-type]]&amp;"-"&amp;Table17[[#This Row],[target-type]])</f>
        <v>HUB-HUB</v>
      </c>
      <c r="AK9" s="104">
        <f>IF(ISERROR(VLOOKUP(Table17[[#This Row],[source2]],Table22[[Label]:[Weighted Degree]],3,FALSE)),IF(ISERROR(VLOOKUP(Table17[[#This Row],[source2]],Table2210[[Label]:[Weighted Degree]],3,FALSE)),IF(ISERROR(VLOOKUP(Table17[[#This Row],[source2]],Table2214[[Label]:[Weighted Degree]],3,FALSE)),FALSE,VLOOKUP(Table17[[#This Row],[source2]],Table2214[[Label]:[Weighted Degree]],3,FALSE)),VLOOKUP(Table17[[#This Row],[source2]],Table2210[[Label]:[Weighted Degree]],3,FALSE)),VLOOKUP(Table17[[#This Row],[source2]],Table22[[Label]:[Weighted Degree]],3,FALSE))</f>
        <v>39711</v>
      </c>
      <c r="AL9" s="104">
        <f>IF(ISERROR(VLOOKUP(Table17[[#This Row],[target2]],Table22[[Label]:[Weighted Degree]],3,FALSE)),IF(ISERROR(VLOOKUP(Table17[[#This Row],[target2]],Table2210[[Label]:[Weighted Degree]],3,FALSE)),IF(ISERROR(VLOOKUP(Table17[[#This Row],[target2]],Table2214[[Label]:[Weighted Degree]],3,FALSE)),FALSE,VLOOKUP(Table17[[#This Row],[target2]],Table2214[[Label]:[Weighted Degree]],3,FALSE)),VLOOKUP(Table17[[#This Row],[target2]],Table2210[[Label]:[Weighted Degree]],3,FALSE)),VLOOKUP(Table17[[#This Row],[target2]],Table22[[Label]:[Weighted Degree]],3,FALSE))</f>
        <v>23054</v>
      </c>
    </row>
    <row r="10" spans="1:38" x14ac:dyDescent="0.2">
      <c r="A10" s="5" t="s">
        <v>133</v>
      </c>
      <c r="B10" s="5" t="s">
        <v>148</v>
      </c>
      <c r="C10" s="67" t="s">
        <v>1182</v>
      </c>
      <c r="D10" s="62">
        <v>2523</v>
      </c>
      <c r="E10" s="63" t="str">
        <f>IF(ISERROR(VLOOKUP(Table33[[#This Row],[source2]],Table22[Label],1,FALSE)),IF(ISERROR(VLOOKUP(Table33[[#This Row],[source2]],Table2210[Label],1,FALSE)),"SPOKE","FOCUS"),"HUB")</f>
        <v>HUB</v>
      </c>
      <c r="F10" s="63" t="str">
        <f>IF(ISERROR(VLOOKUP(Table33[[#This Row],[target2]],Table22[Label],1,FALSE)),IF(ISERROR(VLOOKUP(Table33[[#This Row],[target2]],Table2210[Label],1,FALSE)),"SPOKE","FOCUS"),"HUB")</f>
        <v>SPOKE</v>
      </c>
      <c r="G10" s="63" t="str">
        <f>IF(Table33[[#This Row],[source-type]]&lt;Table33[[#This Row],[target-type]],Table33[[#This Row],[target-type]]&amp;"-"&amp;Table33[[#This Row],[source-type]],Table33[[#This Row],[source-type]]&amp;"-"&amp;Table33[[#This Row],[target-type]])</f>
        <v>SPOKE-HUB</v>
      </c>
      <c r="H10" s="63">
        <f>IF(ISERROR(VLOOKUP(Table33[[#This Row],[source2]],Table22[[Label]:[Weighted Degree]],3,FALSE)),IF(ISERROR(VLOOKUP(Table33[[#This Row],[source2]],Table2210[[Label]:[Weighted Degree]],3,FALSE)),IF(ISERROR(VLOOKUP(Table33[[#This Row],[source2]],Table2214[[Label]:[Weighted Degree]],3,FALSE)),FALSE,VLOOKUP(Table33[[#This Row],[source2]],Table2214[[Label]:[Weighted Degree]],3,FALSE)),VLOOKUP(Table33[[#This Row],[source2]],Table2210[[Label]:[Weighted Degree]],3,FALSE)),VLOOKUP(Table33[[#This Row],[source2]],Table22[[Label]:[Weighted Degree]],3,FALSE))</f>
        <v>39711</v>
      </c>
      <c r="I10" s="63">
        <f>IF(ISERROR(VLOOKUP(Table33[[#This Row],[target2]],Table22[[Label]:[Weighted Degree]],3,FALSE)),IF(ISERROR(VLOOKUP(Table33[[#This Row],[target2]],Table2210[[Label]:[Weighted Degree]],3,FALSE)),IF(ISERROR(VLOOKUP(Table33[[#This Row],[target2]],Table2214[[Label]:[Weighted Degree]],3,FALSE)),FALSE,VLOOKUP(Table33[[#This Row],[target2]],Table2214[[Label]:[Weighted Degree]],3,FALSE)),VLOOKUP(Table33[[#This Row],[target2]],Table2210[[Label]:[Weighted Degree]],3,FALSE)),VLOOKUP(Table33[[#This Row],[target2]],Table22[[Label]:[Weighted Degree]],3,FALSE))</f>
        <v>11263</v>
      </c>
      <c r="K10" s="14" t="s">
        <v>127</v>
      </c>
      <c r="L10" s="14" t="s">
        <v>147</v>
      </c>
      <c r="M10" s="64" t="s">
        <v>738</v>
      </c>
      <c r="N10" s="14">
        <v>4081</v>
      </c>
      <c r="O10" s="63" t="str">
        <f>IF(ISERROR(VLOOKUP(Table34[[#This Row],[source2]],Table22[Label],1,FALSE)),IF(ISERROR(VLOOKUP(Table34[[#This Row],[source2]],Table2210[Label],1,FALSE)),"SPOKE","FOCUS"),"HUB")</f>
        <v>HUB</v>
      </c>
      <c r="P10" s="63" t="str">
        <f>IF(ISERROR(VLOOKUP(Table34[[#This Row],[target2]],Table22[Label],1,FALSE)),IF(ISERROR(VLOOKUP(Table34[[#This Row],[target2]],Table2210[Label],1,FALSE)),"SPOKE","FOCUS"),"HUB")</f>
        <v>SPOKE</v>
      </c>
      <c r="Q10" s="63" t="str">
        <f>IF(Table34[[#This Row],[source-type]]&lt;Table34[[#This Row],[target-type]],Table34[[#This Row],[target-type]]&amp;"-"&amp;Table34[[#This Row],[source-type]],Table34[[#This Row],[source-type]]&amp;"-"&amp;Table34[[#This Row],[target-type]])</f>
        <v>SPOKE-HUB</v>
      </c>
      <c r="R10" s="104">
        <f>IF(ISERROR(VLOOKUP(Table34[[#This Row],[source2]],Table22[[Label]:[Weighted Degree]],3,FALSE)),IF(ISERROR(VLOOKUP(Table34[[#This Row],[source2]],Table2210[[Label]:[Weighted Degree]],3,FALSE)),IF(ISERROR(VLOOKUP(Table34[[#This Row],[source2]],Table2214[[Label]:[Weighted Degree]],3,FALSE)),FALSE,VLOOKUP(Table34[[#This Row],[source2]],Table2214[[Label]:[Weighted Degree]],3,FALSE)),VLOOKUP(Table34[[#This Row],[source2]],Table2210[[Label]:[Weighted Degree]],3,FALSE)),VLOOKUP(Table34[[#This Row],[source2]],Table22[[Label]:[Weighted Degree]],3,FALSE))</f>
        <v>24221</v>
      </c>
      <c r="S10" s="104">
        <f>IF(ISERROR(VLOOKUP(Table34[[#This Row],[target2]],Table22[[Label]:[Weighted Degree]],3,FALSE)),IF(ISERROR(VLOOKUP(Table34[[#This Row],[target2]],Table2210[[Label]:[Weighted Degree]],3,FALSE)),IF(ISERROR(VLOOKUP(Table34[[#This Row],[target2]],Table2214[[Label]:[Weighted Degree]],3,FALSE)),FALSE,VLOOKUP(Table34[[#This Row],[target2]],Table2214[[Label]:[Weighted Degree]],3,FALSE)),VLOOKUP(Table34[[#This Row],[target2]],Table2210[[Label]:[Weighted Degree]],3,FALSE)),VLOOKUP(Table34[[#This Row],[target2]],Table22[[Label]:[Weighted Degree]],3,FALSE))</f>
        <v>14467</v>
      </c>
      <c r="U10" s="65" t="s">
        <v>140</v>
      </c>
      <c r="V10" s="65" t="s">
        <v>150</v>
      </c>
      <c r="W10" s="66" t="s">
        <v>1924</v>
      </c>
      <c r="X10" s="65">
        <v>748</v>
      </c>
      <c r="Y10" s="63" t="str">
        <f>IF(ISERROR(VLOOKUP(Table36[[#This Row],[source2]],Table22[Label],1,FALSE)),IF(ISERROR(VLOOKUP(Table36[[#This Row],[source2]],Table2210[Label],1,FALSE)),"SPOKE","FOCUS"),"HUB")</f>
        <v>HUB</v>
      </c>
      <c r="Z10" s="63" t="str">
        <f>IF(ISERROR(VLOOKUP(Table36[[#This Row],[target2]],Table22[Label],1,FALSE)),IF(ISERROR(VLOOKUP(Table36[[#This Row],[target2]],Table2210[Label],1,FALSE)),"SPOKE","FOCUS"),"HUB")</f>
        <v>SPOKE</v>
      </c>
      <c r="AA10" s="63" t="str">
        <f>IF(Table36[[#This Row],[source-type]]&lt;Table36[[#This Row],[target-type]],Table36[[#This Row],[target-type]]&amp;"-"&amp;Table36[[#This Row],[source-type]],Table36[[#This Row],[source-type]]&amp;"-"&amp;Table36[[#This Row],[target-type]])</f>
        <v>SPOKE-HUB</v>
      </c>
      <c r="AB10" s="104">
        <f>IF(ISERROR(VLOOKUP(Table36[[#This Row],[source2]],Table22[[Label]:[Weighted Degree]],3,FALSE)),IF(ISERROR(VLOOKUP(Table36[[#This Row],[source2]],Table2210[[Label]:[Weighted Degree]],3,FALSE)),IF(ISERROR(VLOOKUP(Table36[[#This Row],[source2]],Table2214[[Label]:[Weighted Degree]],3,FALSE)),FALSE,VLOOKUP(Table36[[#This Row],[source2]],Table2214[[Label]:[Weighted Degree]],3,FALSE)),VLOOKUP(Table36[[#This Row],[source2]],Table2210[[Label]:[Weighted Degree]],3,FALSE)),VLOOKUP(Table36[[#This Row],[source2]],Table22[[Label]:[Weighted Degree]],3,FALSE))</f>
        <v>21171</v>
      </c>
      <c r="AC10" s="104">
        <f>IF(ISERROR(VLOOKUP(Table36[[#This Row],[target2]],Table22[[Label]:[Weighted Degree]],3,FALSE)),IF(ISERROR(VLOOKUP(Table36[[#This Row],[target2]],Table2210[[Label]:[Weighted Degree]],3,FALSE)),IF(ISERROR(VLOOKUP(Table36[[#This Row],[target2]],Table2214[[Label]:[Weighted Degree]],3,FALSE)),FALSE,VLOOKUP(Table36[[#This Row],[target2]],Table2214[[Label]:[Weighted Degree]],3,FALSE)),VLOOKUP(Table36[[#This Row],[target2]],Table2210[[Label]:[Weighted Degree]],3,FALSE)),VLOOKUP(Table36[[#This Row],[target2]],Table22[[Label]:[Weighted Degree]],3,FALSE))</f>
        <v>10215</v>
      </c>
      <c r="AE10" s="14" t="s">
        <v>127</v>
      </c>
      <c r="AF10" s="14" t="s">
        <v>147</v>
      </c>
      <c r="AG10" s="14">
        <v>4081</v>
      </c>
      <c r="AH10" s="63" t="str">
        <f>IF(ISERROR(VLOOKUP(Table17[[#This Row],[source2]],Table22[Label],1,FALSE)),IF(ISERROR(VLOOKUP(Table17[[#This Row],[source2]],Table2210[Label],1,FALSE)),"SPOKE","FOCUS"),"HUB")</f>
        <v>HUB</v>
      </c>
      <c r="AI10" s="63" t="str">
        <f>IF(ISERROR(VLOOKUP(Table17[[#This Row],[target2]],Table22[Label],1,FALSE)),IF(ISERROR(VLOOKUP(Table17[[#This Row],[target2]],Table2210[Label],1,FALSE)),"SPOKE","FOCUS"),"HUB")</f>
        <v>SPOKE</v>
      </c>
      <c r="AJ10" s="63" t="str">
        <f>IF(Table17[[#This Row],[source-type]]&lt;Table17[[#This Row],[target-type]],Table17[[#This Row],[target-type]]&amp;"-"&amp;Table17[[#This Row],[source-type]],Table17[[#This Row],[source-type]]&amp;"-"&amp;Table17[[#This Row],[target-type]])</f>
        <v>SPOKE-HUB</v>
      </c>
      <c r="AK10" s="104">
        <f>IF(ISERROR(VLOOKUP(Table17[[#This Row],[source2]],Table22[[Label]:[Weighted Degree]],3,FALSE)),IF(ISERROR(VLOOKUP(Table17[[#This Row],[source2]],Table2210[[Label]:[Weighted Degree]],3,FALSE)),IF(ISERROR(VLOOKUP(Table17[[#This Row],[source2]],Table2214[[Label]:[Weighted Degree]],3,FALSE)),FALSE,VLOOKUP(Table17[[#This Row],[source2]],Table2214[[Label]:[Weighted Degree]],3,FALSE)),VLOOKUP(Table17[[#This Row],[source2]],Table2210[[Label]:[Weighted Degree]],3,FALSE)),VLOOKUP(Table17[[#This Row],[source2]],Table22[[Label]:[Weighted Degree]],3,FALSE))</f>
        <v>24221</v>
      </c>
      <c r="AL10" s="104">
        <f>IF(ISERROR(VLOOKUP(Table17[[#This Row],[target2]],Table22[[Label]:[Weighted Degree]],3,FALSE)),IF(ISERROR(VLOOKUP(Table17[[#This Row],[target2]],Table2210[[Label]:[Weighted Degree]],3,FALSE)),IF(ISERROR(VLOOKUP(Table17[[#This Row],[target2]],Table2214[[Label]:[Weighted Degree]],3,FALSE)),FALSE,VLOOKUP(Table17[[#This Row],[target2]],Table2214[[Label]:[Weighted Degree]],3,FALSE)),VLOOKUP(Table17[[#This Row],[target2]],Table2210[[Label]:[Weighted Degree]],3,FALSE)),VLOOKUP(Table17[[#This Row],[target2]],Table22[[Label]:[Weighted Degree]],3,FALSE))</f>
        <v>14467</v>
      </c>
    </row>
    <row r="11" spans="1:38" x14ac:dyDescent="0.2">
      <c r="A11" s="68" t="s">
        <v>146</v>
      </c>
      <c r="B11" s="68" t="s">
        <v>140</v>
      </c>
      <c r="C11" s="67" t="s">
        <v>838</v>
      </c>
      <c r="D11" s="62">
        <v>2645</v>
      </c>
      <c r="E11" s="63" t="str">
        <f>IF(ISERROR(VLOOKUP(Table33[[#This Row],[source2]],Table22[Label],1,FALSE)),IF(ISERROR(VLOOKUP(Table33[[#This Row],[source2]],Table2210[Label],1,FALSE)),"SPOKE","FOCUS"),"HUB")</f>
        <v>FOCUS</v>
      </c>
      <c r="F11" s="63" t="str">
        <f>IF(ISERROR(VLOOKUP(Table33[[#This Row],[target2]],Table22[Label],1,FALSE)),IF(ISERROR(VLOOKUP(Table33[[#This Row],[target2]],Table2210[Label],1,FALSE)),"SPOKE","FOCUS"),"HUB")</f>
        <v>HUB</v>
      </c>
      <c r="G11" s="63" t="str">
        <f>IF(Table33[[#This Row],[source-type]]&lt;Table33[[#This Row],[target-type]],Table33[[#This Row],[target-type]]&amp;"-"&amp;Table33[[#This Row],[source-type]],Table33[[#This Row],[source-type]]&amp;"-"&amp;Table33[[#This Row],[target-type]])</f>
        <v>HUB-FOCUS</v>
      </c>
      <c r="H11" s="63">
        <f>IF(ISERROR(VLOOKUP(Table33[[#This Row],[source2]],Table22[[Label]:[Weighted Degree]],3,FALSE)),IF(ISERROR(VLOOKUP(Table33[[#This Row],[source2]],Table2210[[Label]:[Weighted Degree]],3,FALSE)),IF(ISERROR(VLOOKUP(Table33[[#This Row],[source2]],Table2214[[Label]:[Weighted Degree]],3,FALSE)),FALSE,VLOOKUP(Table33[[#This Row],[source2]],Table2214[[Label]:[Weighted Degree]],3,FALSE)),VLOOKUP(Table33[[#This Row],[source2]],Table2210[[Label]:[Weighted Degree]],3,FALSE)),VLOOKUP(Table33[[#This Row],[source2]],Table22[[Label]:[Weighted Degree]],3,FALSE))</f>
        <v>22882</v>
      </c>
      <c r="I11" s="63">
        <f>IF(ISERROR(VLOOKUP(Table33[[#This Row],[target2]],Table22[[Label]:[Weighted Degree]],3,FALSE)),IF(ISERROR(VLOOKUP(Table33[[#This Row],[target2]],Table2210[[Label]:[Weighted Degree]],3,FALSE)),IF(ISERROR(VLOOKUP(Table33[[#This Row],[target2]],Table2214[[Label]:[Weighted Degree]],3,FALSE)),FALSE,VLOOKUP(Table33[[#This Row],[target2]],Table2214[[Label]:[Weighted Degree]],3,FALSE)),VLOOKUP(Table33[[#This Row],[target2]],Table2210[[Label]:[Weighted Degree]],3,FALSE)),VLOOKUP(Table33[[#This Row],[target2]],Table22[[Label]:[Weighted Degree]],3,FALSE))</f>
        <v>21171</v>
      </c>
      <c r="K11" s="14" t="s">
        <v>140</v>
      </c>
      <c r="L11" s="14" t="s">
        <v>147</v>
      </c>
      <c r="M11" s="64" t="s">
        <v>738</v>
      </c>
      <c r="N11" s="14">
        <v>2139</v>
      </c>
      <c r="O11" s="63" t="str">
        <f>IF(ISERROR(VLOOKUP(Table34[[#This Row],[source2]],Table22[Label],1,FALSE)),IF(ISERROR(VLOOKUP(Table34[[#This Row],[source2]],Table2210[Label],1,FALSE)),"SPOKE","FOCUS"),"HUB")</f>
        <v>HUB</v>
      </c>
      <c r="P11" s="63" t="str">
        <f>IF(ISERROR(VLOOKUP(Table34[[#This Row],[target2]],Table22[Label],1,FALSE)),IF(ISERROR(VLOOKUP(Table34[[#This Row],[target2]],Table2210[Label],1,FALSE)),"SPOKE","FOCUS"),"HUB")</f>
        <v>SPOKE</v>
      </c>
      <c r="Q11" s="63" t="str">
        <f>IF(Table34[[#This Row],[source-type]]&lt;Table34[[#This Row],[target-type]],Table34[[#This Row],[target-type]]&amp;"-"&amp;Table34[[#This Row],[source-type]],Table34[[#This Row],[source-type]]&amp;"-"&amp;Table34[[#This Row],[target-type]])</f>
        <v>SPOKE-HUB</v>
      </c>
      <c r="R11" s="104">
        <f>IF(ISERROR(VLOOKUP(Table34[[#This Row],[source2]],Table22[[Label]:[Weighted Degree]],3,FALSE)),IF(ISERROR(VLOOKUP(Table34[[#This Row],[source2]],Table2210[[Label]:[Weighted Degree]],3,FALSE)),IF(ISERROR(VLOOKUP(Table34[[#This Row],[source2]],Table2214[[Label]:[Weighted Degree]],3,FALSE)),FALSE,VLOOKUP(Table34[[#This Row],[source2]],Table2214[[Label]:[Weighted Degree]],3,FALSE)),VLOOKUP(Table34[[#This Row],[source2]],Table2210[[Label]:[Weighted Degree]],3,FALSE)),VLOOKUP(Table34[[#This Row],[source2]],Table22[[Label]:[Weighted Degree]],3,FALSE))</f>
        <v>21171</v>
      </c>
      <c r="S11" s="104">
        <f>IF(ISERROR(VLOOKUP(Table34[[#This Row],[target2]],Table22[[Label]:[Weighted Degree]],3,FALSE)),IF(ISERROR(VLOOKUP(Table34[[#This Row],[target2]],Table2210[[Label]:[Weighted Degree]],3,FALSE)),IF(ISERROR(VLOOKUP(Table34[[#This Row],[target2]],Table2214[[Label]:[Weighted Degree]],3,FALSE)),FALSE,VLOOKUP(Table34[[#This Row],[target2]],Table2214[[Label]:[Weighted Degree]],3,FALSE)),VLOOKUP(Table34[[#This Row],[target2]],Table2210[[Label]:[Weighted Degree]],3,FALSE)),VLOOKUP(Table34[[#This Row],[target2]],Table22[[Label]:[Weighted Degree]],3,FALSE))</f>
        <v>14467</v>
      </c>
      <c r="U11" s="65" t="s">
        <v>152</v>
      </c>
      <c r="V11" s="65" t="s">
        <v>135</v>
      </c>
      <c r="W11" s="66" t="s">
        <v>744</v>
      </c>
      <c r="X11" s="65">
        <v>1216</v>
      </c>
      <c r="Y11" s="63" t="str">
        <f>IF(ISERROR(VLOOKUP(Table36[[#This Row],[source2]],Table22[Label],1,FALSE)),IF(ISERROR(VLOOKUP(Table36[[#This Row],[source2]],Table2210[Label],1,FALSE)),"SPOKE","FOCUS"),"HUB")</f>
        <v>SPOKE</v>
      </c>
      <c r="Z11" s="63" t="str">
        <f>IF(ISERROR(VLOOKUP(Table36[[#This Row],[target2]],Table22[Label],1,FALSE)),IF(ISERROR(VLOOKUP(Table36[[#This Row],[target2]],Table2210[Label],1,FALSE)),"SPOKE","FOCUS"),"HUB")</f>
        <v>HUB</v>
      </c>
      <c r="AA11" s="63" t="str">
        <f>IF(Table36[[#This Row],[source-type]]&lt;Table36[[#This Row],[target-type]],Table36[[#This Row],[target-type]]&amp;"-"&amp;Table36[[#This Row],[source-type]],Table36[[#This Row],[source-type]]&amp;"-"&amp;Table36[[#This Row],[target-type]])</f>
        <v>SPOKE-HUB</v>
      </c>
      <c r="AB11" s="104">
        <f>IF(ISERROR(VLOOKUP(Table36[[#This Row],[source2]],Table22[[Label]:[Weighted Degree]],3,FALSE)),IF(ISERROR(VLOOKUP(Table36[[#This Row],[source2]],Table2210[[Label]:[Weighted Degree]],3,FALSE)),IF(ISERROR(VLOOKUP(Table36[[#This Row],[source2]],Table2214[[Label]:[Weighted Degree]],3,FALSE)),FALSE,VLOOKUP(Table36[[#This Row],[source2]],Table2214[[Label]:[Weighted Degree]],3,FALSE)),VLOOKUP(Table36[[#This Row],[source2]],Table2210[[Label]:[Weighted Degree]],3,FALSE)),VLOOKUP(Table36[[#This Row],[source2]],Table22[[Label]:[Weighted Degree]],3,FALSE))</f>
        <v>9094</v>
      </c>
      <c r="AC11" s="104">
        <f>IF(ISERROR(VLOOKUP(Table36[[#This Row],[target2]],Table22[[Label]:[Weighted Degree]],3,FALSE)),IF(ISERROR(VLOOKUP(Table36[[#This Row],[target2]],Table2210[[Label]:[Weighted Degree]],3,FALSE)),IF(ISERROR(VLOOKUP(Table36[[#This Row],[target2]],Table2214[[Label]:[Weighted Degree]],3,FALSE)),FALSE,VLOOKUP(Table36[[#This Row],[target2]],Table2214[[Label]:[Weighted Degree]],3,FALSE)),VLOOKUP(Table36[[#This Row],[target2]],Table2210[[Label]:[Weighted Degree]],3,FALSE)),VLOOKUP(Table36[[#This Row],[target2]],Table22[[Label]:[Weighted Degree]],3,FALSE))</f>
        <v>23724</v>
      </c>
      <c r="AE11" s="14" t="s">
        <v>140</v>
      </c>
      <c r="AF11" s="14" t="s">
        <v>147</v>
      </c>
      <c r="AG11" s="14">
        <v>2139</v>
      </c>
      <c r="AH11" s="63" t="str">
        <f>IF(ISERROR(VLOOKUP(Table17[[#This Row],[source2]],Table22[Label],1,FALSE)),IF(ISERROR(VLOOKUP(Table17[[#This Row],[source2]],Table2210[Label],1,FALSE)),"SPOKE","FOCUS"),"HUB")</f>
        <v>HUB</v>
      </c>
      <c r="AI11" s="63" t="str">
        <f>IF(ISERROR(VLOOKUP(Table17[[#This Row],[target2]],Table22[Label],1,FALSE)),IF(ISERROR(VLOOKUP(Table17[[#This Row],[target2]],Table2210[Label],1,FALSE)),"SPOKE","FOCUS"),"HUB")</f>
        <v>SPOKE</v>
      </c>
      <c r="AJ11" s="63" t="str">
        <f>IF(Table17[[#This Row],[source-type]]&lt;Table17[[#This Row],[target-type]],Table17[[#This Row],[target-type]]&amp;"-"&amp;Table17[[#This Row],[source-type]],Table17[[#This Row],[source-type]]&amp;"-"&amp;Table17[[#This Row],[target-type]])</f>
        <v>SPOKE-HUB</v>
      </c>
      <c r="AK11" s="104">
        <f>IF(ISERROR(VLOOKUP(Table17[[#This Row],[source2]],Table22[[Label]:[Weighted Degree]],3,FALSE)),IF(ISERROR(VLOOKUP(Table17[[#This Row],[source2]],Table2210[[Label]:[Weighted Degree]],3,FALSE)),IF(ISERROR(VLOOKUP(Table17[[#This Row],[source2]],Table2214[[Label]:[Weighted Degree]],3,FALSE)),FALSE,VLOOKUP(Table17[[#This Row],[source2]],Table2214[[Label]:[Weighted Degree]],3,FALSE)),VLOOKUP(Table17[[#This Row],[source2]],Table2210[[Label]:[Weighted Degree]],3,FALSE)),VLOOKUP(Table17[[#This Row],[source2]],Table22[[Label]:[Weighted Degree]],3,FALSE))</f>
        <v>21171</v>
      </c>
      <c r="AL11" s="104">
        <f>IF(ISERROR(VLOOKUP(Table17[[#This Row],[target2]],Table22[[Label]:[Weighted Degree]],3,FALSE)),IF(ISERROR(VLOOKUP(Table17[[#This Row],[target2]],Table2210[[Label]:[Weighted Degree]],3,FALSE)),IF(ISERROR(VLOOKUP(Table17[[#This Row],[target2]],Table2214[[Label]:[Weighted Degree]],3,FALSE)),FALSE,VLOOKUP(Table17[[#This Row],[target2]],Table2214[[Label]:[Weighted Degree]],3,FALSE)),VLOOKUP(Table17[[#This Row],[target2]],Table2210[[Label]:[Weighted Degree]],3,FALSE)),VLOOKUP(Table17[[#This Row],[target2]],Table22[[Label]:[Weighted Degree]],3,FALSE))</f>
        <v>14467</v>
      </c>
    </row>
    <row r="12" spans="1:38" x14ac:dyDescent="0.2">
      <c r="A12" s="68" t="s">
        <v>126</v>
      </c>
      <c r="B12" s="68" t="s">
        <v>150</v>
      </c>
      <c r="C12" s="67" t="s">
        <v>1422</v>
      </c>
      <c r="D12" s="62">
        <v>3563</v>
      </c>
      <c r="E12" s="63" t="str">
        <f>IF(ISERROR(VLOOKUP(Table33[[#This Row],[source2]],Table22[Label],1,FALSE)),IF(ISERROR(VLOOKUP(Table33[[#This Row],[source2]],Table2210[Label],1,FALSE)),"SPOKE","FOCUS"),"HUB")</f>
        <v>HUB</v>
      </c>
      <c r="F12" s="63" t="str">
        <f>IF(ISERROR(VLOOKUP(Table33[[#This Row],[target2]],Table22[Label],1,FALSE)),IF(ISERROR(VLOOKUP(Table33[[#This Row],[target2]],Table2210[Label],1,FALSE)),"SPOKE","FOCUS"),"HUB")</f>
        <v>SPOKE</v>
      </c>
      <c r="G12" s="63" t="str">
        <f>IF(Table33[[#This Row],[source-type]]&lt;Table33[[#This Row],[target-type]],Table33[[#This Row],[target-type]]&amp;"-"&amp;Table33[[#This Row],[source-type]],Table33[[#This Row],[source-type]]&amp;"-"&amp;Table33[[#This Row],[target-type]])</f>
        <v>SPOKE-HUB</v>
      </c>
      <c r="H12" s="63">
        <f>IF(ISERROR(VLOOKUP(Table33[[#This Row],[source2]],Table22[[Label]:[Weighted Degree]],3,FALSE)),IF(ISERROR(VLOOKUP(Table33[[#This Row],[source2]],Table2210[[Label]:[Weighted Degree]],3,FALSE)),IF(ISERROR(VLOOKUP(Table33[[#This Row],[source2]],Table2214[[Label]:[Weighted Degree]],3,FALSE)),FALSE,VLOOKUP(Table33[[#This Row],[source2]],Table2214[[Label]:[Weighted Degree]],3,FALSE)),VLOOKUP(Table33[[#This Row],[source2]],Table2210[[Label]:[Weighted Degree]],3,FALSE)),VLOOKUP(Table33[[#This Row],[source2]],Table22[[Label]:[Weighted Degree]],3,FALSE))</f>
        <v>36050</v>
      </c>
      <c r="I12" s="63">
        <f>IF(ISERROR(VLOOKUP(Table33[[#This Row],[target2]],Table22[[Label]:[Weighted Degree]],3,FALSE)),IF(ISERROR(VLOOKUP(Table33[[#This Row],[target2]],Table2210[[Label]:[Weighted Degree]],3,FALSE)),IF(ISERROR(VLOOKUP(Table33[[#This Row],[target2]],Table2214[[Label]:[Weighted Degree]],3,FALSE)),FALSE,VLOOKUP(Table33[[#This Row],[target2]],Table2214[[Label]:[Weighted Degree]],3,FALSE)),VLOOKUP(Table33[[#This Row],[target2]],Table2210[[Label]:[Weighted Degree]],3,FALSE)),VLOOKUP(Table33[[#This Row],[target2]],Table22[[Label]:[Weighted Degree]],3,FALSE))</f>
        <v>10215</v>
      </c>
      <c r="K12" s="14" t="s">
        <v>133</v>
      </c>
      <c r="L12" s="14" t="s">
        <v>148</v>
      </c>
      <c r="M12" s="64" t="s">
        <v>738</v>
      </c>
      <c r="N12" s="14">
        <v>2523</v>
      </c>
      <c r="O12" s="63" t="str">
        <f>IF(ISERROR(VLOOKUP(Table34[[#This Row],[source2]],Table22[Label],1,FALSE)),IF(ISERROR(VLOOKUP(Table34[[#This Row],[source2]],Table2210[Label],1,FALSE)),"SPOKE","FOCUS"),"HUB")</f>
        <v>HUB</v>
      </c>
      <c r="P12" s="63" t="str">
        <f>IF(ISERROR(VLOOKUP(Table34[[#This Row],[target2]],Table22[Label],1,FALSE)),IF(ISERROR(VLOOKUP(Table34[[#This Row],[target2]],Table2210[Label],1,FALSE)),"SPOKE","FOCUS"),"HUB")</f>
        <v>SPOKE</v>
      </c>
      <c r="Q12" s="63" t="str">
        <f>IF(Table34[[#This Row],[source-type]]&lt;Table34[[#This Row],[target-type]],Table34[[#This Row],[target-type]]&amp;"-"&amp;Table34[[#This Row],[source-type]],Table34[[#This Row],[source-type]]&amp;"-"&amp;Table34[[#This Row],[target-type]])</f>
        <v>SPOKE-HUB</v>
      </c>
      <c r="R12" s="104">
        <f>IF(ISERROR(VLOOKUP(Table34[[#This Row],[source2]],Table22[[Label]:[Weighted Degree]],3,FALSE)),IF(ISERROR(VLOOKUP(Table34[[#This Row],[source2]],Table2210[[Label]:[Weighted Degree]],3,FALSE)),IF(ISERROR(VLOOKUP(Table34[[#This Row],[source2]],Table2214[[Label]:[Weighted Degree]],3,FALSE)),FALSE,VLOOKUP(Table34[[#This Row],[source2]],Table2214[[Label]:[Weighted Degree]],3,FALSE)),VLOOKUP(Table34[[#This Row],[source2]],Table2210[[Label]:[Weighted Degree]],3,FALSE)),VLOOKUP(Table34[[#This Row],[source2]],Table22[[Label]:[Weighted Degree]],3,FALSE))</f>
        <v>39711</v>
      </c>
      <c r="S12" s="104">
        <f>IF(ISERROR(VLOOKUP(Table34[[#This Row],[target2]],Table22[[Label]:[Weighted Degree]],3,FALSE)),IF(ISERROR(VLOOKUP(Table34[[#This Row],[target2]],Table2210[[Label]:[Weighted Degree]],3,FALSE)),IF(ISERROR(VLOOKUP(Table34[[#This Row],[target2]],Table2214[[Label]:[Weighted Degree]],3,FALSE)),FALSE,VLOOKUP(Table34[[#This Row],[target2]],Table2214[[Label]:[Weighted Degree]],3,FALSE)),VLOOKUP(Table34[[#This Row],[target2]],Table2210[[Label]:[Weighted Degree]],3,FALSE)),VLOOKUP(Table34[[#This Row],[target2]],Table22[[Label]:[Weighted Degree]],3,FALSE))</f>
        <v>11263</v>
      </c>
      <c r="U12" s="65" t="s">
        <v>135</v>
      </c>
      <c r="V12" s="65" t="s">
        <v>144</v>
      </c>
      <c r="W12" s="66" t="s">
        <v>956</v>
      </c>
      <c r="X12" s="65">
        <v>809</v>
      </c>
      <c r="Y12" s="63" t="str">
        <f>IF(ISERROR(VLOOKUP(Table36[[#This Row],[source2]],Table22[Label],1,FALSE)),IF(ISERROR(VLOOKUP(Table36[[#This Row],[source2]],Table2210[Label],1,FALSE)),"SPOKE","FOCUS"),"HUB")</f>
        <v>HUB</v>
      </c>
      <c r="Z12" s="63" t="str">
        <f>IF(ISERROR(VLOOKUP(Table36[[#This Row],[target2]],Table22[Label],1,FALSE)),IF(ISERROR(VLOOKUP(Table36[[#This Row],[target2]],Table2210[Label],1,FALSE)),"SPOKE","FOCUS"),"HUB")</f>
        <v>FOCUS</v>
      </c>
      <c r="AA12" s="63" t="str">
        <f>IF(Table36[[#This Row],[source-type]]&lt;Table36[[#This Row],[target-type]],Table36[[#This Row],[target-type]]&amp;"-"&amp;Table36[[#This Row],[source-type]],Table36[[#This Row],[source-type]]&amp;"-"&amp;Table36[[#This Row],[target-type]])</f>
        <v>HUB-FOCUS</v>
      </c>
      <c r="AB12" s="104">
        <f>IF(ISERROR(VLOOKUP(Table36[[#This Row],[source2]],Table22[[Label]:[Weighted Degree]],3,FALSE)),IF(ISERROR(VLOOKUP(Table36[[#This Row],[source2]],Table2210[[Label]:[Weighted Degree]],3,FALSE)),IF(ISERROR(VLOOKUP(Table36[[#This Row],[source2]],Table2214[[Label]:[Weighted Degree]],3,FALSE)),FALSE,VLOOKUP(Table36[[#This Row],[source2]],Table2214[[Label]:[Weighted Degree]],3,FALSE)),VLOOKUP(Table36[[#This Row],[source2]],Table2210[[Label]:[Weighted Degree]],3,FALSE)),VLOOKUP(Table36[[#This Row],[source2]],Table22[[Label]:[Weighted Degree]],3,FALSE))</f>
        <v>23724</v>
      </c>
      <c r="AC12" s="104">
        <f>IF(ISERROR(VLOOKUP(Table36[[#This Row],[target2]],Table22[[Label]:[Weighted Degree]],3,FALSE)),IF(ISERROR(VLOOKUP(Table36[[#This Row],[target2]],Table2210[[Label]:[Weighted Degree]],3,FALSE)),IF(ISERROR(VLOOKUP(Table36[[#This Row],[target2]],Table2214[[Label]:[Weighted Degree]],3,FALSE)),FALSE,VLOOKUP(Table36[[#This Row],[target2]],Table2214[[Label]:[Weighted Degree]],3,FALSE)),VLOOKUP(Table36[[#This Row],[target2]],Table2210[[Label]:[Weighted Degree]],3,FALSE)),VLOOKUP(Table36[[#This Row],[target2]],Table22[[Label]:[Weighted Degree]],3,FALSE))</f>
        <v>22088</v>
      </c>
      <c r="AE12" s="14" t="s">
        <v>133</v>
      </c>
      <c r="AF12" s="14" t="s">
        <v>148</v>
      </c>
      <c r="AG12" s="14">
        <v>2523</v>
      </c>
      <c r="AH12" s="63" t="str">
        <f>IF(ISERROR(VLOOKUP(Table17[[#This Row],[source2]],Table22[Label],1,FALSE)),IF(ISERROR(VLOOKUP(Table17[[#This Row],[source2]],Table2210[Label],1,FALSE)),"SPOKE","FOCUS"),"HUB")</f>
        <v>HUB</v>
      </c>
      <c r="AI12" s="63" t="str">
        <f>IF(ISERROR(VLOOKUP(Table17[[#This Row],[target2]],Table22[Label],1,FALSE)),IF(ISERROR(VLOOKUP(Table17[[#This Row],[target2]],Table2210[Label],1,FALSE)),"SPOKE","FOCUS"),"HUB")</f>
        <v>SPOKE</v>
      </c>
      <c r="AJ12" s="63" t="str">
        <f>IF(Table17[[#This Row],[source-type]]&lt;Table17[[#This Row],[target-type]],Table17[[#This Row],[target-type]]&amp;"-"&amp;Table17[[#This Row],[source-type]],Table17[[#This Row],[source-type]]&amp;"-"&amp;Table17[[#This Row],[target-type]])</f>
        <v>SPOKE-HUB</v>
      </c>
      <c r="AK12" s="104">
        <f>IF(ISERROR(VLOOKUP(Table17[[#This Row],[source2]],Table22[[Label]:[Weighted Degree]],3,FALSE)),IF(ISERROR(VLOOKUP(Table17[[#This Row],[source2]],Table2210[[Label]:[Weighted Degree]],3,FALSE)),IF(ISERROR(VLOOKUP(Table17[[#This Row],[source2]],Table2214[[Label]:[Weighted Degree]],3,FALSE)),FALSE,VLOOKUP(Table17[[#This Row],[source2]],Table2214[[Label]:[Weighted Degree]],3,FALSE)),VLOOKUP(Table17[[#This Row],[source2]],Table2210[[Label]:[Weighted Degree]],3,FALSE)),VLOOKUP(Table17[[#This Row],[source2]],Table22[[Label]:[Weighted Degree]],3,FALSE))</f>
        <v>39711</v>
      </c>
      <c r="AL12" s="104">
        <f>IF(ISERROR(VLOOKUP(Table17[[#This Row],[target2]],Table22[[Label]:[Weighted Degree]],3,FALSE)),IF(ISERROR(VLOOKUP(Table17[[#This Row],[target2]],Table2210[[Label]:[Weighted Degree]],3,FALSE)),IF(ISERROR(VLOOKUP(Table17[[#This Row],[target2]],Table2214[[Label]:[Weighted Degree]],3,FALSE)),FALSE,VLOOKUP(Table17[[#This Row],[target2]],Table2214[[Label]:[Weighted Degree]],3,FALSE)),VLOOKUP(Table17[[#This Row],[target2]],Table2210[[Label]:[Weighted Degree]],3,FALSE)),VLOOKUP(Table17[[#This Row],[target2]],Table22[[Label]:[Weighted Degree]],3,FALSE))</f>
        <v>11263</v>
      </c>
    </row>
    <row r="13" spans="1:38" x14ac:dyDescent="0.2">
      <c r="A13" s="68" t="s">
        <v>130</v>
      </c>
      <c r="B13" s="68" t="s">
        <v>124</v>
      </c>
      <c r="C13" s="67" t="s">
        <v>2106</v>
      </c>
      <c r="D13" s="62">
        <v>3959</v>
      </c>
      <c r="E13" s="63" t="str">
        <f>IF(ISERROR(VLOOKUP(Table33[[#This Row],[source2]],Table22[Label],1,FALSE)),IF(ISERROR(VLOOKUP(Table33[[#This Row],[source2]],Table2210[Label],1,FALSE)),"SPOKE","FOCUS"),"HUB")</f>
        <v>HUB</v>
      </c>
      <c r="F13" s="63" t="str">
        <f>IF(ISERROR(VLOOKUP(Table33[[#This Row],[target2]],Table22[Label],1,FALSE)),IF(ISERROR(VLOOKUP(Table33[[#This Row],[target2]],Table2210[Label],1,FALSE)),"SPOKE","FOCUS"),"HUB")</f>
        <v>HUB</v>
      </c>
      <c r="G13" s="63" t="str">
        <f>IF(Table33[[#This Row],[source-type]]&lt;Table33[[#This Row],[target-type]],Table33[[#This Row],[target-type]]&amp;"-"&amp;Table33[[#This Row],[source-type]],Table33[[#This Row],[source-type]]&amp;"-"&amp;Table33[[#This Row],[target-type]])</f>
        <v>HUB-HUB</v>
      </c>
      <c r="H13" s="63">
        <f>IF(ISERROR(VLOOKUP(Table33[[#This Row],[source2]],Table22[[Label]:[Weighted Degree]],3,FALSE)),IF(ISERROR(VLOOKUP(Table33[[#This Row],[source2]],Table2210[[Label]:[Weighted Degree]],3,FALSE)),IF(ISERROR(VLOOKUP(Table33[[#This Row],[source2]],Table2214[[Label]:[Weighted Degree]],3,FALSE)),FALSE,VLOOKUP(Table33[[#This Row],[source2]],Table2214[[Label]:[Weighted Degree]],3,FALSE)),VLOOKUP(Table33[[#This Row],[source2]],Table2210[[Label]:[Weighted Degree]],3,FALSE)),VLOOKUP(Table33[[#This Row],[source2]],Table22[[Label]:[Weighted Degree]],3,FALSE))</f>
        <v>28057</v>
      </c>
      <c r="I13" s="63">
        <f>IF(ISERROR(VLOOKUP(Table33[[#This Row],[target2]],Table22[[Label]:[Weighted Degree]],3,FALSE)),IF(ISERROR(VLOOKUP(Table33[[#This Row],[target2]],Table2210[[Label]:[Weighted Degree]],3,FALSE)),IF(ISERROR(VLOOKUP(Table33[[#This Row],[target2]],Table2214[[Label]:[Weighted Degree]],3,FALSE)),FALSE,VLOOKUP(Table33[[#This Row],[target2]],Table2214[[Label]:[Weighted Degree]],3,FALSE)),VLOOKUP(Table33[[#This Row],[target2]],Table2210[[Label]:[Weighted Degree]],3,FALSE)),VLOOKUP(Table33[[#This Row],[target2]],Table22[[Label]:[Weighted Degree]],3,FALSE))</f>
        <v>28737</v>
      </c>
      <c r="K13" s="14" t="s">
        <v>126</v>
      </c>
      <c r="L13" s="14" t="s">
        <v>150</v>
      </c>
      <c r="M13" s="64" t="s">
        <v>738</v>
      </c>
      <c r="N13" s="14">
        <v>3563</v>
      </c>
      <c r="O13" s="63" t="str">
        <f>IF(ISERROR(VLOOKUP(Table34[[#This Row],[source2]],Table22[Label],1,FALSE)),IF(ISERROR(VLOOKUP(Table34[[#This Row],[source2]],Table2210[Label],1,FALSE)),"SPOKE","FOCUS"),"HUB")</f>
        <v>HUB</v>
      </c>
      <c r="P13" s="63" t="str">
        <f>IF(ISERROR(VLOOKUP(Table34[[#This Row],[target2]],Table22[Label],1,FALSE)),IF(ISERROR(VLOOKUP(Table34[[#This Row],[target2]],Table2210[Label],1,FALSE)),"SPOKE","FOCUS"),"HUB")</f>
        <v>SPOKE</v>
      </c>
      <c r="Q13" s="63" t="str">
        <f>IF(Table34[[#This Row],[source-type]]&lt;Table34[[#This Row],[target-type]],Table34[[#This Row],[target-type]]&amp;"-"&amp;Table34[[#This Row],[source-type]],Table34[[#This Row],[source-type]]&amp;"-"&amp;Table34[[#This Row],[target-type]])</f>
        <v>SPOKE-HUB</v>
      </c>
      <c r="R13" s="104">
        <f>IF(ISERROR(VLOOKUP(Table34[[#This Row],[source2]],Table22[[Label]:[Weighted Degree]],3,FALSE)),IF(ISERROR(VLOOKUP(Table34[[#This Row],[source2]],Table2210[[Label]:[Weighted Degree]],3,FALSE)),IF(ISERROR(VLOOKUP(Table34[[#This Row],[source2]],Table2214[[Label]:[Weighted Degree]],3,FALSE)),FALSE,VLOOKUP(Table34[[#This Row],[source2]],Table2214[[Label]:[Weighted Degree]],3,FALSE)),VLOOKUP(Table34[[#This Row],[source2]],Table2210[[Label]:[Weighted Degree]],3,FALSE)),VLOOKUP(Table34[[#This Row],[source2]],Table22[[Label]:[Weighted Degree]],3,FALSE))</f>
        <v>36050</v>
      </c>
      <c r="S13" s="104">
        <f>IF(ISERROR(VLOOKUP(Table34[[#This Row],[target2]],Table22[[Label]:[Weighted Degree]],3,FALSE)),IF(ISERROR(VLOOKUP(Table34[[#This Row],[target2]],Table2210[[Label]:[Weighted Degree]],3,FALSE)),IF(ISERROR(VLOOKUP(Table34[[#This Row],[target2]],Table2214[[Label]:[Weighted Degree]],3,FALSE)),FALSE,VLOOKUP(Table34[[#This Row],[target2]],Table2214[[Label]:[Weighted Degree]],3,FALSE)),VLOOKUP(Table34[[#This Row],[target2]],Table2210[[Label]:[Weighted Degree]],3,FALSE)),VLOOKUP(Table34[[#This Row],[target2]],Table22[[Label]:[Weighted Degree]],3,FALSE))</f>
        <v>10215</v>
      </c>
      <c r="U13" s="65" t="s">
        <v>135</v>
      </c>
      <c r="V13" s="65" t="s">
        <v>134</v>
      </c>
      <c r="W13" s="66" t="s">
        <v>982</v>
      </c>
      <c r="X13" s="65">
        <v>308</v>
      </c>
      <c r="Y13" s="63" t="str">
        <f>IF(ISERROR(VLOOKUP(Table36[[#This Row],[source2]],Table22[Label],1,FALSE)),IF(ISERROR(VLOOKUP(Table36[[#This Row],[source2]],Table2210[Label],1,FALSE)),"SPOKE","FOCUS"),"HUB")</f>
        <v>HUB</v>
      </c>
      <c r="Z13" s="63" t="str">
        <f>IF(ISERROR(VLOOKUP(Table36[[#This Row],[target2]],Table22[Label],1,FALSE)),IF(ISERROR(VLOOKUP(Table36[[#This Row],[target2]],Table2210[Label],1,FALSE)),"SPOKE","FOCUS"),"HUB")</f>
        <v>FOCUS</v>
      </c>
      <c r="AA13" s="63" t="str">
        <f>IF(Table36[[#This Row],[source-type]]&lt;Table36[[#This Row],[target-type]],Table36[[#This Row],[target-type]]&amp;"-"&amp;Table36[[#This Row],[source-type]],Table36[[#This Row],[source-type]]&amp;"-"&amp;Table36[[#This Row],[target-type]])</f>
        <v>HUB-FOCUS</v>
      </c>
      <c r="AB13" s="104">
        <f>IF(ISERROR(VLOOKUP(Table36[[#This Row],[source2]],Table22[[Label]:[Weighted Degree]],3,FALSE)),IF(ISERROR(VLOOKUP(Table36[[#This Row],[source2]],Table2210[[Label]:[Weighted Degree]],3,FALSE)),IF(ISERROR(VLOOKUP(Table36[[#This Row],[source2]],Table2214[[Label]:[Weighted Degree]],3,FALSE)),FALSE,VLOOKUP(Table36[[#This Row],[source2]],Table2214[[Label]:[Weighted Degree]],3,FALSE)),VLOOKUP(Table36[[#This Row],[source2]],Table2210[[Label]:[Weighted Degree]],3,FALSE)),VLOOKUP(Table36[[#This Row],[source2]],Table22[[Label]:[Weighted Degree]],3,FALSE))</f>
        <v>23724</v>
      </c>
      <c r="AC13" s="104">
        <f>IF(ISERROR(VLOOKUP(Table36[[#This Row],[target2]],Table22[[Label]:[Weighted Degree]],3,FALSE)),IF(ISERROR(VLOOKUP(Table36[[#This Row],[target2]],Table2210[[Label]:[Weighted Degree]],3,FALSE)),IF(ISERROR(VLOOKUP(Table36[[#This Row],[target2]],Table2214[[Label]:[Weighted Degree]],3,FALSE)),FALSE,VLOOKUP(Table36[[#This Row],[target2]],Table2214[[Label]:[Weighted Degree]],3,FALSE)),VLOOKUP(Table36[[#This Row],[target2]],Table2210[[Label]:[Weighted Degree]],3,FALSE)),VLOOKUP(Table36[[#This Row],[target2]],Table22[[Label]:[Weighted Degree]],3,FALSE))</f>
        <v>26074</v>
      </c>
      <c r="AE13" s="14" t="s">
        <v>126</v>
      </c>
      <c r="AF13" s="14" t="s">
        <v>150</v>
      </c>
      <c r="AG13" s="14">
        <v>3563</v>
      </c>
      <c r="AH13" s="63" t="str">
        <f>IF(ISERROR(VLOOKUP(Table17[[#This Row],[source2]],Table22[Label],1,FALSE)),IF(ISERROR(VLOOKUP(Table17[[#This Row],[source2]],Table2210[Label],1,FALSE)),"SPOKE","FOCUS"),"HUB")</f>
        <v>HUB</v>
      </c>
      <c r="AI13" s="63" t="str">
        <f>IF(ISERROR(VLOOKUP(Table17[[#This Row],[target2]],Table22[Label],1,FALSE)),IF(ISERROR(VLOOKUP(Table17[[#This Row],[target2]],Table2210[Label],1,FALSE)),"SPOKE","FOCUS"),"HUB")</f>
        <v>SPOKE</v>
      </c>
      <c r="AJ13" s="63" t="str">
        <f>IF(Table17[[#This Row],[source-type]]&lt;Table17[[#This Row],[target-type]],Table17[[#This Row],[target-type]]&amp;"-"&amp;Table17[[#This Row],[source-type]],Table17[[#This Row],[source-type]]&amp;"-"&amp;Table17[[#This Row],[target-type]])</f>
        <v>SPOKE-HUB</v>
      </c>
      <c r="AK13" s="104">
        <f>IF(ISERROR(VLOOKUP(Table17[[#This Row],[source2]],Table22[[Label]:[Weighted Degree]],3,FALSE)),IF(ISERROR(VLOOKUP(Table17[[#This Row],[source2]],Table2210[[Label]:[Weighted Degree]],3,FALSE)),IF(ISERROR(VLOOKUP(Table17[[#This Row],[source2]],Table2214[[Label]:[Weighted Degree]],3,FALSE)),FALSE,VLOOKUP(Table17[[#This Row],[source2]],Table2214[[Label]:[Weighted Degree]],3,FALSE)),VLOOKUP(Table17[[#This Row],[source2]],Table2210[[Label]:[Weighted Degree]],3,FALSE)),VLOOKUP(Table17[[#This Row],[source2]],Table22[[Label]:[Weighted Degree]],3,FALSE))</f>
        <v>36050</v>
      </c>
      <c r="AL13" s="104">
        <f>IF(ISERROR(VLOOKUP(Table17[[#This Row],[target2]],Table22[[Label]:[Weighted Degree]],3,FALSE)),IF(ISERROR(VLOOKUP(Table17[[#This Row],[target2]],Table2210[[Label]:[Weighted Degree]],3,FALSE)),IF(ISERROR(VLOOKUP(Table17[[#This Row],[target2]],Table2214[[Label]:[Weighted Degree]],3,FALSE)),FALSE,VLOOKUP(Table17[[#This Row],[target2]],Table2214[[Label]:[Weighted Degree]],3,FALSE)),VLOOKUP(Table17[[#This Row],[target2]],Table2210[[Label]:[Weighted Degree]],3,FALSE)),VLOOKUP(Table17[[#This Row],[target2]],Table22[[Label]:[Weighted Degree]],3,FALSE))</f>
        <v>10215</v>
      </c>
    </row>
    <row r="14" spans="1:38" x14ac:dyDescent="0.2">
      <c r="A14" s="68" t="s">
        <v>144</v>
      </c>
      <c r="B14" s="68" t="s">
        <v>150</v>
      </c>
      <c r="C14" s="67" t="s">
        <v>2309</v>
      </c>
      <c r="D14" s="62">
        <v>3164</v>
      </c>
      <c r="E14" s="63" t="str">
        <f>IF(ISERROR(VLOOKUP(Table33[[#This Row],[source2]],Table22[Label],1,FALSE)),IF(ISERROR(VLOOKUP(Table33[[#This Row],[source2]],Table2210[Label],1,FALSE)),"SPOKE","FOCUS"),"HUB")</f>
        <v>FOCUS</v>
      </c>
      <c r="F14" s="63" t="str">
        <f>IF(ISERROR(VLOOKUP(Table33[[#This Row],[target2]],Table22[Label],1,FALSE)),IF(ISERROR(VLOOKUP(Table33[[#This Row],[target2]],Table2210[Label],1,FALSE)),"SPOKE","FOCUS"),"HUB")</f>
        <v>SPOKE</v>
      </c>
      <c r="G14" s="63" t="str">
        <f>IF(Table33[[#This Row],[source-type]]&lt;Table33[[#This Row],[target-type]],Table33[[#This Row],[target-type]]&amp;"-"&amp;Table33[[#This Row],[source-type]],Table33[[#This Row],[source-type]]&amp;"-"&amp;Table33[[#This Row],[target-type]])</f>
        <v>SPOKE-FOCUS</v>
      </c>
      <c r="H14" s="63">
        <f>IF(ISERROR(VLOOKUP(Table33[[#This Row],[source2]],Table22[[Label]:[Weighted Degree]],3,FALSE)),IF(ISERROR(VLOOKUP(Table33[[#This Row],[source2]],Table2210[[Label]:[Weighted Degree]],3,FALSE)),IF(ISERROR(VLOOKUP(Table33[[#This Row],[source2]],Table2214[[Label]:[Weighted Degree]],3,FALSE)),FALSE,VLOOKUP(Table33[[#This Row],[source2]],Table2214[[Label]:[Weighted Degree]],3,FALSE)),VLOOKUP(Table33[[#This Row],[source2]],Table2210[[Label]:[Weighted Degree]],3,FALSE)),VLOOKUP(Table33[[#This Row],[source2]],Table22[[Label]:[Weighted Degree]],3,FALSE))</f>
        <v>22088</v>
      </c>
      <c r="I14" s="63">
        <f>IF(ISERROR(VLOOKUP(Table33[[#This Row],[target2]],Table22[[Label]:[Weighted Degree]],3,FALSE)),IF(ISERROR(VLOOKUP(Table33[[#This Row],[target2]],Table2210[[Label]:[Weighted Degree]],3,FALSE)),IF(ISERROR(VLOOKUP(Table33[[#This Row],[target2]],Table2214[[Label]:[Weighted Degree]],3,FALSE)),FALSE,VLOOKUP(Table33[[#This Row],[target2]],Table2214[[Label]:[Weighted Degree]],3,FALSE)),VLOOKUP(Table33[[#This Row],[target2]],Table2210[[Label]:[Weighted Degree]],3,FALSE)),VLOOKUP(Table33[[#This Row],[target2]],Table22[[Label]:[Weighted Degree]],3,FALSE))</f>
        <v>10215</v>
      </c>
      <c r="K14" s="14" t="s">
        <v>143</v>
      </c>
      <c r="L14" s="14" t="s">
        <v>139</v>
      </c>
      <c r="M14" s="64" t="s">
        <v>738</v>
      </c>
      <c r="N14" s="14">
        <v>3011</v>
      </c>
      <c r="O14" s="63" t="str">
        <f>IF(ISERROR(VLOOKUP(Table34[[#This Row],[source2]],Table22[Label],1,FALSE)),IF(ISERROR(VLOOKUP(Table34[[#This Row],[source2]],Table2210[Label],1,FALSE)),"SPOKE","FOCUS"),"HUB")</f>
        <v>HUB</v>
      </c>
      <c r="P14" s="63" t="str">
        <f>IF(ISERROR(VLOOKUP(Table34[[#This Row],[target2]],Table22[Label],1,FALSE)),IF(ISERROR(VLOOKUP(Table34[[#This Row],[target2]],Table2210[Label],1,FALSE)),"SPOKE","FOCUS"),"HUB")</f>
        <v>HUB</v>
      </c>
      <c r="Q14" s="63" t="str">
        <f>IF(Table34[[#This Row],[source-type]]&lt;Table34[[#This Row],[target-type]],Table34[[#This Row],[target-type]]&amp;"-"&amp;Table34[[#This Row],[source-type]],Table34[[#This Row],[source-type]]&amp;"-"&amp;Table34[[#This Row],[target-type]])</f>
        <v>HUB-HUB</v>
      </c>
      <c r="R14" s="104">
        <f>IF(ISERROR(VLOOKUP(Table34[[#This Row],[source2]],Table22[[Label]:[Weighted Degree]],3,FALSE)),IF(ISERROR(VLOOKUP(Table34[[#This Row],[source2]],Table2210[[Label]:[Weighted Degree]],3,FALSE)),IF(ISERROR(VLOOKUP(Table34[[#This Row],[source2]],Table2214[[Label]:[Weighted Degree]],3,FALSE)),FALSE,VLOOKUP(Table34[[#This Row],[source2]],Table2214[[Label]:[Weighted Degree]],3,FALSE)),VLOOKUP(Table34[[#This Row],[source2]],Table2210[[Label]:[Weighted Degree]],3,FALSE)),VLOOKUP(Table34[[#This Row],[source2]],Table22[[Label]:[Weighted Degree]],3,FALSE))</f>
        <v>10697</v>
      </c>
      <c r="S14" s="104">
        <f>IF(ISERROR(VLOOKUP(Table34[[#This Row],[target2]],Table22[[Label]:[Weighted Degree]],3,FALSE)),IF(ISERROR(VLOOKUP(Table34[[#This Row],[target2]],Table2210[[Label]:[Weighted Degree]],3,FALSE)),IF(ISERROR(VLOOKUP(Table34[[#This Row],[target2]],Table2214[[Label]:[Weighted Degree]],3,FALSE)),FALSE,VLOOKUP(Table34[[#This Row],[target2]],Table2214[[Label]:[Weighted Degree]],3,FALSE)),VLOOKUP(Table34[[#This Row],[target2]],Table2210[[Label]:[Weighted Degree]],3,FALSE)),VLOOKUP(Table34[[#This Row],[target2]],Table22[[Label]:[Weighted Degree]],3,FALSE))</f>
        <v>31784</v>
      </c>
      <c r="U14" s="62" t="s">
        <v>135</v>
      </c>
      <c r="V14" s="62" t="s">
        <v>145</v>
      </c>
      <c r="W14" s="67" t="s">
        <v>1014</v>
      </c>
      <c r="X14" s="62">
        <v>4778</v>
      </c>
      <c r="Y14" s="63" t="str">
        <f>IF(ISERROR(VLOOKUP(Table36[[#This Row],[source2]],Table22[Label],1,FALSE)),IF(ISERROR(VLOOKUP(Table36[[#This Row],[source2]],Table2210[Label],1,FALSE)),"SPOKE","FOCUS"),"HUB")</f>
        <v>HUB</v>
      </c>
      <c r="Z14" s="63" t="str">
        <f>IF(ISERROR(VLOOKUP(Table36[[#This Row],[target2]],Table22[Label],1,FALSE)),IF(ISERROR(VLOOKUP(Table36[[#This Row],[target2]],Table2210[Label],1,FALSE)),"SPOKE","FOCUS"),"HUB")</f>
        <v>HUB</v>
      </c>
      <c r="AA14" s="63" t="str">
        <f>IF(Table36[[#This Row],[source-type]]&lt;Table36[[#This Row],[target-type]],Table36[[#This Row],[target-type]]&amp;"-"&amp;Table36[[#This Row],[source-type]],Table36[[#This Row],[source-type]]&amp;"-"&amp;Table36[[#This Row],[target-type]])</f>
        <v>HUB-HUB</v>
      </c>
      <c r="AB14" s="104">
        <f>IF(ISERROR(VLOOKUP(Table36[[#This Row],[source2]],Table22[[Label]:[Weighted Degree]],3,FALSE)),IF(ISERROR(VLOOKUP(Table36[[#This Row],[source2]],Table2210[[Label]:[Weighted Degree]],3,FALSE)),IF(ISERROR(VLOOKUP(Table36[[#This Row],[source2]],Table2214[[Label]:[Weighted Degree]],3,FALSE)),FALSE,VLOOKUP(Table36[[#This Row],[source2]],Table2214[[Label]:[Weighted Degree]],3,FALSE)),VLOOKUP(Table36[[#This Row],[source2]],Table2210[[Label]:[Weighted Degree]],3,FALSE)),VLOOKUP(Table36[[#This Row],[source2]],Table22[[Label]:[Weighted Degree]],3,FALSE))</f>
        <v>23724</v>
      </c>
      <c r="AC14" s="104">
        <f>IF(ISERROR(VLOOKUP(Table36[[#This Row],[target2]],Table22[[Label]:[Weighted Degree]],3,FALSE)),IF(ISERROR(VLOOKUP(Table36[[#This Row],[target2]],Table2210[[Label]:[Weighted Degree]],3,FALSE)),IF(ISERROR(VLOOKUP(Table36[[#This Row],[target2]],Table2214[[Label]:[Weighted Degree]],3,FALSE)),FALSE,VLOOKUP(Table36[[#This Row],[target2]],Table2214[[Label]:[Weighted Degree]],3,FALSE)),VLOOKUP(Table36[[#This Row],[target2]],Table2210[[Label]:[Weighted Degree]],3,FALSE)),VLOOKUP(Table36[[#This Row],[target2]],Table22[[Label]:[Weighted Degree]],3,FALSE))</f>
        <v>23054</v>
      </c>
      <c r="AE14" s="14" t="s">
        <v>126</v>
      </c>
      <c r="AF14" s="14" t="s">
        <v>125</v>
      </c>
      <c r="AG14" s="14">
        <v>2130</v>
      </c>
      <c r="AH14" s="63" t="str">
        <f>IF(ISERROR(VLOOKUP(Table17[[#This Row],[source2]],Table22[Label],1,FALSE)),IF(ISERROR(VLOOKUP(Table17[[#This Row],[source2]],Table2210[Label],1,FALSE)),"SPOKE","FOCUS"),"HUB")</f>
        <v>HUB</v>
      </c>
      <c r="AI14" s="63" t="str">
        <f>IF(ISERROR(VLOOKUP(Table17[[#This Row],[target2]],Table22[Label],1,FALSE)),IF(ISERROR(VLOOKUP(Table17[[#This Row],[target2]],Table2210[Label],1,FALSE)),"SPOKE","FOCUS"),"HUB")</f>
        <v>HUB</v>
      </c>
      <c r="AJ14" s="63" t="str">
        <f>IF(Table17[[#This Row],[source-type]]&lt;Table17[[#This Row],[target-type]],Table17[[#This Row],[target-type]]&amp;"-"&amp;Table17[[#This Row],[source-type]],Table17[[#This Row],[source-type]]&amp;"-"&amp;Table17[[#This Row],[target-type]])</f>
        <v>HUB-HUB</v>
      </c>
      <c r="AK14" s="104">
        <f>IF(ISERROR(VLOOKUP(Table17[[#This Row],[source2]],Table22[[Label]:[Weighted Degree]],3,FALSE)),IF(ISERROR(VLOOKUP(Table17[[#This Row],[source2]],Table2210[[Label]:[Weighted Degree]],3,FALSE)),IF(ISERROR(VLOOKUP(Table17[[#This Row],[source2]],Table2214[[Label]:[Weighted Degree]],3,FALSE)),FALSE,VLOOKUP(Table17[[#This Row],[source2]],Table2214[[Label]:[Weighted Degree]],3,FALSE)),VLOOKUP(Table17[[#This Row],[source2]],Table2210[[Label]:[Weighted Degree]],3,FALSE)),VLOOKUP(Table17[[#This Row],[source2]],Table22[[Label]:[Weighted Degree]],3,FALSE))</f>
        <v>36050</v>
      </c>
      <c r="AL14" s="104">
        <f>IF(ISERROR(VLOOKUP(Table17[[#This Row],[target2]],Table22[[Label]:[Weighted Degree]],3,FALSE)),IF(ISERROR(VLOOKUP(Table17[[#This Row],[target2]],Table2210[[Label]:[Weighted Degree]],3,FALSE)),IF(ISERROR(VLOOKUP(Table17[[#This Row],[target2]],Table2214[[Label]:[Weighted Degree]],3,FALSE)),FALSE,VLOOKUP(Table17[[#This Row],[target2]],Table2214[[Label]:[Weighted Degree]],3,FALSE)),VLOOKUP(Table17[[#This Row],[target2]],Table2210[[Label]:[Weighted Degree]],3,FALSE)),VLOOKUP(Table17[[#This Row],[target2]],Table22[[Label]:[Weighted Degree]],3,FALSE))</f>
        <v>29032</v>
      </c>
    </row>
    <row r="15" spans="1:38" x14ac:dyDescent="0.2">
      <c r="A15" s="68" t="s">
        <v>126</v>
      </c>
      <c r="B15" s="68" t="s">
        <v>151</v>
      </c>
      <c r="C15" s="67" t="s">
        <v>1452</v>
      </c>
      <c r="D15" s="62">
        <v>2637</v>
      </c>
      <c r="E15" s="63" t="str">
        <f>IF(ISERROR(VLOOKUP(Table33[[#This Row],[source2]],Table22[Label],1,FALSE)),IF(ISERROR(VLOOKUP(Table33[[#This Row],[source2]],Table2210[Label],1,FALSE)),"SPOKE","FOCUS"),"HUB")</f>
        <v>HUB</v>
      </c>
      <c r="F15" s="63" t="str">
        <f>IF(ISERROR(VLOOKUP(Table33[[#This Row],[target2]],Table22[Label],1,FALSE)),IF(ISERROR(VLOOKUP(Table33[[#This Row],[target2]],Table2210[Label],1,FALSE)),"SPOKE","FOCUS"),"HUB")</f>
        <v>SPOKE</v>
      </c>
      <c r="G15" s="63" t="str">
        <f>IF(Table33[[#This Row],[source-type]]&lt;Table33[[#This Row],[target-type]],Table33[[#This Row],[target-type]]&amp;"-"&amp;Table33[[#This Row],[source-type]],Table33[[#This Row],[source-type]]&amp;"-"&amp;Table33[[#This Row],[target-type]])</f>
        <v>SPOKE-HUB</v>
      </c>
      <c r="H15" s="63">
        <f>IF(ISERROR(VLOOKUP(Table33[[#This Row],[source2]],Table22[[Label]:[Weighted Degree]],3,FALSE)),IF(ISERROR(VLOOKUP(Table33[[#This Row],[source2]],Table2210[[Label]:[Weighted Degree]],3,FALSE)),IF(ISERROR(VLOOKUP(Table33[[#This Row],[source2]],Table2214[[Label]:[Weighted Degree]],3,FALSE)),FALSE,VLOOKUP(Table33[[#This Row],[source2]],Table2214[[Label]:[Weighted Degree]],3,FALSE)),VLOOKUP(Table33[[#This Row],[source2]],Table2210[[Label]:[Weighted Degree]],3,FALSE)),VLOOKUP(Table33[[#This Row],[source2]],Table22[[Label]:[Weighted Degree]],3,FALSE))</f>
        <v>36050</v>
      </c>
      <c r="I15" s="63">
        <f>IF(ISERROR(VLOOKUP(Table33[[#This Row],[target2]],Table22[[Label]:[Weighted Degree]],3,FALSE)),IF(ISERROR(VLOOKUP(Table33[[#This Row],[target2]],Table2210[[Label]:[Weighted Degree]],3,FALSE)),IF(ISERROR(VLOOKUP(Table33[[#This Row],[target2]],Table2214[[Label]:[Weighted Degree]],3,FALSE)),FALSE,VLOOKUP(Table33[[#This Row],[target2]],Table2214[[Label]:[Weighted Degree]],3,FALSE)),VLOOKUP(Table33[[#This Row],[target2]],Table2210[[Label]:[Weighted Degree]],3,FALSE)),VLOOKUP(Table33[[#This Row],[target2]],Table22[[Label]:[Weighted Degree]],3,FALSE))</f>
        <v>9869</v>
      </c>
      <c r="K15" s="14" t="s">
        <v>126</v>
      </c>
      <c r="L15" s="14" t="s">
        <v>125</v>
      </c>
      <c r="M15" s="64" t="s">
        <v>738</v>
      </c>
      <c r="N15" s="14">
        <v>2130</v>
      </c>
      <c r="O15" s="63" t="str">
        <f>IF(ISERROR(VLOOKUP(Table34[[#This Row],[source2]],Table22[Label],1,FALSE)),IF(ISERROR(VLOOKUP(Table34[[#This Row],[source2]],Table2210[Label],1,FALSE)),"SPOKE","FOCUS"),"HUB")</f>
        <v>HUB</v>
      </c>
      <c r="P15" s="63" t="str">
        <f>IF(ISERROR(VLOOKUP(Table34[[#This Row],[target2]],Table22[Label],1,FALSE)),IF(ISERROR(VLOOKUP(Table34[[#This Row],[target2]],Table2210[Label],1,FALSE)),"SPOKE","FOCUS"),"HUB")</f>
        <v>HUB</v>
      </c>
      <c r="Q15" s="63" t="str">
        <f>IF(Table34[[#This Row],[source-type]]&lt;Table34[[#This Row],[target-type]],Table34[[#This Row],[target-type]]&amp;"-"&amp;Table34[[#This Row],[source-type]],Table34[[#This Row],[source-type]]&amp;"-"&amp;Table34[[#This Row],[target-type]])</f>
        <v>HUB-HUB</v>
      </c>
      <c r="R15" s="104">
        <f>IF(ISERROR(VLOOKUP(Table34[[#This Row],[source2]],Table22[[Label]:[Weighted Degree]],3,FALSE)),IF(ISERROR(VLOOKUP(Table34[[#This Row],[source2]],Table2210[[Label]:[Weighted Degree]],3,FALSE)),IF(ISERROR(VLOOKUP(Table34[[#This Row],[source2]],Table2214[[Label]:[Weighted Degree]],3,FALSE)),FALSE,VLOOKUP(Table34[[#This Row],[source2]],Table2214[[Label]:[Weighted Degree]],3,FALSE)),VLOOKUP(Table34[[#This Row],[source2]],Table2210[[Label]:[Weighted Degree]],3,FALSE)),VLOOKUP(Table34[[#This Row],[source2]],Table22[[Label]:[Weighted Degree]],3,FALSE))</f>
        <v>36050</v>
      </c>
      <c r="S15" s="104">
        <f>IF(ISERROR(VLOOKUP(Table34[[#This Row],[target2]],Table22[[Label]:[Weighted Degree]],3,FALSE)),IF(ISERROR(VLOOKUP(Table34[[#This Row],[target2]],Table2210[[Label]:[Weighted Degree]],3,FALSE)),IF(ISERROR(VLOOKUP(Table34[[#This Row],[target2]],Table2214[[Label]:[Weighted Degree]],3,FALSE)),FALSE,VLOOKUP(Table34[[#This Row],[target2]],Table2214[[Label]:[Weighted Degree]],3,FALSE)),VLOOKUP(Table34[[#This Row],[target2]],Table2210[[Label]:[Weighted Degree]],3,FALSE)),VLOOKUP(Table34[[#This Row],[target2]],Table22[[Label]:[Weighted Degree]],3,FALSE))</f>
        <v>29032</v>
      </c>
      <c r="U15" s="65" t="s">
        <v>156</v>
      </c>
      <c r="V15" s="65" t="s">
        <v>145</v>
      </c>
      <c r="W15" s="66" t="s">
        <v>2340</v>
      </c>
      <c r="X15" s="65">
        <v>730</v>
      </c>
      <c r="Y15" s="63" t="str">
        <f>IF(ISERROR(VLOOKUP(Table36[[#This Row],[source2]],Table22[Label],1,FALSE)),IF(ISERROR(VLOOKUP(Table36[[#This Row],[source2]],Table2210[Label],1,FALSE)),"SPOKE","FOCUS"),"HUB")</f>
        <v>SPOKE</v>
      </c>
      <c r="Z15" s="63" t="str">
        <f>IF(ISERROR(VLOOKUP(Table36[[#This Row],[target2]],Table22[Label],1,FALSE)),IF(ISERROR(VLOOKUP(Table36[[#This Row],[target2]],Table2210[Label],1,FALSE)),"SPOKE","FOCUS"),"HUB")</f>
        <v>HUB</v>
      </c>
      <c r="AA15" s="63" t="str">
        <f>IF(Table36[[#This Row],[source-type]]&lt;Table36[[#This Row],[target-type]],Table36[[#This Row],[target-type]]&amp;"-"&amp;Table36[[#This Row],[source-type]],Table36[[#This Row],[source-type]]&amp;"-"&amp;Table36[[#This Row],[target-type]])</f>
        <v>SPOKE-HUB</v>
      </c>
      <c r="AB15" s="104">
        <f>IF(ISERROR(VLOOKUP(Table36[[#This Row],[source2]],Table22[[Label]:[Weighted Degree]],3,FALSE)),IF(ISERROR(VLOOKUP(Table36[[#This Row],[source2]],Table2210[[Label]:[Weighted Degree]],3,FALSE)),IF(ISERROR(VLOOKUP(Table36[[#This Row],[source2]],Table2214[[Label]:[Weighted Degree]],3,FALSE)),FALSE,VLOOKUP(Table36[[#This Row],[source2]],Table2214[[Label]:[Weighted Degree]],3,FALSE)),VLOOKUP(Table36[[#This Row],[source2]],Table2210[[Label]:[Weighted Degree]],3,FALSE)),VLOOKUP(Table36[[#This Row],[source2]],Table22[[Label]:[Weighted Degree]],3,FALSE))</f>
        <v>8131</v>
      </c>
      <c r="AC15" s="104">
        <f>IF(ISERROR(VLOOKUP(Table36[[#This Row],[target2]],Table22[[Label]:[Weighted Degree]],3,FALSE)),IF(ISERROR(VLOOKUP(Table36[[#This Row],[target2]],Table2210[[Label]:[Weighted Degree]],3,FALSE)),IF(ISERROR(VLOOKUP(Table36[[#This Row],[target2]],Table2214[[Label]:[Weighted Degree]],3,FALSE)),FALSE,VLOOKUP(Table36[[#This Row],[target2]],Table2214[[Label]:[Weighted Degree]],3,FALSE)),VLOOKUP(Table36[[#This Row],[target2]],Table2210[[Label]:[Weighted Degree]],3,FALSE)),VLOOKUP(Table36[[#This Row],[target2]],Table22[[Label]:[Weighted Degree]],3,FALSE))</f>
        <v>23054</v>
      </c>
      <c r="AE15" s="14" t="s">
        <v>139</v>
      </c>
      <c r="AF15" s="14" t="s">
        <v>142</v>
      </c>
      <c r="AG15" s="14">
        <v>2758</v>
      </c>
      <c r="AH15" s="63" t="str">
        <f>IF(ISERROR(VLOOKUP(Table17[[#This Row],[source2]],Table22[Label],1,FALSE)),IF(ISERROR(VLOOKUP(Table17[[#This Row],[source2]],Table2210[Label],1,FALSE)),"SPOKE","FOCUS"),"HUB")</f>
        <v>HUB</v>
      </c>
      <c r="AI15" s="63" t="str">
        <f>IF(ISERROR(VLOOKUP(Table17[[#This Row],[target2]],Table22[Label],1,FALSE)),IF(ISERROR(VLOOKUP(Table17[[#This Row],[target2]],Table2210[Label],1,FALSE)),"SPOKE","FOCUS"),"HUB")</f>
        <v>HUB</v>
      </c>
      <c r="AJ15" s="63" t="str">
        <f>IF(Table17[[#This Row],[source-type]]&lt;Table17[[#This Row],[target-type]],Table17[[#This Row],[target-type]]&amp;"-"&amp;Table17[[#This Row],[source-type]],Table17[[#This Row],[source-type]]&amp;"-"&amp;Table17[[#This Row],[target-type]])</f>
        <v>HUB-HUB</v>
      </c>
      <c r="AK15" s="104">
        <f>IF(ISERROR(VLOOKUP(Table17[[#This Row],[source2]],Table22[[Label]:[Weighted Degree]],3,FALSE)),IF(ISERROR(VLOOKUP(Table17[[#This Row],[source2]],Table2210[[Label]:[Weighted Degree]],3,FALSE)),IF(ISERROR(VLOOKUP(Table17[[#This Row],[source2]],Table2214[[Label]:[Weighted Degree]],3,FALSE)),FALSE,VLOOKUP(Table17[[#This Row],[source2]],Table2214[[Label]:[Weighted Degree]],3,FALSE)),VLOOKUP(Table17[[#This Row],[source2]],Table2210[[Label]:[Weighted Degree]],3,FALSE)),VLOOKUP(Table17[[#This Row],[source2]],Table22[[Label]:[Weighted Degree]],3,FALSE))</f>
        <v>31784</v>
      </c>
      <c r="AL15" s="104">
        <f>IF(ISERROR(VLOOKUP(Table17[[#This Row],[target2]],Table22[[Label]:[Weighted Degree]],3,FALSE)),IF(ISERROR(VLOOKUP(Table17[[#This Row],[target2]],Table2210[[Label]:[Weighted Degree]],3,FALSE)),IF(ISERROR(VLOOKUP(Table17[[#This Row],[target2]],Table2214[[Label]:[Weighted Degree]],3,FALSE)),FALSE,VLOOKUP(Table17[[#This Row],[target2]],Table2214[[Label]:[Weighted Degree]],3,FALSE)),VLOOKUP(Table17[[#This Row],[target2]],Table2210[[Label]:[Weighted Degree]],3,FALSE)),VLOOKUP(Table17[[#This Row],[target2]],Table22[[Label]:[Weighted Degree]],3,FALSE))</f>
        <v>18349</v>
      </c>
    </row>
    <row r="16" spans="1:38" x14ac:dyDescent="0.2">
      <c r="A16" s="5" t="s">
        <v>128</v>
      </c>
      <c r="B16" s="5" t="s">
        <v>124</v>
      </c>
      <c r="C16" s="67" t="s">
        <v>2249</v>
      </c>
      <c r="D16" s="62">
        <v>3288</v>
      </c>
      <c r="E16" s="63" t="str">
        <f>IF(ISERROR(VLOOKUP(Table33[[#This Row],[source2]],Table22[Label],1,FALSE)),IF(ISERROR(VLOOKUP(Table33[[#This Row],[source2]],Table2210[Label],1,FALSE)),"SPOKE","FOCUS"),"HUB")</f>
        <v>HUB</v>
      </c>
      <c r="F16" s="63" t="str">
        <f>IF(ISERROR(VLOOKUP(Table33[[#This Row],[target2]],Table22[Label],1,FALSE)),IF(ISERROR(VLOOKUP(Table33[[#This Row],[target2]],Table2210[Label],1,FALSE)),"SPOKE","FOCUS"),"HUB")</f>
        <v>HUB</v>
      </c>
      <c r="G16" s="63" t="str">
        <f>IF(Table33[[#This Row],[source-type]]&lt;Table33[[#This Row],[target-type]],Table33[[#This Row],[target-type]]&amp;"-"&amp;Table33[[#This Row],[source-type]],Table33[[#This Row],[source-type]]&amp;"-"&amp;Table33[[#This Row],[target-type]])</f>
        <v>HUB-HUB</v>
      </c>
      <c r="H16" s="63">
        <f>IF(ISERROR(VLOOKUP(Table33[[#This Row],[source2]],Table22[[Label]:[Weighted Degree]],3,FALSE)),IF(ISERROR(VLOOKUP(Table33[[#This Row],[source2]],Table2210[[Label]:[Weighted Degree]],3,FALSE)),IF(ISERROR(VLOOKUP(Table33[[#This Row],[source2]],Table2214[[Label]:[Weighted Degree]],3,FALSE)),FALSE,VLOOKUP(Table33[[#This Row],[source2]],Table2214[[Label]:[Weighted Degree]],3,FALSE)),VLOOKUP(Table33[[#This Row],[source2]],Table2210[[Label]:[Weighted Degree]],3,FALSE)),VLOOKUP(Table33[[#This Row],[source2]],Table22[[Label]:[Weighted Degree]],3,FALSE))</f>
        <v>14416</v>
      </c>
      <c r="I16" s="63">
        <f>IF(ISERROR(VLOOKUP(Table33[[#This Row],[target2]],Table22[[Label]:[Weighted Degree]],3,FALSE)),IF(ISERROR(VLOOKUP(Table33[[#This Row],[target2]],Table2210[[Label]:[Weighted Degree]],3,FALSE)),IF(ISERROR(VLOOKUP(Table33[[#This Row],[target2]],Table2214[[Label]:[Weighted Degree]],3,FALSE)),FALSE,VLOOKUP(Table33[[#This Row],[target2]],Table2214[[Label]:[Weighted Degree]],3,FALSE)),VLOOKUP(Table33[[#This Row],[target2]],Table2210[[Label]:[Weighted Degree]],3,FALSE)),VLOOKUP(Table33[[#This Row],[target2]],Table22[[Label]:[Weighted Degree]],3,FALSE))</f>
        <v>28737</v>
      </c>
      <c r="K16" s="14" t="s">
        <v>144</v>
      </c>
      <c r="L16" s="14" t="s">
        <v>150</v>
      </c>
      <c r="M16" s="64" t="s">
        <v>738</v>
      </c>
      <c r="N16" s="14">
        <v>3164</v>
      </c>
      <c r="O16" s="63" t="str">
        <f>IF(ISERROR(VLOOKUP(Table34[[#This Row],[source2]],Table22[Label],1,FALSE)),IF(ISERROR(VLOOKUP(Table34[[#This Row],[source2]],Table2210[Label],1,FALSE)),"SPOKE","FOCUS"),"HUB")</f>
        <v>FOCUS</v>
      </c>
      <c r="P16" s="63" t="str">
        <f>IF(ISERROR(VLOOKUP(Table34[[#This Row],[target2]],Table22[Label],1,FALSE)),IF(ISERROR(VLOOKUP(Table34[[#This Row],[target2]],Table2210[Label],1,FALSE)),"SPOKE","FOCUS"),"HUB")</f>
        <v>SPOKE</v>
      </c>
      <c r="Q16" s="63" t="str">
        <f>IF(Table34[[#This Row],[source-type]]&lt;Table34[[#This Row],[target-type]],Table34[[#This Row],[target-type]]&amp;"-"&amp;Table34[[#This Row],[source-type]],Table34[[#This Row],[source-type]]&amp;"-"&amp;Table34[[#This Row],[target-type]])</f>
        <v>SPOKE-FOCUS</v>
      </c>
      <c r="R16" s="104">
        <f>IF(ISERROR(VLOOKUP(Table34[[#This Row],[source2]],Table22[[Label]:[Weighted Degree]],3,FALSE)),IF(ISERROR(VLOOKUP(Table34[[#This Row],[source2]],Table2210[[Label]:[Weighted Degree]],3,FALSE)),IF(ISERROR(VLOOKUP(Table34[[#This Row],[source2]],Table2214[[Label]:[Weighted Degree]],3,FALSE)),FALSE,VLOOKUP(Table34[[#This Row],[source2]],Table2214[[Label]:[Weighted Degree]],3,FALSE)),VLOOKUP(Table34[[#This Row],[source2]],Table2210[[Label]:[Weighted Degree]],3,FALSE)),VLOOKUP(Table34[[#This Row],[source2]],Table22[[Label]:[Weighted Degree]],3,FALSE))</f>
        <v>22088</v>
      </c>
      <c r="S16" s="104">
        <f>IF(ISERROR(VLOOKUP(Table34[[#This Row],[target2]],Table22[[Label]:[Weighted Degree]],3,FALSE)),IF(ISERROR(VLOOKUP(Table34[[#This Row],[target2]],Table2210[[Label]:[Weighted Degree]],3,FALSE)),IF(ISERROR(VLOOKUP(Table34[[#This Row],[target2]],Table2214[[Label]:[Weighted Degree]],3,FALSE)),FALSE,VLOOKUP(Table34[[#This Row],[target2]],Table2214[[Label]:[Weighted Degree]],3,FALSE)),VLOOKUP(Table34[[#This Row],[target2]],Table2210[[Label]:[Weighted Degree]],3,FALSE)),VLOOKUP(Table34[[#This Row],[target2]],Table22[[Label]:[Weighted Degree]],3,FALSE))</f>
        <v>10215</v>
      </c>
      <c r="U16" s="65" t="s">
        <v>128</v>
      </c>
      <c r="V16" s="65" t="s">
        <v>145</v>
      </c>
      <c r="W16" s="66" t="s">
        <v>2263</v>
      </c>
      <c r="X16" s="65">
        <v>254</v>
      </c>
      <c r="Y16" s="63" t="str">
        <f>IF(ISERROR(VLOOKUP(Table36[[#This Row],[source2]],Table22[Label],1,FALSE)),IF(ISERROR(VLOOKUP(Table36[[#This Row],[source2]],Table2210[Label],1,FALSE)),"SPOKE","FOCUS"),"HUB")</f>
        <v>HUB</v>
      </c>
      <c r="Z16" s="63" t="str">
        <f>IF(ISERROR(VLOOKUP(Table36[[#This Row],[target2]],Table22[Label],1,FALSE)),IF(ISERROR(VLOOKUP(Table36[[#This Row],[target2]],Table2210[Label],1,FALSE)),"SPOKE","FOCUS"),"HUB")</f>
        <v>HUB</v>
      </c>
      <c r="AA16" s="63" t="str">
        <f>IF(Table36[[#This Row],[source-type]]&lt;Table36[[#This Row],[target-type]],Table36[[#This Row],[target-type]]&amp;"-"&amp;Table36[[#This Row],[source-type]],Table36[[#This Row],[source-type]]&amp;"-"&amp;Table36[[#This Row],[target-type]])</f>
        <v>HUB-HUB</v>
      </c>
      <c r="AB16" s="104">
        <f>IF(ISERROR(VLOOKUP(Table36[[#This Row],[source2]],Table22[[Label]:[Weighted Degree]],3,FALSE)),IF(ISERROR(VLOOKUP(Table36[[#This Row],[source2]],Table2210[[Label]:[Weighted Degree]],3,FALSE)),IF(ISERROR(VLOOKUP(Table36[[#This Row],[source2]],Table2214[[Label]:[Weighted Degree]],3,FALSE)),FALSE,VLOOKUP(Table36[[#This Row],[source2]],Table2214[[Label]:[Weighted Degree]],3,FALSE)),VLOOKUP(Table36[[#This Row],[source2]],Table2210[[Label]:[Weighted Degree]],3,FALSE)),VLOOKUP(Table36[[#This Row],[source2]],Table22[[Label]:[Weighted Degree]],3,FALSE))</f>
        <v>14416</v>
      </c>
      <c r="AC16" s="104">
        <f>IF(ISERROR(VLOOKUP(Table36[[#This Row],[target2]],Table22[[Label]:[Weighted Degree]],3,FALSE)),IF(ISERROR(VLOOKUP(Table36[[#This Row],[target2]],Table2210[[Label]:[Weighted Degree]],3,FALSE)),IF(ISERROR(VLOOKUP(Table36[[#This Row],[target2]],Table2214[[Label]:[Weighted Degree]],3,FALSE)),FALSE,VLOOKUP(Table36[[#This Row],[target2]],Table2214[[Label]:[Weighted Degree]],3,FALSE)),VLOOKUP(Table36[[#This Row],[target2]],Table2210[[Label]:[Weighted Degree]],3,FALSE)),VLOOKUP(Table36[[#This Row],[target2]],Table22[[Label]:[Weighted Degree]],3,FALSE))</f>
        <v>23054</v>
      </c>
      <c r="AE16" s="14" t="s">
        <v>144</v>
      </c>
      <c r="AF16" s="14" t="s">
        <v>150</v>
      </c>
      <c r="AG16" s="14">
        <v>3164</v>
      </c>
      <c r="AH16" s="63" t="str">
        <f>IF(ISERROR(VLOOKUP(Table17[[#This Row],[source2]],Table22[Label],1,FALSE)),IF(ISERROR(VLOOKUP(Table17[[#This Row],[source2]],Table2210[Label],1,FALSE)),"SPOKE","FOCUS"),"HUB")</f>
        <v>FOCUS</v>
      </c>
      <c r="AI16" s="63" t="str">
        <f>IF(ISERROR(VLOOKUP(Table17[[#This Row],[target2]],Table22[Label],1,FALSE)),IF(ISERROR(VLOOKUP(Table17[[#This Row],[target2]],Table2210[Label],1,FALSE)),"SPOKE","FOCUS"),"HUB")</f>
        <v>SPOKE</v>
      </c>
      <c r="AJ16" s="63" t="str">
        <f>IF(Table17[[#This Row],[source-type]]&lt;Table17[[#This Row],[target-type]],Table17[[#This Row],[target-type]]&amp;"-"&amp;Table17[[#This Row],[source-type]],Table17[[#This Row],[source-type]]&amp;"-"&amp;Table17[[#This Row],[target-type]])</f>
        <v>SPOKE-FOCUS</v>
      </c>
      <c r="AK16" s="104">
        <f>IF(ISERROR(VLOOKUP(Table17[[#This Row],[source2]],Table22[[Label]:[Weighted Degree]],3,FALSE)),IF(ISERROR(VLOOKUP(Table17[[#This Row],[source2]],Table2210[[Label]:[Weighted Degree]],3,FALSE)),IF(ISERROR(VLOOKUP(Table17[[#This Row],[source2]],Table2214[[Label]:[Weighted Degree]],3,FALSE)),FALSE,VLOOKUP(Table17[[#This Row],[source2]],Table2214[[Label]:[Weighted Degree]],3,FALSE)),VLOOKUP(Table17[[#This Row],[source2]],Table2210[[Label]:[Weighted Degree]],3,FALSE)),VLOOKUP(Table17[[#This Row],[source2]],Table22[[Label]:[Weighted Degree]],3,FALSE))</f>
        <v>22088</v>
      </c>
      <c r="AL16" s="104">
        <f>IF(ISERROR(VLOOKUP(Table17[[#This Row],[target2]],Table22[[Label]:[Weighted Degree]],3,FALSE)),IF(ISERROR(VLOOKUP(Table17[[#This Row],[target2]],Table2210[[Label]:[Weighted Degree]],3,FALSE)),IF(ISERROR(VLOOKUP(Table17[[#This Row],[target2]],Table2214[[Label]:[Weighted Degree]],3,FALSE)),FALSE,VLOOKUP(Table17[[#This Row],[target2]],Table2214[[Label]:[Weighted Degree]],3,FALSE)),VLOOKUP(Table17[[#This Row],[target2]],Table2210[[Label]:[Weighted Degree]],3,FALSE)),VLOOKUP(Table17[[#This Row],[target2]],Table22[[Label]:[Weighted Degree]],3,FALSE))</f>
        <v>10215</v>
      </c>
    </row>
    <row r="17" spans="1:38" x14ac:dyDescent="0.2">
      <c r="A17" s="68" t="s">
        <v>133</v>
      </c>
      <c r="B17" s="68" t="s">
        <v>130</v>
      </c>
      <c r="C17" s="67" t="s">
        <v>1204</v>
      </c>
      <c r="D17" s="62">
        <v>8269</v>
      </c>
      <c r="E17" s="63" t="str">
        <f>IF(ISERROR(VLOOKUP(Table33[[#This Row],[source2]],Table22[Label],1,FALSE)),IF(ISERROR(VLOOKUP(Table33[[#This Row],[source2]],Table2210[Label],1,FALSE)),"SPOKE","FOCUS"),"HUB")</f>
        <v>HUB</v>
      </c>
      <c r="F17" s="63" t="str">
        <f>IF(ISERROR(VLOOKUP(Table33[[#This Row],[target2]],Table22[Label],1,FALSE)),IF(ISERROR(VLOOKUP(Table33[[#This Row],[target2]],Table2210[Label],1,FALSE)),"SPOKE","FOCUS"),"HUB")</f>
        <v>HUB</v>
      </c>
      <c r="G17" s="63" t="str">
        <f>IF(Table33[[#This Row],[source-type]]&lt;Table33[[#This Row],[target-type]],Table33[[#This Row],[target-type]]&amp;"-"&amp;Table33[[#This Row],[source-type]],Table33[[#This Row],[source-type]]&amp;"-"&amp;Table33[[#This Row],[target-type]])</f>
        <v>HUB-HUB</v>
      </c>
      <c r="H17" s="63">
        <f>IF(ISERROR(VLOOKUP(Table33[[#This Row],[source2]],Table22[[Label]:[Weighted Degree]],3,FALSE)),IF(ISERROR(VLOOKUP(Table33[[#This Row],[source2]],Table2210[[Label]:[Weighted Degree]],3,FALSE)),IF(ISERROR(VLOOKUP(Table33[[#This Row],[source2]],Table2214[[Label]:[Weighted Degree]],3,FALSE)),FALSE,VLOOKUP(Table33[[#This Row],[source2]],Table2214[[Label]:[Weighted Degree]],3,FALSE)),VLOOKUP(Table33[[#This Row],[source2]],Table2210[[Label]:[Weighted Degree]],3,FALSE)),VLOOKUP(Table33[[#This Row],[source2]],Table22[[Label]:[Weighted Degree]],3,FALSE))</f>
        <v>39711</v>
      </c>
      <c r="I17" s="63">
        <f>IF(ISERROR(VLOOKUP(Table33[[#This Row],[target2]],Table22[[Label]:[Weighted Degree]],3,FALSE)),IF(ISERROR(VLOOKUP(Table33[[#This Row],[target2]],Table2210[[Label]:[Weighted Degree]],3,FALSE)),IF(ISERROR(VLOOKUP(Table33[[#This Row],[target2]],Table2214[[Label]:[Weighted Degree]],3,FALSE)),FALSE,VLOOKUP(Table33[[#This Row],[target2]],Table2214[[Label]:[Weighted Degree]],3,FALSE)),VLOOKUP(Table33[[#This Row],[target2]],Table2210[[Label]:[Weighted Degree]],3,FALSE)),VLOOKUP(Table33[[#This Row],[target2]],Table22[[Label]:[Weighted Degree]],3,FALSE))</f>
        <v>28057</v>
      </c>
      <c r="K17" s="14" t="s">
        <v>146</v>
      </c>
      <c r="L17" s="14" t="s">
        <v>139</v>
      </c>
      <c r="M17" s="64" t="s">
        <v>738</v>
      </c>
      <c r="N17" s="14">
        <v>5512</v>
      </c>
      <c r="O17" s="63" t="str">
        <f>IF(ISERROR(VLOOKUP(Table34[[#This Row],[source2]],Table22[Label],1,FALSE)),IF(ISERROR(VLOOKUP(Table34[[#This Row],[source2]],Table2210[Label],1,FALSE)),"SPOKE","FOCUS"),"HUB")</f>
        <v>FOCUS</v>
      </c>
      <c r="P17" s="63" t="str">
        <f>IF(ISERROR(VLOOKUP(Table34[[#This Row],[target2]],Table22[Label],1,FALSE)),IF(ISERROR(VLOOKUP(Table34[[#This Row],[target2]],Table2210[Label],1,FALSE)),"SPOKE","FOCUS"),"HUB")</f>
        <v>HUB</v>
      </c>
      <c r="Q17" s="63" t="str">
        <f>IF(Table34[[#This Row],[source-type]]&lt;Table34[[#This Row],[target-type]],Table34[[#This Row],[target-type]]&amp;"-"&amp;Table34[[#This Row],[source-type]],Table34[[#This Row],[source-type]]&amp;"-"&amp;Table34[[#This Row],[target-type]])</f>
        <v>HUB-FOCUS</v>
      </c>
      <c r="R17" s="104">
        <f>IF(ISERROR(VLOOKUP(Table34[[#This Row],[source2]],Table22[[Label]:[Weighted Degree]],3,FALSE)),IF(ISERROR(VLOOKUP(Table34[[#This Row],[source2]],Table2210[[Label]:[Weighted Degree]],3,FALSE)),IF(ISERROR(VLOOKUP(Table34[[#This Row],[source2]],Table2214[[Label]:[Weighted Degree]],3,FALSE)),FALSE,VLOOKUP(Table34[[#This Row],[source2]],Table2214[[Label]:[Weighted Degree]],3,FALSE)),VLOOKUP(Table34[[#This Row],[source2]],Table2210[[Label]:[Weighted Degree]],3,FALSE)),VLOOKUP(Table34[[#This Row],[source2]],Table22[[Label]:[Weighted Degree]],3,FALSE))</f>
        <v>22882</v>
      </c>
      <c r="S17" s="104">
        <f>IF(ISERROR(VLOOKUP(Table34[[#This Row],[target2]],Table22[[Label]:[Weighted Degree]],3,FALSE)),IF(ISERROR(VLOOKUP(Table34[[#This Row],[target2]],Table2210[[Label]:[Weighted Degree]],3,FALSE)),IF(ISERROR(VLOOKUP(Table34[[#This Row],[target2]],Table2214[[Label]:[Weighted Degree]],3,FALSE)),FALSE,VLOOKUP(Table34[[#This Row],[target2]],Table2214[[Label]:[Weighted Degree]],3,FALSE)),VLOOKUP(Table34[[#This Row],[target2]],Table2210[[Label]:[Weighted Degree]],3,FALSE)),VLOOKUP(Table34[[#This Row],[target2]],Table22[[Label]:[Weighted Degree]],3,FALSE))</f>
        <v>31784</v>
      </c>
      <c r="U17" s="65" t="s">
        <v>128</v>
      </c>
      <c r="V17" s="65" t="s">
        <v>150</v>
      </c>
      <c r="W17" s="66" t="s">
        <v>2255</v>
      </c>
      <c r="X17" s="65">
        <v>230</v>
      </c>
      <c r="Y17" s="63" t="str">
        <f>IF(ISERROR(VLOOKUP(Table36[[#This Row],[source2]],Table22[Label],1,FALSE)),IF(ISERROR(VLOOKUP(Table36[[#This Row],[source2]],Table2210[Label],1,FALSE)),"SPOKE","FOCUS"),"HUB")</f>
        <v>HUB</v>
      </c>
      <c r="Z17" s="63" t="str">
        <f>IF(ISERROR(VLOOKUP(Table36[[#This Row],[target2]],Table22[Label],1,FALSE)),IF(ISERROR(VLOOKUP(Table36[[#This Row],[target2]],Table2210[Label],1,FALSE)),"SPOKE","FOCUS"),"HUB")</f>
        <v>SPOKE</v>
      </c>
      <c r="AA17" s="63" t="str">
        <f>IF(Table36[[#This Row],[source-type]]&lt;Table36[[#This Row],[target-type]],Table36[[#This Row],[target-type]]&amp;"-"&amp;Table36[[#This Row],[source-type]],Table36[[#This Row],[source-type]]&amp;"-"&amp;Table36[[#This Row],[target-type]])</f>
        <v>SPOKE-HUB</v>
      </c>
      <c r="AB17" s="104">
        <f>IF(ISERROR(VLOOKUP(Table36[[#This Row],[source2]],Table22[[Label]:[Weighted Degree]],3,FALSE)),IF(ISERROR(VLOOKUP(Table36[[#This Row],[source2]],Table2210[[Label]:[Weighted Degree]],3,FALSE)),IF(ISERROR(VLOOKUP(Table36[[#This Row],[source2]],Table2214[[Label]:[Weighted Degree]],3,FALSE)),FALSE,VLOOKUP(Table36[[#This Row],[source2]],Table2214[[Label]:[Weighted Degree]],3,FALSE)),VLOOKUP(Table36[[#This Row],[source2]],Table2210[[Label]:[Weighted Degree]],3,FALSE)),VLOOKUP(Table36[[#This Row],[source2]],Table22[[Label]:[Weighted Degree]],3,FALSE))</f>
        <v>14416</v>
      </c>
      <c r="AC17" s="104">
        <f>IF(ISERROR(VLOOKUP(Table36[[#This Row],[target2]],Table22[[Label]:[Weighted Degree]],3,FALSE)),IF(ISERROR(VLOOKUP(Table36[[#This Row],[target2]],Table2210[[Label]:[Weighted Degree]],3,FALSE)),IF(ISERROR(VLOOKUP(Table36[[#This Row],[target2]],Table2214[[Label]:[Weighted Degree]],3,FALSE)),FALSE,VLOOKUP(Table36[[#This Row],[target2]],Table2214[[Label]:[Weighted Degree]],3,FALSE)),VLOOKUP(Table36[[#This Row],[target2]],Table2210[[Label]:[Weighted Degree]],3,FALSE)),VLOOKUP(Table36[[#This Row],[target2]],Table22[[Label]:[Weighted Degree]],3,FALSE))</f>
        <v>10215</v>
      </c>
      <c r="AE17" s="14" t="s">
        <v>126</v>
      </c>
      <c r="AF17" s="14" t="s">
        <v>151</v>
      </c>
      <c r="AG17" s="14">
        <v>2637</v>
      </c>
      <c r="AH17" s="63" t="str">
        <f>IF(ISERROR(VLOOKUP(Table17[[#This Row],[source2]],Table22[Label],1,FALSE)),IF(ISERROR(VLOOKUP(Table17[[#This Row],[source2]],Table2210[Label],1,FALSE)),"SPOKE","FOCUS"),"HUB")</f>
        <v>HUB</v>
      </c>
      <c r="AI17" s="63" t="str">
        <f>IF(ISERROR(VLOOKUP(Table17[[#This Row],[target2]],Table22[Label],1,FALSE)),IF(ISERROR(VLOOKUP(Table17[[#This Row],[target2]],Table2210[Label],1,FALSE)),"SPOKE","FOCUS"),"HUB")</f>
        <v>SPOKE</v>
      </c>
      <c r="AJ17" s="63" t="str">
        <f>IF(Table17[[#This Row],[source-type]]&lt;Table17[[#This Row],[target-type]],Table17[[#This Row],[target-type]]&amp;"-"&amp;Table17[[#This Row],[source-type]],Table17[[#This Row],[source-type]]&amp;"-"&amp;Table17[[#This Row],[target-type]])</f>
        <v>SPOKE-HUB</v>
      </c>
      <c r="AK17" s="104">
        <f>IF(ISERROR(VLOOKUP(Table17[[#This Row],[source2]],Table22[[Label]:[Weighted Degree]],3,FALSE)),IF(ISERROR(VLOOKUP(Table17[[#This Row],[source2]],Table2210[[Label]:[Weighted Degree]],3,FALSE)),IF(ISERROR(VLOOKUP(Table17[[#This Row],[source2]],Table2214[[Label]:[Weighted Degree]],3,FALSE)),FALSE,VLOOKUP(Table17[[#This Row],[source2]],Table2214[[Label]:[Weighted Degree]],3,FALSE)),VLOOKUP(Table17[[#This Row],[source2]],Table2210[[Label]:[Weighted Degree]],3,FALSE)),VLOOKUP(Table17[[#This Row],[source2]],Table22[[Label]:[Weighted Degree]],3,FALSE))</f>
        <v>36050</v>
      </c>
      <c r="AL17" s="104">
        <f>IF(ISERROR(VLOOKUP(Table17[[#This Row],[target2]],Table22[[Label]:[Weighted Degree]],3,FALSE)),IF(ISERROR(VLOOKUP(Table17[[#This Row],[target2]],Table2210[[Label]:[Weighted Degree]],3,FALSE)),IF(ISERROR(VLOOKUP(Table17[[#This Row],[target2]],Table2214[[Label]:[Weighted Degree]],3,FALSE)),FALSE,VLOOKUP(Table17[[#This Row],[target2]],Table2214[[Label]:[Weighted Degree]],3,FALSE)),VLOOKUP(Table17[[#This Row],[target2]],Table2210[[Label]:[Weighted Degree]],3,FALSE)),VLOOKUP(Table17[[#This Row],[target2]],Table22[[Label]:[Weighted Degree]],3,FALSE))</f>
        <v>9869</v>
      </c>
    </row>
    <row r="18" spans="1:38" x14ac:dyDescent="0.2">
      <c r="A18" s="68" t="s">
        <v>125</v>
      </c>
      <c r="B18" s="68" t="s">
        <v>151</v>
      </c>
      <c r="C18" s="67" t="s">
        <v>1627</v>
      </c>
      <c r="D18" s="62">
        <v>2470</v>
      </c>
      <c r="E18" s="63" t="str">
        <f>IF(ISERROR(VLOOKUP(Table33[[#This Row],[source2]],Table22[Label],1,FALSE)),IF(ISERROR(VLOOKUP(Table33[[#This Row],[source2]],Table2210[Label],1,FALSE)),"SPOKE","FOCUS"),"HUB")</f>
        <v>HUB</v>
      </c>
      <c r="F18" s="63" t="str">
        <f>IF(ISERROR(VLOOKUP(Table33[[#This Row],[target2]],Table22[Label],1,FALSE)),IF(ISERROR(VLOOKUP(Table33[[#This Row],[target2]],Table2210[Label],1,FALSE)),"SPOKE","FOCUS"),"HUB")</f>
        <v>SPOKE</v>
      </c>
      <c r="G18" s="63" t="str">
        <f>IF(Table33[[#This Row],[source-type]]&lt;Table33[[#This Row],[target-type]],Table33[[#This Row],[target-type]]&amp;"-"&amp;Table33[[#This Row],[source-type]],Table33[[#This Row],[source-type]]&amp;"-"&amp;Table33[[#This Row],[target-type]])</f>
        <v>SPOKE-HUB</v>
      </c>
      <c r="H18" s="63">
        <f>IF(ISERROR(VLOOKUP(Table33[[#This Row],[source2]],Table22[[Label]:[Weighted Degree]],3,FALSE)),IF(ISERROR(VLOOKUP(Table33[[#This Row],[source2]],Table2210[[Label]:[Weighted Degree]],3,FALSE)),IF(ISERROR(VLOOKUP(Table33[[#This Row],[source2]],Table2214[[Label]:[Weighted Degree]],3,FALSE)),FALSE,VLOOKUP(Table33[[#This Row],[source2]],Table2214[[Label]:[Weighted Degree]],3,FALSE)),VLOOKUP(Table33[[#This Row],[source2]],Table2210[[Label]:[Weighted Degree]],3,FALSE)),VLOOKUP(Table33[[#This Row],[source2]],Table22[[Label]:[Weighted Degree]],3,FALSE))</f>
        <v>29032</v>
      </c>
      <c r="I18" s="63">
        <f>IF(ISERROR(VLOOKUP(Table33[[#This Row],[target2]],Table22[[Label]:[Weighted Degree]],3,FALSE)),IF(ISERROR(VLOOKUP(Table33[[#This Row],[target2]],Table2210[[Label]:[Weighted Degree]],3,FALSE)),IF(ISERROR(VLOOKUP(Table33[[#This Row],[target2]],Table2214[[Label]:[Weighted Degree]],3,FALSE)),FALSE,VLOOKUP(Table33[[#This Row],[target2]],Table2214[[Label]:[Weighted Degree]],3,FALSE)),VLOOKUP(Table33[[#This Row],[target2]],Table2210[[Label]:[Weighted Degree]],3,FALSE)),VLOOKUP(Table33[[#This Row],[target2]],Table22[[Label]:[Weighted Degree]],3,FALSE))</f>
        <v>9869</v>
      </c>
      <c r="K18" s="14" t="s">
        <v>130</v>
      </c>
      <c r="L18" s="14" t="s">
        <v>124</v>
      </c>
      <c r="M18" s="64" t="s">
        <v>738</v>
      </c>
      <c r="N18" s="14">
        <v>3959</v>
      </c>
      <c r="O18" s="63" t="str">
        <f>IF(ISERROR(VLOOKUP(Table34[[#This Row],[source2]],Table22[Label],1,FALSE)),IF(ISERROR(VLOOKUP(Table34[[#This Row],[source2]],Table2210[Label],1,FALSE)),"SPOKE","FOCUS"),"HUB")</f>
        <v>HUB</v>
      </c>
      <c r="P18" s="63" t="str">
        <f>IF(ISERROR(VLOOKUP(Table34[[#This Row],[target2]],Table22[Label],1,FALSE)),IF(ISERROR(VLOOKUP(Table34[[#This Row],[target2]],Table2210[Label],1,FALSE)),"SPOKE","FOCUS"),"HUB")</f>
        <v>HUB</v>
      </c>
      <c r="Q18" s="63" t="str">
        <f>IF(Table34[[#This Row],[source-type]]&lt;Table34[[#This Row],[target-type]],Table34[[#This Row],[target-type]]&amp;"-"&amp;Table34[[#This Row],[source-type]],Table34[[#This Row],[source-type]]&amp;"-"&amp;Table34[[#This Row],[target-type]])</f>
        <v>HUB-HUB</v>
      </c>
      <c r="R18" s="104">
        <f>IF(ISERROR(VLOOKUP(Table34[[#This Row],[source2]],Table22[[Label]:[Weighted Degree]],3,FALSE)),IF(ISERROR(VLOOKUP(Table34[[#This Row],[source2]],Table2210[[Label]:[Weighted Degree]],3,FALSE)),IF(ISERROR(VLOOKUP(Table34[[#This Row],[source2]],Table2214[[Label]:[Weighted Degree]],3,FALSE)),FALSE,VLOOKUP(Table34[[#This Row],[source2]],Table2214[[Label]:[Weighted Degree]],3,FALSE)),VLOOKUP(Table34[[#This Row],[source2]],Table2210[[Label]:[Weighted Degree]],3,FALSE)),VLOOKUP(Table34[[#This Row],[source2]],Table22[[Label]:[Weighted Degree]],3,FALSE))</f>
        <v>28057</v>
      </c>
      <c r="S18" s="104">
        <f>IF(ISERROR(VLOOKUP(Table34[[#This Row],[target2]],Table22[[Label]:[Weighted Degree]],3,FALSE)),IF(ISERROR(VLOOKUP(Table34[[#This Row],[target2]],Table2210[[Label]:[Weighted Degree]],3,FALSE)),IF(ISERROR(VLOOKUP(Table34[[#This Row],[target2]],Table2214[[Label]:[Weighted Degree]],3,FALSE)),FALSE,VLOOKUP(Table34[[#This Row],[target2]],Table2214[[Label]:[Weighted Degree]],3,FALSE)),VLOOKUP(Table34[[#This Row],[target2]],Table2210[[Label]:[Weighted Degree]],3,FALSE)),VLOOKUP(Table34[[#This Row],[target2]],Table22[[Label]:[Weighted Degree]],3,FALSE))</f>
        <v>28737</v>
      </c>
      <c r="U18" s="65" t="s">
        <v>126</v>
      </c>
      <c r="V18" s="65" t="s">
        <v>140</v>
      </c>
      <c r="W18" s="66" t="s">
        <v>1404</v>
      </c>
      <c r="X18" s="65">
        <v>828</v>
      </c>
      <c r="Y18" s="63" t="str">
        <f>IF(ISERROR(VLOOKUP(Table36[[#This Row],[source2]],Table22[Label],1,FALSE)),IF(ISERROR(VLOOKUP(Table36[[#This Row],[source2]],Table2210[Label],1,FALSE)),"SPOKE","FOCUS"),"HUB")</f>
        <v>HUB</v>
      </c>
      <c r="Z18" s="63" t="str">
        <f>IF(ISERROR(VLOOKUP(Table36[[#This Row],[target2]],Table22[Label],1,FALSE)),IF(ISERROR(VLOOKUP(Table36[[#This Row],[target2]],Table2210[Label],1,FALSE)),"SPOKE","FOCUS"),"HUB")</f>
        <v>HUB</v>
      </c>
      <c r="AA18" s="63" t="str">
        <f>IF(Table36[[#This Row],[source-type]]&lt;Table36[[#This Row],[target-type]],Table36[[#This Row],[target-type]]&amp;"-"&amp;Table36[[#This Row],[source-type]],Table36[[#This Row],[source-type]]&amp;"-"&amp;Table36[[#This Row],[target-type]])</f>
        <v>HUB-HUB</v>
      </c>
      <c r="AB18" s="104">
        <f>IF(ISERROR(VLOOKUP(Table36[[#This Row],[source2]],Table22[[Label]:[Weighted Degree]],3,FALSE)),IF(ISERROR(VLOOKUP(Table36[[#This Row],[source2]],Table2210[[Label]:[Weighted Degree]],3,FALSE)),IF(ISERROR(VLOOKUP(Table36[[#This Row],[source2]],Table2214[[Label]:[Weighted Degree]],3,FALSE)),FALSE,VLOOKUP(Table36[[#This Row],[source2]],Table2214[[Label]:[Weighted Degree]],3,FALSE)),VLOOKUP(Table36[[#This Row],[source2]],Table2210[[Label]:[Weighted Degree]],3,FALSE)),VLOOKUP(Table36[[#This Row],[source2]],Table22[[Label]:[Weighted Degree]],3,FALSE))</f>
        <v>36050</v>
      </c>
      <c r="AC18" s="104">
        <f>IF(ISERROR(VLOOKUP(Table36[[#This Row],[target2]],Table22[[Label]:[Weighted Degree]],3,FALSE)),IF(ISERROR(VLOOKUP(Table36[[#This Row],[target2]],Table2210[[Label]:[Weighted Degree]],3,FALSE)),IF(ISERROR(VLOOKUP(Table36[[#This Row],[target2]],Table2214[[Label]:[Weighted Degree]],3,FALSE)),FALSE,VLOOKUP(Table36[[#This Row],[target2]],Table2214[[Label]:[Weighted Degree]],3,FALSE)),VLOOKUP(Table36[[#This Row],[target2]],Table2210[[Label]:[Weighted Degree]],3,FALSE)),VLOOKUP(Table36[[#This Row],[target2]],Table22[[Label]:[Weighted Degree]],3,FALSE))</f>
        <v>21171</v>
      </c>
      <c r="AE18" s="14" t="s">
        <v>130</v>
      </c>
      <c r="AF18" s="14" t="s">
        <v>124</v>
      </c>
      <c r="AG18" s="14">
        <v>3959</v>
      </c>
      <c r="AH18" s="63" t="str">
        <f>IF(ISERROR(VLOOKUP(Table17[[#This Row],[source2]],Table22[Label],1,FALSE)),IF(ISERROR(VLOOKUP(Table17[[#This Row],[source2]],Table2210[Label],1,FALSE)),"SPOKE","FOCUS"),"HUB")</f>
        <v>HUB</v>
      </c>
      <c r="AI18" s="63" t="str">
        <f>IF(ISERROR(VLOOKUP(Table17[[#This Row],[target2]],Table22[Label],1,FALSE)),IF(ISERROR(VLOOKUP(Table17[[#This Row],[target2]],Table2210[Label],1,FALSE)),"SPOKE","FOCUS"),"HUB")</f>
        <v>HUB</v>
      </c>
      <c r="AJ18" s="63" t="str">
        <f>IF(Table17[[#This Row],[source-type]]&lt;Table17[[#This Row],[target-type]],Table17[[#This Row],[target-type]]&amp;"-"&amp;Table17[[#This Row],[source-type]],Table17[[#This Row],[source-type]]&amp;"-"&amp;Table17[[#This Row],[target-type]])</f>
        <v>HUB-HUB</v>
      </c>
      <c r="AK18" s="104">
        <f>IF(ISERROR(VLOOKUP(Table17[[#This Row],[source2]],Table22[[Label]:[Weighted Degree]],3,FALSE)),IF(ISERROR(VLOOKUP(Table17[[#This Row],[source2]],Table2210[[Label]:[Weighted Degree]],3,FALSE)),IF(ISERROR(VLOOKUP(Table17[[#This Row],[source2]],Table2214[[Label]:[Weighted Degree]],3,FALSE)),FALSE,VLOOKUP(Table17[[#This Row],[source2]],Table2214[[Label]:[Weighted Degree]],3,FALSE)),VLOOKUP(Table17[[#This Row],[source2]],Table2210[[Label]:[Weighted Degree]],3,FALSE)),VLOOKUP(Table17[[#This Row],[source2]],Table22[[Label]:[Weighted Degree]],3,FALSE))</f>
        <v>28057</v>
      </c>
      <c r="AL18" s="104">
        <f>IF(ISERROR(VLOOKUP(Table17[[#This Row],[target2]],Table22[[Label]:[Weighted Degree]],3,FALSE)),IF(ISERROR(VLOOKUP(Table17[[#This Row],[target2]],Table2210[[Label]:[Weighted Degree]],3,FALSE)),IF(ISERROR(VLOOKUP(Table17[[#This Row],[target2]],Table2214[[Label]:[Weighted Degree]],3,FALSE)),FALSE,VLOOKUP(Table17[[#This Row],[target2]],Table2214[[Label]:[Weighted Degree]],3,FALSE)),VLOOKUP(Table17[[#This Row],[target2]],Table2210[[Label]:[Weighted Degree]],3,FALSE)),VLOOKUP(Table17[[#This Row],[target2]],Table22[[Label]:[Weighted Degree]],3,FALSE))</f>
        <v>28737</v>
      </c>
    </row>
    <row r="19" spans="1:38" x14ac:dyDescent="0.2">
      <c r="A19" s="68" t="s">
        <v>126</v>
      </c>
      <c r="B19" s="68" t="s">
        <v>149</v>
      </c>
      <c r="C19" s="67" t="s">
        <v>1380</v>
      </c>
      <c r="D19" s="62">
        <v>2532</v>
      </c>
      <c r="E19" s="63" t="str">
        <f>IF(ISERROR(VLOOKUP(Table33[[#This Row],[source2]],Table22[Label],1,FALSE)),IF(ISERROR(VLOOKUP(Table33[[#This Row],[source2]],Table2210[Label],1,FALSE)),"SPOKE","FOCUS"),"HUB")</f>
        <v>HUB</v>
      </c>
      <c r="F19" s="63" t="str">
        <f>IF(ISERROR(VLOOKUP(Table33[[#This Row],[target2]],Table22[Label],1,FALSE)),IF(ISERROR(VLOOKUP(Table33[[#This Row],[target2]],Table2210[Label],1,FALSE)),"SPOKE","FOCUS"),"HUB")</f>
        <v>SPOKE</v>
      </c>
      <c r="G19" s="63" t="str">
        <f>IF(Table33[[#This Row],[source-type]]&lt;Table33[[#This Row],[target-type]],Table33[[#This Row],[target-type]]&amp;"-"&amp;Table33[[#This Row],[source-type]],Table33[[#This Row],[source-type]]&amp;"-"&amp;Table33[[#This Row],[target-type]])</f>
        <v>SPOKE-HUB</v>
      </c>
      <c r="H19" s="63">
        <f>IF(ISERROR(VLOOKUP(Table33[[#This Row],[source2]],Table22[[Label]:[Weighted Degree]],3,FALSE)),IF(ISERROR(VLOOKUP(Table33[[#This Row],[source2]],Table2210[[Label]:[Weighted Degree]],3,FALSE)),IF(ISERROR(VLOOKUP(Table33[[#This Row],[source2]],Table2214[[Label]:[Weighted Degree]],3,FALSE)),FALSE,VLOOKUP(Table33[[#This Row],[source2]],Table2214[[Label]:[Weighted Degree]],3,FALSE)),VLOOKUP(Table33[[#This Row],[source2]],Table2210[[Label]:[Weighted Degree]],3,FALSE)),VLOOKUP(Table33[[#This Row],[source2]],Table22[[Label]:[Weighted Degree]],3,FALSE))</f>
        <v>36050</v>
      </c>
      <c r="I19" s="63">
        <f>IF(ISERROR(VLOOKUP(Table33[[#This Row],[target2]],Table22[[Label]:[Weighted Degree]],3,FALSE)),IF(ISERROR(VLOOKUP(Table33[[#This Row],[target2]],Table2210[[Label]:[Weighted Degree]],3,FALSE)),IF(ISERROR(VLOOKUP(Table33[[#This Row],[target2]],Table2214[[Label]:[Weighted Degree]],3,FALSE)),FALSE,VLOOKUP(Table33[[#This Row],[target2]],Table2214[[Label]:[Weighted Degree]],3,FALSE)),VLOOKUP(Table33[[#This Row],[target2]],Table2210[[Label]:[Weighted Degree]],3,FALSE)),VLOOKUP(Table33[[#This Row],[target2]],Table22[[Label]:[Weighted Degree]],3,FALSE))</f>
        <v>9447</v>
      </c>
      <c r="K19" s="14" t="s">
        <v>146</v>
      </c>
      <c r="L19" s="14" t="s">
        <v>140</v>
      </c>
      <c r="M19" s="64" t="s">
        <v>738</v>
      </c>
      <c r="N19" s="14">
        <v>2645</v>
      </c>
      <c r="O19" s="63" t="str">
        <f>IF(ISERROR(VLOOKUP(Table34[[#This Row],[source2]],Table22[Label],1,FALSE)),IF(ISERROR(VLOOKUP(Table34[[#This Row],[source2]],Table2210[Label],1,FALSE)),"SPOKE","FOCUS"),"HUB")</f>
        <v>FOCUS</v>
      </c>
      <c r="P19" s="63" t="str">
        <f>IF(ISERROR(VLOOKUP(Table34[[#This Row],[target2]],Table22[Label],1,FALSE)),IF(ISERROR(VLOOKUP(Table34[[#This Row],[target2]],Table2210[Label],1,FALSE)),"SPOKE","FOCUS"),"HUB")</f>
        <v>HUB</v>
      </c>
      <c r="Q19" s="63" t="str">
        <f>IF(Table34[[#This Row],[source-type]]&lt;Table34[[#This Row],[target-type]],Table34[[#This Row],[target-type]]&amp;"-"&amp;Table34[[#This Row],[source-type]],Table34[[#This Row],[source-type]]&amp;"-"&amp;Table34[[#This Row],[target-type]])</f>
        <v>HUB-FOCUS</v>
      </c>
      <c r="R19" s="104">
        <f>IF(ISERROR(VLOOKUP(Table34[[#This Row],[source2]],Table22[[Label]:[Weighted Degree]],3,FALSE)),IF(ISERROR(VLOOKUP(Table34[[#This Row],[source2]],Table2210[[Label]:[Weighted Degree]],3,FALSE)),IF(ISERROR(VLOOKUP(Table34[[#This Row],[source2]],Table2214[[Label]:[Weighted Degree]],3,FALSE)),FALSE,VLOOKUP(Table34[[#This Row],[source2]],Table2214[[Label]:[Weighted Degree]],3,FALSE)),VLOOKUP(Table34[[#This Row],[source2]],Table2210[[Label]:[Weighted Degree]],3,FALSE)),VLOOKUP(Table34[[#This Row],[source2]],Table22[[Label]:[Weighted Degree]],3,FALSE))</f>
        <v>22882</v>
      </c>
      <c r="S19" s="104">
        <f>IF(ISERROR(VLOOKUP(Table34[[#This Row],[target2]],Table22[[Label]:[Weighted Degree]],3,FALSE)),IF(ISERROR(VLOOKUP(Table34[[#This Row],[target2]],Table2210[[Label]:[Weighted Degree]],3,FALSE)),IF(ISERROR(VLOOKUP(Table34[[#This Row],[target2]],Table2214[[Label]:[Weighted Degree]],3,FALSE)),FALSE,VLOOKUP(Table34[[#This Row],[target2]],Table2214[[Label]:[Weighted Degree]],3,FALSE)),VLOOKUP(Table34[[#This Row],[target2]],Table2210[[Label]:[Weighted Degree]],3,FALSE)),VLOOKUP(Table34[[#This Row],[target2]],Table22[[Label]:[Weighted Degree]],3,FALSE))</f>
        <v>21171</v>
      </c>
      <c r="U19" s="65" t="s">
        <v>137</v>
      </c>
      <c r="V19" s="65" t="s">
        <v>140</v>
      </c>
      <c r="W19" s="66" t="s">
        <v>1814</v>
      </c>
      <c r="X19" s="65">
        <v>508</v>
      </c>
      <c r="Y19" s="63" t="str">
        <f>IF(ISERROR(VLOOKUP(Table36[[#This Row],[source2]],Table22[Label],1,FALSE)),IF(ISERROR(VLOOKUP(Table36[[#This Row],[source2]],Table2210[Label],1,FALSE)),"SPOKE","FOCUS"),"HUB")</f>
        <v>HUB</v>
      </c>
      <c r="Z19" s="63" t="str">
        <f>IF(ISERROR(VLOOKUP(Table36[[#This Row],[target2]],Table22[Label],1,FALSE)),IF(ISERROR(VLOOKUP(Table36[[#This Row],[target2]],Table2210[Label],1,FALSE)),"SPOKE","FOCUS"),"HUB")</f>
        <v>HUB</v>
      </c>
      <c r="AA19" s="63" t="str">
        <f>IF(Table36[[#This Row],[source-type]]&lt;Table36[[#This Row],[target-type]],Table36[[#This Row],[target-type]]&amp;"-"&amp;Table36[[#This Row],[source-type]],Table36[[#This Row],[source-type]]&amp;"-"&amp;Table36[[#This Row],[target-type]])</f>
        <v>HUB-HUB</v>
      </c>
      <c r="AB19" s="104">
        <f>IF(ISERROR(VLOOKUP(Table36[[#This Row],[source2]],Table22[[Label]:[Weighted Degree]],3,FALSE)),IF(ISERROR(VLOOKUP(Table36[[#This Row],[source2]],Table2210[[Label]:[Weighted Degree]],3,FALSE)),IF(ISERROR(VLOOKUP(Table36[[#This Row],[source2]],Table2214[[Label]:[Weighted Degree]],3,FALSE)),FALSE,VLOOKUP(Table36[[#This Row],[source2]],Table2214[[Label]:[Weighted Degree]],3,FALSE)),VLOOKUP(Table36[[#This Row],[source2]],Table2210[[Label]:[Weighted Degree]],3,FALSE)),VLOOKUP(Table36[[#This Row],[source2]],Table22[[Label]:[Weighted Degree]],3,FALSE))</f>
        <v>15166</v>
      </c>
      <c r="AC19" s="104">
        <f>IF(ISERROR(VLOOKUP(Table36[[#This Row],[target2]],Table22[[Label]:[Weighted Degree]],3,FALSE)),IF(ISERROR(VLOOKUP(Table36[[#This Row],[target2]],Table2210[[Label]:[Weighted Degree]],3,FALSE)),IF(ISERROR(VLOOKUP(Table36[[#This Row],[target2]],Table2214[[Label]:[Weighted Degree]],3,FALSE)),FALSE,VLOOKUP(Table36[[#This Row],[target2]],Table2214[[Label]:[Weighted Degree]],3,FALSE)),VLOOKUP(Table36[[#This Row],[target2]],Table2210[[Label]:[Weighted Degree]],3,FALSE)),VLOOKUP(Table36[[#This Row],[target2]],Table22[[Label]:[Weighted Degree]],3,FALSE))</f>
        <v>21171</v>
      </c>
      <c r="AE19" s="14" t="s">
        <v>146</v>
      </c>
      <c r="AF19" s="14" t="s">
        <v>131</v>
      </c>
      <c r="AG19" s="14">
        <v>2933</v>
      </c>
      <c r="AH19" s="63" t="str">
        <f>IF(ISERROR(VLOOKUP(Table17[[#This Row],[source2]],Table22[Label],1,FALSE)),IF(ISERROR(VLOOKUP(Table17[[#This Row],[source2]],Table2210[Label],1,FALSE)),"SPOKE","FOCUS"),"HUB")</f>
        <v>FOCUS</v>
      </c>
      <c r="AI19" s="63" t="str">
        <f>IF(ISERROR(VLOOKUP(Table17[[#This Row],[target2]],Table22[Label],1,FALSE)),IF(ISERROR(VLOOKUP(Table17[[#This Row],[target2]],Table2210[Label],1,FALSE)),"SPOKE","FOCUS"),"HUB")</f>
        <v>HUB</v>
      </c>
      <c r="AJ19" s="63" t="str">
        <f>IF(Table17[[#This Row],[source-type]]&lt;Table17[[#This Row],[target-type]],Table17[[#This Row],[target-type]]&amp;"-"&amp;Table17[[#This Row],[source-type]],Table17[[#This Row],[source-type]]&amp;"-"&amp;Table17[[#This Row],[target-type]])</f>
        <v>HUB-FOCUS</v>
      </c>
      <c r="AK19" s="104">
        <f>IF(ISERROR(VLOOKUP(Table17[[#This Row],[source2]],Table22[[Label]:[Weighted Degree]],3,FALSE)),IF(ISERROR(VLOOKUP(Table17[[#This Row],[source2]],Table2210[[Label]:[Weighted Degree]],3,FALSE)),IF(ISERROR(VLOOKUP(Table17[[#This Row],[source2]],Table2214[[Label]:[Weighted Degree]],3,FALSE)),FALSE,VLOOKUP(Table17[[#This Row],[source2]],Table2214[[Label]:[Weighted Degree]],3,FALSE)),VLOOKUP(Table17[[#This Row],[source2]],Table2210[[Label]:[Weighted Degree]],3,FALSE)),VLOOKUP(Table17[[#This Row],[source2]],Table22[[Label]:[Weighted Degree]],3,FALSE))</f>
        <v>22882</v>
      </c>
      <c r="AL19" s="104">
        <f>IF(ISERROR(VLOOKUP(Table17[[#This Row],[target2]],Table22[[Label]:[Weighted Degree]],3,FALSE)),IF(ISERROR(VLOOKUP(Table17[[#This Row],[target2]],Table2210[[Label]:[Weighted Degree]],3,FALSE)),IF(ISERROR(VLOOKUP(Table17[[#This Row],[target2]],Table2214[[Label]:[Weighted Degree]],3,FALSE)),FALSE,VLOOKUP(Table17[[#This Row],[target2]],Table2214[[Label]:[Weighted Degree]],3,FALSE)),VLOOKUP(Table17[[#This Row],[target2]],Table2210[[Label]:[Weighted Degree]],3,FALSE)),VLOOKUP(Table17[[#This Row],[target2]],Table22[[Label]:[Weighted Degree]],3,FALSE))</f>
        <v>44350</v>
      </c>
    </row>
    <row r="20" spans="1:38" x14ac:dyDescent="0.2">
      <c r="A20" s="5" t="s">
        <v>133</v>
      </c>
      <c r="B20" s="5" t="s">
        <v>145</v>
      </c>
      <c r="C20" s="67" t="s">
        <v>1186</v>
      </c>
      <c r="D20" s="62">
        <v>2642</v>
      </c>
      <c r="E20" s="63" t="str">
        <f>IF(ISERROR(VLOOKUP(Table33[[#This Row],[source2]],Table22[Label],1,FALSE)),IF(ISERROR(VLOOKUP(Table33[[#This Row],[source2]],Table2210[Label],1,FALSE)),"SPOKE","FOCUS"),"HUB")</f>
        <v>HUB</v>
      </c>
      <c r="F20" s="63" t="str">
        <f>IF(ISERROR(VLOOKUP(Table33[[#This Row],[target2]],Table22[Label],1,FALSE)),IF(ISERROR(VLOOKUP(Table33[[#This Row],[target2]],Table2210[Label],1,FALSE)),"SPOKE","FOCUS"),"HUB")</f>
        <v>HUB</v>
      </c>
      <c r="G20" s="63" t="str">
        <f>IF(Table33[[#This Row],[source-type]]&lt;Table33[[#This Row],[target-type]],Table33[[#This Row],[target-type]]&amp;"-"&amp;Table33[[#This Row],[source-type]],Table33[[#This Row],[source-type]]&amp;"-"&amp;Table33[[#This Row],[target-type]])</f>
        <v>HUB-HUB</v>
      </c>
      <c r="H20" s="63">
        <f>IF(ISERROR(VLOOKUP(Table33[[#This Row],[source2]],Table22[[Label]:[Weighted Degree]],3,FALSE)),IF(ISERROR(VLOOKUP(Table33[[#This Row],[source2]],Table2210[[Label]:[Weighted Degree]],3,FALSE)),IF(ISERROR(VLOOKUP(Table33[[#This Row],[source2]],Table2214[[Label]:[Weighted Degree]],3,FALSE)),FALSE,VLOOKUP(Table33[[#This Row],[source2]],Table2214[[Label]:[Weighted Degree]],3,FALSE)),VLOOKUP(Table33[[#This Row],[source2]],Table2210[[Label]:[Weighted Degree]],3,FALSE)),VLOOKUP(Table33[[#This Row],[source2]],Table22[[Label]:[Weighted Degree]],3,FALSE))</f>
        <v>39711</v>
      </c>
      <c r="I20" s="63">
        <f>IF(ISERROR(VLOOKUP(Table33[[#This Row],[target2]],Table22[[Label]:[Weighted Degree]],3,FALSE)),IF(ISERROR(VLOOKUP(Table33[[#This Row],[target2]],Table2210[[Label]:[Weighted Degree]],3,FALSE)),IF(ISERROR(VLOOKUP(Table33[[#This Row],[target2]],Table2214[[Label]:[Weighted Degree]],3,FALSE)),FALSE,VLOOKUP(Table33[[#This Row],[target2]],Table2214[[Label]:[Weighted Degree]],3,FALSE)),VLOOKUP(Table33[[#This Row],[target2]],Table2210[[Label]:[Weighted Degree]],3,FALSE)),VLOOKUP(Table33[[#This Row],[target2]],Table22[[Label]:[Weighted Degree]],3,FALSE))</f>
        <v>23054</v>
      </c>
      <c r="K20" s="14" t="s">
        <v>126</v>
      </c>
      <c r="L20" s="14" t="s">
        <v>151</v>
      </c>
      <c r="M20" s="64" t="s">
        <v>738</v>
      </c>
      <c r="N20" s="14">
        <v>2637</v>
      </c>
      <c r="O20" s="63" t="str">
        <f>IF(ISERROR(VLOOKUP(Table34[[#This Row],[source2]],Table22[Label],1,FALSE)),IF(ISERROR(VLOOKUP(Table34[[#This Row],[source2]],Table2210[Label],1,FALSE)),"SPOKE","FOCUS"),"HUB")</f>
        <v>HUB</v>
      </c>
      <c r="P20" s="63" t="str">
        <f>IF(ISERROR(VLOOKUP(Table34[[#This Row],[target2]],Table22[Label],1,FALSE)),IF(ISERROR(VLOOKUP(Table34[[#This Row],[target2]],Table2210[Label],1,FALSE)),"SPOKE","FOCUS"),"HUB")</f>
        <v>SPOKE</v>
      </c>
      <c r="Q20" s="63" t="str">
        <f>IF(Table34[[#This Row],[source-type]]&lt;Table34[[#This Row],[target-type]],Table34[[#This Row],[target-type]]&amp;"-"&amp;Table34[[#This Row],[source-type]],Table34[[#This Row],[source-type]]&amp;"-"&amp;Table34[[#This Row],[target-type]])</f>
        <v>SPOKE-HUB</v>
      </c>
      <c r="R20" s="104">
        <f>IF(ISERROR(VLOOKUP(Table34[[#This Row],[source2]],Table22[[Label]:[Weighted Degree]],3,FALSE)),IF(ISERROR(VLOOKUP(Table34[[#This Row],[source2]],Table2210[[Label]:[Weighted Degree]],3,FALSE)),IF(ISERROR(VLOOKUP(Table34[[#This Row],[source2]],Table2214[[Label]:[Weighted Degree]],3,FALSE)),FALSE,VLOOKUP(Table34[[#This Row],[source2]],Table2214[[Label]:[Weighted Degree]],3,FALSE)),VLOOKUP(Table34[[#This Row],[source2]],Table2210[[Label]:[Weighted Degree]],3,FALSE)),VLOOKUP(Table34[[#This Row],[source2]],Table22[[Label]:[Weighted Degree]],3,FALSE))</f>
        <v>36050</v>
      </c>
      <c r="S20" s="104">
        <f>IF(ISERROR(VLOOKUP(Table34[[#This Row],[target2]],Table22[[Label]:[Weighted Degree]],3,FALSE)),IF(ISERROR(VLOOKUP(Table34[[#This Row],[target2]],Table2210[[Label]:[Weighted Degree]],3,FALSE)),IF(ISERROR(VLOOKUP(Table34[[#This Row],[target2]],Table2214[[Label]:[Weighted Degree]],3,FALSE)),FALSE,VLOOKUP(Table34[[#This Row],[target2]],Table2214[[Label]:[Weighted Degree]],3,FALSE)),VLOOKUP(Table34[[#This Row],[target2]],Table2210[[Label]:[Weighted Degree]],3,FALSE)),VLOOKUP(Table34[[#This Row],[target2]],Table22[[Label]:[Weighted Degree]],3,FALSE))</f>
        <v>9869</v>
      </c>
      <c r="U20" s="65" t="s">
        <v>134</v>
      </c>
      <c r="V20" s="65" t="s">
        <v>151</v>
      </c>
      <c r="W20" s="66" t="s">
        <v>2235</v>
      </c>
      <c r="X20" s="65">
        <v>145</v>
      </c>
      <c r="Y20" s="63" t="str">
        <f>IF(ISERROR(VLOOKUP(Table36[[#This Row],[source2]],Table22[Label],1,FALSE)),IF(ISERROR(VLOOKUP(Table36[[#This Row],[source2]],Table2210[Label],1,FALSE)),"SPOKE","FOCUS"),"HUB")</f>
        <v>FOCUS</v>
      </c>
      <c r="Z20" s="63" t="str">
        <f>IF(ISERROR(VLOOKUP(Table36[[#This Row],[target2]],Table22[Label],1,FALSE)),IF(ISERROR(VLOOKUP(Table36[[#This Row],[target2]],Table2210[Label],1,FALSE)),"SPOKE","FOCUS"),"HUB")</f>
        <v>SPOKE</v>
      </c>
      <c r="AA20" s="63" t="str">
        <f>IF(Table36[[#This Row],[source-type]]&lt;Table36[[#This Row],[target-type]],Table36[[#This Row],[target-type]]&amp;"-"&amp;Table36[[#This Row],[source-type]],Table36[[#This Row],[source-type]]&amp;"-"&amp;Table36[[#This Row],[target-type]])</f>
        <v>SPOKE-FOCUS</v>
      </c>
      <c r="AB20" s="104">
        <f>IF(ISERROR(VLOOKUP(Table36[[#This Row],[source2]],Table22[[Label]:[Weighted Degree]],3,FALSE)),IF(ISERROR(VLOOKUP(Table36[[#This Row],[source2]],Table2210[[Label]:[Weighted Degree]],3,FALSE)),IF(ISERROR(VLOOKUP(Table36[[#This Row],[source2]],Table2214[[Label]:[Weighted Degree]],3,FALSE)),FALSE,VLOOKUP(Table36[[#This Row],[source2]],Table2214[[Label]:[Weighted Degree]],3,FALSE)),VLOOKUP(Table36[[#This Row],[source2]],Table2210[[Label]:[Weighted Degree]],3,FALSE)),VLOOKUP(Table36[[#This Row],[source2]],Table22[[Label]:[Weighted Degree]],3,FALSE))</f>
        <v>26074</v>
      </c>
      <c r="AC20" s="104">
        <f>IF(ISERROR(VLOOKUP(Table36[[#This Row],[target2]],Table22[[Label]:[Weighted Degree]],3,FALSE)),IF(ISERROR(VLOOKUP(Table36[[#This Row],[target2]],Table2210[[Label]:[Weighted Degree]],3,FALSE)),IF(ISERROR(VLOOKUP(Table36[[#This Row],[target2]],Table2214[[Label]:[Weighted Degree]],3,FALSE)),FALSE,VLOOKUP(Table36[[#This Row],[target2]],Table2214[[Label]:[Weighted Degree]],3,FALSE)),VLOOKUP(Table36[[#This Row],[target2]],Table2210[[Label]:[Weighted Degree]],3,FALSE)),VLOOKUP(Table36[[#This Row],[target2]],Table22[[Label]:[Weighted Degree]],3,FALSE))</f>
        <v>9869</v>
      </c>
      <c r="AE20" s="14" t="s">
        <v>125</v>
      </c>
      <c r="AF20" s="14" t="s">
        <v>151</v>
      </c>
      <c r="AG20" s="14">
        <v>2470</v>
      </c>
      <c r="AH20" s="63" t="str">
        <f>IF(ISERROR(VLOOKUP(Table17[[#This Row],[source2]],Table22[Label],1,FALSE)),IF(ISERROR(VLOOKUP(Table17[[#This Row],[source2]],Table2210[Label],1,FALSE)),"SPOKE","FOCUS"),"HUB")</f>
        <v>HUB</v>
      </c>
      <c r="AI20" s="63" t="str">
        <f>IF(ISERROR(VLOOKUP(Table17[[#This Row],[target2]],Table22[Label],1,FALSE)),IF(ISERROR(VLOOKUP(Table17[[#This Row],[target2]],Table2210[Label],1,FALSE)),"SPOKE","FOCUS"),"HUB")</f>
        <v>SPOKE</v>
      </c>
      <c r="AJ20" s="63" t="str">
        <f>IF(Table17[[#This Row],[source-type]]&lt;Table17[[#This Row],[target-type]],Table17[[#This Row],[target-type]]&amp;"-"&amp;Table17[[#This Row],[source-type]],Table17[[#This Row],[source-type]]&amp;"-"&amp;Table17[[#This Row],[target-type]])</f>
        <v>SPOKE-HUB</v>
      </c>
      <c r="AK20" s="104">
        <f>IF(ISERROR(VLOOKUP(Table17[[#This Row],[source2]],Table22[[Label]:[Weighted Degree]],3,FALSE)),IF(ISERROR(VLOOKUP(Table17[[#This Row],[source2]],Table2210[[Label]:[Weighted Degree]],3,FALSE)),IF(ISERROR(VLOOKUP(Table17[[#This Row],[source2]],Table2214[[Label]:[Weighted Degree]],3,FALSE)),FALSE,VLOOKUP(Table17[[#This Row],[source2]],Table2214[[Label]:[Weighted Degree]],3,FALSE)),VLOOKUP(Table17[[#This Row],[source2]],Table2210[[Label]:[Weighted Degree]],3,FALSE)),VLOOKUP(Table17[[#This Row],[source2]],Table22[[Label]:[Weighted Degree]],3,FALSE))</f>
        <v>29032</v>
      </c>
      <c r="AL20" s="104">
        <f>IF(ISERROR(VLOOKUP(Table17[[#This Row],[target2]],Table22[[Label]:[Weighted Degree]],3,FALSE)),IF(ISERROR(VLOOKUP(Table17[[#This Row],[target2]],Table2210[[Label]:[Weighted Degree]],3,FALSE)),IF(ISERROR(VLOOKUP(Table17[[#This Row],[target2]],Table2214[[Label]:[Weighted Degree]],3,FALSE)),FALSE,VLOOKUP(Table17[[#This Row],[target2]],Table2214[[Label]:[Weighted Degree]],3,FALSE)),VLOOKUP(Table17[[#This Row],[target2]],Table2210[[Label]:[Weighted Degree]],3,FALSE)),VLOOKUP(Table17[[#This Row],[target2]],Table22[[Label]:[Weighted Degree]],3,FALSE))</f>
        <v>9869</v>
      </c>
    </row>
    <row r="21" spans="1:38" x14ac:dyDescent="0.2">
      <c r="A21" s="68" t="s">
        <v>132</v>
      </c>
      <c r="B21" s="68" t="s">
        <v>145</v>
      </c>
      <c r="C21" s="67" t="s">
        <v>1740</v>
      </c>
      <c r="D21" s="62">
        <v>4506</v>
      </c>
      <c r="E21" s="63" t="str">
        <f>IF(ISERROR(VLOOKUP(Table33[[#This Row],[source2]],Table22[Label],1,FALSE)),IF(ISERROR(VLOOKUP(Table33[[#This Row],[source2]],Table2210[Label],1,FALSE)),"SPOKE","FOCUS"),"HUB")</f>
        <v>HUB</v>
      </c>
      <c r="F21" s="63" t="str">
        <f>IF(ISERROR(VLOOKUP(Table33[[#This Row],[target2]],Table22[Label],1,FALSE)),IF(ISERROR(VLOOKUP(Table33[[#This Row],[target2]],Table2210[Label],1,FALSE)),"SPOKE","FOCUS"),"HUB")</f>
        <v>HUB</v>
      </c>
      <c r="G21" s="63" t="str">
        <f>IF(Table33[[#This Row],[source-type]]&lt;Table33[[#This Row],[target-type]],Table33[[#This Row],[target-type]]&amp;"-"&amp;Table33[[#This Row],[source-type]],Table33[[#This Row],[source-type]]&amp;"-"&amp;Table33[[#This Row],[target-type]])</f>
        <v>HUB-HUB</v>
      </c>
      <c r="H21" s="63">
        <f>IF(ISERROR(VLOOKUP(Table33[[#This Row],[source2]],Table22[[Label]:[Weighted Degree]],3,FALSE)),IF(ISERROR(VLOOKUP(Table33[[#This Row],[source2]],Table2210[[Label]:[Weighted Degree]],3,FALSE)),IF(ISERROR(VLOOKUP(Table33[[#This Row],[source2]],Table2214[[Label]:[Weighted Degree]],3,FALSE)),FALSE,VLOOKUP(Table33[[#This Row],[source2]],Table2214[[Label]:[Weighted Degree]],3,FALSE)),VLOOKUP(Table33[[#This Row],[source2]],Table2210[[Label]:[Weighted Degree]],3,FALSE)),VLOOKUP(Table33[[#This Row],[source2]],Table22[[Label]:[Weighted Degree]],3,FALSE))</f>
        <v>23813</v>
      </c>
      <c r="I21" s="63">
        <f>IF(ISERROR(VLOOKUP(Table33[[#This Row],[target2]],Table22[[Label]:[Weighted Degree]],3,FALSE)),IF(ISERROR(VLOOKUP(Table33[[#This Row],[target2]],Table2210[[Label]:[Weighted Degree]],3,FALSE)),IF(ISERROR(VLOOKUP(Table33[[#This Row],[target2]],Table2214[[Label]:[Weighted Degree]],3,FALSE)),FALSE,VLOOKUP(Table33[[#This Row],[target2]],Table2214[[Label]:[Weighted Degree]],3,FALSE)),VLOOKUP(Table33[[#This Row],[target2]],Table2210[[Label]:[Weighted Degree]],3,FALSE)),VLOOKUP(Table33[[#This Row],[target2]],Table22[[Label]:[Weighted Degree]],3,FALSE))</f>
        <v>23054</v>
      </c>
      <c r="K21" s="14" t="s">
        <v>128</v>
      </c>
      <c r="L21" s="14" t="s">
        <v>124</v>
      </c>
      <c r="M21" s="64" t="s">
        <v>738</v>
      </c>
      <c r="N21" s="14">
        <v>3288</v>
      </c>
      <c r="O21" s="63" t="str">
        <f>IF(ISERROR(VLOOKUP(Table34[[#This Row],[source2]],Table22[Label],1,FALSE)),IF(ISERROR(VLOOKUP(Table34[[#This Row],[source2]],Table2210[Label],1,FALSE)),"SPOKE","FOCUS"),"HUB")</f>
        <v>HUB</v>
      </c>
      <c r="P21" s="63" t="str">
        <f>IF(ISERROR(VLOOKUP(Table34[[#This Row],[target2]],Table22[Label],1,FALSE)),IF(ISERROR(VLOOKUP(Table34[[#This Row],[target2]],Table2210[Label],1,FALSE)),"SPOKE","FOCUS"),"HUB")</f>
        <v>HUB</v>
      </c>
      <c r="Q21" s="63" t="str">
        <f>IF(Table34[[#This Row],[source-type]]&lt;Table34[[#This Row],[target-type]],Table34[[#This Row],[target-type]]&amp;"-"&amp;Table34[[#This Row],[source-type]],Table34[[#This Row],[source-type]]&amp;"-"&amp;Table34[[#This Row],[target-type]])</f>
        <v>HUB-HUB</v>
      </c>
      <c r="R21" s="104">
        <f>IF(ISERROR(VLOOKUP(Table34[[#This Row],[source2]],Table22[[Label]:[Weighted Degree]],3,FALSE)),IF(ISERROR(VLOOKUP(Table34[[#This Row],[source2]],Table2210[[Label]:[Weighted Degree]],3,FALSE)),IF(ISERROR(VLOOKUP(Table34[[#This Row],[source2]],Table2214[[Label]:[Weighted Degree]],3,FALSE)),FALSE,VLOOKUP(Table34[[#This Row],[source2]],Table2214[[Label]:[Weighted Degree]],3,FALSE)),VLOOKUP(Table34[[#This Row],[source2]],Table2210[[Label]:[Weighted Degree]],3,FALSE)),VLOOKUP(Table34[[#This Row],[source2]],Table22[[Label]:[Weighted Degree]],3,FALSE))</f>
        <v>14416</v>
      </c>
      <c r="S21" s="104">
        <f>IF(ISERROR(VLOOKUP(Table34[[#This Row],[target2]],Table22[[Label]:[Weighted Degree]],3,FALSE)),IF(ISERROR(VLOOKUP(Table34[[#This Row],[target2]],Table2210[[Label]:[Weighted Degree]],3,FALSE)),IF(ISERROR(VLOOKUP(Table34[[#This Row],[target2]],Table2214[[Label]:[Weighted Degree]],3,FALSE)),FALSE,VLOOKUP(Table34[[#This Row],[target2]],Table2214[[Label]:[Weighted Degree]],3,FALSE)),VLOOKUP(Table34[[#This Row],[target2]],Table2210[[Label]:[Weighted Degree]],3,FALSE)),VLOOKUP(Table34[[#This Row],[target2]],Table22[[Label]:[Weighted Degree]],3,FALSE))</f>
        <v>28737</v>
      </c>
      <c r="U21" s="65" t="s">
        <v>135</v>
      </c>
      <c r="V21" s="65" t="s">
        <v>138</v>
      </c>
      <c r="W21" s="66" t="s">
        <v>922</v>
      </c>
      <c r="X21" s="65">
        <v>464</v>
      </c>
      <c r="Y21" s="63" t="str">
        <f>IF(ISERROR(VLOOKUP(Table36[[#This Row],[source2]],Table22[Label],1,FALSE)),IF(ISERROR(VLOOKUP(Table36[[#This Row],[source2]],Table2210[Label],1,FALSE)),"SPOKE","FOCUS"),"HUB")</f>
        <v>HUB</v>
      </c>
      <c r="Z21" s="63" t="str">
        <f>IF(ISERROR(VLOOKUP(Table36[[#This Row],[target2]],Table22[Label],1,FALSE)),IF(ISERROR(VLOOKUP(Table36[[#This Row],[target2]],Table2210[Label],1,FALSE)),"SPOKE","FOCUS"),"HUB")</f>
        <v>HUB</v>
      </c>
      <c r="AA21" s="63" t="str">
        <f>IF(Table36[[#This Row],[source-type]]&lt;Table36[[#This Row],[target-type]],Table36[[#This Row],[target-type]]&amp;"-"&amp;Table36[[#This Row],[source-type]],Table36[[#This Row],[source-type]]&amp;"-"&amp;Table36[[#This Row],[target-type]])</f>
        <v>HUB-HUB</v>
      </c>
      <c r="AB21" s="104">
        <f>IF(ISERROR(VLOOKUP(Table36[[#This Row],[source2]],Table22[[Label]:[Weighted Degree]],3,FALSE)),IF(ISERROR(VLOOKUP(Table36[[#This Row],[source2]],Table2210[[Label]:[Weighted Degree]],3,FALSE)),IF(ISERROR(VLOOKUP(Table36[[#This Row],[source2]],Table2214[[Label]:[Weighted Degree]],3,FALSE)),FALSE,VLOOKUP(Table36[[#This Row],[source2]],Table2214[[Label]:[Weighted Degree]],3,FALSE)),VLOOKUP(Table36[[#This Row],[source2]],Table2210[[Label]:[Weighted Degree]],3,FALSE)),VLOOKUP(Table36[[#This Row],[source2]],Table22[[Label]:[Weighted Degree]],3,FALSE))</f>
        <v>23724</v>
      </c>
      <c r="AC21" s="104">
        <f>IF(ISERROR(VLOOKUP(Table36[[#This Row],[target2]],Table22[[Label]:[Weighted Degree]],3,FALSE)),IF(ISERROR(VLOOKUP(Table36[[#This Row],[target2]],Table2210[[Label]:[Weighted Degree]],3,FALSE)),IF(ISERROR(VLOOKUP(Table36[[#This Row],[target2]],Table2214[[Label]:[Weighted Degree]],3,FALSE)),FALSE,VLOOKUP(Table36[[#This Row],[target2]],Table2214[[Label]:[Weighted Degree]],3,FALSE)),VLOOKUP(Table36[[#This Row],[target2]],Table2210[[Label]:[Weighted Degree]],3,FALSE)),VLOOKUP(Table36[[#This Row],[target2]],Table22[[Label]:[Weighted Degree]],3,FALSE))</f>
        <v>20047</v>
      </c>
      <c r="AE21" s="14" t="s">
        <v>132</v>
      </c>
      <c r="AF21" s="14" t="s">
        <v>131</v>
      </c>
      <c r="AG21" s="14">
        <v>5468</v>
      </c>
      <c r="AH21" s="63" t="str">
        <f>IF(ISERROR(VLOOKUP(Table17[[#This Row],[source2]],Table22[Label],1,FALSE)),IF(ISERROR(VLOOKUP(Table17[[#This Row],[source2]],Table2210[Label],1,FALSE)),"SPOKE","FOCUS"),"HUB")</f>
        <v>HUB</v>
      </c>
      <c r="AI21" s="63" t="str">
        <f>IF(ISERROR(VLOOKUP(Table17[[#This Row],[target2]],Table22[Label],1,FALSE)),IF(ISERROR(VLOOKUP(Table17[[#This Row],[target2]],Table2210[Label],1,FALSE)),"SPOKE","FOCUS"),"HUB")</f>
        <v>HUB</v>
      </c>
      <c r="AJ21" s="63" t="str">
        <f>IF(Table17[[#This Row],[source-type]]&lt;Table17[[#This Row],[target-type]],Table17[[#This Row],[target-type]]&amp;"-"&amp;Table17[[#This Row],[source-type]],Table17[[#This Row],[source-type]]&amp;"-"&amp;Table17[[#This Row],[target-type]])</f>
        <v>HUB-HUB</v>
      </c>
      <c r="AK21" s="104">
        <f>IF(ISERROR(VLOOKUP(Table17[[#This Row],[source2]],Table22[[Label]:[Weighted Degree]],3,FALSE)),IF(ISERROR(VLOOKUP(Table17[[#This Row],[source2]],Table2210[[Label]:[Weighted Degree]],3,FALSE)),IF(ISERROR(VLOOKUP(Table17[[#This Row],[source2]],Table2214[[Label]:[Weighted Degree]],3,FALSE)),FALSE,VLOOKUP(Table17[[#This Row],[source2]],Table2214[[Label]:[Weighted Degree]],3,FALSE)),VLOOKUP(Table17[[#This Row],[source2]],Table2210[[Label]:[Weighted Degree]],3,FALSE)),VLOOKUP(Table17[[#This Row],[source2]],Table22[[Label]:[Weighted Degree]],3,FALSE))</f>
        <v>23813</v>
      </c>
      <c r="AL21" s="104">
        <f>IF(ISERROR(VLOOKUP(Table17[[#This Row],[target2]],Table22[[Label]:[Weighted Degree]],3,FALSE)),IF(ISERROR(VLOOKUP(Table17[[#This Row],[target2]],Table2210[[Label]:[Weighted Degree]],3,FALSE)),IF(ISERROR(VLOOKUP(Table17[[#This Row],[target2]],Table2214[[Label]:[Weighted Degree]],3,FALSE)),FALSE,VLOOKUP(Table17[[#This Row],[target2]],Table2214[[Label]:[Weighted Degree]],3,FALSE)),VLOOKUP(Table17[[#This Row],[target2]],Table2210[[Label]:[Weighted Degree]],3,FALSE)),VLOOKUP(Table17[[#This Row],[target2]],Table22[[Label]:[Weighted Degree]],3,FALSE))</f>
        <v>44350</v>
      </c>
    </row>
    <row r="22" spans="1:38" x14ac:dyDescent="0.2">
      <c r="A22" s="72" t="s">
        <v>146</v>
      </c>
      <c r="B22" s="72" t="s">
        <v>149</v>
      </c>
      <c r="C22" s="66" t="s">
        <v>835</v>
      </c>
      <c r="D22" s="65">
        <v>1896</v>
      </c>
      <c r="E22" s="63" t="str">
        <f>IF(ISERROR(VLOOKUP(Table33[[#This Row],[source2]],Table22[Label],1,FALSE)),IF(ISERROR(VLOOKUP(Table33[[#This Row],[source2]],Table2210[Label],1,FALSE)),"SPOKE","FOCUS"),"HUB")</f>
        <v>FOCUS</v>
      </c>
      <c r="F22" s="63" t="str">
        <f>IF(ISERROR(VLOOKUP(Table33[[#This Row],[target2]],Table22[Label],1,FALSE)),IF(ISERROR(VLOOKUP(Table33[[#This Row],[target2]],Table2210[Label],1,FALSE)),"SPOKE","FOCUS"),"HUB")</f>
        <v>SPOKE</v>
      </c>
      <c r="G22" s="63" t="str">
        <f>IF(Table33[[#This Row],[source-type]]&lt;Table33[[#This Row],[target-type]],Table33[[#This Row],[target-type]]&amp;"-"&amp;Table33[[#This Row],[source-type]],Table33[[#This Row],[source-type]]&amp;"-"&amp;Table33[[#This Row],[target-type]])</f>
        <v>SPOKE-FOCUS</v>
      </c>
      <c r="H22" s="63">
        <f>IF(ISERROR(VLOOKUP(Table33[[#This Row],[source2]],Table22[[Label]:[Weighted Degree]],3,FALSE)),IF(ISERROR(VLOOKUP(Table33[[#This Row],[source2]],Table2210[[Label]:[Weighted Degree]],3,FALSE)),IF(ISERROR(VLOOKUP(Table33[[#This Row],[source2]],Table2214[[Label]:[Weighted Degree]],3,FALSE)),FALSE,VLOOKUP(Table33[[#This Row],[source2]],Table2214[[Label]:[Weighted Degree]],3,FALSE)),VLOOKUP(Table33[[#This Row],[source2]],Table2210[[Label]:[Weighted Degree]],3,FALSE)),VLOOKUP(Table33[[#This Row],[source2]],Table22[[Label]:[Weighted Degree]],3,FALSE))</f>
        <v>22882</v>
      </c>
      <c r="I22" s="63">
        <f>IF(ISERROR(VLOOKUP(Table33[[#This Row],[target2]],Table22[[Label]:[Weighted Degree]],3,FALSE)),IF(ISERROR(VLOOKUP(Table33[[#This Row],[target2]],Table2210[[Label]:[Weighted Degree]],3,FALSE)),IF(ISERROR(VLOOKUP(Table33[[#This Row],[target2]],Table2214[[Label]:[Weighted Degree]],3,FALSE)),FALSE,VLOOKUP(Table33[[#This Row],[target2]],Table2214[[Label]:[Weighted Degree]],3,FALSE)),VLOOKUP(Table33[[#This Row],[target2]],Table2210[[Label]:[Weighted Degree]],3,FALSE)),VLOOKUP(Table33[[#This Row],[target2]],Table22[[Label]:[Weighted Degree]],3,FALSE))</f>
        <v>9447</v>
      </c>
      <c r="K22" s="14" t="s">
        <v>133</v>
      </c>
      <c r="L22" s="14" t="s">
        <v>130</v>
      </c>
      <c r="M22" s="64" t="s">
        <v>738</v>
      </c>
      <c r="N22" s="14">
        <v>8269</v>
      </c>
      <c r="O22" s="63" t="str">
        <f>IF(ISERROR(VLOOKUP(Table34[[#This Row],[source2]],Table22[Label],1,FALSE)),IF(ISERROR(VLOOKUP(Table34[[#This Row],[source2]],Table2210[Label],1,FALSE)),"SPOKE","FOCUS"),"HUB")</f>
        <v>HUB</v>
      </c>
      <c r="P22" s="63" t="str">
        <f>IF(ISERROR(VLOOKUP(Table34[[#This Row],[target2]],Table22[Label],1,FALSE)),IF(ISERROR(VLOOKUP(Table34[[#This Row],[target2]],Table2210[Label],1,FALSE)),"SPOKE","FOCUS"),"HUB")</f>
        <v>HUB</v>
      </c>
      <c r="Q22" s="63" t="str">
        <f>IF(Table34[[#This Row],[source-type]]&lt;Table34[[#This Row],[target-type]],Table34[[#This Row],[target-type]]&amp;"-"&amp;Table34[[#This Row],[source-type]],Table34[[#This Row],[source-type]]&amp;"-"&amp;Table34[[#This Row],[target-type]])</f>
        <v>HUB-HUB</v>
      </c>
      <c r="R22" s="104">
        <f>IF(ISERROR(VLOOKUP(Table34[[#This Row],[source2]],Table22[[Label]:[Weighted Degree]],3,FALSE)),IF(ISERROR(VLOOKUP(Table34[[#This Row],[source2]],Table2210[[Label]:[Weighted Degree]],3,FALSE)),IF(ISERROR(VLOOKUP(Table34[[#This Row],[source2]],Table2214[[Label]:[Weighted Degree]],3,FALSE)),FALSE,VLOOKUP(Table34[[#This Row],[source2]],Table2214[[Label]:[Weighted Degree]],3,FALSE)),VLOOKUP(Table34[[#This Row],[source2]],Table2210[[Label]:[Weighted Degree]],3,FALSE)),VLOOKUP(Table34[[#This Row],[source2]],Table22[[Label]:[Weighted Degree]],3,FALSE))</f>
        <v>39711</v>
      </c>
      <c r="S22" s="104">
        <f>IF(ISERROR(VLOOKUP(Table34[[#This Row],[target2]],Table22[[Label]:[Weighted Degree]],3,FALSE)),IF(ISERROR(VLOOKUP(Table34[[#This Row],[target2]],Table2210[[Label]:[Weighted Degree]],3,FALSE)),IF(ISERROR(VLOOKUP(Table34[[#This Row],[target2]],Table2214[[Label]:[Weighted Degree]],3,FALSE)),FALSE,VLOOKUP(Table34[[#This Row],[target2]],Table2214[[Label]:[Weighted Degree]],3,FALSE)),VLOOKUP(Table34[[#This Row],[target2]],Table2210[[Label]:[Weighted Degree]],3,FALSE)),VLOOKUP(Table34[[#This Row],[target2]],Table22[[Label]:[Weighted Degree]],3,FALSE))</f>
        <v>28057</v>
      </c>
      <c r="U22" s="65" t="s">
        <v>143</v>
      </c>
      <c r="V22" s="65" t="s">
        <v>138</v>
      </c>
      <c r="W22" s="66" t="s">
        <v>1042</v>
      </c>
      <c r="X22" s="65">
        <v>478</v>
      </c>
      <c r="Y22" s="63" t="str">
        <f>IF(ISERROR(VLOOKUP(Table36[[#This Row],[source2]],Table22[Label],1,FALSE)),IF(ISERROR(VLOOKUP(Table36[[#This Row],[source2]],Table2210[Label],1,FALSE)),"SPOKE","FOCUS"),"HUB")</f>
        <v>HUB</v>
      </c>
      <c r="Z22" s="63" t="str">
        <f>IF(ISERROR(VLOOKUP(Table36[[#This Row],[target2]],Table22[Label],1,FALSE)),IF(ISERROR(VLOOKUP(Table36[[#This Row],[target2]],Table2210[Label],1,FALSE)),"SPOKE","FOCUS"),"HUB")</f>
        <v>HUB</v>
      </c>
      <c r="AA22" s="63" t="str">
        <f>IF(Table36[[#This Row],[source-type]]&lt;Table36[[#This Row],[target-type]],Table36[[#This Row],[target-type]]&amp;"-"&amp;Table36[[#This Row],[source-type]],Table36[[#This Row],[source-type]]&amp;"-"&amp;Table36[[#This Row],[target-type]])</f>
        <v>HUB-HUB</v>
      </c>
      <c r="AB22" s="104">
        <f>IF(ISERROR(VLOOKUP(Table36[[#This Row],[source2]],Table22[[Label]:[Weighted Degree]],3,FALSE)),IF(ISERROR(VLOOKUP(Table36[[#This Row],[source2]],Table2210[[Label]:[Weighted Degree]],3,FALSE)),IF(ISERROR(VLOOKUP(Table36[[#This Row],[source2]],Table2214[[Label]:[Weighted Degree]],3,FALSE)),FALSE,VLOOKUP(Table36[[#This Row],[source2]],Table2214[[Label]:[Weighted Degree]],3,FALSE)),VLOOKUP(Table36[[#This Row],[source2]],Table2210[[Label]:[Weighted Degree]],3,FALSE)),VLOOKUP(Table36[[#This Row],[source2]],Table22[[Label]:[Weighted Degree]],3,FALSE))</f>
        <v>10697</v>
      </c>
      <c r="AC22" s="104">
        <f>IF(ISERROR(VLOOKUP(Table36[[#This Row],[target2]],Table22[[Label]:[Weighted Degree]],3,FALSE)),IF(ISERROR(VLOOKUP(Table36[[#This Row],[target2]],Table2210[[Label]:[Weighted Degree]],3,FALSE)),IF(ISERROR(VLOOKUP(Table36[[#This Row],[target2]],Table2214[[Label]:[Weighted Degree]],3,FALSE)),FALSE,VLOOKUP(Table36[[#This Row],[target2]],Table2214[[Label]:[Weighted Degree]],3,FALSE)),VLOOKUP(Table36[[#This Row],[target2]],Table2210[[Label]:[Weighted Degree]],3,FALSE)),VLOOKUP(Table36[[#This Row],[target2]],Table22[[Label]:[Weighted Degree]],3,FALSE))</f>
        <v>20047</v>
      </c>
      <c r="AE22" s="14" t="s">
        <v>146</v>
      </c>
      <c r="AF22" s="14" t="s">
        <v>140</v>
      </c>
      <c r="AG22" s="14">
        <v>2645</v>
      </c>
      <c r="AH22" s="63" t="str">
        <f>IF(ISERROR(VLOOKUP(Table17[[#This Row],[source2]],Table22[Label],1,FALSE)),IF(ISERROR(VLOOKUP(Table17[[#This Row],[source2]],Table2210[Label],1,FALSE)),"SPOKE","FOCUS"),"HUB")</f>
        <v>FOCUS</v>
      </c>
      <c r="AI22" s="63" t="str">
        <f>IF(ISERROR(VLOOKUP(Table17[[#This Row],[target2]],Table22[Label],1,FALSE)),IF(ISERROR(VLOOKUP(Table17[[#This Row],[target2]],Table2210[Label],1,FALSE)),"SPOKE","FOCUS"),"HUB")</f>
        <v>HUB</v>
      </c>
      <c r="AJ22" s="63" t="str">
        <f>IF(Table17[[#This Row],[source-type]]&lt;Table17[[#This Row],[target-type]],Table17[[#This Row],[target-type]]&amp;"-"&amp;Table17[[#This Row],[source-type]],Table17[[#This Row],[source-type]]&amp;"-"&amp;Table17[[#This Row],[target-type]])</f>
        <v>HUB-FOCUS</v>
      </c>
      <c r="AK22" s="104">
        <f>IF(ISERROR(VLOOKUP(Table17[[#This Row],[source2]],Table22[[Label]:[Weighted Degree]],3,FALSE)),IF(ISERROR(VLOOKUP(Table17[[#This Row],[source2]],Table2210[[Label]:[Weighted Degree]],3,FALSE)),IF(ISERROR(VLOOKUP(Table17[[#This Row],[source2]],Table2214[[Label]:[Weighted Degree]],3,FALSE)),FALSE,VLOOKUP(Table17[[#This Row],[source2]],Table2214[[Label]:[Weighted Degree]],3,FALSE)),VLOOKUP(Table17[[#This Row],[source2]],Table2210[[Label]:[Weighted Degree]],3,FALSE)),VLOOKUP(Table17[[#This Row],[source2]],Table22[[Label]:[Weighted Degree]],3,FALSE))</f>
        <v>22882</v>
      </c>
      <c r="AL22" s="104">
        <f>IF(ISERROR(VLOOKUP(Table17[[#This Row],[target2]],Table22[[Label]:[Weighted Degree]],3,FALSE)),IF(ISERROR(VLOOKUP(Table17[[#This Row],[target2]],Table2210[[Label]:[Weighted Degree]],3,FALSE)),IF(ISERROR(VLOOKUP(Table17[[#This Row],[target2]],Table2214[[Label]:[Weighted Degree]],3,FALSE)),FALSE,VLOOKUP(Table17[[#This Row],[target2]],Table2214[[Label]:[Weighted Degree]],3,FALSE)),VLOOKUP(Table17[[#This Row],[target2]],Table2210[[Label]:[Weighted Degree]],3,FALSE)),VLOOKUP(Table17[[#This Row],[target2]],Table22[[Label]:[Weighted Degree]],3,FALSE))</f>
        <v>21171</v>
      </c>
    </row>
    <row r="23" spans="1:38" x14ac:dyDescent="0.2">
      <c r="A23" s="71" t="s">
        <v>125</v>
      </c>
      <c r="B23" s="71" t="s">
        <v>155</v>
      </c>
      <c r="C23" s="66" t="s">
        <v>1601</v>
      </c>
      <c r="D23" s="65">
        <v>2113</v>
      </c>
      <c r="E23" s="63" t="str">
        <f>IF(ISERROR(VLOOKUP(Table33[[#This Row],[source2]],Table22[Label],1,FALSE)),IF(ISERROR(VLOOKUP(Table33[[#This Row],[source2]],Table2210[Label],1,FALSE)),"SPOKE","FOCUS"),"HUB")</f>
        <v>HUB</v>
      </c>
      <c r="F23" s="63" t="str">
        <f>IF(ISERROR(VLOOKUP(Table33[[#This Row],[target2]],Table22[Label],1,FALSE)),IF(ISERROR(VLOOKUP(Table33[[#This Row],[target2]],Table2210[Label],1,FALSE)),"SPOKE","FOCUS"),"HUB")</f>
        <v>SPOKE</v>
      </c>
      <c r="G23" s="63" t="str">
        <f>IF(Table33[[#This Row],[source-type]]&lt;Table33[[#This Row],[target-type]],Table33[[#This Row],[target-type]]&amp;"-"&amp;Table33[[#This Row],[source-type]],Table33[[#This Row],[source-type]]&amp;"-"&amp;Table33[[#This Row],[target-type]])</f>
        <v>SPOKE-HUB</v>
      </c>
      <c r="H23" s="63">
        <f>IF(ISERROR(VLOOKUP(Table33[[#This Row],[source2]],Table22[[Label]:[Weighted Degree]],3,FALSE)),IF(ISERROR(VLOOKUP(Table33[[#This Row],[source2]],Table2210[[Label]:[Weighted Degree]],3,FALSE)),IF(ISERROR(VLOOKUP(Table33[[#This Row],[source2]],Table2214[[Label]:[Weighted Degree]],3,FALSE)),FALSE,VLOOKUP(Table33[[#This Row],[source2]],Table2214[[Label]:[Weighted Degree]],3,FALSE)),VLOOKUP(Table33[[#This Row],[source2]],Table2210[[Label]:[Weighted Degree]],3,FALSE)),VLOOKUP(Table33[[#This Row],[source2]],Table22[[Label]:[Weighted Degree]],3,FALSE))</f>
        <v>29032</v>
      </c>
      <c r="I23" s="63">
        <f>IF(ISERROR(VLOOKUP(Table33[[#This Row],[target2]],Table22[[Label]:[Weighted Degree]],3,FALSE)),IF(ISERROR(VLOOKUP(Table33[[#This Row],[target2]],Table2210[[Label]:[Weighted Degree]],3,FALSE)),IF(ISERROR(VLOOKUP(Table33[[#This Row],[target2]],Table2214[[Label]:[Weighted Degree]],3,FALSE)),FALSE,VLOOKUP(Table33[[#This Row],[target2]],Table2214[[Label]:[Weighted Degree]],3,FALSE)),VLOOKUP(Table33[[#This Row],[target2]],Table2210[[Label]:[Weighted Degree]],3,FALSE)),VLOOKUP(Table33[[#This Row],[target2]],Table22[[Label]:[Weighted Degree]],3,FALSE))</f>
        <v>6688</v>
      </c>
      <c r="K23" s="14" t="s">
        <v>133</v>
      </c>
      <c r="L23" s="14" t="s">
        <v>145</v>
      </c>
      <c r="M23" s="64" t="s">
        <v>738</v>
      </c>
      <c r="N23" s="14">
        <v>2642</v>
      </c>
      <c r="O23" s="63" t="str">
        <f>IF(ISERROR(VLOOKUP(Table34[[#This Row],[source2]],Table22[Label],1,FALSE)),IF(ISERROR(VLOOKUP(Table34[[#This Row],[source2]],Table2210[Label],1,FALSE)),"SPOKE","FOCUS"),"HUB")</f>
        <v>HUB</v>
      </c>
      <c r="P23" s="63" t="str">
        <f>IF(ISERROR(VLOOKUP(Table34[[#This Row],[target2]],Table22[Label],1,FALSE)),IF(ISERROR(VLOOKUP(Table34[[#This Row],[target2]],Table2210[Label],1,FALSE)),"SPOKE","FOCUS"),"HUB")</f>
        <v>HUB</v>
      </c>
      <c r="Q23" s="63" t="str">
        <f>IF(Table34[[#This Row],[source-type]]&lt;Table34[[#This Row],[target-type]],Table34[[#This Row],[target-type]]&amp;"-"&amp;Table34[[#This Row],[source-type]],Table34[[#This Row],[source-type]]&amp;"-"&amp;Table34[[#This Row],[target-type]])</f>
        <v>HUB-HUB</v>
      </c>
      <c r="R23" s="104">
        <f>IF(ISERROR(VLOOKUP(Table34[[#This Row],[source2]],Table22[[Label]:[Weighted Degree]],3,FALSE)),IF(ISERROR(VLOOKUP(Table34[[#This Row],[source2]],Table2210[[Label]:[Weighted Degree]],3,FALSE)),IF(ISERROR(VLOOKUP(Table34[[#This Row],[source2]],Table2214[[Label]:[Weighted Degree]],3,FALSE)),FALSE,VLOOKUP(Table34[[#This Row],[source2]],Table2214[[Label]:[Weighted Degree]],3,FALSE)),VLOOKUP(Table34[[#This Row],[source2]],Table2210[[Label]:[Weighted Degree]],3,FALSE)),VLOOKUP(Table34[[#This Row],[source2]],Table22[[Label]:[Weighted Degree]],3,FALSE))</f>
        <v>39711</v>
      </c>
      <c r="S23" s="104">
        <f>IF(ISERROR(VLOOKUP(Table34[[#This Row],[target2]],Table22[[Label]:[Weighted Degree]],3,FALSE)),IF(ISERROR(VLOOKUP(Table34[[#This Row],[target2]],Table2210[[Label]:[Weighted Degree]],3,FALSE)),IF(ISERROR(VLOOKUP(Table34[[#This Row],[target2]],Table2214[[Label]:[Weighted Degree]],3,FALSE)),FALSE,VLOOKUP(Table34[[#This Row],[target2]],Table2214[[Label]:[Weighted Degree]],3,FALSE)),VLOOKUP(Table34[[#This Row],[target2]],Table2210[[Label]:[Weighted Degree]],3,FALSE)),VLOOKUP(Table34[[#This Row],[target2]],Table22[[Label]:[Weighted Degree]],3,FALSE))</f>
        <v>23054</v>
      </c>
      <c r="U23" s="65" t="s">
        <v>140</v>
      </c>
      <c r="V23" s="65" t="s">
        <v>149</v>
      </c>
      <c r="W23" s="66" t="s">
        <v>1911</v>
      </c>
      <c r="X23" s="65">
        <v>1358</v>
      </c>
      <c r="Y23" s="63" t="str">
        <f>IF(ISERROR(VLOOKUP(Table36[[#This Row],[source2]],Table22[Label],1,FALSE)),IF(ISERROR(VLOOKUP(Table36[[#This Row],[source2]],Table2210[Label],1,FALSE)),"SPOKE","FOCUS"),"HUB")</f>
        <v>HUB</v>
      </c>
      <c r="Z23" s="63" t="str">
        <f>IF(ISERROR(VLOOKUP(Table36[[#This Row],[target2]],Table22[Label],1,FALSE)),IF(ISERROR(VLOOKUP(Table36[[#This Row],[target2]],Table2210[Label],1,FALSE)),"SPOKE","FOCUS"),"HUB")</f>
        <v>SPOKE</v>
      </c>
      <c r="AA23" s="63" t="str">
        <f>IF(Table36[[#This Row],[source-type]]&lt;Table36[[#This Row],[target-type]],Table36[[#This Row],[target-type]]&amp;"-"&amp;Table36[[#This Row],[source-type]],Table36[[#This Row],[source-type]]&amp;"-"&amp;Table36[[#This Row],[target-type]])</f>
        <v>SPOKE-HUB</v>
      </c>
      <c r="AB23" s="104">
        <f>IF(ISERROR(VLOOKUP(Table36[[#This Row],[source2]],Table22[[Label]:[Weighted Degree]],3,FALSE)),IF(ISERROR(VLOOKUP(Table36[[#This Row],[source2]],Table2210[[Label]:[Weighted Degree]],3,FALSE)),IF(ISERROR(VLOOKUP(Table36[[#This Row],[source2]],Table2214[[Label]:[Weighted Degree]],3,FALSE)),FALSE,VLOOKUP(Table36[[#This Row],[source2]],Table2214[[Label]:[Weighted Degree]],3,FALSE)),VLOOKUP(Table36[[#This Row],[source2]],Table2210[[Label]:[Weighted Degree]],3,FALSE)),VLOOKUP(Table36[[#This Row],[source2]],Table22[[Label]:[Weighted Degree]],3,FALSE))</f>
        <v>21171</v>
      </c>
      <c r="AC23" s="104">
        <f>IF(ISERROR(VLOOKUP(Table36[[#This Row],[target2]],Table22[[Label]:[Weighted Degree]],3,FALSE)),IF(ISERROR(VLOOKUP(Table36[[#This Row],[target2]],Table2210[[Label]:[Weighted Degree]],3,FALSE)),IF(ISERROR(VLOOKUP(Table36[[#This Row],[target2]],Table2214[[Label]:[Weighted Degree]],3,FALSE)),FALSE,VLOOKUP(Table36[[#This Row],[target2]],Table2214[[Label]:[Weighted Degree]],3,FALSE)),VLOOKUP(Table36[[#This Row],[target2]],Table2210[[Label]:[Weighted Degree]],3,FALSE)),VLOOKUP(Table36[[#This Row],[target2]],Table22[[Label]:[Weighted Degree]],3,FALSE))</f>
        <v>9447</v>
      </c>
      <c r="AE23" s="14" t="s">
        <v>132</v>
      </c>
      <c r="AF23" s="14" t="s">
        <v>145</v>
      </c>
      <c r="AG23" s="14">
        <v>4506</v>
      </c>
      <c r="AH23" s="63" t="str">
        <f>IF(ISERROR(VLOOKUP(Table17[[#This Row],[source2]],Table22[Label],1,FALSE)),IF(ISERROR(VLOOKUP(Table17[[#This Row],[source2]],Table2210[Label],1,FALSE)),"SPOKE","FOCUS"),"HUB")</f>
        <v>HUB</v>
      </c>
      <c r="AI23" s="63" t="str">
        <f>IF(ISERROR(VLOOKUP(Table17[[#This Row],[target2]],Table22[Label],1,FALSE)),IF(ISERROR(VLOOKUP(Table17[[#This Row],[target2]],Table2210[Label],1,FALSE)),"SPOKE","FOCUS"),"HUB")</f>
        <v>HUB</v>
      </c>
      <c r="AJ23" s="63" t="str">
        <f>IF(Table17[[#This Row],[source-type]]&lt;Table17[[#This Row],[target-type]],Table17[[#This Row],[target-type]]&amp;"-"&amp;Table17[[#This Row],[source-type]],Table17[[#This Row],[source-type]]&amp;"-"&amp;Table17[[#This Row],[target-type]])</f>
        <v>HUB-HUB</v>
      </c>
      <c r="AK23" s="104">
        <f>IF(ISERROR(VLOOKUP(Table17[[#This Row],[source2]],Table22[[Label]:[Weighted Degree]],3,FALSE)),IF(ISERROR(VLOOKUP(Table17[[#This Row],[source2]],Table2210[[Label]:[Weighted Degree]],3,FALSE)),IF(ISERROR(VLOOKUP(Table17[[#This Row],[source2]],Table2214[[Label]:[Weighted Degree]],3,FALSE)),FALSE,VLOOKUP(Table17[[#This Row],[source2]],Table2214[[Label]:[Weighted Degree]],3,FALSE)),VLOOKUP(Table17[[#This Row],[source2]],Table2210[[Label]:[Weighted Degree]],3,FALSE)),VLOOKUP(Table17[[#This Row],[source2]],Table22[[Label]:[Weighted Degree]],3,FALSE))</f>
        <v>23813</v>
      </c>
      <c r="AL23" s="104">
        <f>IF(ISERROR(VLOOKUP(Table17[[#This Row],[target2]],Table22[[Label]:[Weighted Degree]],3,FALSE)),IF(ISERROR(VLOOKUP(Table17[[#This Row],[target2]],Table2210[[Label]:[Weighted Degree]],3,FALSE)),IF(ISERROR(VLOOKUP(Table17[[#This Row],[target2]],Table2214[[Label]:[Weighted Degree]],3,FALSE)),FALSE,VLOOKUP(Table17[[#This Row],[target2]],Table2214[[Label]:[Weighted Degree]],3,FALSE)),VLOOKUP(Table17[[#This Row],[target2]],Table2210[[Label]:[Weighted Degree]],3,FALSE)),VLOOKUP(Table17[[#This Row],[target2]],Table22[[Label]:[Weighted Degree]],3,FALSE))</f>
        <v>23054</v>
      </c>
    </row>
    <row r="24" spans="1:38" x14ac:dyDescent="0.2">
      <c r="A24" s="68" t="s">
        <v>135</v>
      </c>
      <c r="B24" s="68" t="s">
        <v>145</v>
      </c>
      <c r="C24" s="67" t="s">
        <v>1013</v>
      </c>
      <c r="D24" s="62">
        <v>4778</v>
      </c>
      <c r="E24" s="63" t="str">
        <f>IF(ISERROR(VLOOKUP(Table33[[#This Row],[source2]],Table22[Label],1,FALSE)),IF(ISERROR(VLOOKUP(Table33[[#This Row],[source2]],Table2210[Label],1,FALSE)),"SPOKE","FOCUS"),"HUB")</f>
        <v>HUB</v>
      </c>
      <c r="F24" s="63" t="str">
        <f>IF(ISERROR(VLOOKUP(Table33[[#This Row],[target2]],Table22[Label],1,FALSE)),IF(ISERROR(VLOOKUP(Table33[[#This Row],[target2]],Table2210[Label],1,FALSE)),"SPOKE","FOCUS"),"HUB")</f>
        <v>HUB</v>
      </c>
      <c r="G24" s="63" t="str">
        <f>IF(Table33[[#This Row],[source-type]]&lt;Table33[[#This Row],[target-type]],Table33[[#This Row],[target-type]]&amp;"-"&amp;Table33[[#This Row],[source-type]],Table33[[#This Row],[source-type]]&amp;"-"&amp;Table33[[#This Row],[target-type]])</f>
        <v>HUB-HUB</v>
      </c>
      <c r="H24" s="63">
        <f>IF(ISERROR(VLOOKUP(Table33[[#This Row],[source2]],Table22[[Label]:[Weighted Degree]],3,FALSE)),IF(ISERROR(VLOOKUP(Table33[[#This Row],[source2]],Table2210[[Label]:[Weighted Degree]],3,FALSE)),IF(ISERROR(VLOOKUP(Table33[[#This Row],[source2]],Table2214[[Label]:[Weighted Degree]],3,FALSE)),FALSE,VLOOKUP(Table33[[#This Row],[source2]],Table2214[[Label]:[Weighted Degree]],3,FALSE)),VLOOKUP(Table33[[#This Row],[source2]],Table2210[[Label]:[Weighted Degree]],3,FALSE)),VLOOKUP(Table33[[#This Row],[source2]],Table22[[Label]:[Weighted Degree]],3,FALSE))</f>
        <v>23724</v>
      </c>
      <c r="I24" s="63">
        <f>IF(ISERROR(VLOOKUP(Table33[[#This Row],[target2]],Table22[[Label]:[Weighted Degree]],3,FALSE)),IF(ISERROR(VLOOKUP(Table33[[#This Row],[target2]],Table2210[[Label]:[Weighted Degree]],3,FALSE)),IF(ISERROR(VLOOKUP(Table33[[#This Row],[target2]],Table2214[[Label]:[Weighted Degree]],3,FALSE)),FALSE,VLOOKUP(Table33[[#This Row],[target2]],Table2214[[Label]:[Weighted Degree]],3,FALSE)),VLOOKUP(Table33[[#This Row],[target2]],Table2210[[Label]:[Weighted Degree]],3,FALSE)),VLOOKUP(Table33[[#This Row],[target2]],Table22[[Label]:[Weighted Degree]],3,FALSE))</f>
        <v>23054</v>
      </c>
      <c r="K24" s="14" t="s">
        <v>132</v>
      </c>
      <c r="L24" s="14" t="s">
        <v>145</v>
      </c>
      <c r="M24" s="64" t="s">
        <v>738</v>
      </c>
      <c r="N24" s="14">
        <v>4506</v>
      </c>
      <c r="O24" s="63" t="str">
        <f>IF(ISERROR(VLOOKUP(Table34[[#This Row],[source2]],Table22[Label],1,FALSE)),IF(ISERROR(VLOOKUP(Table34[[#This Row],[source2]],Table2210[Label],1,FALSE)),"SPOKE","FOCUS"),"HUB")</f>
        <v>HUB</v>
      </c>
      <c r="P24" s="63" t="str">
        <f>IF(ISERROR(VLOOKUP(Table34[[#This Row],[target2]],Table22[Label],1,FALSE)),IF(ISERROR(VLOOKUP(Table34[[#This Row],[target2]],Table2210[Label],1,FALSE)),"SPOKE","FOCUS"),"HUB")</f>
        <v>HUB</v>
      </c>
      <c r="Q24" s="63" t="str">
        <f>IF(Table34[[#This Row],[source-type]]&lt;Table34[[#This Row],[target-type]],Table34[[#This Row],[target-type]]&amp;"-"&amp;Table34[[#This Row],[source-type]],Table34[[#This Row],[source-type]]&amp;"-"&amp;Table34[[#This Row],[target-type]])</f>
        <v>HUB-HUB</v>
      </c>
      <c r="R24" s="104">
        <f>IF(ISERROR(VLOOKUP(Table34[[#This Row],[source2]],Table22[[Label]:[Weighted Degree]],3,FALSE)),IF(ISERROR(VLOOKUP(Table34[[#This Row],[source2]],Table2210[[Label]:[Weighted Degree]],3,FALSE)),IF(ISERROR(VLOOKUP(Table34[[#This Row],[source2]],Table2214[[Label]:[Weighted Degree]],3,FALSE)),FALSE,VLOOKUP(Table34[[#This Row],[source2]],Table2214[[Label]:[Weighted Degree]],3,FALSE)),VLOOKUP(Table34[[#This Row],[source2]],Table2210[[Label]:[Weighted Degree]],3,FALSE)),VLOOKUP(Table34[[#This Row],[source2]],Table22[[Label]:[Weighted Degree]],3,FALSE))</f>
        <v>23813</v>
      </c>
      <c r="S24" s="104">
        <f>IF(ISERROR(VLOOKUP(Table34[[#This Row],[target2]],Table22[[Label]:[Weighted Degree]],3,FALSE)),IF(ISERROR(VLOOKUP(Table34[[#This Row],[target2]],Table2210[[Label]:[Weighted Degree]],3,FALSE)),IF(ISERROR(VLOOKUP(Table34[[#This Row],[target2]],Table2214[[Label]:[Weighted Degree]],3,FALSE)),FALSE,VLOOKUP(Table34[[#This Row],[target2]],Table2214[[Label]:[Weighted Degree]],3,FALSE)),VLOOKUP(Table34[[#This Row],[target2]],Table2210[[Label]:[Weighted Degree]],3,FALSE)),VLOOKUP(Table34[[#This Row],[target2]],Table22[[Label]:[Weighted Degree]],3,FALSE))</f>
        <v>23054</v>
      </c>
      <c r="U24" s="65" t="s">
        <v>133</v>
      </c>
      <c r="V24" s="65" t="s">
        <v>142</v>
      </c>
      <c r="W24" s="66" t="s">
        <v>1215</v>
      </c>
      <c r="X24" s="65">
        <v>447</v>
      </c>
      <c r="Y24" s="63" t="str">
        <f>IF(ISERROR(VLOOKUP(Table36[[#This Row],[source2]],Table22[Label],1,FALSE)),IF(ISERROR(VLOOKUP(Table36[[#This Row],[source2]],Table2210[Label],1,FALSE)),"SPOKE","FOCUS"),"HUB")</f>
        <v>HUB</v>
      </c>
      <c r="Z24" s="63" t="str">
        <f>IF(ISERROR(VLOOKUP(Table36[[#This Row],[target2]],Table22[Label],1,FALSE)),IF(ISERROR(VLOOKUP(Table36[[#This Row],[target2]],Table2210[Label],1,FALSE)),"SPOKE","FOCUS"),"HUB")</f>
        <v>HUB</v>
      </c>
      <c r="AA24" s="63" t="str">
        <f>IF(Table36[[#This Row],[source-type]]&lt;Table36[[#This Row],[target-type]],Table36[[#This Row],[target-type]]&amp;"-"&amp;Table36[[#This Row],[source-type]],Table36[[#This Row],[source-type]]&amp;"-"&amp;Table36[[#This Row],[target-type]])</f>
        <v>HUB-HUB</v>
      </c>
      <c r="AB24" s="104">
        <f>IF(ISERROR(VLOOKUP(Table36[[#This Row],[source2]],Table22[[Label]:[Weighted Degree]],3,FALSE)),IF(ISERROR(VLOOKUP(Table36[[#This Row],[source2]],Table2210[[Label]:[Weighted Degree]],3,FALSE)),IF(ISERROR(VLOOKUP(Table36[[#This Row],[source2]],Table2214[[Label]:[Weighted Degree]],3,FALSE)),FALSE,VLOOKUP(Table36[[#This Row],[source2]],Table2214[[Label]:[Weighted Degree]],3,FALSE)),VLOOKUP(Table36[[#This Row],[source2]],Table2210[[Label]:[Weighted Degree]],3,FALSE)),VLOOKUP(Table36[[#This Row],[source2]],Table22[[Label]:[Weighted Degree]],3,FALSE))</f>
        <v>39711</v>
      </c>
      <c r="AC24" s="104">
        <f>IF(ISERROR(VLOOKUP(Table36[[#This Row],[target2]],Table22[[Label]:[Weighted Degree]],3,FALSE)),IF(ISERROR(VLOOKUP(Table36[[#This Row],[target2]],Table2210[[Label]:[Weighted Degree]],3,FALSE)),IF(ISERROR(VLOOKUP(Table36[[#This Row],[target2]],Table2214[[Label]:[Weighted Degree]],3,FALSE)),FALSE,VLOOKUP(Table36[[#This Row],[target2]],Table2214[[Label]:[Weighted Degree]],3,FALSE)),VLOOKUP(Table36[[#This Row],[target2]],Table2210[[Label]:[Weighted Degree]],3,FALSE)),VLOOKUP(Table36[[#This Row],[target2]],Table22[[Label]:[Weighted Degree]],3,FALSE))</f>
        <v>18349</v>
      </c>
      <c r="AE24" s="14" t="s">
        <v>135</v>
      </c>
      <c r="AF24" s="14" t="s">
        <v>131</v>
      </c>
      <c r="AG24" s="14">
        <v>6956</v>
      </c>
      <c r="AH24" s="63" t="str">
        <f>IF(ISERROR(VLOOKUP(Table17[[#This Row],[source2]],Table22[Label],1,FALSE)),IF(ISERROR(VLOOKUP(Table17[[#This Row],[source2]],Table2210[Label],1,FALSE)),"SPOKE","FOCUS"),"HUB")</f>
        <v>HUB</v>
      </c>
      <c r="AI24" s="63" t="str">
        <f>IF(ISERROR(VLOOKUP(Table17[[#This Row],[target2]],Table22[Label],1,FALSE)),IF(ISERROR(VLOOKUP(Table17[[#This Row],[target2]],Table2210[Label],1,FALSE)),"SPOKE","FOCUS"),"HUB")</f>
        <v>HUB</v>
      </c>
      <c r="AJ24" s="63" t="str">
        <f>IF(Table17[[#This Row],[source-type]]&lt;Table17[[#This Row],[target-type]],Table17[[#This Row],[target-type]]&amp;"-"&amp;Table17[[#This Row],[source-type]],Table17[[#This Row],[source-type]]&amp;"-"&amp;Table17[[#This Row],[target-type]])</f>
        <v>HUB-HUB</v>
      </c>
      <c r="AK24" s="104">
        <f>IF(ISERROR(VLOOKUP(Table17[[#This Row],[source2]],Table22[[Label]:[Weighted Degree]],3,FALSE)),IF(ISERROR(VLOOKUP(Table17[[#This Row],[source2]],Table2210[[Label]:[Weighted Degree]],3,FALSE)),IF(ISERROR(VLOOKUP(Table17[[#This Row],[source2]],Table2214[[Label]:[Weighted Degree]],3,FALSE)),FALSE,VLOOKUP(Table17[[#This Row],[source2]],Table2214[[Label]:[Weighted Degree]],3,FALSE)),VLOOKUP(Table17[[#This Row],[source2]],Table2210[[Label]:[Weighted Degree]],3,FALSE)),VLOOKUP(Table17[[#This Row],[source2]],Table22[[Label]:[Weighted Degree]],3,FALSE))</f>
        <v>23724</v>
      </c>
      <c r="AL24" s="104">
        <f>IF(ISERROR(VLOOKUP(Table17[[#This Row],[target2]],Table22[[Label]:[Weighted Degree]],3,FALSE)),IF(ISERROR(VLOOKUP(Table17[[#This Row],[target2]],Table2210[[Label]:[Weighted Degree]],3,FALSE)),IF(ISERROR(VLOOKUP(Table17[[#This Row],[target2]],Table2214[[Label]:[Weighted Degree]],3,FALSE)),FALSE,VLOOKUP(Table17[[#This Row],[target2]],Table2214[[Label]:[Weighted Degree]],3,FALSE)),VLOOKUP(Table17[[#This Row],[target2]],Table2210[[Label]:[Weighted Degree]],3,FALSE)),VLOOKUP(Table17[[#This Row],[target2]],Table22[[Label]:[Weighted Degree]],3,FALSE))</f>
        <v>44350</v>
      </c>
    </row>
    <row r="25" spans="1:38" x14ac:dyDescent="0.2">
      <c r="A25" s="5" t="s">
        <v>129</v>
      </c>
      <c r="B25" s="5" t="s">
        <v>145</v>
      </c>
      <c r="C25" s="67" t="s">
        <v>1877</v>
      </c>
      <c r="D25" s="62">
        <v>2659</v>
      </c>
      <c r="E25" s="63" t="str">
        <f>IF(ISERROR(VLOOKUP(Table33[[#This Row],[source2]],Table22[Label],1,FALSE)),IF(ISERROR(VLOOKUP(Table33[[#This Row],[source2]],Table2210[Label],1,FALSE)),"SPOKE","FOCUS"),"HUB")</f>
        <v>HUB</v>
      </c>
      <c r="F25" s="63" t="str">
        <f>IF(ISERROR(VLOOKUP(Table33[[#This Row],[target2]],Table22[Label],1,FALSE)),IF(ISERROR(VLOOKUP(Table33[[#This Row],[target2]],Table2210[Label],1,FALSE)),"SPOKE","FOCUS"),"HUB")</f>
        <v>HUB</v>
      </c>
      <c r="G25" s="63" t="str">
        <f>IF(Table33[[#This Row],[source-type]]&lt;Table33[[#This Row],[target-type]],Table33[[#This Row],[target-type]]&amp;"-"&amp;Table33[[#This Row],[source-type]],Table33[[#This Row],[source-type]]&amp;"-"&amp;Table33[[#This Row],[target-type]])</f>
        <v>HUB-HUB</v>
      </c>
      <c r="H25" s="63">
        <f>IF(ISERROR(VLOOKUP(Table33[[#This Row],[source2]],Table22[[Label]:[Weighted Degree]],3,FALSE)),IF(ISERROR(VLOOKUP(Table33[[#This Row],[source2]],Table2210[[Label]:[Weighted Degree]],3,FALSE)),IF(ISERROR(VLOOKUP(Table33[[#This Row],[source2]],Table2214[[Label]:[Weighted Degree]],3,FALSE)),FALSE,VLOOKUP(Table33[[#This Row],[source2]],Table2214[[Label]:[Weighted Degree]],3,FALSE)),VLOOKUP(Table33[[#This Row],[source2]],Table2210[[Label]:[Weighted Degree]],3,FALSE)),VLOOKUP(Table33[[#This Row],[source2]],Table22[[Label]:[Weighted Degree]],3,FALSE))</f>
        <v>18390</v>
      </c>
      <c r="I25" s="63">
        <f>IF(ISERROR(VLOOKUP(Table33[[#This Row],[target2]],Table22[[Label]:[Weighted Degree]],3,FALSE)),IF(ISERROR(VLOOKUP(Table33[[#This Row],[target2]],Table2210[[Label]:[Weighted Degree]],3,FALSE)),IF(ISERROR(VLOOKUP(Table33[[#This Row],[target2]],Table2214[[Label]:[Weighted Degree]],3,FALSE)),FALSE,VLOOKUP(Table33[[#This Row],[target2]],Table2214[[Label]:[Weighted Degree]],3,FALSE)),VLOOKUP(Table33[[#This Row],[target2]],Table2210[[Label]:[Weighted Degree]],3,FALSE)),VLOOKUP(Table33[[#This Row],[target2]],Table22[[Label]:[Weighted Degree]],3,FALSE))</f>
        <v>23054</v>
      </c>
      <c r="K25" s="14" t="s">
        <v>135</v>
      </c>
      <c r="L25" s="14" t="s">
        <v>145</v>
      </c>
      <c r="M25" s="64" t="s">
        <v>738</v>
      </c>
      <c r="N25" s="14">
        <v>4778</v>
      </c>
      <c r="O25" s="63" t="str">
        <f>IF(ISERROR(VLOOKUP(Table34[[#This Row],[source2]],Table22[Label],1,FALSE)),IF(ISERROR(VLOOKUP(Table34[[#This Row],[source2]],Table2210[Label],1,FALSE)),"SPOKE","FOCUS"),"HUB")</f>
        <v>HUB</v>
      </c>
      <c r="P25" s="63" t="str">
        <f>IF(ISERROR(VLOOKUP(Table34[[#This Row],[target2]],Table22[Label],1,FALSE)),IF(ISERROR(VLOOKUP(Table34[[#This Row],[target2]],Table2210[Label],1,FALSE)),"SPOKE","FOCUS"),"HUB")</f>
        <v>HUB</v>
      </c>
      <c r="Q25" s="63" t="str">
        <f>IF(Table34[[#This Row],[source-type]]&lt;Table34[[#This Row],[target-type]],Table34[[#This Row],[target-type]]&amp;"-"&amp;Table34[[#This Row],[source-type]],Table34[[#This Row],[source-type]]&amp;"-"&amp;Table34[[#This Row],[target-type]])</f>
        <v>HUB-HUB</v>
      </c>
      <c r="R25" s="104">
        <f>IF(ISERROR(VLOOKUP(Table34[[#This Row],[source2]],Table22[[Label]:[Weighted Degree]],3,FALSE)),IF(ISERROR(VLOOKUP(Table34[[#This Row],[source2]],Table2210[[Label]:[Weighted Degree]],3,FALSE)),IF(ISERROR(VLOOKUP(Table34[[#This Row],[source2]],Table2214[[Label]:[Weighted Degree]],3,FALSE)),FALSE,VLOOKUP(Table34[[#This Row],[source2]],Table2214[[Label]:[Weighted Degree]],3,FALSE)),VLOOKUP(Table34[[#This Row],[source2]],Table2210[[Label]:[Weighted Degree]],3,FALSE)),VLOOKUP(Table34[[#This Row],[source2]],Table22[[Label]:[Weighted Degree]],3,FALSE))</f>
        <v>23724</v>
      </c>
      <c r="S25" s="104">
        <f>IF(ISERROR(VLOOKUP(Table34[[#This Row],[target2]],Table22[[Label]:[Weighted Degree]],3,FALSE)),IF(ISERROR(VLOOKUP(Table34[[#This Row],[target2]],Table2210[[Label]:[Weighted Degree]],3,FALSE)),IF(ISERROR(VLOOKUP(Table34[[#This Row],[target2]],Table2214[[Label]:[Weighted Degree]],3,FALSE)),FALSE,VLOOKUP(Table34[[#This Row],[target2]],Table2214[[Label]:[Weighted Degree]],3,FALSE)),VLOOKUP(Table34[[#This Row],[target2]],Table2210[[Label]:[Weighted Degree]],3,FALSE)),VLOOKUP(Table34[[#This Row],[target2]],Table22[[Label]:[Weighted Degree]],3,FALSE))</f>
        <v>23054</v>
      </c>
      <c r="U25" s="65" t="s">
        <v>124</v>
      </c>
      <c r="V25" s="65" t="s">
        <v>142</v>
      </c>
      <c r="W25" s="66" t="s">
        <v>2284</v>
      </c>
      <c r="X25" s="65">
        <v>594</v>
      </c>
      <c r="Y25" s="63" t="str">
        <f>IF(ISERROR(VLOOKUP(Table36[[#This Row],[source2]],Table22[Label],1,FALSE)),IF(ISERROR(VLOOKUP(Table36[[#This Row],[source2]],Table2210[Label],1,FALSE)),"SPOKE","FOCUS"),"HUB")</f>
        <v>HUB</v>
      </c>
      <c r="Z25" s="63" t="str">
        <f>IF(ISERROR(VLOOKUP(Table36[[#This Row],[target2]],Table22[Label],1,FALSE)),IF(ISERROR(VLOOKUP(Table36[[#This Row],[target2]],Table2210[Label],1,FALSE)),"SPOKE","FOCUS"),"HUB")</f>
        <v>HUB</v>
      </c>
      <c r="AA25" s="63" t="str">
        <f>IF(Table36[[#This Row],[source-type]]&lt;Table36[[#This Row],[target-type]],Table36[[#This Row],[target-type]]&amp;"-"&amp;Table36[[#This Row],[source-type]],Table36[[#This Row],[source-type]]&amp;"-"&amp;Table36[[#This Row],[target-type]])</f>
        <v>HUB-HUB</v>
      </c>
      <c r="AB25" s="104">
        <f>IF(ISERROR(VLOOKUP(Table36[[#This Row],[source2]],Table22[[Label]:[Weighted Degree]],3,FALSE)),IF(ISERROR(VLOOKUP(Table36[[#This Row],[source2]],Table2210[[Label]:[Weighted Degree]],3,FALSE)),IF(ISERROR(VLOOKUP(Table36[[#This Row],[source2]],Table2214[[Label]:[Weighted Degree]],3,FALSE)),FALSE,VLOOKUP(Table36[[#This Row],[source2]],Table2214[[Label]:[Weighted Degree]],3,FALSE)),VLOOKUP(Table36[[#This Row],[source2]],Table2210[[Label]:[Weighted Degree]],3,FALSE)),VLOOKUP(Table36[[#This Row],[source2]],Table22[[Label]:[Weighted Degree]],3,FALSE))</f>
        <v>28737</v>
      </c>
      <c r="AC25" s="104">
        <f>IF(ISERROR(VLOOKUP(Table36[[#This Row],[target2]],Table22[[Label]:[Weighted Degree]],3,FALSE)),IF(ISERROR(VLOOKUP(Table36[[#This Row],[target2]],Table2210[[Label]:[Weighted Degree]],3,FALSE)),IF(ISERROR(VLOOKUP(Table36[[#This Row],[target2]],Table2214[[Label]:[Weighted Degree]],3,FALSE)),FALSE,VLOOKUP(Table36[[#This Row],[target2]],Table2214[[Label]:[Weighted Degree]],3,FALSE)),VLOOKUP(Table36[[#This Row],[target2]],Table2210[[Label]:[Weighted Degree]],3,FALSE)),VLOOKUP(Table36[[#This Row],[target2]],Table22[[Label]:[Weighted Degree]],3,FALSE))</f>
        <v>18349</v>
      </c>
      <c r="AE25" s="14" t="s">
        <v>134</v>
      </c>
      <c r="AF25" s="14" t="s">
        <v>124</v>
      </c>
      <c r="AG25" s="14">
        <v>2605</v>
      </c>
      <c r="AH25" s="63" t="str">
        <f>IF(ISERROR(VLOOKUP(Table17[[#This Row],[source2]],Table22[Label],1,FALSE)),IF(ISERROR(VLOOKUP(Table17[[#This Row],[source2]],Table2210[Label],1,FALSE)),"SPOKE","FOCUS"),"HUB")</f>
        <v>FOCUS</v>
      </c>
      <c r="AI25" s="63" t="str">
        <f>IF(ISERROR(VLOOKUP(Table17[[#This Row],[target2]],Table22[Label],1,FALSE)),IF(ISERROR(VLOOKUP(Table17[[#This Row],[target2]],Table2210[Label],1,FALSE)),"SPOKE","FOCUS"),"HUB")</f>
        <v>HUB</v>
      </c>
      <c r="AJ25" s="63" t="str">
        <f>IF(Table17[[#This Row],[source-type]]&lt;Table17[[#This Row],[target-type]],Table17[[#This Row],[target-type]]&amp;"-"&amp;Table17[[#This Row],[source-type]],Table17[[#This Row],[source-type]]&amp;"-"&amp;Table17[[#This Row],[target-type]])</f>
        <v>HUB-FOCUS</v>
      </c>
      <c r="AK25" s="104">
        <f>IF(ISERROR(VLOOKUP(Table17[[#This Row],[source2]],Table22[[Label]:[Weighted Degree]],3,FALSE)),IF(ISERROR(VLOOKUP(Table17[[#This Row],[source2]],Table2210[[Label]:[Weighted Degree]],3,FALSE)),IF(ISERROR(VLOOKUP(Table17[[#This Row],[source2]],Table2214[[Label]:[Weighted Degree]],3,FALSE)),FALSE,VLOOKUP(Table17[[#This Row],[source2]],Table2214[[Label]:[Weighted Degree]],3,FALSE)),VLOOKUP(Table17[[#This Row],[source2]],Table2210[[Label]:[Weighted Degree]],3,FALSE)),VLOOKUP(Table17[[#This Row],[source2]],Table22[[Label]:[Weighted Degree]],3,FALSE))</f>
        <v>26074</v>
      </c>
      <c r="AL25" s="104">
        <f>IF(ISERROR(VLOOKUP(Table17[[#This Row],[target2]],Table22[[Label]:[Weighted Degree]],3,FALSE)),IF(ISERROR(VLOOKUP(Table17[[#This Row],[target2]],Table2210[[Label]:[Weighted Degree]],3,FALSE)),IF(ISERROR(VLOOKUP(Table17[[#This Row],[target2]],Table2214[[Label]:[Weighted Degree]],3,FALSE)),FALSE,VLOOKUP(Table17[[#This Row],[target2]],Table2214[[Label]:[Weighted Degree]],3,FALSE)),VLOOKUP(Table17[[#This Row],[target2]],Table2210[[Label]:[Weighted Degree]],3,FALSE)),VLOOKUP(Table17[[#This Row],[target2]],Table22[[Label]:[Weighted Degree]],3,FALSE))</f>
        <v>28737</v>
      </c>
    </row>
    <row r="26" spans="1:38" x14ac:dyDescent="0.2">
      <c r="A26" s="72" t="s">
        <v>133</v>
      </c>
      <c r="B26" s="72" t="s">
        <v>153</v>
      </c>
      <c r="C26" s="66" t="s">
        <v>1197</v>
      </c>
      <c r="D26" s="65">
        <v>1691</v>
      </c>
      <c r="E26" s="63" t="str">
        <f>IF(ISERROR(VLOOKUP(Table33[[#This Row],[source2]],Table22[Label],1,FALSE)),IF(ISERROR(VLOOKUP(Table33[[#This Row],[source2]],Table2210[Label],1,FALSE)),"SPOKE","FOCUS"),"HUB")</f>
        <v>HUB</v>
      </c>
      <c r="F26" s="63" t="str">
        <f>IF(ISERROR(VLOOKUP(Table33[[#This Row],[target2]],Table22[Label],1,FALSE)),IF(ISERROR(VLOOKUP(Table33[[#This Row],[target2]],Table2210[Label],1,FALSE)),"SPOKE","FOCUS"),"HUB")</f>
        <v>SPOKE</v>
      </c>
      <c r="G26" s="63" t="str">
        <f>IF(Table33[[#This Row],[source-type]]&lt;Table33[[#This Row],[target-type]],Table33[[#This Row],[target-type]]&amp;"-"&amp;Table33[[#This Row],[source-type]],Table33[[#This Row],[source-type]]&amp;"-"&amp;Table33[[#This Row],[target-type]])</f>
        <v>SPOKE-HUB</v>
      </c>
      <c r="H26" s="63">
        <f>IF(ISERROR(VLOOKUP(Table33[[#This Row],[source2]],Table22[[Label]:[Weighted Degree]],3,FALSE)),IF(ISERROR(VLOOKUP(Table33[[#This Row],[source2]],Table2210[[Label]:[Weighted Degree]],3,FALSE)),IF(ISERROR(VLOOKUP(Table33[[#This Row],[source2]],Table2214[[Label]:[Weighted Degree]],3,FALSE)),FALSE,VLOOKUP(Table33[[#This Row],[source2]],Table2214[[Label]:[Weighted Degree]],3,FALSE)),VLOOKUP(Table33[[#This Row],[source2]],Table2210[[Label]:[Weighted Degree]],3,FALSE)),VLOOKUP(Table33[[#This Row],[source2]],Table22[[Label]:[Weighted Degree]],3,FALSE))</f>
        <v>39711</v>
      </c>
      <c r="I26" s="63">
        <f>IF(ISERROR(VLOOKUP(Table33[[#This Row],[target2]],Table22[[Label]:[Weighted Degree]],3,FALSE)),IF(ISERROR(VLOOKUP(Table33[[#This Row],[target2]],Table2210[[Label]:[Weighted Degree]],3,FALSE)),IF(ISERROR(VLOOKUP(Table33[[#This Row],[target2]],Table2214[[Label]:[Weighted Degree]],3,FALSE)),FALSE,VLOOKUP(Table33[[#This Row],[target2]],Table2214[[Label]:[Weighted Degree]],3,FALSE)),VLOOKUP(Table33[[#This Row],[target2]],Table2210[[Label]:[Weighted Degree]],3,FALSE)),VLOOKUP(Table33[[#This Row],[target2]],Table22[[Label]:[Weighted Degree]],3,FALSE))</f>
        <v>6181</v>
      </c>
      <c r="K26" s="14" t="s">
        <v>129</v>
      </c>
      <c r="L26" s="14" t="s">
        <v>145</v>
      </c>
      <c r="M26" s="64" t="s">
        <v>738</v>
      </c>
      <c r="N26" s="14">
        <v>2659</v>
      </c>
      <c r="O26" s="63" t="str">
        <f>IF(ISERROR(VLOOKUP(Table34[[#This Row],[source2]],Table22[Label],1,FALSE)),IF(ISERROR(VLOOKUP(Table34[[#This Row],[source2]],Table2210[Label],1,FALSE)),"SPOKE","FOCUS"),"HUB")</f>
        <v>HUB</v>
      </c>
      <c r="P26" s="63" t="str">
        <f>IF(ISERROR(VLOOKUP(Table34[[#This Row],[target2]],Table22[Label],1,FALSE)),IF(ISERROR(VLOOKUP(Table34[[#This Row],[target2]],Table2210[Label],1,FALSE)),"SPOKE","FOCUS"),"HUB")</f>
        <v>HUB</v>
      </c>
      <c r="Q26" s="63" t="str">
        <f>IF(Table34[[#This Row],[source-type]]&lt;Table34[[#This Row],[target-type]],Table34[[#This Row],[target-type]]&amp;"-"&amp;Table34[[#This Row],[source-type]],Table34[[#This Row],[source-type]]&amp;"-"&amp;Table34[[#This Row],[target-type]])</f>
        <v>HUB-HUB</v>
      </c>
      <c r="R26" s="104">
        <f>IF(ISERROR(VLOOKUP(Table34[[#This Row],[source2]],Table22[[Label]:[Weighted Degree]],3,FALSE)),IF(ISERROR(VLOOKUP(Table34[[#This Row],[source2]],Table2210[[Label]:[Weighted Degree]],3,FALSE)),IF(ISERROR(VLOOKUP(Table34[[#This Row],[source2]],Table2214[[Label]:[Weighted Degree]],3,FALSE)),FALSE,VLOOKUP(Table34[[#This Row],[source2]],Table2214[[Label]:[Weighted Degree]],3,FALSE)),VLOOKUP(Table34[[#This Row],[source2]],Table2210[[Label]:[Weighted Degree]],3,FALSE)),VLOOKUP(Table34[[#This Row],[source2]],Table22[[Label]:[Weighted Degree]],3,FALSE))</f>
        <v>18390</v>
      </c>
      <c r="S26" s="104">
        <f>IF(ISERROR(VLOOKUP(Table34[[#This Row],[target2]],Table22[[Label]:[Weighted Degree]],3,FALSE)),IF(ISERROR(VLOOKUP(Table34[[#This Row],[target2]],Table2210[[Label]:[Weighted Degree]],3,FALSE)),IF(ISERROR(VLOOKUP(Table34[[#This Row],[target2]],Table2214[[Label]:[Weighted Degree]],3,FALSE)),FALSE,VLOOKUP(Table34[[#This Row],[target2]],Table2214[[Label]:[Weighted Degree]],3,FALSE)),VLOOKUP(Table34[[#This Row],[target2]],Table2210[[Label]:[Weighted Degree]],3,FALSE)),VLOOKUP(Table34[[#This Row],[target2]],Table22[[Label]:[Weighted Degree]],3,FALSE))</f>
        <v>23054</v>
      </c>
      <c r="U26" s="65" t="s">
        <v>130</v>
      </c>
      <c r="V26" s="65" t="s">
        <v>155</v>
      </c>
      <c r="W26" s="66" t="s">
        <v>2101</v>
      </c>
      <c r="X26" s="65">
        <v>362</v>
      </c>
      <c r="Y26" s="63" t="str">
        <f>IF(ISERROR(VLOOKUP(Table36[[#This Row],[source2]],Table22[Label],1,FALSE)),IF(ISERROR(VLOOKUP(Table36[[#This Row],[source2]],Table2210[Label],1,FALSE)),"SPOKE","FOCUS"),"HUB")</f>
        <v>HUB</v>
      </c>
      <c r="Z26" s="63" t="str">
        <f>IF(ISERROR(VLOOKUP(Table36[[#This Row],[target2]],Table22[Label],1,FALSE)),IF(ISERROR(VLOOKUP(Table36[[#This Row],[target2]],Table2210[Label],1,FALSE)),"SPOKE","FOCUS"),"HUB")</f>
        <v>SPOKE</v>
      </c>
      <c r="AA26" s="63" t="str">
        <f>IF(Table36[[#This Row],[source-type]]&lt;Table36[[#This Row],[target-type]],Table36[[#This Row],[target-type]]&amp;"-"&amp;Table36[[#This Row],[source-type]],Table36[[#This Row],[source-type]]&amp;"-"&amp;Table36[[#This Row],[target-type]])</f>
        <v>SPOKE-HUB</v>
      </c>
      <c r="AB26" s="104">
        <f>IF(ISERROR(VLOOKUP(Table36[[#This Row],[source2]],Table22[[Label]:[Weighted Degree]],3,FALSE)),IF(ISERROR(VLOOKUP(Table36[[#This Row],[source2]],Table2210[[Label]:[Weighted Degree]],3,FALSE)),IF(ISERROR(VLOOKUP(Table36[[#This Row],[source2]],Table2214[[Label]:[Weighted Degree]],3,FALSE)),FALSE,VLOOKUP(Table36[[#This Row],[source2]],Table2214[[Label]:[Weighted Degree]],3,FALSE)),VLOOKUP(Table36[[#This Row],[source2]],Table2210[[Label]:[Weighted Degree]],3,FALSE)),VLOOKUP(Table36[[#This Row],[source2]],Table22[[Label]:[Weighted Degree]],3,FALSE))</f>
        <v>28057</v>
      </c>
      <c r="AC26" s="104">
        <f>IF(ISERROR(VLOOKUP(Table36[[#This Row],[target2]],Table22[[Label]:[Weighted Degree]],3,FALSE)),IF(ISERROR(VLOOKUP(Table36[[#This Row],[target2]],Table2210[[Label]:[Weighted Degree]],3,FALSE)),IF(ISERROR(VLOOKUP(Table36[[#This Row],[target2]],Table2214[[Label]:[Weighted Degree]],3,FALSE)),FALSE,VLOOKUP(Table36[[#This Row],[target2]],Table2214[[Label]:[Weighted Degree]],3,FALSE)),VLOOKUP(Table36[[#This Row],[target2]],Table2210[[Label]:[Weighted Degree]],3,FALSE)),VLOOKUP(Table36[[#This Row],[target2]],Table22[[Label]:[Weighted Degree]],3,FALSE))</f>
        <v>6688</v>
      </c>
      <c r="AE26" s="14" t="s">
        <v>135</v>
      </c>
      <c r="AF26" s="14" t="s">
        <v>145</v>
      </c>
      <c r="AG26" s="14">
        <v>4778</v>
      </c>
      <c r="AH26" s="63" t="str">
        <f>IF(ISERROR(VLOOKUP(Table17[[#This Row],[source2]],Table22[Label],1,FALSE)),IF(ISERROR(VLOOKUP(Table17[[#This Row],[source2]],Table2210[Label],1,FALSE)),"SPOKE","FOCUS"),"HUB")</f>
        <v>HUB</v>
      </c>
      <c r="AI26" s="63" t="str">
        <f>IF(ISERROR(VLOOKUP(Table17[[#This Row],[target2]],Table22[Label],1,FALSE)),IF(ISERROR(VLOOKUP(Table17[[#This Row],[target2]],Table2210[Label],1,FALSE)),"SPOKE","FOCUS"),"HUB")</f>
        <v>HUB</v>
      </c>
      <c r="AJ26" s="63" t="str">
        <f>IF(Table17[[#This Row],[source-type]]&lt;Table17[[#This Row],[target-type]],Table17[[#This Row],[target-type]]&amp;"-"&amp;Table17[[#This Row],[source-type]],Table17[[#This Row],[source-type]]&amp;"-"&amp;Table17[[#This Row],[target-type]])</f>
        <v>HUB-HUB</v>
      </c>
      <c r="AK26" s="104">
        <f>IF(ISERROR(VLOOKUP(Table17[[#This Row],[source2]],Table22[[Label]:[Weighted Degree]],3,FALSE)),IF(ISERROR(VLOOKUP(Table17[[#This Row],[source2]],Table2210[[Label]:[Weighted Degree]],3,FALSE)),IF(ISERROR(VLOOKUP(Table17[[#This Row],[source2]],Table2214[[Label]:[Weighted Degree]],3,FALSE)),FALSE,VLOOKUP(Table17[[#This Row],[source2]],Table2214[[Label]:[Weighted Degree]],3,FALSE)),VLOOKUP(Table17[[#This Row],[source2]],Table2210[[Label]:[Weighted Degree]],3,FALSE)),VLOOKUP(Table17[[#This Row],[source2]],Table22[[Label]:[Weighted Degree]],3,FALSE))</f>
        <v>23724</v>
      </c>
      <c r="AL26" s="104">
        <f>IF(ISERROR(VLOOKUP(Table17[[#This Row],[target2]],Table22[[Label]:[Weighted Degree]],3,FALSE)),IF(ISERROR(VLOOKUP(Table17[[#This Row],[target2]],Table2210[[Label]:[Weighted Degree]],3,FALSE)),IF(ISERROR(VLOOKUP(Table17[[#This Row],[target2]],Table2214[[Label]:[Weighted Degree]],3,FALSE)),FALSE,VLOOKUP(Table17[[#This Row],[target2]],Table2214[[Label]:[Weighted Degree]],3,FALSE)),VLOOKUP(Table17[[#This Row],[target2]],Table2210[[Label]:[Weighted Degree]],3,FALSE)),VLOOKUP(Table17[[#This Row],[target2]],Table22[[Label]:[Weighted Degree]],3,FALSE))</f>
        <v>23054</v>
      </c>
    </row>
    <row r="27" spans="1:38" x14ac:dyDescent="0.2">
      <c r="A27" s="68" t="s">
        <v>152</v>
      </c>
      <c r="B27" s="68" t="s">
        <v>138</v>
      </c>
      <c r="C27" s="67" t="s">
        <v>772</v>
      </c>
      <c r="D27" s="62">
        <v>2252</v>
      </c>
      <c r="E27" s="63" t="str">
        <f>IF(ISERROR(VLOOKUP(Table33[[#This Row],[source2]],Table22[Label],1,FALSE)),IF(ISERROR(VLOOKUP(Table33[[#This Row],[source2]],Table2210[Label],1,FALSE)),"SPOKE","FOCUS"),"HUB")</f>
        <v>SPOKE</v>
      </c>
      <c r="F27" s="63" t="str">
        <f>IF(ISERROR(VLOOKUP(Table33[[#This Row],[target2]],Table22[Label],1,FALSE)),IF(ISERROR(VLOOKUP(Table33[[#This Row],[target2]],Table2210[Label],1,FALSE)),"SPOKE","FOCUS"),"HUB")</f>
        <v>HUB</v>
      </c>
      <c r="G27" s="63" t="str">
        <f>IF(Table33[[#This Row],[source-type]]&lt;Table33[[#This Row],[target-type]],Table33[[#This Row],[target-type]]&amp;"-"&amp;Table33[[#This Row],[source-type]],Table33[[#This Row],[source-type]]&amp;"-"&amp;Table33[[#This Row],[target-type]])</f>
        <v>SPOKE-HUB</v>
      </c>
      <c r="H27" s="63">
        <f>IF(ISERROR(VLOOKUP(Table33[[#This Row],[source2]],Table22[[Label]:[Weighted Degree]],3,FALSE)),IF(ISERROR(VLOOKUP(Table33[[#This Row],[source2]],Table2210[[Label]:[Weighted Degree]],3,FALSE)),IF(ISERROR(VLOOKUP(Table33[[#This Row],[source2]],Table2214[[Label]:[Weighted Degree]],3,FALSE)),FALSE,VLOOKUP(Table33[[#This Row],[source2]],Table2214[[Label]:[Weighted Degree]],3,FALSE)),VLOOKUP(Table33[[#This Row],[source2]],Table2210[[Label]:[Weighted Degree]],3,FALSE)),VLOOKUP(Table33[[#This Row],[source2]],Table22[[Label]:[Weighted Degree]],3,FALSE))</f>
        <v>9094</v>
      </c>
      <c r="I27" s="63">
        <f>IF(ISERROR(VLOOKUP(Table33[[#This Row],[target2]],Table22[[Label]:[Weighted Degree]],3,FALSE)),IF(ISERROR(VLOOKUP(Table33[[#This Row],[target2]],Table2210[[Label]:[Weighted Degree]],3,FALSE)),IF(ISERROR(VLOOKUP(Table33[[#This Row],[target2]],Table2214[[Label]:[Weighted Degree]],3,FALSE)),FALSE,VLOOKUP(Table33[[#This Row],[target2]],Table2214[[Label]:[Weighted Degree]],3,FALSE)),VLOOKUP(Table33[[#This Row],[target2]],Table2210[[Label]:[Weighted Degree]],3,FALSE)),VLOOKUP(Table33[[#This Row],[target2]],Table22[[Label]:[Weighted Degree]],3,FALSE))</f>
        <v>20047</v>
      </c>
      <c r="K27" s="14" t="s">
        <v>125</v>
      </c>
      <c r="L27" s="14" t="s">
        <v>151</v>
      </c>
      <c r="M27" s="64" t="s">
        <v>738</v>
      </c>
      <c r="N27" s="14">
        <v>2470</v>
      </c>
      <c r="O27" s="63" t="str">
        <f>IF(ISERROR(VLOOKUP(Table34[[#This Row],[source2]],Table22[Label],1,FALSE)),IF(ISERROR(VLOOKUP(Table34[[#This Row],[source2]],Table2210[Label],1,FALSE)),"SPOKE","FOCUS"),"HUB")</f>
        <v>HUB</v>
      </c>
      <c r="P27" s="63" t="str">
        <f>IF(ISERROR(VLOOKUP(Table34[[#This Row],[target2]],Table22[Label],1,FALSE)),IF(ISERROR(VLOOKUP(Table34[[#This Row],[target2]],Table2210[Label],1,FALSE)),"SPOKE","FOCUS"),"HUB")</f>
        <v>SPOKE</v>
      </c>
      <c r="Q27" s="63" t="str">
        <f>IF(Table34[[#This Row],[source-type]]&lt;Table34[[#This Row],[target-type]],Table34[[#This Row],[target-type]]&amp;"-"&amp;Table34[[#This Row],[source-type]],Table34[[#This Row],[source-type]]&amp;"-"&amp;Table34[[#This Row],[target-type]])</f>
        <v>SPOKE-HUB</v>
      </c>
      <c r="R27" s="104">
        <f>IF(ISERROR(VLOOKUP(Table34[[#This Row],[source2]],Table22[[Label]:[Weighted Degree]],3,FALSE)),IF(ISERROR(VLOOKUP(Table34[[#This Row],[source2]],Table2210[[Label]:[Weighted Degree]],3,FALSE)),IF(ISERROR(VLOOKUP(Table34[[#This Row],[source2]],Table2214[[Label]:[Weighted Degree]],3,FALSE)),FALSE,VLOOKUP(Table34[[#This Row],[source2]],Table2214[[Label]:[Weighted Degree]],3,FALSE)),VLOOKUP(Table34[[#This Row],[source2]],Table2210[[Label]:[Weighted Degree]],3,FALSE)),VLOOKUP(Table34[[#This Row],[source2]],Table22[[Label]:[Weighted Degree]],3,FALSE))</f>
        <v>29032</v>
      </c>
      <c r="S27" s="104">
        <f>IF(ISERROR(VLOOKUP(Table34[[#This Row],[target2]],Table22[[Label]:[Weighted Degree]],3,FALSE)),IF(ISERROR(VLOOKUP(Table34[[#This Row],[target2]],Table2210[[Label]:[Weighted Degree]],3,FALSE)),IF(ISERROR(VLOOKUP(Table34[[#This Row],[target2]],Table2214[[Label]:[Weighted Degree]],3,FALSE)),FALSE,VLOOKUP(Table34[[#This Row],[target2]],Table2214[[Label]:[Weighted Degree]],3,FALSE)),VLOOKUP(Table34[[#This Row],[target2]],Table2210[[Label]:[Weighted Degree]],3,FALSE)),VLOOKUP(Table34[[#This Row],[target2]],Table22[[Label]:[Weighted Degree]],3,FALSE))</f>
        <v>9869</v>
      </c>
      <c r="U27" s="65" t="s">
        <v>144</v>
      </c>
      <c r="V27" s="65" t="s">
        <v>142</v>
      </c>
      <c r="W27" s="66" t="s">
        <v>2303</v>
      </c>
      <c r="X27" s="65">
        <v>403</v>
      </c>
      <c r="Y27" s="63" t="str">
        <f>IF(ISERROR(VLOOKUP(Table36[[#This Row],[source2]],Table22[Label],1,FALSE)),IF(ISERROR(VLOOKUP(Table36[[#This Row],[source2]],Table2210[Label],1,FALSE)),"SPOKE","FOCUS"),"HUB")</f>
        <v>FOCUS</v>
      </c>
      <c r="Z27" s="63" t="str">
        <f>IF(ISERROR(VLOOKUP(Table36[[#This Row],[target2]],Table22[Label],1,FALSE)),IF(ISERROR(VLOOKUP(Table36[[#This Row],[target2]],Table2210[Label],1,FALSE)),"SPOKE","FOCUS"),"HUB")</f>
        <v>HUB</v>
      </c>
      <c r="AA27" s="63" t="str">
        <f>IF(Table36[[#This Row],[source-type]]&lt;Table36[[#This Row],[target-type]],Table36[[#This Row],[target-type]]&amp;"-"&amp;Table36[[#This Row],[source-type]],Table36[[#This Row],[source-type]]&amp;"-"&amp;Table36[[#This Row],[target-type]])</f>
        <v>HUB-FOCUS</v>
      </c>
      <c r="AB27" s="104">
        <f>IF(ISERROR(VLOOKUP(Table36[[#This Row],[source2]],Table22[[Label]:[Weighted Degree]],3,FALSE)),IF(ISERROR(VLOOKUP(Table36[[#This Row],[source2]],Table2210[[Label]:[Weighted Degree]],3,FALSE)),IF(ISERROR(VLOOKUP(Table36[[#This Row],[source2]],Table2214[[Label]:[Weighted Degree]],3,FALSE)),FALSE,VLOOKUP(Table36[[#This Row],[source2]],Table2214[[Label]:[Weighted Degree]],3,FALSE)),VLOOKUP(Table36[[#This Row],[source2]],Table2210[[Label]:[Weighted Degree]],3,FALSE)),VLOOKUP(Table36[[#This Row],[source2]],Table22[[Label]:[Weighted Degree]],3,FALSE))</f>
        <v>22088</v>
      </c>
      <c r="AC27" s="104">
        <f>IF(ISERROR(VLOOKUP(Table36[[#This Row],[target2]],Table22[[Label]:[Weighted Degree]],3,FALSE)),IF(ISERROR(VLOOKUP(Table36[[#This Row],[target2]],Table2210[[Label]:[Weighted Degree]],3,FALSE)),IF(ISERROR(VLOOKUP(Table36[[#This Row],[target2]],Table2214[[Label]:[Weighted Degree]],3,FALSE)),FALSE,VLOOKUP(Table36[[#This Row],[target2]],Table2214[[Label]:[Weighted Degree]],3,FALSE)),VLOOKUP(Table36[[#This Row],[target2]],Table2210[[Label]:[Weighted Degree]],3,FALSE)),VLOOKUP(Table36[[#This Row],[target2]],Table22[[Label]:[Weighted Degree]],3,FALSE))</f>
        <v>18349</v>
      </c>
      <c r="AE27" s="14" t="s">
        <v>126</v>
      </c>
      <c r="AF27" s="14" t="s">
        <v>149</v>
      </c>
      <c r="AG27" s="14">
        <v>2532</v>
      </c>
      <c r="AH27" s="63" t="str">
        <f>IF(ISERROR(VLOOKUP(Table17[[#This Row],[source2]],Table22[Label],1,FALSE)),IF(ISERROR(VLOOKUP(Table17[[#This Row],[source2]],Table2210[Label],1,FALSE)),"SPOKE","FOCUS"),"HUB")</f>
        <v>HUB</v>
      </c>
      <c r="AI27" s="63" t="str">
        <f>IF(ISERROR(VLOOKUP(Table17[[#This Row],[target2]],Table22[Label],1,FALSE)),IF(ISERROR(VLOOKUP(Table17[[#This Row],[target2]],Table2210[Label],1,FALSE)),"SPOKE","FOCUS"),"HUB")</f>
        <v>SPOKE</v>
      </c>
      <c r="AJ27" s="63" t="str">
        <f>IF(Table17[[#This Row],[source-type]]&lt;Table17[[#This Row],[target-type]],Table17[[#This Row],[target-type]]&amp;"-"&amp;Table17[[#This Row],[source-type]],Table17[[#This Row],[source-type]]&amp;"-"&amp;Table17[[#This Row],[target-type]])</f>
        <v>SPOKE-HUB</v>
      </c>
      <c r="AK27" s="104">
        <f>IF(ISERROR(VLOOKUP(Table17[[#This Row],[source2]],Table22[[Label]:[Weighted Degree]],3,FALSE)),IF(ISERROR(VLOOKUP(Table17[[#This Row],[source2]],Table2210[[Label]:[Weighted Degree]],3,FALSE)),IF(ISERROR(VLOOKUP(Table17[[#This Row],[source2]],Table2214[[Label]:[Weighted Degree]],3,FALSE)),FALSE,VLOOKUP(Table17[[#This Row],[source2]],Table2214[[Label]:[Weighted Degree]],3,FALSE)),VLOOKUP(Table17[[#This Row],[source2]],Table2210[[Label]:[Weighted Degree]],3,FALSE)),VLOOKUP(Table17[[#This Row],[source2]],Table22[[Label]:[Weighted Degree]],3,FALSE))</f>
        <v>36050</v>
      </c>
      <c r="AL27" s="104">
        <f>IF(ISERROR(VLOOKUP(Table17[[#This Row],[target2]],Table22[[Label]:[Weighted Degree]],3,FALSE)),IF(ISERROR(VLOOKUP(Table17[[#This Row],[target2]],Table2210[[Label]:[Weighted Degree]],3,FALSE)),IF(ISERROR(VLOOKUP(Table17[[#This Row],[target2]],Table2214[[Label]:[Weighted Degree]],3,FALSE)),FALSE,VLOOKUP(Table17[[#This Row],[target2]],Table2214[[Label]:[Weighted Degree]],3,FALSE)),VLOOKUP(Table17[[#This Row],[target2]],Table2210[[Label]:[Weighted Degree]],3,FALSE)),VLOOKUP(Table17[[#This Row],[target2]],Table22[[Label]:[Weighted Degree]],3,FALSE))</f>
        <v>9447</v>
      </c>
    </row>
    <row r="28" spans="1:38" x14ac:dyDescent="0.2">
      <c r="A28" s="68" t="s">
        <v>131</v>
      </c>
      <c r="B28" s="68" t="s">
        <v>142</v>
      </c>
      <c r="C28" s="67" t="s">
        <v>2165</v>
      </c>
      <c r="D28" s="62">
        <v>4457</v>
      </c>
      <c r="E28" s="63" t="str">
        <f>IF(ISERROR(VLOOKUP(Table33[[#This Row],[source2]],Table22[Label],1,FALSE)),IF(ISERROR(VLOOKUP(Table33[[#This Row],[source2]],Table2210[Label],1,FALSE)),"SPOKE","FOCUS"),"HUB")</f>
        <v>HUB</v>
      </c>
      <c r="F28" s="63" t="str">
        <f>IF(ISERROR(VLOOKUP(Table33[[#This Row],[target2]],Table22[Label],1,FALSE)),IF(ISERROR(VLOOKUP(Table33[[#This Row],[target2]],Table2210[Label],1,FALSE)),"SPOKE","FOCUS"),"HUB")</f>
        <v>HUB</v>
      </c>
      <c r="G28" s="63" t="str">
        <f>IF(Table33[[#This Row],[source-type]]&lt;Table33[[#This Row],[target-type]],Table33[[#This Row],[target-type]]&amp;"-"&amp;Table33[[#This Row],[source-type]],Table33[[#This Row],[source-type]]&amp;"-"&amp;Table33[[#This Row],[target-type]])</f>
        <v>HUB-HUB</v>
      </c>
      <c r="H28" s="63">
        <f>IF(ISERROR(VLOOKUP(Table33[[#This Row],[source2]],Table22[[Label]:[Weighted Degree]],3,FALSE)),IF(ISERROR(VLOOKUP(Table33[[#This Row],[source2]],Table2210[[Label]:[Weighted Degree]],3,FALSE)),IF(ISERROR(VLOOKUP(Table33[[#This Row],[source2]],Table2214[[Label]:[Weighted Degree]],3,FALSE)),FALSE,VLOOKUP(Table33[[#This Row],[source2]],Table2214[[Label]:[Weighted Degree]],3,FALSE)),VLOOKUP(Table33[[#This Row],[source2]],Table2210[[Label]:[Weighted Degree]],3,FALSE)),VLOOKUP(Table33[[#This Row],[source2]],Table22[[Label]:[Weighted Degree]],3,FALSE))</f>
        <v>44350</v>
      </c>
      <c r="I28" s="63">
        <f>IF(ISERROR(VLOOKUP(Table33[[#This Row],[target2]],Table22[[Label]:[Weighted Degree]],3,FALSE)),IF(ISERROR(VLOOKUP(Table33[[#This Row],[target2]],Table2210[[Label]:[Weighted Degree]],3,FALSE)),IF(ISERROR(VLOOKUP(Table33[[#This Row],[target2]],Table2214[[Label]:[Weighted Degree]],3,FALSE)),FALSE,VLOOKUP(Table33[[#This Row],[target2]],Table2214[[Label]:[Weighted Degree]],3,FALSE)),VLOOKUP(Table33[[#This Row],[target2]],Table2210[[Label]:[Weighted Degree]],3,FALSE)),VLOOKUP(Table33[[#This Row],[target2]],Table22[[Label]:[Weighted Degree]],3,FALSE))</f>
        <v>18349</v>
      </c>
      <c r="K28" s="14" t="s">
        <v>126</v>
      </c>
      <c r="L28" s="14" t="s">
        <v>149</v>
      </c>
      <c r="M28" s="64" t="s">
        <v>738</v>
      </c>
      <c r="N28" s="14">
        <v>2532</v>
      </c>
      <c r="O28" s="63" t="str">
        <f>IF(ISERROR(VLOOKUP(Table34[[#This Row],[source2]],Table22[Label],1,FALSE)),IF(ISERROR(VLOOKUP(Table34[[#This Row],[source2]],Table2210[Label],1,FALSE)),"SPOKE","FOCUS"),"HUB")</f>
        <v>HUB</v>
      </c>
      <c r="P28" s="63" t="str">
        <f>IF(ISERROR(VLOOKUP(Table34[[#This Row],[target2]],Table22[Label],1,FALSE)),IF(ISERROR(VLOOKUP(Table34[[#This Row],[target2]],Table2210[Label],1,FALSE)),"SPOKE","FOCUS"),"HUB")</f>
        <v>SPOKE</v>
      </c>
      <c r="Q28" s="63" t="str">
        <f>IF(Table34[[#This Row],[source-type]]&lt;Table34[[#This Row],[target-type]],Table34[[#This Row],[target-type]]&amp;"-"&amp;Table34[[#This Row],[source-type]],Table34[[#This Row],[source-type]]&amp;"-"&amp;Table34[[#This Row],[target-type]])</f>
        <v>SPOKE-HUB</v>
      </c>
      <c r="R28" s="104">
        <f>IF(ISERROR(VLOOKUP(Table34[[#This Row],[source2]],Table22[[Label]:[Weighted Degree]],3,FALSE)),IF(ISERROR(VLOOKUP(Table34[[#This Row],[source2]],Table2210[[Label]:[Weighted Degree]],3,FALSE)),IF(ISERROR(VLOOKUP(Table34[[#This Row],[source2]],Table2214[[Label]:[Weighted Degree]],3,FALSE)),FALSE,VLOOKUP(Table34[[#This Row],[source2]],Table2214[[Label]:[Weighted Degree]],3,FALSE)),VLOOKUP(Table34[[#This Row],[source2]],Table2210[[Label]:[Weighted Degree]],3,FALSE)),VLOOKUP(Table34[[#This Row],[source2]],Table22[[Label]:[Weighted Degree]],3,FALSE))</f>
        <v>36050</v>
      </c>
      <c r="S28" s="104">
        <f>IF(ISERROR(VLOOKUP(Table34[[#This Row],[target2]],Table22[[Label]:[Weighted Degree]],3,FALSE)),IF(ISERROR(VLOOKUP(Table34[[#This Row],[target2]],Table2210[[Label]:[Weighted Degree]],3,FALSE)),IF(ISERROR(VLOOKUP(Table34[[#This Row],[target2]],Table2214[[Label]:[Weighted Degree]],3,FALSE)),FALSE,VLOOKUP(Table34[[#This Row],[target2]],Table2214[[Label]:[Weighted Degree]],3,FALSE)),VLOOKUP(Table34[[#This Row],[target2]],Table2210[[Label]:[Weighted Degree]],3,FALSE)),VLOOKUP(Table34[[#This Row],[target2]],Table22[[Label]:[Weighted Degree]],3,FALSE))</f>
        <v>9447</v>
      </c>
      <c r="U28" s="65" t="s">
        <v>140</v>
      </c>
      <c r="V28" s="65" t="s">
        <v>142</v>
      </c>
      <c r="W28" s="66" t="s">
        <v>1951</v>
      </c>
      <c r="X28" s="65">
        <v>210</v>
      </c>
      <c r="Y28" s="63" t="str">
        <f>IF(ISERROR(VLOOKUP(Table36[[#This Row],[source2]],Table22[Label],1,FALSE)),IF(ISERROR(VLOOKUP(Table36[[#This Row],[source2]],Table2210[Label],1,FALSE)),"SPOKE","FOCUS"),"HUB")</f>
        <v>HUB</v>
      </c>
      <c r="Z28" s="63" t="str">
        <f>IF(ISERROR(VLOOKUP(Table36[[#This Row],[target2]],Table22[Label],1,FALSE)),IF(ISERROR(VLOOKUP(Table36[[#This Row],[target2]],Table2210[Label],1,FALSE)),"SPOKE","FOCUS"),"HUB")</f>
        <v>HUB</v>
      </c>
      <c r="AA28" s="63" t="str">
        <f>IF(Table36[[#This Row],[source-type]]&lt;Table36[[#This Row],[target-type]],Table36[[#This Row],[target-type]]&amp;"-"&amp;Table36[[#This Row],[source-type]],Table36[[#This Row],[source-type]]&amp;"-"&amp;Table36[[#This Row],[target-type]])</f>
        <v>HUB-HUB</v>
      </c>
      <c r="AB28" s="104">
        <f>IF(ISERROR(VLOOKUP(Table36[[#This Row],[source2]],Table22[[Label]:[Weighted Degree]],3,FALSE)),IF(ISERROR(VLOOKUP(Table36[[#This Row],[source2]],Table2210[[Label]:[Weighted Degree]],3,FALSE)),IF(ISERROR(VLOOKUP(Table36[[#This Row],[source2]],Table2214[[Label]:[Weighted Degree]],3,FALSE)),FALSE,VLOOKUP(Table36[[#This Row],[source2]],Table2214[[Label]:[Weighted Degree]],3,FALSE)),VLOOKUP(Table36[[#This Row],[source2]],Table2210[[Label]:[Weighted Degree]],3,FALSE)),VLOOKUP(Table36[[#This Row],[source2]],Table22[[Label]:[Weighted Degree]],3,FALSE))</f>
        <v>21171</v>
      </c>
      <c r="AC28" s="104">
        <f>IF(ISERROR(VLOOKUP(Table36[[#This Row],[target2]],Table22[[Label]:[Weighted Degree]],3,FALSE)),IF(ISERROR(VLOOKUP(Table36[[#This Row],[target2]],Table2210[[Label]:[Weighted Degree]],3,FALSE)),IF(ISERROR(VLOOKUP(Table36[[#This Row],[target2]],Table2214[[Label]:[Weighted Degree]],3,FALSE)),FALSE,VLOOKUP(Table36[[#This Row],[target2]],Table2214[[Label]:[Weighted Degree]],3,FALSE)),VLOOKUP(Table36[[#This Row],[target2]],Table2210[[Label]:[Weighted Degree]],3,FALSE)),VLOOKUP(Table36[[#This Row],[target2]],Table22[[Label]:[Weighted Degree]],3,FALSE))</f>
        <v>18349</v>
      </c>
      <c r="AE28" s="14" t="s">
        <v>129</v>
      </c>
      <c r="AF28" s="14" t="s">
        <v>145</v>
      </c>
      <c r="AG28" s="14">
        <v>2659</v>
      </c>
      <c r="AH28" s="63" t="str">
        <f>IF(ISERROR(VLOOKUP(Table17[[#This Row],[source2]],Table22[Label],1,FALSE)),IF(ISERROR(VLOOKUP(Table17[[#This Row],[source2]],Table2210[Label],1,FALSE)),"SPOKE","FOCUS"),"HUB")</f>
        <v>HUB</v>
      </c>
      <c r="AI28" s="63" t="str">
        <f>IF(ISERROR(VLOOKUP(Table17[[#This Row],[target2]],Table22[Label],1,FALSE)),IF(ISERROR(VLOOKUP(Table17[[#This Row],[target2]],Table2210[Label],1,FALSE)),"SPOKE","FOCUS"),"HUB")</f>
        <v>HUB</v>
      </c>
      <c r="AJ28" s="63" t="str">
        <f>IF(Table17[[#This Row],[source-type]]&lt;Table17[[#This Row],[target-type]],Table17[[#This Row],[target-type]]&amp;"-"&amp;Table17[[#This Row],[source-type]],Table17[[#This Row],[source-type]]&amp;"-"&amp;Table17[[#This Row],[target-type]])</f>
        <v>HUB-HUB</v>
      </c>
      <c r="AK28" s="104">
        <f>IF(ISERROR(VLOOKUP(Table17[[#This Row],[source2]],Table22[[Label]:[Weighted Degree]],3,FALSE)),IF(ISERROR(VLOOKUP(Table17[[#This Row],[source2]],Table2210[[Label]:[Weighted Degree]],3,FALSE)),IF(ISERROR(VLOOKUP(Table17[[#This Row],[source2]],Table2214[[Label]:[Weighted Degree]],3,FALSE)),FALSE,VLOOKUP(Table17[[#This Row],[source2]],Table2214[[Label]:[Weighted Degree]],3,FALSE)),VLOOKUP(Table17[[#This Row],[source2]],Table2210[[Label]:[Weighted Degree]],3,FALSE)),VLOOKUP(Table17[[#This Row],[source2]],Table22[[Label]:[Weighted Degree]],3,FALSE))</f>
        <v>18390</v>
      </c>
      <c r="AL28" s="104">
        <f>IF(ISERROR(VLOOKUP(Table17[[#This Row],[target2]],Table22[[Label]:[Weighted Degree]],3,FALSE)),IF(ISERROR(VLOOKUP(Table17[[#This Row],[target2]],Table2210[[Label]:[Weighted Degree]],3,FALSE)),IF(ISERROR(VLOOKUP(Table17[[#This Row],[target2]],Table2214[[Label]:[Weighted Degree]],3,FALSE)),FALSE,VLOOKUP(Table17[[#This Row],[target2]],Table2214[[Label]:[Weighted Degree]],3,FALSE)),VLOOKUP(Table17[[#This Row],[target2]],Table2210[[Label]:[Weighted Degree]],3,FALSE)),VLOOKUP(Table17[[#This Row],[target2]],Table22[[Label]:[Weighted Degree]],3,FALSE))</f>
        <v>23054</v>
      </c>
    </row>
    <row r="29" spans="1:38" x14ac:dyDescent="0.2">
      <c r="A29" s="71" t="s">
        <v>127</v>
      </c>
      <c r="B29" s="71" t="s">
        <v>154</v>
      </c>
      <c r="C29" s="66" t="s">
        <v>1974</v>
      </c>
      <c r="D29" s="65">
        <v>1390</v>
      </c>
      <c r="E29" s="63" t="str">
        <f>IF(ISERROR(VLOOKUP(Table33[[#This Row],[source2]],Table22[Label],1,FALSE)),IF(ISERROR(VLOOKUP(Table33[[#This Row],[source2]],Table2210[Label],1,FALSE)),"SPOKE","FOCUS"),"HUB")</f>
        <v>HUB</v>
      </c>
      <c r="F29" s="63" t="str">
        <f>IF(ISERROR(VLOOKUP(Table33[[#This Row],[target2]],Table22[Label],1,FALSE)),IF(ISERROR(VLOOKUP(Table33[[#This Row],[target2]],Table2210[Label],1,FALSE)),"SPOKE","FOCUS"),"HUB")</f>
        <v>SPOKE</v>
      </c>
      <c r="G29" s="63" t="str">
        <f>IF(Table33[[#This Row],[source-type]]&lt;Table33[[#This Row],[target-type]],Table33[[#This Row],[target-type]]&amp;"-"&amp;Table33[[#This Row],[source-type]],Table33[[#This Row],[source-type]]&amp;"-"&amp;Table33[[#This Row],[target-type]])</f>
        <v>SPOKE-HUB</v>
      </c>
      <c r="H29" s="63">
        <f>IF(ISERROR(VLOOKUP(Table33[[#This Row],[source2]],Table22[[Label]:[Weighted Degree]],3,FALSE)),IF(ISERROR(VLOOKUP(Table33[[#This Row],[source2]],Table2210[[Label]:[Weighted Degree]],3,FALSE)),IF(ISERROR(VLOOKUP(Table33[[#This Row],[source2]],Table2214[[Label]:[Weighted Degree]],3,FALSE)),FALSE,VLOOKUP(Table33[[#This Row],[source2]],Table2214[[Label]:[Weighted Degree]],3,FALSE)),VLOOKUP(Table33[[#This Row],[source2]],Table2210[[Label]:[Weighted Degree]],3,FALSE)),VLOOKUP(Table33[[#This Row],[source2]],Table22[[Label]:[Weighted Degree]],3,FALSE))</f>
        <v>24221</v>
      </c>
      <c r="I29" s="63">
        <f>IF(ISERROR(VLOOKUP(Table33[[#This Row],[target2]],Table22[[Label]:[Weighted Degree]],3,FALSE)),IF(ISERROR(VLOOKUP(Table33[[#This Row],[target2]],Table2210[[Label]:[Weighted Degree]],3,FALSE)),IF(ISERROR(VLOOKUP(Table33[[#This Row],[target2]],Table2214[[Label]:[Weighted Degree]],3,FALSE)),FALSE,VLOOKUP(Table33[[#This Row],[target2]],Table2214[[Label]:[Weighted Degree]],3,FALSE)),VLOOKUP(Table33[[#This Row],[target2]],Table2210[[Label]:[Weighted Degree]],3,FALSE)),VLOOKUP(Table33[[#This Row],[target2]],Table22[[Label]:[Weighted Degree]],3,FALSE))</f>
        <v>5341</v>
      </c>
      <c r="K29" s="14" t="s">
        <v>152</v>
      </c>
      <c r="L29" s="14" t="s">
        <v>138</v>
      </c>
      <c r="M29" s="64" t="s">
        <v>738</v>
      </c>
      <c r="N29" s="14">
        <v>2252</v>
      </c>
      <c r="O29" s="63" t="str">
        <f>IF(ISERROR(VLOOKUP(Table34[[#This Row],[source2]],Table22[Label],1,FALSE)),IF(ISERROR(VLOOKUP(Table34[[#This Row],[source2]],Table2210[Label],1,FALSE)),"SPOKE","FOCUS"),"HUB")</f>
        <v>SPOKE</v>
      </c>
      <c r="P29" s="63" t="str">
        <f>IF(ISERROR(VLOOKUP(Table34[[#This Row],[target2]],Table22[Label],1,FALSE)),IF(ISERROR(VLOOKUP(Table34[[#This Row],[target2]],Table2210[Label],1,FALSE)),"SPOKE","FOCUS"),"HUB")</f>
        <v>HUB</v>
      </c>
      <c r="Q29" s="63" t="str">
        <f>IF(Table34[[#This Row],[source-type]]&lt;Table34[[#This Row],[target-type]],Table34[[#This Row],[target-type]]&amp;"-"&amp;Table34[[#This Row],[source-type]],Table34[[#This Row],[source-type]]&amp;"-"&amp;Table34[[#This Row],[target-type]])</f>
        <v>SPOKE-HUB</v>
      </c>
      <c r="R29" s="104">
        <f>IF(ISERROR(VLOOKUP(Table34[[#This Row],[source2]],Table22[[Label]:[Weighted Degree]],3,FALSE)),IF(ISERROR(VLOOKUP(Table34[[#This Row],[source2]],Table2210[[Label]:[Weighted Degree]],3,FALSE)),IF(ISERROR(VLOOKUP(Table34[[#This Row],[source2]],Table2214[[Label]:[Weighted Degree]],3,FALSE)),FALSE,VLOOKUP(Table34[[#This Row],[source2]],Table2214[[Label]:[Weighted Degree]],3,FALSE)),VLOOKUP(Table34[[#This Row],[source2]],Table2210[[Label]:[Weighted Degree]],3,FALSE)),VLOOKUP(Table34[[#This Row],[source2]],Table22[[Label]:[Weighted Degree]],3,FALSE))</f>
        <v>9094</v>
      </c>
      <c r="S29" s="104">
        <f>IF(ISERROR(VLOOKUP(Table34[[#This Row],[target2]],Table22[[Label]:[Weighted Degree]],3,FALSE)),IF(ISERROR(VLOOKUP(Table34[[#This Row],[target2]],Table2210[[Label]:[Weighted Degree]],3,FALSE)),IF(ISERROR(VLOOKUP(Table34[[#This Row],[target2]],Table2214[[Label]:[Weighted Degree]],3,FALSE)),FALSE,VLOOKUP(Table34[[#This Row],[target2]],Table2214[[Label]:[Weighted Degree]],3,FALSE)),VLOOKUP(Table34[[#This Row],[target2]],Table2210[[Label]:[Weighted Degree]],3,FALSE)),VLOOKUP(Table34[[#This Row],[target2]],Table22[[Label]:[Weighted Degree]],3,FALSE))</f>
        <v>20047</v>
      </c>
      <c r="U29" s="65" t="s">
        <v>141</v>
      </c>
      <c r="V29" s="65" t="s">
        <v>134</v>
      </c>
      <c r="W29" s="66" t="s">
        <v>1343</v>
      </c>
      <c r="X29" s="65">
        <v>431</v>
      </c>
      <c r="Y29" s="63" t="str">
        <f>IF(ISERROR(VLOOKUP(Table36[[#This Row],[source2]],Table22[Label],1,FALSE)),IF(ISERROR(VLOOKUP(Table36[[#This Row],[source2]],Table2210[Label],1,FALSE)),"SPOKE","FOCUS"),"HUB")</f>
        <v>HUB</v>
      </c>
      <c r="Z29" s="63" t="str">
        <f>IF(ISERROR(VLOOKUP(Table36[[#This Row],[target2]],Table22[Label],1,FALSE)),IF(ISERROR(VLOOKUP(Table36[[#This Row],[target2]],Table2210[Label],1,FALSE)),"SPOKE","FOCUS"),"HUB")</f>
        <v>FOCUS</v>
      </c>
      <c r="AA29" s="63" t="str">
        <f>IF(Table36[[#This Row],[source-type]]&lt;Table36[[#This Row],[target-type]],Table36[[#This Row],[target-type]]&amp;"-"&amp;Table36[[#This Row],[source-type]],Table36[[#This Row],[source-type]]&amp;"-"&amp;Table36[[#This Row],[target-type]])</f>
        <v>HUB-FOCUS</v>
      </c>
      <c r="AB29" s="104">
        <f>IF(ISERROR(VLOOKUP(Table36[[#This Row],[source2]],Table22[[Label]:[Weighted Degree]],3,FALSE)),IF(ISERROR(VLOOKUP(Table36[[#This Row],[source2]],Table2210[[Label]:[Weighted Degree]],3,FALSE)),IF(ISERROR(VLOOKUP(Table36[[#This Row],[source2]],Table2214[[Label]:[Weighted Degree]],3,FALSE)),FALSE,VLOOKUP(Table36[[#This Row],[source2]],Table2214[[Label]:[Weighted Degree]],3,FALSE)),VLOOKUP(Table36[[#This Row],[source2]],Table2210[[Label]:[Weighted Degree]],3,FALSE)),VLOOKUP(Table36[[#This Row],[source2]],Table22[[Label]:[Weighted Degree]],3,FALSE))</f>
        <v>11690</v>
      </c>
      <c r="AC29" s="104">
        <f>IF(ISERROR(VLOOKUP(Table36[[#This Row],[target2]],Table22[[Label]:[Weighted Degree]],3,FALSE)),IF(ISERROR(VLOOKUP(Table36[[#This Row],[target2]],Table2210[[Label]:[Weighted Degree]],3,FALSE)),IF(ISERROR(VLOOKUP(Table36[[#This Row],[target2]],Table2214[[Label]:[Weighted Degree]],3,FALSE)),FALSE,VLOOKUP(Table36[[#This Row],[target2]],Table2214[[Label]:[Weighted Degree]],3,FALSE)),VLOOKUP(Table36[[#This Row],[target2]],Table2210[[Label]:[Weighted Degree]],3,FALSE)),VLOOKUP(Table36[[#This Row],[target2]],Table22[[Label]:[Weighted Degree]],3,FALSE))</f>
        <v>26074</v>
      </c>
      <c r="AE29" s="14" t="s">
        <v>152</v>
      </c>
      <c r="AF29" s="14" t="s">
        <v>138</v>
      </c>
      <c r="AG29" s="14">
        <v>2252</v>
      </c>
      <c r="AH29" s="63" t="str">
        <f>IF(ISERROR(VLOOKUP(Table17[[#This Row],[source2]],Table22[Label],1,FALSE)),IF(ISERROR(VLOOKUP(Table17[[#This Row],[source2]],Table2210[Label],1,FALSE)),"SPOKE","FOCUS"),"HUB")</f>
        <v>SPOKE</v>
      </c>
      <c r="AI29" s="63" t="str">
        <f>IF(ISERROR(VLOOKUP(Table17[[#This Row],[target2]],Table22[Label],1,FALSE)),IF(ISERROR(VLOOKUP(Table17[[#This Row],[target2]],Table2210[Label],1,FALSE)),"SPOKE","FOCUS"),"HUB")</f>
        <v>HUB</v>
      </c>
      <c r="AJ29" s="63" t="str">
        <f>IF(Table17[[#This Row],[source-type]]&lt;Table17[[#This Row],[target-type]],Table17[[#This Row],[target-type]]&amp;"-"&amp;Table17[[#This Row],[source-type]],Table17[[#This Row],[source-type]]&amp;"-"&amp;Table17[[#This Row],[target-type]])</f>
        <v>SPOKE-HUB</v>
      </c>
      <c r="AK29" s="104">
        <f>IF(ISERROR(VLOOKUP(Table17[[#This Row],[source2]],Table22[[Label]:[Weighted Degree]],3,FALSE)),IF(ISERROR(VLOOKUP(Table17[[#This Row],[source2]],Table2210[[Label]:[Weighted Degree]],3,FALSE)),IF(ISERROR(VLOOKUP(Table17[[#This Row],[source2]],Table2214[[Label]:[Weighted Degree]],3,FALSE)),FALSE,VLOOKUP(Table17[[#This Row],[source2]],Table2214[[Label]:[Weighted Degree]],3,FALSE)),VLOOKUP(Table17[[#This Row],[source2]],Table2210[[Label]:[Weighted Degree]],3,FALSE)),VLOOKUP(Table17[[#This Row],[source2]],Table22[[Label]:[Weighted Degree]],3,FALSE))</f>
        <v>9094</v>
      </c>
      <c r="AL29" s="104">
        <f>IF(ISERROR(VLOOKUP(Table17[[#This Row],[target2]],Table22[[Label]:[Weighted Degree]],3,FALSE)),IF(ISERROR(VLOOKUP(Table17[[#This Row],[target2]],Table2210[[Label]:[Weighted Degree]],3,FALSE)),IF(ISERROR(VLOOKUP(Table17[[#This Row],[target2]],Table2214[[Label]:[Weighted Degree]],3,FALSE)),FALSE,VLOOKUP(Table17[[#This Row],[target2]],Table2214[[Label]:[Weighted Degree]],3,FALSE)),VLOOKUP(Table17[[#This Row],[target2]],Table2210[[Label]:[Weighted Degree]],3,FALSE)),VLOOKUP(Table17[[#This Row],[target2]],Table22[[Label]:[Weighted Degree]],3,FALSE))</f>
        <v>20047</v>
      </c>
    </row>
    <row r="30" spans="1:38" x14ac:dyDescent="0.2">
      <c r="A30" s="68" t="s">
        <v>139</v>
      </c>
      <c r="B30" s="68" t="s">
        <v>142</v>
      </c>
      <c r="C30" s="67" t="s">
        <v>2081</v>
      </c>
      <c r="D30" s="62">
        <v>2758</v>
      </c>
      <c r="E30" s="63" t="str">
        <f>IF(ISERROR(VLOOKUP(Table33[[#This Row],[source2]],Table22[Label],1,FALSE)),IF(ISERROR(VLOOKUP(Table33[[#This Row],[source2]],Table2210[Label],1,FALSE)),"SPOKE","FOCUS"),"HUB")</f>
        <v>HUB</v>
      </c>
      <c r="F30" s="63" t="str">
        <f>IF(ISERROR(VLOOKUP(Table33[[#This Row],[target2]],Table22[Label],1,FALSE)),IF(ISERROR(VLOOKUP(Table33[[#This Row],[target2]],Table2210[Label],1,FALSE)),"SPOKE","FOCUS"),"HUB")</f>
        <v>HUB</v>
      </c>
      <c r="G30" s="63" t="str">
        <f>IF(Table33[[#This Row],[source-type]]&lt;Table33[[#This Row],[target-type]],Table33[[#This Row],[target-type]]&amp;"-"&amp;Table33[[#This Row],[source-type]],Table33[[#This Row],[source-type]]&amp;"-"&amp;Table33[[#This Row],[target-type]])</f>
        <v>HUB-HUB</v>
      </c>
      <c r="H30" s="63">
        <f>IF(ISERROR(VLOOKUP(Table33[[#This Row],[source2]],Table22[[Label]:[Weighted Degree]],3,FALSE)),IF(ISERROR(VLOOKUP(Table33[[#This Row],[source2]],Table2210[[Label]:[Weighted Degree]],3,FALSE)),IF(ISERROR(VLOOKUP(Table33[[#This Row],[source2]],Table2214[[Label]:[Weighted Degree]],3,FALSE)),FALSE,VLOOKUP(Table33[[#This Row],[source2]],Table2214[[Label]:[Weighted Degree]],3,FALSE)),VLOOKUP(Table33[[#This Row],[source2]],Table2210[[Label]:[Weighted Degree]],3,FALSE)),VLOOKUP(Table33[[#This Row],[source2]],Table22[[Label]:[Weighted Degree]],3,FALSE))</f>
        <v>31784</v>
      </c>
      <c r="I30" s="63">
        <f>IF(ISERROR(VLOOKUP(Table33[[#This Row],[target2]],Table22[[Label]:[Weighted Degree]],3,FALSE)),IF(ISERROR(VLOOKUP(Table33[[#This Row],[target2]],Table2210[[Label]:[Weighted Degree]],3,FALSE)),IF(ISERROR(VLOOKUP(Table33[[#This Row],[target2]],Table2214[[Label]:[Weighted Degree]],3,FALSE)),FALSE,VLOOKUP(Table33[[#This Row],[target2]],Table2214[[Label]:[Weighted Degree]],3,FALSE)),VLOOKUP(Table33[[#This Row],[target2]],Table2210[[Label]:[Weighted Degree]],3,FALSE)),VLOOKUP(Table33[[#This Row],[target2]],Table22[[Label]:[Weighted Degree]],3,FALSE))</f>
        <v>18349</v>
      </c>
      <c r="K30" s="14" t="s">
        <v>131</v>
      </c>
      <c r="L30" s="14" t="s">
        <v>142</v>
      </c>
      <c r="M30" s="64" t="s">
        <v>738</v>
      </c>
      <c r="N30" s="14">
        <v>4457</v>
      </c>
      <c r="O30" s="63" t="str">
        <f>IF(ISERROR(VLOOKUP(Table34[[#This Row],[source2]],Table22[Label],1,FALSE)),IF(ISERROR(VLOOKUP(Table34[[#This Row],[source2]],Table2210[Label],1,FALSE)),"SPOKE","FOCUS"),"HUB")</f>
        <v>HUB</v>
      </c>
      <c r="P30" s="63" t="str">
        <f>IF(ISERROR(VLOOKUP(Table34[[#This Row],[target2]],Table22[Label],1,FALSE)),IF(ISERROR(VLOOKUP(Table34[[#This Row],[target2]],Table2210[Label],1,FALSE)),"SPOKE","FOCUS"),"HUB")</f>
        <v>HUB</v>
      </c>
      <c r="Q30" s="63" t="str">
        <f>IF(Table34[[#This Row],[source-type]]&lt;Table34[[#This Row],[target-type]],Table34[[#This Row],[target-type]]&amp;"-"&amp;Table34[[#This Row],[source-type]],Table34[[#This Row],[source-type]]&amp;"-"&amp;Table34[[#This Row],[target-type]])</f>
        <v>HUB-HUB</v>
      </c>
      <c r="R30" s="104">
        <f>IF(ISERROR(VLOOKUP(Table34[[#This Row],[source2]],Table22[[Label]:[Weighted Degree]],3,FALSE)),IF(ISERROR(VLOOKUP(Table34[[#This Row],[source2]],Table2210[[Label]:[Weighted Degree]],3,FALSE)),IF(ISERROR(VLOOKUP(Table34[[#This Row],[source2]],Table2214[[Label]:[Weighted Degree]],3,FALSE)),FALSE,VLOOKUP(Table34[[#This Row],[source2]],Table2214[[Label]:[Weighted Degree]],3,FALSE)),VLOOKUP(Table34[[#This Row],[source2]],Table2210[[Label]:[Weighted Degree]],3,FALSE)),VLOOKUP(Table34[[#This Row],[source2]],Table22[[Label]:[Weighted Degree]],3,FALSE))</f>
        <v>44350</v>
      </c>
      <c r="S30" s="104">
        <f>IF(ISERROR(VLOOKUP(Table34[[#This Row],[target2]],Table22[[Label]:[Weighted Degree]],3,FALSE)),IF(ISERROR(VLOOKUP(Table34[[#This Row],[target2]],Table2210[[Label]:[Weighted Degree]],3,FALSE)),IF(ISERROR(VLOOKUP(Table34[[#This Row],[target2]],Table2214[[Label]:[Weighted Degree]],3,FALSE)),FALSE,VLOOKUP(Table34[[#This Row],[target2]],Table2214[[Label]:[Weighted Degree]],3,FALSE)),VLOOKUP(Table34[[#This Row],[target2]],Table2210[[Label]:[Weighted Degree]],3,FALSE)),VLOOKUP(Table34[[#This Row],[target2]],Table22[[Label]:[Weighted Degree]],3,FALSE))</f>
        <v>18349</v>
      </c>
      <c r="U30" s="65" t="s">
        <v>141</v>
      </c>
      <c r="V30" s="65" t="s">
        <v>142</v>
      </c>
      <c r="W30" s="66" t="s">
        <v>1322</v>
      </c>
      <c r="X30" s="65">
        <v>265</v>
      </c>
      <c r="Y30" s="63" t="str">
        <f>IF(ISERROR(VLOOKUP(Table36[[#This Row],[source2]],Table22[Label],1,FALSE)),IF(ISERROR(VLOOKUP(Table36[[#This Row],[source2]],Table2210[Label],1,FALSE)),"SPOKE","FOCUS"),"HUB")</f>
        <v>HUB</v>
      </c>
      <c r="Z30" s="63" t="str">
        <f>IF(ISERROR(VLOOKUP(Table36[[#This Row],[target2]],Table22[Label],1,FALSE)),IF(ISERROR(VLOOKUP(Table36[[#This Row],[target2]],Table2210[Label],1,FALSE)),"SPOKE","FOCUS"),"HUB")</f>
        <v>HUB</v>
      </c>
      <c r="AA30" s="63" t="str">
        <f>IF(Table36[[#This Row],[source-type]]&lt;Table36[[#This Row],[target-type]],Table36[[#This Row],[target-type]]&amp;"-"&amp;Table36[[#This Row],[source-type]],Table36[[#This Row],[source-type]]&amp;"-"&amp;Table36[[#This Row],[target-type]])</f>
        <v>HUB-HUB</v>
      </c>
      <c r="AB30" s="104">
        <f>IF(ISERROR(VLOOKUP(Table36[[#This Row],[source2]],Table22[[Label]:[Weighted Degree]],3,FALSE)),IF(ISERROR(VLOOKUP(Table36[[#This Row],[source2]],Table2210[[Label]:[Weighted Degree]],3,FALSE)),IF(ISERROR(VLOOKUP(Table36[[#This Row],[source2]],Table2214[[Label]:[Weighted Degree]],3,FALSE)),FALSE,VLOOKUP(Table36[[#This Row],[source2]],Table2214[[Label]:[Weighted Degree]],3,FALSE)),VLOOKUP(Table36[[#This Row],[source2]],Table2210[[Label]:[Weighted Degree]],3,FALSE)),VLOOKUP(Table36[[#This Row],[source2]],Table22[[Label]:[Weighted Degree]],3,FALSE))</f>
        <v>11690</v>
      </c>
      <c r="AC30" s="104">
        <f>IF(ISERROR(VLOOKUP(Table36[[#This Row],[target2]],Table22[[Label]:[Weighted Degree]],3,FALSE)),IF(ISERROR(VLOOKUP(Table36[[#This Row],[target2]],Table2210[[Label]:[Weighted Degree]],3,FALSE)),IF(ISERROR(VLOOKUP(Table36[[#This Row],[target2]],Table2214[[Label]:[Weighted Degree]],3,FALSE)),FALSE,VLOOKUP(Table36[[#This Row],[target2]],Table2214[[Label]:[Weighted Degree]],3,FALSE)),VLOOKUP(Table36[[#This Row],[target2]],Table2210[[Label]:[Weighted Degree]],3,FALSE)),VLOOKUP(Table36[[#This Row],[target2]],Table22[[Label]:[Weighted Degree]],3,FALSE))</f>
        <v>18349</v>
      </c>
      <c r="AE30" s="14" t="s">
        <v>128</v>
      </c>
      <c r="AF30" s="14" t="s">
        <v>124</v>
      </c>
      <c r="AG30" s="14">
        <v>3288</v>
      </c>
      <c r="AH30" s="63" t="str">
        <f>IF(ISERROR(VLOOKUP(Table17[[#This Row],[source2]],Table22[Label],1,FALSE)),IF(ISERROR(VLOOKUP(Table17[[#This Row],[source2]],Table2210[Label],1,FALSE)),"SPOKE","FOCUS"),"HUB")</f>
        <v>HUB</v>
      </c>
      <c r="AI30" s="63" t="str">
        <f>IF(ISERROR(VLOOKUP(Table17[[#This Row],[target2]],Table22[Label],1,FALSE)),IF(ISERROR(VLOOKUP(Table17[[#This Row],[target2]],Table2210[Label],1,FALSE)),"SPOKE","FOCUS"),"HUB")</f>
        <v>HUB</v>
      </c>
      <c r="AJ30" s="63" t="str">
        <f>IF(Table17[[#This Row],[source-type]]&lt;Table17[[#This Row],[target-type]],Table17[[#This Row],[target-type]]&amp;"-"&amp;Table17[[#This Row],[source-type]],Table17[[#This Row],[source-type]]&amp;"-"&amp;Table17[[#This Row],[target-type]])</f>
        <v>HUB-HUB</v>
      </c>
      <c r="AK30" s="104">
        <f>IF(ISERROR(VLOOKUP(Table17[[#This Row],[source2]],Table22[[Label]:[Weighted Degree]],3,FALSE)),IF(ISERROR(VLOOKUP(Table17[[#This Row],[source2]],Table2210[[Label]:[Weighted Degree]],3,FALSE)),IF(ISERROR(VLOOKUP(Table17[[#This Row],[source2]],Table2214[[Label]:[Weighted Degree]],3,FALSE)),FALSE,VLOOKUP(Table17[[#This Row],[source2]],Table2214[[Label]:[Weighted Degree]],3,FALSE)),VLOOKUP(Table17[[#This Row],[source2]],Table2210[[Label]:[Weighted Degree]],3,FALSE)),VLOOKUP(Table17[[#This Row],[source2]],Table22[[Label]:[Weighted Degree]],3,FALSE))</f>
        <v>14416</v>
      </c>
      <c r="AL30" s="104">
        <f>IF(ISERROR(VLOOKUP(Table17[[#This Row],[target2]],Table22[[Label]:[Weighted Degree]],3,FALSE)),IF(ISERROR(VLOOKUP(Table17[[#This Row],[target2]],Table2210[[Label]:[Weighted Degree]],3,FALSE)),IF(ISERROR(VLOOKUP(Table17[[#This Row],[target2]],Table2214[[Label]:[Weighted Degree]],3,FALSE)),FALSE,VLOOKUP(Table17[[#This Row],[target2]],Table2214[[Label]:[Weighted Degree]],3,FALSE)),VLOOKUP(Table17[[#This Row],[target2]],Table2210[[Label]:[Weighted Degree]],3,FALSE)),VLOOKUP(Table17[[#This Row],[target2]],Table22[[Label]:[Weighted Degree]],3,FALSE))</f>
        <v>28737</v>
      </c>
    </row>
    <row r="31" spans="1:38" x14ac:dyDescent="0.2">
      <c r="A31" s="71" t="s">
        <v>130</v>
      </c>
      <c r="B31" s="71" t="s">
        <v>128</v>
      </c>
      <c r="C31" s="66" t="s">
        <v>2117</v>
      </c>
      <c r="D31" s="65">
        <v>2004</v>
      </c>
      <c r="E31" s="63" t="str">
        <f>IF(ISERROR(VLOOKUP(Table33[[#This Row],[source2]],Table22[Label],1,FALSE)),IF(ISERROR(VLOOKUP(Table33[[#This Row],[source2]],Table2210[Label],1,FALSE)),"SPOKE","FOCUS"),"HUB")</f>
        <v>HUB</v>
      </c>
      <c r="F31" s="63" t="str">
        <f>IF(ISERROR(VLOOKUP(Table33[[#This Row],[target2]],Table22[Label],1,FALSE)),IF(ISERROR(VLOOKUP(Table33[[#This Row],[target2]],Table2210[Label],1,FALSE)),"SPOKE","FOCUS"),"HUB")</f>
        <v>HUB</v>
      </c>
      <c r="G31" s="63" t="str">
        <f>IF(Table33[[#This Row],[source-type]]&lt;Table33[[#This Row],[target-type]],Table33[[#This Row],[target-type]]&amp;"-"&amp;Table33[[#This Row],[source-type]],Table33[[#This Row],[source-type]]&amp;"-"&amp;Table33[[#This Row],[target-type]])</f>
        <v>HUB-HUB</v>
      </c>
      <c r="H31" s="63">
        <f>IF(ISERROR(VLOOKUP(Table33[[#This Row],[source2]],Table22[[Label]:[Weighted Degree]],3,FALSE)),IF(ISERROR(VLOOKUP(Table33[[#This Row],[source2]],Table2210[[Label]:[Weighted Degree]],3,FALSE)),IF(ISERROR(VLOOKUP(Table33[[#This Row],[source2]],Table2214[[Label]:[Weighted Degree]],3,FALSE)),FALSE,VLOOKUP(Table33[[#This Row],[source2]],Table2214[[Label]:[Weighted Degree]],3,FALSE)),VLOOKUP(Table33[[#This Row],[source2]],Table2210[[Label]:[Weighted Degree]],3,FALSE)),VLOOKUP(Table33[[#This Row],[source2]],Table22[[Label]:[Weighted Degree]],3,FALSE))</f>
        <v>28057</v>
      </c>
      <c r="I31" s="63">
        <f>IF(ISERROR(VLOOKUP(Table33[[#This Row],[target2]],Table22[[Label]:[Weighted Degree]],3,FALSE)),IF(ISERROR(VLOOKUP(Table33[[#This Row],[target2]],Table2210[[Label]:[Weighted Degree]],3,FALSE)),IF(ISERROR(VLOOKUP(Table33[[#This Row],[target2]],Table2214[[Label]:[Weighted Degree]],3,FALSE)),FALSE,VLOOKUP(Table33[[#This Row],[target2]],Table2214[[Label]:[Weighted Degree]],3,FALSE)),VLOOKUP(Table33[[#This Row],[target2]],Table2210[[Label]:[Weighted Degree]],3,FALSE)),VLOOKUP(Table33[[#This Row],[target2]],Table22[[Label]:[Weighted Degree]],3,FALSE))</f>
        <v>14416</v>
      </c>
      <c r="K31" s="14" t="s">
        <v>139</v>
      </c>
      <c r="L31" s="14" t="s">
        <v>142</v>
      </c>
      <c r="M31" s="64" t="s">
        <v>738</v>
      </c>
      <c r="N31" s="14">
        <v>2758</v>
      </c>
      <c r="O31" s="63" t="str">
        <f>IF(ISERROR(VLOOKUP(Table34[[#This Row],[source2]],Table22[Label],1,FALSE)),IF(ISERROR(VLOOKUP(Table34[[#This Row],[source2]],Table2210[Label],1,FALSE)),"SPOKE","FOCUS"),"HUB")</f>
        <v>HUB</v>
      </c>
      <c r="P31" s="63" t="str">
        <f>IF(ISERROR(VLOOKUP(Table34[[#This Row],[target2]],Table22[Label],1,FALSE)),IF(ISERROR(VLOOKUP(Table34[[#This Row],[target2]],Table2210[Label],1,FALSE)),"SPOKE","FOCUS"),"HUB")</f>
        <v>HUB</v>
      </c>
      <c r="Q31" s="63" t="str">
        <f>IF(Table34[[#This Row],[source-type]]&lt;Table34[[#This Row],[target-type]],Table34[[#This Row],[target-type]]&amp;"-"&amp;Table34[[#This Row],[source-type]],Table34[[#This Row],[source-type]]&amp;"-"&amp;Table34[[#This Row],[target-type]])</f>
        <v>HUB-HUB</v>
      </c>
      <c r="R31" s="104">
        <f>IF(ISERROR(VLOOKUP(Table34[[#This Row],[source2]],Table22[[Label]:[Weighted Degree]],3,FALSE)),IF(ISERROR(VLOOKUP(Table34[[#This Row],[source2]],Table2210[[Label]:[Weighted Degree]],3,FALSE)),IF(ISERROR(VLOOKUP(Table34[[#This Row],[source2]],Table2214[[Label]:[Weighted Degree]],3,FALSE)),FALSE,VLOOKUP(Table34[[#This Row],[source2]],Table2214[[Label]:[Weighted Degree]],3,FALSE)),VLOOKUP(Table34[[#This Row],[source2]],Table2210[[Label]:[Weighted Degree]],3,FALSE)),VLOOKUP(Table34[[#This Row],[source2]],Table22[[Label]:[Weighted Degree]],3,FALSE))</f>
        <v>31784</v>
      </c>
      <c r="S31" s="104">
        <f>IF(ISERROR(VLOOKUP(Table34[[#This Row],[target2]],Table22[[Label]:[Weighted Degree]],3,FALSE)),IF(ISERROR(VLOOKUP(Table34[[#This Row],[target2]],Table2210[[Label]:[Weighted Degree]],3,FALSE)),IF(ISERROR(VLOOKUP(Table34[[#This Row],[target2]],Table2214[[Label]:[Weighted Degree]],3,FALSE)),FALSE,VLOOKUP(Table34[[#This Row],[target2]],Table2214[[Label]:[Weighted Degree]],3,FALSE)),VLOOKUP(Table34[[#This Row],[target2]],Table2210[[Label]:[Weighted Degree]],3,FALSE)),VLOOKUP(Table34[[#This Row],[target2]],Table22[[Label]:[Weighted Degree]],3,FALSE))</f>
        <v>18349</v>
      </c>
      <c r="U31" s="65" t="s">
        <v>140</v>
      </c>
      <c r="V31" s="65" t="s">
        <v>136</v>
      </c>
      <c r="W31" s="66" t="s">
        <v>1908</v>
      </c>
      <c r="X31" s="65">
        <v>472</v>
      </c>
      <c r="Y31" s="63" t="str">
        <f>IF(ISERROR(VLOOKUP(Table36[[#This Row],[source2]],Table22[Label],1,FALSE)),IF(ISERROR(VLOOKUP(Table36[[#This Row],[source2]],Table2210[Label],1,FALSE)),"SPOKE","FOCUS"),"HUB")</f>
        <v>HUB</v>
      </c>
      <c r="Z31" s="63" t="str">
        <f>IF(ISERROR(VLOOKUP(Table36[[#This Row],[target2]],Table22[Label],1,FALSE)),IF(ISERROR(VLOOKUP(Table36[[#This Row],[target2]],Table2210[Label],1,FALSE)),"SPOKE","FOCUS"),"HUB")</f>
        <v>HUB</v>
      </c>
      <c r="AA31" s="63" t="str">
        <f>IF(Table36[[#This Row],[source-type]]&lt;Table36[[#This Row],[target-type]],Table36[[#This Row],[target-type]]&amp;"-"&amp;Table36[[#This Row],[source-type]],Table36[[#This Row],[source-type]]&amp;"-"&amp;Table36[[#This Row],[target-type]])</f>
        <v>HUB-HUB</v>
      </c>
      <c r="AB31" s="104">
        <f>IF(ISERROR(VLOOKUP(Table36[[#This Row],[source2]],Table22[[Label]:[Weighted Degree]],3,FALSE)),IF(ISERROR(VLOOKUP(Table36[[#This Row],[source2]],Table2210[[Label]:[Weighted Degree]],3,FALSE)),IF(ISERROR(VLOOKUP(Table36[[#This Row],[source2]],Table2214[[Label]:[Weighted Degree]],3,FALSE)),FALSE,VLOOKUP(Table36[[#This Row],[source2]],Table2214[[Label]:[Weighted Degree]],3,FALSE)),VLOOKUP(Table36[[#This Row],[source2]],Table2210[[Label]:[Weighted Degree]],3,FALSE)),VLOOKUP(Table36[[#This Row],[source2]],Table22[[Label]:[Weighted Degree]],3,FALSE))</f>
        <v>21171</v>
      </c>
      <c r="AC31" s="104">
        <f>IF(ISERROR(VLOOKUP(Table36[[#This Row],[target2]],Table22[[Label]:[Weighted Degree]],3,FALSE)),IF(ISERROR(VLOOKUP(Table36[[#This Row],[target2]],Table2210[[Label]:[Weighted Degree]],3,FALSE)),IF(ISERROR(VLOOKUP(Table36[[#This Row],[target2]],Table2214[[Label]:[Weighted Degree]],3,FALSE)),FALSE,VLOOKUP(Table36[[#This Row],[target2]],Table2214[[Label]:[Weighted Degree]],3,FALSE)),VLOOKUP(Table36[[#This Row],[target2]],Table2210[[Label]:[Weighted Degree]],3,FALSE)),VLOOKUP(Table36[[#This Row],[target2]],Table22[[Label]:[Weighted Degree]],3,FALSE))</f>
        <v>15952</v>
      </c>
      <c r="AE31" s="14" t="s">
        <v>143</v>
      </c>
      <c r="AF31" s="14" t="s">
        <v>139</v>
      </c>
      <c r="AG31" s="14">
        <v>3011</v>
      </c>
      <c r="AH31" s="63" t="str">
        <f>IF(ISERROR(VLOOKUP(Table17[[#This Row],[source2]],Table22[Label],1,FALSE)),IF(ISERROR(VLOOKUP(Table17[[#This Row],[source2]],Table2210[Label],1,FALSE)),"SPOKE","FOCUS"),"HUB")</f>
        <v>HUB</v>
      </c>
      <c r="AI31" s="63" t="str">
        <f>IF(ISERROR(VLOOKUP(Table17[[#This Row],[target2]],Table22[Label],1,FALSE)),IF(ISERROR(VLOOKUP(Table17[[#This Row],[target2]],Table2210[Label],1,FALSE)),"SPOKE","FOCUS"),"HUB")</f>
        <v>HUB</v>
      </c>
      <c r="AJ31" s="63" t="str">
        <f>IF(Table17[[#This Row],[source-type]]&lt;Table17[[#This Row],[target-type]],Table17[[#This Row],[target-type]]&amp;"-"&amp;Table17[[#This Row],[source-type]],Table17[[#This Row],[source-type]]&amp;"-"&amp;Table17[[#This Row],[target-type]])</f>
        <v>HUB-HUB</v>
      </c>
      <c r="AK31" s="104">
        <f>IF(ISERROR(VLOOKUP(Table17[[#This Row],[source2]],Table22[[Label]:[Weighted Degree]],3,FALSE)),IF(ISERROR(VLOOKUP(Table17[[#This Row],[source2]],Table2210[[Label]:[Weighted Degree]],3,FALSE)),IF(ISERROR(VLOOKUP(Table17[[#This Row],[source2]],Table2214[[Label]:[Weighted Degree]],3,FALSE)),FALSE,VLOOKUP(Table17[[#This Row],[source2]],Table2214[[Label]:[Weighted Degree]],3,FALSE)),VLOOKUP(Table17[[#This Row],[source2]],Table2210[[Label]:[Weighted Degree]],3,FALSE)),VLOOKUP(Table17[[#This Row],[source2]],Table22[[Label]:[Weighted Degree]],3,FALSE))</f>
        <v>10697</v>
      </c>
      <c r="AL31" s="104">
        <f>IF(ISERROR(VLOOKUP(Table17[[#This Row],[target2]],Table22[[Label]:[Weighted Degree]],3,FALSE)),IF(ISERROR(VLOOKUP(Table17[[#This Row],[target2]],Table2210[[Label]:[Weighted Degree]],3,FALSE)),IF(ISERROR(VLOOKUP(Table17[[#This Row],[target2]],Table2214[[Label]:[Weighted Degree]],3,FALSE)),FALSE,VLOOKUP(Table17[[#This Row],[target2]],Table2214[[Label]:[Weighted Degree]],3,FALSE)),VLOOKUP(Table17[[#This Row],[target2]],Table2210[[Label]:[Weighted Degree]],3,FALSE)),VLOOKUP(Table17[[#This Row],[target2]],Table22[[Label]:[Weighted Degree]],3,FALSE))</f>
        <v>31784</v>
      </c>
    </row>
    <row r="32" spans="1:38" x14ac:dyDescent="0.2">
      <c r="A32" s="62"/>
      <c r="B32" s="62"/>
      <c r="C32" s="67"/>
      <c r="D32" s="62">
        <f>SUBTOTAL(109,Table33[weight])</f>
        <v>111322</v>
      </c>
      <c r="E32" s="113"/>
      <c r="F32" s="113"/>
      <c r="G32" s="104"/>
      <c r="H32" s="63"/>
      <c r="I32" s="63"/>
      <c r="K32" s="62"/>
      <c r="L32" s="62"/>
      <c r="M32" s="64"/>
      <c r="N32" s="14">
        <f>SUBTOTAL(109,Table34[weight])</f>
        <v>115699</v>
      </c>
      <c r="O32" s="104"/>
      <c r="P32" s="104"/>
      <c r="Q32" s="104"/>
      <c r="R32" s="104"/>
      <c r="S32" s="104"/>
      <c r="U32" s="65"/>
      <c r="V32" s="65"/>
      <c r="W32" s="66"/>
      <c r="X32" s="65">
        <f>SUBTOTAL(109,Table36[weight])</f>
        <v>24375</v>
      </c>
      <c r="Y32" s="113"/>
      <c r="Z32" s="113"/>
      <c r="AA32" s="104"/>
      <c r="AB32" s="104"/>
      <c r="AC32" s="104"/>
      <c r="AE32" s="14"/>
      <c r="AF32" s="14"/>
      <c r="AG32" s="14">
        <f>SUBTOTAL(109,Table17[weight])</f>
        <v>115699</v>
      </c>
      <c r="AH32" s="113"/>
      <c r="AI32" s="113"/>
      <c r="AJ32" s="104"/>
      <c r="AK32" s="104"/>
      <c r="AL32" s="104"/>
    </row>
    <row r="35" spans="1:39" x14ac:dyDescent="0.2">
      <c r="A35" s="59" t="s">
        <v>2378</v>
      </c>
      <c r="B35" s="59" t="s">
        <v>2379</v>
      </c>
      <c r="C35" s="73" t="s">
        <v>729</v>
      </c>
      <c r="D35" s="59" t="s">
        <v>357</v>
      </c>
      <c r="E35" s="59" t="s">
        <v>2382</v>
      </c>
      <c r="F35" s="59" t="s">
        <v>2381</v>
      </c>
      <c r="G35" s="59" t="s">
        <v>2383</v>
      </c>
      <c r="H35" s="59" t="s">
        <v>2451</v>
      </c>
      <c r="I35" s="59" t="s">
        <v>2452</v>
      </c>
      <c r="J35" s="74"/>
      <c r="K35" s="75" t="s">
        <v>2378</v>
      </c>
      <c r="L35" s="59" t="s">
        <v>2379</v>
      </c>
      <c r="M35" s="73" t="s">
        <v>358</v>
      </c>
      <c r="N35" s="59" t="s">
        <v>357</v>
      </c>
      <c r="O35" s="59" t="s">
        <v>2380</v>
      </c>
      <c r="P35" s="59" t="s">
        <v>2381</v>
      </c>
      <c r="Q35" s="59" t="s">
        <v>2383</v>
      </c>
      <c r="R35" s="59" t="s">
        <v>2451</v>
      </c>
      <c r="S35" s="59" t="s">
        <v>2452</v>
      </c>
      <c r="U35" s="5" t="s">
        <v>355</v>
      </c>
      <c r="V35" s="5" t="s">
        <v>356</v>
      </c>
      <c r="W35" s="5" t="s">
        <v>733</v>
      </c>
      <c r="X35" s="5" t="s">
        <v>357</v>
      </c>
      <c r="Y35" s="5" t="s">
        <v>2380</v>
      </c>
      <c r="Z35" s="5" t="s">
        <v>2381</v>
      </c>
      <c r="AA35" s="5" t="s">
        <v>2383</v>
      </c>
      <c r="AB35" s="63" t="s">
        <v>2451</v>
      </c>
      <c r="AC35" s="63" t="s">
        <v>2452</v>
      </c>
      <c r="AE35" s="75" t="s">
        <v>2378</v>
      </c>
      <c r="AF35" s="59" t="s">
        <v>2379</v>
      </c>
      <c r="AG35" s="73" t="s">
        <v>734</v>
      </c>
      <c r="AH35" s="59" t="s">
        <v>357</v>
      </c>
      <c r="AI35" s="59" t="s">
        <v>2380</v>
      </c>
      <c r="AJ35" s="59" t="s">
        <v>2381</v>
      </c>
      <c r="AK35" s="59" t="s">
        <v>2383</v>
      </c>
      <c r="AL35" s="59" t="s">
        <v>2451</v>
      </c>
      <c r="AM35" s="59" t="s">
        <v>2452</v>
      </c>
    </row>
    <row r="36" spans="1:39" x14ac:dyDescent="0.2">
      <c r="A36" s="14" t="s">
        <v>133</v>
      </c>
      <c r="B36" s="14" t="s">
        <v>134</v>
      </c>
      <c r="C36" s="76" t="s">
        <v>771</v>
      </c>
      <c r="D36" s="14">
        <v>7566</v>
      </c>
      <c r="E36" s="63" t="str">
        <f>IF(ISERROR(VLOOKUP(Table8[[#This Row],[source2]],Table22[Label],1,FALSE)),IF(ISERROR(VLOOKUP(Table8[[#This Row],[source2]],Table2210[Label],1,FALSE)),"SPOKE","FOCUS"),"HUB")</f>
        <v>HUB</v>
      </c>
      <c r="F36" s="63" t="str">
        <f>IF(ISERROR(VLOOKUP(Table8[[#This Row],[target2]],Table22[Label],1,FALSE)),IF(ISERROR(VLOOKUP(Table8[[#This Row],[target2]],Table2210[Label],1,FALSE)),"SPOKE","FOCUS"),"HUB")</f>
        <v>FOCUS</v>
      </c>
      <c r="G36" s="63" t="str">
        <f>IF(Table8[[#This Row],[source-tyoe]]&lt;Table8[[#This Row],[target-type]],Table8[[#This Row],[target-type]]&amp;"-"&amp;Table8[[#This Row],[source-tyoe]],Table8[[#This Row],[source-tyoe]]&amp;"-"&amp;Table8[[#This Row],[target-type]])</f>
        <v>HUB-FOCUS</v>
      </c>
      <c r="H36" s="63">
        <f>IF(ISERROR(VLOOKUP(Table8[[#This Row],[source2]],Table22[[Label]:[Weighted Degree]],3,FALSE)),IF(ISERROR(VLOOKUP(Table8[[#This Row],[source2]],Table2210[[Label]:[Weighted Degree]],3,FALSE)),IF(ISERROR(VLOOKUP(Table8[[#This Row],[source2]],Table2214[[Label]:[Weighted Degree]],3,FALSE)),FALSE,VLOOKUP(Table8[[#This Row],[source2]],Table2214[[Label]:[Weighted Degree]],3,FALSE)),VLOOKUP(Table8[[#This Row],[source2]],Table2210[[Label]:[Weighted Degree]],3,FALSE)),VLOOKUP(Table8[[#This Row],[source2]],Table22[[Label]:[Weighted Degree]],3,FALSE))</f>
        <v>39711</v>
      </c>
      <c r="I36" s="63">
        <f>IF(ISERROR(VLOOKUP(Table8[[#This Row],[target2]],Table22[[Label]:[Weighted Degree]],3,FALSE)),IF(ISERROR(VLOOKUP(Table8[[#This Row],[target2]],Table2210[[Label]:[Weighted Degree]],3,FALSE)),IF(ISERROR(VLOOKUP(Table8[[#This Row],[target2]],Table2214[[Label]:[Weighted Degree]],3,FALSE)),FALSE,VLOOKUP(Table8[[#This Row],[target2]],Table2214[[Label]:[Weighted Degree]],3,FALSE)),VLOOKUP(Table8[[#This Row],[target2]],Table2210[[Label]:[Weighted Degree]],3,FALSE)),VLOOKUP(Table8[[#This Row],[target2]],Table22[[Label]:[Weighted Degree]],3,FALSE))</f>
        <v>26074</v>
      </c>
      <c r="J36" s="61"/>
      <c r="K36" s="14" t="s">
        <v>124</v>
      </c>
      <c r="L36" s="14" t="s">
        <v>136</v>
      </c>
      <c r="M36" s="15" t="s">
        <v>359</v>
      </c>
      <c r="N36" s="14">
        <v>3011</v>
      </c>
      <c r="O36" s="14" t="str">
        <f>IF(ISERROR(VLOOKUP(Table29[[#This Row],[source2]],Table22[Label],1,FALSE)),IF(ISERROR(VLOOKUP(Table29[[#This Row],[source2]],Table2210[Label],1,FALSE)),"SPOKE","FOCUS"),"HUB")</f>
        <v>HUB</v>
      </c>
      <c r="P36" s="14" t="str">
        <f>IF(ISERROR(VLOOKUP(Table29[[#This Row],[target2]],Table22[Label],1,FALSE)),IF(ISERROR(VLOOKUP(Table29[[#This Row],[target2]],Table2210[Label],1,FALSE)),"SPOKE","FOCUS"),"HUB")</f>
        <v>HUB</v>
      </c>
      <c r="Q36" s="14" t="str">
        <f>IF(Table29[[#This Row],[source-type]]&lt;Table29[[#This Row],[target-type]],Table29[[#This Row],[target-type]]&amp;"-"&amp;Table29[[#This Row],[source-type]],Table29[[#This Row],[source-type]]&amp;"-"&amp;Table29[[#This Row],[target-type]])</f>
        <v>HUB-HUB</v>
      </c>
      <c r="R36" s="104">
        <f>IF(ISERROR(VLOOKUP(Table29[[#This Row],[source2]],Table22[[Label]:[Weighted Degree]],3,FALSE)),IF(ISERROR(VLOOKUP(Table29[[#This Row],[source2]],Table2210[[Label]:[Weighted Degree]],3,FALSE)),IF(ISERROR(VLOOKUP(Table29[[#This Row],[source2]],Table2214[[Label]:[Weighted Degree]],3,FALSE)),FALSE,VLOOKUP(Table29[[#This Row],[source2]],Table2214[[Label]:[Weighted Degree]],3,FALSE)),VLOOKUP(Table29[[#This Row],[source2]],Table2210[[Label]:[Weighted Degree]],3,FALSE)),VLOOKUP(Table29[[#This Row],[source2]],Table22[[Label]:[Weighted Degree]],3,FALSE))</f>
        <v>28737</v>
      </c>
      <c r="S36" s="104">
        <f>IF(ISERROR(VLOOKUP(Table29[[#This Row],[target2]],Table22[[Label]:[Weighted Degree]],3,FALSE)),IF(ISERROR(VLOOKUP(Table29[[#This Row],[target2]],Table2210[[Label]:[Weighted Degree]],3,FALSE)),IF(ISERROR(VLOOKUP(Table29[[#This Row],[target2]],Table2214[[Label]:[Weighted Degree]],3,FALSE)),FALSE,VLOOKUP(Table29[[#This Row],[target2]],Table2214[[Label]:[Weighted Degree]],3,FALSE)),VLOOKUP(Table29[[#This Row],[target2]],Table2210[[Label]:[Weighted Degree]],3,FALSE)),VLOOKUP(Table29[[#This Row],[target2]],Table22[[Label]:[Weighted Degree]],3,FALSE))</f>
        <v>15952</v>
      </c>
      <c r="U36" s="14" t="s">
        <v>131</v>
      </c>
      <c r="V36" s="14" t="s">
        <v>144</v>
      </c>
      <c r="W36" s="77" t="s">
        <v>738</v>
      </c>
      <c r="X36" s="1">
        <v>6626</v>
      </c>
      <c r="Y36" s="14" t="str">
        <f>IF(ISERROR(VLOOKUP(Table2932[[#This Row],[source]],Table22[Label],1,FALSE)),IF(ISERROR(VLOOKUP(Table2932[[#This Row],[source]],Table2210[Label],1,FALSE)),"SPOKE","FOCUS"),"HUB")</f>
        <v>HUB</v>
      </c>
      <c r="Z36" s="14" t="str">
        <f>IF(ISERROR(VLOOKUP(Table2932[[#This Row],[target]],Table22[Label],1,FALSE)),IF(ISERROR(VLOOKUP(Table2932[[#This Row],[target]],Table2210[Label],1,FALSE)),"SPOKE","FOCUS"),"HUB")</f>
        <v>FOCUS</v>
      </c>
      <c r="AA36" s="14" t="str">
        <f>IF(Table2932[[#This Row],[source-type]]&lt;Table2932[[#This Row],[target-type]],Table2932[[#This Row],[target-type]]&amp;"-"&amp;Table2932[[#This Row],[source-type]],Table2932[[#This Row],[source-type]]&amp;"-"&amp;Table2932[[#This Row],[target-type]])</f>
        <v>HUB-FOCUS</v>
      </c>
      <c r="AB36" s="104">
        <f>IF(ISERROR(VLOOKUP(Table2932[[#This Row],[source]],Table22[[Label]:[Weighted Degree]],3,FALSE)),IF(ISERROR(VLOOKUP(Table2932[[#This Row],[source]],Table2210[[Label]:[Weighted Degree]],3,FALSE)),IF(ISERROR(VLOOKUP(Table2932[[#This Row],[source]],Table2214[[Label]:[Weighted Degree]],3,FALSE)),FALSE,VLOOKUP(Table2932[[#This Row],[source]],Table2214[[Label]:[Weighted Degree]],3,FALSE)),VLOOKUP(Table2932[[#This Row],[source]],Table2210[[Label]:[Weighted Degree]],3,FALSE)),VLOOKUP(Table2932[[#This Row],[source]],Table22[[Label]:[Weighted Degree]],3,FALSE))</f>
        <v>44350</v>
      </c>
      <c r="AC36" s="104">
        <f>IF(ISERROR(VLOOKUP(Table2932[[#This Row],[target]],Table22[[Label]:[Weighted Degree]],3,FALSE)),IF(ISERROR(VLOOKUP(Table2932[[#This Row],[target]],Table2210[[Label]:[Weighted Degree]],3,FALSE)),IF(ISERROR(VLOOKUP(Table2932[[#This Row],[target]],Table2214[[Label]:[Weighted Degree]],3,FALSE)),FALSE,VLOOKUP(Table2932[[#This Row],[target]],Table2214[[Label]:[Weighted Degree]],3,FALSE)),VLOOKUP(Table2932[[#This Row],[target]],Table2210[[Label]:[Weighted Degree]],3,FALSE)),VLOOKUP(Table2932[[#This Row],[target]],Table22[[Label]:[Weighted Degree]],3,FALSE))</f>
        <v>22088</v>
      </c>
      <c r="AE36" s="14" t="s">
        <v>152</v>
      </c>
      <c r="AF36" s="14" t="s">
        <v>138</v>
      </c>
      <c r="AG36" s="64" t="s">
        <v>774</v>
      </c>
      <c r="AH36" s="14">
        <v>2252</v>
      </c>
      <c r="AI36" s="14" t="str">
        <f>IF(ISERROR(VLOOKUP(Table32[[#This Row],[source2]],Table22[Label],1,FALSE)),IF(ISERROR(VLOOKUP(Table32[[#This Row],[source2]],Table2210[Label],1,FALSE)),"SPOKE","FOCUS"),"HUB")</f>
        <v>SPOKE</v>
      </c>
      <c r="AJ36" s="14" t="str">
        <f>IF(ISERROR(VLOOKUP(Table32[[#This Row],[target2]],Table22[Label],1,FALSE)),IF(ISERROR(VLOOKUP(Table32[[#This Row],[target2]],Table2210[Label],1,FALSE)),"SPOKE","FOCUS"),"HUB")</f>
        <v>HUB</v>
      </c>
      <c r="AK36" s="14" t="str">
        <f>IF(Table32[[#This Row],[source-type]]&lt;Table32[[#This Row],[target-type]],Table32[[#This Row],[target-type]]&amp;"-"&amp;Table32[[#This Row],[source-type]],Table32[[#This Row],[source-type]]&amp;"-"&amp;Table32[[#This Row],[target-type]])</f>
        <v>SPOKE-HUB</v>
      </c>
      <c r="AL36" s="104">
        <f>IF(ISERROR(VLOOKUP(Table32[[#This Row],[source2]],Table22[[Label]:[Weighted Degree]],3,FALSE)),IF(ISERROR(VLOOKUP(Table32[[#This Row],[source2]],Table2210[[Label]:[Weighted Degree]],3,FALSE)),IF(ISERROR(VLOOKUP(Table32[[#This Row],[source2]],Table2214[[Label]:[Weighted Degree]],3,FALSE)),FALSE,VLOOKUP(Table32[[#This Row],[source2]],Table2214[[Label]:[Weighted Degree]],3,FALSE)),VLOOKUP(Table32[[#This Row],[source2]],Table2210[[Label]:[Weighted Degree]],3,FALSE)),VLOOKUP(Table32[[#This Row],[source2]],Table22[[Label]:[Weighted Degree]],3,FALSE))</f>
        <v>9094</v>
      </c>
      <c r="AM36" s="104">
        <f>IF(ISERROR(VLOOKUP(Table32[[#This Row],[target2]],Table22[[Label]:[Weighted Degree]],3,FALSE)),IF(ISERROR(VLOOKUP(Table32[[#This Row],[target2]],Table2210[[Label]:[Weighted Degree]],3,FALSE)),IF(ISERROR(VLOOKUP(Table32[[#This Row],[target2]],Table2214[[Label]:[Weighted Degree]],3,FALSE)),FALSE,VLOOKUP(Table32[[#This Row],[target2]],Table2214[[Label]:[Weighted Degree]],3,FALSE)),VLOOKUP(Table32[[#This Row],[target2]],Table2210[[Label]:[Weighted Degree]],3,FALSE)),VLOOKUP(Table32[[#This Row],[target2]],Table22[[Label]:[Weighted Degree]],3,FALSE))</f>
        <v>20047</v>
      </c>
    </row>
    <row r="37" spans="1:39" x14ac:dyDescent="0.2">
      <c r="A37" s="14" t="s">
        <v>132</v>
      </c>
      <c r="B37" s="14" t="s">
        <v>131</v>
      </c>
      <c r="C37" s="76" t="s">
        <v>771</v>
      </c>
      <c r="D37" s="14">
        <v>5468</v>
      </c>
      <c r="E37" s="63" t="str">
        <f>IF(ISERROR(VLOOKUP(Table8[[#This Row],[source2]],Table22[Label],1,FALSE)),IF(ISERROR(VLOOKUP(Table8[[#This Row],[source2]],Table2210[Label],1,FALSE)),"SPOKE","FOCUS"),"HUB")</f>
        <v>HUB</v>
      </c>
      <c r="F37" s="63" t="str">
        <f>IF(ISERROR(VLOOKUP(Table8[[#This Row],[target2]],Table22[Label],1,FALSE)),IF(ISERROR(VLOOKUP(Table8[[#This Row],[target2]],Table2210[Label],1,FALSE)),"SPOKE","FOCUS"),"HUB")</f>
        <v>HUB</v>
      </c>
      <c r="G37" s="63" t="str">
        <f>IF(Table8[[#This Row],[source-tyoe]]&lt;Table8[[#This Row],[target-type]],Table8[[#This Row],[target-type]]&amp;"-"&amp;Table8[[#This Row],[source-tyoe]],Table8[[#This Row],[source-tyoe]]&amp;"-"&amp;Table8[[#This Row],[target-type]])</f>
        <v>HUB-HUB</v>
      </c>
      <c r="H37" s="63">
        <f>IF(ISERROR(VLOOKUP(Table8[[#This Row],[source2]],Table22[[Label]:[Weighted Degree]],3,FALSE)),IF(ISERROR(VLOOKUP(Table8[[#This Row],[source2]],Table2210[[Label]:[Weighted Degree]],3,FALSE)),IF(ISERROR(VLOOKUP(Table8[[#This Row],[source2]],Table2214[[Label]:[Weighted Degree]],3,FALSE)),FALSE,VLOOKUP(Table8[[#This Row],[source2]],Table2214[[Label]:[Weighted Degree]],3,FALSE)),VLOOKUP(Table8[[#This Row],[source2]],Table2210[[Label]:[Weighted Degree]],3,FALSE)),VLOOKUP(Table8[[#This Row],[source2]],Table22[[Label]:[Weighted Degree]],3,FALSE))</f>
        <v>23813</v>
      </c>
      <c r="I37" s="63">
        <f>IF(ISERROR(VLOOKUP(Table8[[#This Row],[target2]],Table22[[Label]:[Weighted Degree]],3,FALSE)),IF(ISERROR(VLOOKUP(Table8[[#This Row],[target2]],Table2210[[Label]:[Weighted Degree]],3,FALSE)),IF(ISERROR(VLOOKUP(Table8[[#This Row],[target2]],Table2214[[Label]:[Weighted Degree]],3,FALSE)),FALSE,VLOOKUP(Table8[[#This Row],[target2]],Table2214[[Label]:[Weighted Degree]],3,FALSE)),VLOOKUP(Table8[[#This Row],[target2]],Table2210[[Label]:[Weighted Degree]],3,FALSE)),VLOOKUP(Table8[[#This Row],[target2]],Table22[[Label]:[Weighted Degree]],3,FALSE))</f>
        <v>44350</v>
      </c>
      <c r="J37" s="61"/>
      <c r="K37" s="14" t="s">
        <v>126</v>
      </c>
      <c r="L37" s="14" t="s">
        <v>136</v>
      </c>
      <c r="M37" s="15" t="s">
        <v>360</v>
      </c>
      <c r="N37" s="14">
        <v>2039</v>
      </c>
      <c r="O37" s="14" t="str">
        <f>IF(ISERROR(VLOOKUP(Table29[[#This Row],[source2]],Table22[Label],1,FALSE)),IF(ISERROR(VLOOKUP(Table29[[#This Row],[source2]],Table2210[Label],1,FALSE)),"SPOKE","FOCUS"),"HUB")</f>
        <v>HUB</v>
      </c>
      <c r="P37" s="14" t="str">
        <f>IF(ISERROR(VLOOKUP(Table29[[#This Row],[target2]],Table22[Label],1,FALSE)),IF(ISERROR(VLOOKUP(Table29[[#This Row],[target2]],Table2210[Label],1,FALSE)),"SPOKE","FOCUS"),"HUB")</f>
        <v>HUB</v>
      </c>
      <c r="Q37" s="14" t="str">
        <f>IF(Table29[[#This Row],[source-type]]&lt;Table29[[#This Row],[target-type]],Table29[[#This Row],[target-type]]&amp;"-"&amp;Table29[[#This Row],[source-type]],Table29[[#This Row],[source-type]]&amp;"-"&amp;Table29[[#This Row],[target-type]])</f>
        <v>HUB-HUB</v>
      </c>
      <c r="R37" s="104">
        <f>IF(ISERROR(VLOOKUP(Table29[[#This Row],[source2]],Table22[[Label]:[Weighted Degree]],3,FALSE)),IF(ISERROR(VLOOKUP(Table29[[#This Row],[source2]],Table2210[[Label]:[Weighted Degree]],3,FALSE)),IF(ISERROR(VLOOKUP(Table29[[#This Row],[source2]],Table2214[[Label]:[Weighted Degree]],3,FALSE)),FALSE,VLOOKUP(Table29[[#This Row],[source2]],Table2214[[Label]:[Weighted Degree]],3,FALSE)),VLOOKUP(Table29[[#This Row],[source2]],Table2210[[Label]:[Weighted Degree]],3,FALSE)),VLOOKUP(Table29[[#This Row],[source2]],Table22[[Label]:[Weighted Degree]],3,FALSE))</f>
        <v>36050</v>
      </c>
      <c r="S37" s="104">
        <f>IF(ISERROR(VLOOKUP(Table29[[#This Row],[target2]],Table22[[Label]:[Weighted Degree]],3,FALSE)),IF(ISERROR(VLOOKUP(Table29[[#This Row],[target2]],Table2210[[Label]:[Weighted Degree]],3,FALSE)),IF(ISERROR(VLOOKUP(Table29[[#This Row],[target2]],Table2214[[Label]:[Weighted Degree]],3,FALSE)),FALSE,VLOOKUP(Table29[[#This Row],[target2]],Table2214[[Label]:[Weighted Degree]],3,FALSE)),VLOOKUP(Table29[[#This Row],[target2]],Table2210[[Label]:[Weighted Degree]],3,FALSE)),VLOOKUP(Table29[[#This Row],[target2]],Table22[[Label]:[Weighted Degree]],3,FALSE))</f>
        <v>15952</v>
      </c>
      <c r="U37" s="14" t="s">
        <v>131</v>
      </c>
      <c r="V37" s="14" t="s">
        <v>142</v>
      </c>
      <c r="W37" s="77" t="s">
        <v>738</v>
      </c>
      <c r="X37" s="1">
        <v>4457</v>
      </c>
      <c r="Y37" s="14" t="str">
        <f>IF(ISERROR(VLOOKUP(Table2932[[#This Row],[source]],Table22[Label],1,FALSE)),IF(ISERROR(VLOOKUP(Table2932[[#This Row],[source]],Table2210[Label],1,FALSE)),"SPOKE","FOCUS"),"HUB")</f>
        <v>HUB</v>
      </c>
      <c r="Z37" s="14" t="str">
        <f>IF(ISERROR(VLOOKUP(Table2932[[#This Row],[target]],Table22[Label],1,FALSE)),IF(ISERROR(VLOOKUP(Table2932[[#This Row],[target]],Table2210[Label],1,FALSE)),"SPOKE","FOCUS"),"HUB")</f>
        <v>HUB</v>
      </c>
      <c r="AA37" s="14" t="str">
        <f>IF(Table2932[[#This Row],[source-type]]&lt;Table2932[[#This Row],[target-type]],Table2932[[#This Row],[target-type]]&amp;"-"&amp;Table2932[[#This Row],[source-type]],Table2932[[#This Row],[source-type]]&amp;"-"&amp;Table2932[[#This Row],[target-type]])</f>
        <v>HUB-HUB</v>
      </c>
      <c r="AB37" s="104">
        <f>IF(ISERROR(VLOOKUP(Table2932[[#This Row],[source]],Table22[[Label]:[Weighted Degree]],3,FALSE)),IF(ISERROR(VLOOKUP(Table2932[[#This Row],[source]],Table2210[[Label]:[Weighted Degree]],3,FALSE)),IF(ISERROR(VLOOKUP(Table2932[[#This Row],[source]],Table2214[[Label]:[Weighted Degree]],3,FALSE)),FALSE,VLOOKUP(Table2932[[#This Row],[source]],Table2214[[Label]:[Weighted Degree]],3,FALSE)),VLOOKUP(Table2932[[#This Row],[source]],Table2210[[Label]:[Weighted Degree]],3,FALSE)),VLOOKUP(Table2932[[#This Row],[source]],Table22[[Label]:[Weighted Degree]],3,FALSE))</f>
        <v>44350</v>
      </c>
      <c r="AC37" s="104">
        <f>IF(ISERROR(VLOOKUP(Table2932[[#This Row],[target]],Table22[[Label]:[Weighted Degree]],3,FALSE)),IF(ISERROR(VLOOKUP(Table2932[[#This Row],[target]],Table2210[[Label]:[Weighted Degree]],3,FALSE)),IF(ISERROR(VLOOKUP(Table2932[[#This Row],[target]],Table2214[[Label]:[Weighted Degree]],3,FALSE)),FALSE,VLOOKUP(Table2932[[#This Row],[target]],Table2214[[Label]:[Weighted Degree]],3,FALSE)),VLOOKUP(Table2932[[#This Row],[target]],Table2210[[Label]:[Weighted Degree]],3,FALSE)),VLOOKUP(Table2932[[#This Row],[target]],Table22[[Label]:[Weighted Degree]],3,FALSE))</f>
        <v>18349</v>
      </c>
      <c r="AE37" s="14" t="s">
        <v>156</v>
      </c>
      <c r="AF37" s="14" t="s">
        <v>142</v>
      </c>
      <c r="AG37" s="64" t="s">
        <v>2337</v>
      </c>
      <c r="AH37" s="14">
        <v>1628</v>
      </c>
      <c r="AI37" s="14" t="str">
        <f>IF(ISERROR(VLOOKUP(Table32[[#This Row],[source2]],Table22[Label],1,FALSE)),IF(ISERROR(VLOOKUP(Table32[[#This Row],[source2]],Table2210[Label],1,FALSE)),"SPOKE","FOCUS"),"HUB")</f>
        <v>SPOKE</v>
      </c>
      <c r="AJ37" s="14" t="str">
        <f>IF(ISERROR(VLOOKUP(Table32[[#This Row],[target2]],Table22[Label],1,FALSE)),IF(ISERROR(VLOOKUP(Table32[[#This Row],[target2]],Table2210[Label],1,FALSE)),"SPOKE","FOCUS"),"HUB")</f>
        <v>HUB</v>
      </c>
      <c r="AK37" s="14" t="str">
        <f>IF(Table32[[#This Row],[source-type]]&lt;Table32[[#This Row],[target-type]],Table32[[#This Row],[target-type]]&amp;"-"&amp;Table32[[#This Row],[source-type]],Table32[[#This Row],[source-type]]&amp;"-"&amp;Table32[[#This Row],[target-type]])</f>
        <v>SPOKE-HUB</v>
      </c>
      <c r="AL37" s="104">
        <f>IF(ISERROR(VLOOKUP(Table32[[#This Row],[source2]],Table22[[Label]:[Weighted Degree]],3,FALSE)),IF(ISERROR(VLOOKUP(Table32[[#This Row],[source2]],Table2210[[Label]:[Weighted Degree]],3,FALSE)),IF(ISERROR(VLOOKUP(Table32[[#This Row],[source2]],Table2214[[Label]:[Weighted Degree]],3,FALSE)),FALSE,VLOOKUP(Table32[[#This Row],[source2]],Table2214[[Label]:[Weighted Degree]],3,FALSE)),VLOOKUP(Table32[[#This Row],[source2]],Table2210[[Label]:[Weighted Degree]],3,FALSE)),VLOOKUP(Table32[[#This Row],[source2]],Table22[[Label]:[Weighted Degree]],3,FALSE))</f>
        <v>8131</v>
      </c>
      <c r="AM37" s="104">
        <f>IF(ISERROR(VLOOKUP(Table32[[#This Row],[target2]],Table22[[Label]:[Weighted Degree]],3,FALSE)),IF(ISERROR(VLOOKUP(Table32[[#This Row],[target2]],Table2210[[Label]:[Weighted Degree]],3,FALSE)),IF(ISERROR(VLOOKUP(Table32[[#This Row],[target2]],Table2214[[Label]:[Weighted Degree]],3,FALSE)),FALSE,VLOOKUP(Table32[[#This Row],[target2]],Table2214[[Label]:[Weighted Degree]],3,FALSE)),VLOOKUP(Table32[[#This Row],[target2]],Table2210[[Label]:[Weighted Degree]],3,FALSE)),VLOOKUP(Table32[[#This Row],[target2]],Table22[[Label]:[Weighted Degree]],3,FALSE))</f>
        <v>18349</v>
      </c>
    </row>
    <row r="38" spans="1:39" x14ac:dyDescent="0.2">
      <c r="A38" s="14" t="s">
        <v>135</v>
      </c>
      <c r="B38" s="14" t="s">
        <v>131</v>
      </c>
      <c r="C38" s="76" t="s">
        <v>771</v>
      </c>
      <c r="D38" s="14">
        <v>6956</v>
      </c>
      <c r="E38" s="63" t="str">
        <f>IF(ISERROR(VLOOKUP(Table8[[#This Row],[source2]],Table22[Label],1,FALSE)),IF(ISERROR(VLOOKUP(Table8[[#This Row],[source2]],Table2210[Label],1,FALSE)),"SPOKE","FOCUS"),"HUB")</f>
        <v>HUB</v>
      </c>
      <c r="F38" s="63" t="str">
        <f>IF(ISERROR(VLOOKUP(Table8[[#This Row],[target2]],Table22[Label],1,FALSE)),IF(ISERROR(VLOOKUP(Table8[[#This Row],[target2]],Table2210[Label],1,FALSE)),"SPOKE","FOCUS"),"HUB")</f>
        <v>HUB</v>
      </c>
      <c r="G38" s="63" t="str">
        <f>IF(Table8[[#This Row],[source-tyoe]]&lt;Table8[[#This Row],[target-type]],Table8[[#This Row],[target-type]]&amp;"-"&amp;Table8[[#This Row],[source-tyoe]],Table8[[#This Row],[source-tyoe]]&amp;"-"&amp;Table8[[#This Row],[target-type]])</f>
        <v>HUB-HUB</v>
      </c>
      <c r="H38" s="63">
        <f>IF(ISERROR(VLOOKUP(Table8[[#This Row],[source2]],Table22[[Label]:[Weighted Degree]],3,FALSE)),IF(ISERROR(VLOOKUP(Table8[[#This Row],[source2]],Table2210[[Label]:[Weighted Degree]],3,FALSE)),IF(ISERROR(VLOOKUP(Table8[[#This Row],[source2]],Table2214[[Label]:[Weighted Degree]],3,FALSE)),FALSE,VLOOKUP(Table8[[#This Row],[source2]],Table2214[[Label]:[Weighted Degree]],3,FALSE)),VLOOKUP(Table8[[#This Row],[source2]],Table2210[[Label]:[Weighted Degree]],3,FALSE)),VLOOKUP(Table8[[#This Row],[source2]],Table22[[Label]:[Weighted Degree]],3,FALSE))</f>
        <v>23724</v>
      </c>
      <c r="I38" s="63">
        <f>IF(ISERROR(VLOOKUP(Table8[[#This Row],[target2]],Table22[[Label]:[Weighted Degree]],3,FALSE)),IF(ISERROR(VLOOKUP(Table8[[#This Row],[target2]],Table2210[[Label]:[Weighted Degree]],3,FALSE)),IF(ISERROR(VLOOKUP(Table8[[#This Row],[target2]],Table2214[[Label]:[Weighted Degree]],3,FALSE)),FALSE,VLOOKUP(Table8[[#This Row],[target2]],Table2214[[Label]:[Weighted Degree]],3,FALSE)),VLOOKUP(Table8[[#This Row],[target2]],Table2210[[Label]:[Weighted Degree]],3,FALSE)),VLOOKUP(Table8[[#This Row],[target2]],Table22[[Label]:[Weighted Degree]],3,FALSE))</f>
        <v>44350</v>
      </c>
      <c r="J38" s="61"/>
      <c r="K38" s="14" t="s">
        <v>126</v>
      </c>
      <c r="L38" s="14" t="s">
        <v>137</v>
      </c>
      <c r="M38" s="15" t="s">
        <v>361</v>
      </c>
      <c r="N38" s="14">
        <v>2113</v>
      </c>
      <c r="O38" s="14" t="str">
        <f>IF(ISERROR(VLOOKUP(Table29[[#This Row],[source2]],Table22[Label],1,FALSE)),IF(ISERROR(VLOOKUP(Table29[[#This Row],[source2]],Table2210[Label],1,FALSE)),"SPOKE","FOCUS"),"HUB")</f>
        <v>HUB</v>
      </c>
      <c r="P38" s="14" t="str">
        <f>IF(ISERROR(VLOOKUP(Table29[[#This Row],[target2]],Table22[Label],1,FALSE)),IF(ISERROR(VLOOKUP(Table29[[#This Row],[target2]],Table2210[Label],1,FALSE)),"SPOKE","FOCUS"),"HUB")</f>
        <v>HUB</v>
      </c>
      <c r="Q38" s="14" t="str">
        <f>IF(Table29[[#This Row],[source-type]]&lt;Table29[[#This Row],[target-type]],Table29[[#This Row],[target-type]]&amp;"-"&amp;Table29[[#This Row],[source-type]],Table29[[#This Row],[source-type]]&amp;"-"&amp;Table29[[#This Row],[target-type]])</f>
        <v>HUB-HUB</v>
      </c>
      <c r="R38" s="104">
        <f>IF(ISERROR(VLOOKUP(Table29[[#This Row],[source2]],Table22[[Label]:[Weighted Degree]],3,FALSE)),IF(ISERROR(VLOOKUP(Table29[[#This Row],[source2]],Table2210[[Label]:[Weighted Degree]],3,FALSE)),IF(ISERROR(VLOOKUP(Table29[[#This Row],[source2]],Table2214[[Label]:[Weighted Degree]],3,FALSE)),FALSE,VLOOKUP(Table29[[#This Row],[source2]],Table2214[[Label]:[Weighted Degree]],3,FALSE)),VLOOKUP(Table29[[#This Row],[source2]],Table2210[[Label]:[Weighted Degree]],3,FALSE)),VLOOKUP(Table29[[#This Row],[source2]],Table22[[Label]:[Weighted Degree]],3,FALSE))</f>
        <v>36050</v>
      </c>
      <c r="S38" s="104">
        <f>IF(ISERROR(VLOOKUP(Table29[[#This Row],[target2]],Table22[[Label]:[Weighted Degree]],3,FALSE)),IF(ISERROR(VLOOKUP(Table29[[#This Row],[target2]],Table2210[[Label]:[Weighted Degree]],3,FALSE)),IF(ISERROR(VLOOKUP(Table29[[#This Row],[target2]],Table2214[[Label]:[Weighted Degree]],3,FALSE)),FALSE,VLOOKUP(Table29[[#This Row],[target2]],Table2214[[Label]:[Weighted Degree]],3,FALSE)),VLOOKUP(Table29[[#This Row],[target2]],Table2210[[Label]:[Weighted Degree]],3,FALSE)),VLOOKUP(Table29[[#This Row],[target2]],Table22[[Label]:[Weighted Degree]],3,FALSE))</f>
        <v>15166</v>
      </c>
      <c r="U38" s="14" t="s">
        <v>133</v>
      </c>
      <c r="V38" s="14" t="s">
        <v>130</v>
      </c>
      <c r="W38" s="77" t="s">
        <v>738</v>
      </c>
      <c r="X38" s="1">
        <v>8269</v>
      </c>
      <c r="Y38" s="14" t="str">
        <f>IF(ISERROR(VLOOKUP(Table2932[[#This Row],[source]],Table22[Label],1,FALSE)),IF(ISERROR(VLOOKUP(Table2932[[#This Row],[source]],Table2210[Label],1,FALSE)),"SPOKE","FOCUS"),"HUB")</f>
        <v>HUB</v>
      </c>
      <c r="Z38" s="14" t="str">
        <f>IF(ISERROR(VLOOKUP(Table2932[[#This Row],[target]],Table22[Label],1,FALSE)),IF(ISERROR(VLOOKUP(Table2932[[#This Row],[target]],Table2210[Label],1,FALSE)),"SPOKE","FOCUS"),"HUB")</f>
        <v>HUB</v>
      </c>
      <c r="AA38" s="14" t="str">
        <f>IF(Table2932[[#This Row],[source-type]]&lt;Table2932[[#This Row],[target-type]],Table2932[[#This Row],[target-type]]&amp;"-"&amp;Table2932[[#This Row],[source-type]],Table2932[[#This Row],[source-type]]&amp;"-"&amp;Table2932[[#This Row],[target-type]])</f>
        <v>HUB-HUB</v>
      </c>
      <c r="AB38" s="104">
        <f>IF(ISERROR(VLOOKUP(Table2932[[#This Row],[source]],Table22[[Label]:[Weighted Degree]],3,FALSE)),IF(ISERROR(VLOOKUP(Table2932[[#This Row],[source]],Table2210[[Label]:[Weighted Degree]],3,FALSE)),IF(ISERROR(VLOOKUP(Table2932[[#This Row],[source]],Table2214[[Label]:[Weighted Degree]],3,FALSE)),FALSE,VLOOKUP(Table2932[[#This Row],[source]],Table2214[[Label]:[Weighted Degree]],3,FALSE)),VLOOKUP(Table2932[[#This Row],[source]],Table2210[[Label]:[Weighted Degree]],3,FALSE)),VLOOKUP(Table2932[[#This Row],[source]],Table22[[Label]:[Weighted Degree]],3,FALSE))</f>
        <v>39711</v>
      </c>
      <c r="AC38" s="104">
        <f>IF(ISERROR(VLOOKUP(Table2932[[#This Row],[target]],Table22[[Label]:[Weighted Degree]],3,FALSE)),IF(ISERROR(VLOOKUP(Table2932[[#This Row],[target]],Table2210[[Label]:[Weighted Degree]],3,FALSE)),IF(ISERROR(VLOOKUP(Table2932[[#This Row],[target]],Table2214[[Label]:[Weighted Degree]],3,FALSE)),FALSE,VLOOKUP(Table2932[[#This Row],[target]],Table2214[[Label]:[Weighted Degree]],3,FALSE)),VLOOKUP(Table2932[[#This Row],[target]],Table2210[[Label]:[Weighted Degree]],3,FALSE)),VLOOKUP(Table2932[[#This Row],[target]],Table22[[Label]:[Weighted Degree]],3,FALSE))</f>
        <v>28057</v>
      </c>
      <c r="AE38" s="14" t="s">
        <v>131</v>
      </c>
      <c r="AF38" s="14" t="s">
        <v>144</v>
      </c>
      <c r="AG38" s="64" t="s">
        <v>2159</v>
      </c>
      <c r="AH38" s="14">
        <v>6626</v>
      </c>
      <c r="AI38" s="14" t="str">
        <f>IF(ISERROR(VLOOKUP(Table32[[#This Row],[source2]],Table22[Label],1,FALSE)),IF(ISERROR(VLOOKUP(Table32[[#This Row],[source2]],Table2210[Label],1,FALSE)),"SPOKE","FOCUS"),"HUB")</f>
        <v>HUB</v>
      </c>
      <c r="AJ38" s="14" t="str">
        <f>IF(ISERROR(VLOOKUP(Table32[[#This Row],[target2]],Table22[Label],1,FALSE)),IF(ISERROR(VLOOKUP(Table32[[#This Row],[target2]],Table2210[Label],1,FALSE)),"SPOKE","FOCUS"),"HUB")</f>
        <v>FOCUS</v>
      </c>
      <c r="AK38" s="14" t="str">
        <f>IF(Table32[[#This Row],[source-type]]&lt;Table32[[#This Row],[target-type]],Table32[[#This Row],[target-type]]&amp;"-"&amp;Table32[[#This Row],[source-type]],Table32[[#This Row],[source-type]]&amp;"-"&amp;Table32[[#This Row],[target-type]])</f>
        <v>HUB-FOCUS</v>
      </c>
      <c r="AL38" s="104">
        <f>IF(ISERROR(VLOOKUP(Table32[[#This Row],[source2]],Table22[[Label]:[Weighted Degree]],3,FALSE)),IF(ISERROR(VLOOKUP(Table32[[#This Row],[source2]],Table2210[[Label]:[Weighted Degree]],3,FALSE)),IF(ISERROR(VLOOKUP(Table32[[#This Row],[source2]],Table2214[[Label]:[Weighted Degree]],3,FALSE)),FALSE,VLOOKUP(Table32[[#This Row],[source2]],Table2214[[Label]:[Weighted Degree]],3,FALSE)),VLOOKUP(Table32[[#This Row],[source2]],Table2210[[Label]:[Weighted Degree]],3,FALSE)),VLOOKUP(Table32[[#This Row],[source2]],Table22[[Label]:[Weighted Degree]],3,FALSE))</f>
        <v>44350</v>
      </c>
      <c r="AM38" s="104">
        <f>IF(ISERROR(VLOOKUP(Table32[[#This Row],[target2]],Table22[[Label]:[Weighted Degree]],3,FALSE)),IF(ISERROR(VLOOKUP(Table32[[#This Row],[target2]],Table2210[[Label]:[Weighted Degree]],3,FALSE)),IF(ISERROR(VLOOKUP(Table32[[#This Row],[target2]],Table2214[[Label]:[Weighted Degree]],3,FALSE)),FALSE,VLOOKUP(Table32[[#This Row],[target2]],Table2214[[Label]:[Weighted Degree]],3,FALSE)),VLOOKUP(Table32[[#This Row],[target2]],Table2210[[Label]:[Weighted Degree]],3,FALSE)),VLOOKUP(Table32[[#This Row],[target2]],Table22[[Label]:[Weighted Degree]],3,FALSE))</f>
        <v>22088</v>
      </c>
    </row>
    <row r="39" spans="1:39" x14ac:dyDescent="0.2">
      <c r="A39" s="14" t="s">
        <v>131</v>
      </c>
      <c r="B39" s="14" t="s">
        <v>144</v>
      </c>
      <c r="C39" s="76" t="s">
        <v>771</v>
      </c>
      <c r="D39" s="14">
        <v>6626</v>
      </c>
      <c r="E39" s="63" t="str">
        <f>IF(ISERROR(VLOOKUP(Table8[[#This Row],[source2]],Table22[Label],1,FALSE)),IF(ISERROR(VLOOKUP(Table8[[#This Row],[source2]],Table2210[Label],1,FALSE)),"SPOKE","FOCUS"),"HUB")</f>
        <v>HUB</v>
      </c>
      <c r="F39" s="63" t="str">
        <f>IF(ISERROR(VLOOKUP(Table8[[#This Row],[target2]],Table22[Label],1,FALSE)),IF(ISERROR(VLOOKUP(Table8[[#This Row],[target2]],Table2210[Label],1,FALSE)),"SPOKE","FOCUS"),"HUB")</f>
        <v>FOCUS</v>
      </c>
      <c r="G39" s="63" t="str">
        <f>IF(Table8[[#This Row],[source-tyoe]]&lt;Table8[[#This Row],[target-type]],Table8[[#This Row],[target-type]]&amp;"-"&amp;Table8[[#This Row],[source-tyoe]],Table8[[#This Row],[source-tyoe]]&amp;"-"&amp;Table8[[#This Row],[target-type]])</f>
        <v>HUB-FOCUS</v>
      </c>
      <c r="H39" s="63">
        <f>IF(ISERROR(VLOOKUP(Table8[[#This Row],[source2]],Table22[[Label]:[Weighted Degree]],3,FALSE)),IF(ISERROR(VLOOKUP(Table8[[#This Row],[source2]],Table2210[[Label]:[Weighted Degree]],3,FALSE)),IF(ISERROR(VLOOKUP(Table8[[#This Row],[source2]],Table2214[[Label]:[Weighted Degree]],3,FALSE)),FALSE,VLOOKUP(Table8[[#This Row],[source2]],Table2214[[Label]:[Weighted Degree]],3,FALSE)),VLOOKUP(Table8[[#This Row],[source2]],Table2210[[Label]:[Weighted Degree]],3,FALSE)),VLOOKUP(Table8[[#This Row],[source2]],Table22[[Label]:[Weighted Degree]],3,FALSE))</f>
        <v>44350</v>
      </c>
      <c r="I39" s="63">
        <f>IF(ISERROR(VLOOKUP(Table8[[#This Row],[target2]],Table22[[Label]:[Weighted Degree]],3,FALSE)),IF(ISERROR(VLOOKUP(Table8[[#This Row],[target2]],Table2210[[Label]:[Weighted Degree]],3,FALSE)),IF(ISERROR(VLOOKUP(Table8[[#This Row],[target2]],Table2214[[Label]:[Weighted Degree]],3,FALSE)),FALSE,VLOOKUP(Table8[[#This Row],[target2]],Table2214[[Label]:[Weighted Degree]],3,FALSE)),VLOOKUP(Table8[[#This Row],[target2]],Table2210[[Label]:[Weighted Degree]],3,FALSE)),VLOOKUP(Table8[[#This Row],[target2]],Table22[[Label]:[Weighted Degree]],3,FALSE))</f>
        <v>22088</v>
      </c>
      <c r="J39" s="61"/>
      <c r="K39" s="14" t="s">
        <v>138</v>
      </c>
      <c r="L39" s="14" t="s">
        <v>124</v>
      </c>
      <c r="M39" s="15" t="s">
        <v>362</v>
      </c>
      <c r="N39" s="14">
        <v>3288</v>
      </c>
      <c r="O39" s="14" t="str">
        <f>IF(ISERROR(VLOOKUP(Table29[[#This Row],[source2]],Table22[Label],1,FALSE)),IF(ISERROR(VLOOKUP(Table29[[#This Row],[source2]],Table2210[Label],1,FALSE)),"SPOKE","FOCUS"),"HUB")</f>
        <v>HUB</v>
      </c>
      <c r="P39" s="14" t="str">
        <f>IF(ISERROR(VLOOKUP(Table29[[#This Row],[target2]],Table22[Label],1,FALSE)),IF(ISERROR(VLOOKUP(Table29[[#This Row],[target2]],Table2210[Label],1,FALSE)),"SPOKE","FOCUS"),"HUB")</f>
        <v>HUB</v>
      </c>
      <c r="Q39" s="14" t="str">
        <f>IF(Table29[[#This Row],[source-type]]&lt;Table29[[#This Row],[target-type]],Table29[[#This Row],[target-type]]&amp;"-"&amp;Table29[[#This Row],[source-type]],Table29[[#This Row],[source-type]]&amp;"-"&amp;Table29[[#This Row],[target-type]])</f>
        <v>HUB-HUB</v>
      </c>
      <c r="R39" s="104">
        <f>IF(ISERROR(VLOOKUP(Table29[[#This Row],[source2]],Table22[[Label]:[Weighted Degree]],3,FALSE)),IF(ISERROR(VLOOKUP(Table29[[#This Row],[source2]],Table2210[[Label]:[Weighted Degree]],3,FALSE)),IF(ISERROR(VLOOKUP(Table29[[#This Row],[source2]],Table2214[[Label]:[Weighted Degree]],3,FALSE)),FALSE,VLOOKUP(Table29[[#This Row],[source2]],Table2214[[Label]:[Weighted Degree]],3,FALSE)),VLOOKUP(Table29[[#This Row],[source2]],Table2210[[Label]:[Weighted Degree]],3,FALSE)),VLOOKUP(Table29[[#This Row],[source2]],Table22[[Label]:[Weighted Degree]],3,FALSE))</f>
        <v>20047</v>
      </c>
      <c r="S39" s="104">
        <f>IF(ISERROR(VLOOKUP(Table29[[#This Row],[target2]],Table22[[Label]:[Weighted Degree]],3,FALSE)),IF(ISERROR(VLOOKUP(Table29[[#This Row],[target2]],Table2210[[Label]:[Weighted Degree]],3,FALSE)),IF(ISERROR(VLOOKUP(Table29[[#This Row],[target2]],Table2214[[Label]:[Weighted Degree]],3,FALSE)),FALSE,VLOOKUP(Table29[[#This Row],[target2]],Table2214[[Label]:[Weighted Degree]],3,FALSE)),VLOOKUP(Table29[[#This Row],[target2]],Table2210[[Label]:[Weighted Degree]],3,FALSE)),VLOOKUP(Table29[[#This Row],[target2]],Table22[[Label]:[Weighted Degree]],3,FALSE))</f>
        <v>28737</v>
      </c>
      <c r="U39" s="14" t="s">
        <v>133</v>
      </c>
      <c r="V39" s="14" t="s">
        <v>134</v>
      </c>
      <c r="W39" s="77" t="s">
        <v>738</v>
      </c>
      <c r="X39" s="1">
        <v>7566</v>
      </c>
      <c r="Y39" s="14" t="str">
        <f>IF(ISERROR(VLOOKUP(Table2932[[#This Row],[source]],Table22[Label],1,FALSE)),IF(ISERROR(VLOOKUP(Table2932[[#This Row],[source]],Table2210[Label],1,FALSE)),"SPOKE","FOCUS"),"HUB")</f>
        <v>HUB</v>
      </c>
      <c r="Z39" s="14" t="str">
        <f>IF(ISERROR(VLOOKUP(Table2932[[#This Row],[target]],Table22[Label],1,FALSE)),IF(ISERROR(VLOOKUP(Table2932[[#This Row],[target]],Table2210[Label],1,FALSE)),"SPOKE","FOCUS"),"HUB")</f>
        <v>FOCUS</v>
      </c>
      <c r="AA39" s="14" t="str">
        <f>IF(Table2932[[#This Row],[source-type]]&lt;Table2932[[#This Row],[target-type]],Table2932[[#This Row],[target-type]]&amp;"-"&amp;Table2932[[#This Row],[source-type]],Table2932[[#This Row],[source-type]]&amp;"-"&amp;Table2932[[#This Row],[target-type]])</f>
        <v>HUB-FOCUS</v>
      </c>
      <c r="AB39" s="104">
        <f>IF(ISERROR(VLOOKUP(Table2932[[#This Row],[source]],Table22[[Label]:[Weighted Degree]],3,FALSE)),IF(ISERROR(VLOOKUP(Table2932[[#This Row],[source]],Table2210[[Label]:[Weighted Degree]],3,FALSE)),IF(ISERROR(VLOOKUP(Table2932[[#This Row],[source]],Table2214[[Label]:[Weighted Degree]],3,FALSE)),FALSE,VLOOKUP(Table2932[[#This Row],[source]],Table2214[[Label]:[Weighted Degree]],3,FALSE)),VLOOKUP(Table2932[[#This Row],[source]],Table2210[[Label]:[Weighted Degree]],3,FALSE)),VLOOKUP(Table2932[[#This Row],[source]],Table22[[Label]:[Weighted Degree]],3,FALSE))</f>
        <v>39711</v>
      </c>
      <c r="AC39" s="104">
        <f>IF(ISERROR(VLOOKUP(Table2932[[#This Row],[target]],Table22[[Label]:[Weighted Degree]],3,FALSE)),IF(ISERROR(VLOOKUP(Table2932[[#This Row],[target]],Table2210[[Label]:[Weighted Degree]],3,FALSE)),IF(ISERROR(VLOOKUP(Table2932[[#This Row],[target]],Table2214[[Label]:[Weighted Degree]],3,FALSE)),FALSE,VLOOKUP(Table2932[[#This Row],[target]],Table2214[[Label]:[Weighted Degree]],3,FALSE)),VLOOKUP(Table2932[[#This Row],[target]],Table2210[[Label]:[Weighted Degree]],3,FALSE)),VLOOKUP(Table2932[[#This Row],[target]],Table22[[Label]:[Weighted Degree]],3,FALSE))</f>
        <v>26074</v>
      </c>
      <c r="AE39" s="14" t="s">
        <v>133</v>
      </c>
      <c r="AF39" s="14" t="s">
        <v>134</v>
      </c>
      <c r="AG39" s="64" t="s">
        <v>1209</v>
      </c>
      <c r="AH39" s="14">
        <v>7566</v>
      </c>
      <c r="AI39" s="14" t="str">
        <f>IF(ISERROR(VLOOKUP(Table32[[#This Row],[source2]],Table22[Label],1,FALSE)),IF(ISERROR(VLOOKUP(Table32[[#This Row],[source2]],Table2210[Label],1,FALSE)),"SPOKE","FOCUS"),"HUB")</f>
        <v>HUB</v>
      </c>
      <c r="AJ39" s="14" t="str">
        <f>IF(ISERROR(VLOOKUP(Table32[[#This Row],[target2]],Table22[Label],1,FALSE)),IF(ISERROR(VLOOKUP(Table32[[#This Row],[target2]],Table2210[Label],1,FALSE)),"SPOKE","FOCUS"),"HUB")</f>
        <v>FOCUS</v>
      </c>
      <c r="AK39" s="14" t="str">
        <f>IF(Table32[[#This Row],[source-type]]&lt;Table32[[#This Row],[target-type]],Table32[[#This Row],[target-type]]&amp;"-"&amp;Table32[[#This Row],[source-type]],Table32[[#This Row],[source-type]]&amp;"-"&amp;Table32[[#This Row],[target-type]])</f>
        <v>HUB-FOCUS</v>
      </c>
      <c r="AL39" s="104">
        <f>IF(ISERROR(VLOOKUP(Table32[[#This Row],[source2]],Table22[[Label]:[Weighted Degree]],3,FALSE)),IF(ISERROR(VLOOKUP(Table32[[#This Row],[source2]],Table2210[[Label]:[Weighted Degree]],3,FALSE)),IF(ISERROR(VLOOKUP(Table32[[#This Row],[source2]],Table2214[[Label]:[Weighted Degree]],3,FALSE)),FALSE,VLOOKUP(Table32[[#This Row],[source2]],Table2214[[Label]:[Weighted Degree]],3,FALSE)),VLOOKUP(Table32[[#This Row],[source2]],Table2210[[Label]:[Weighted Degree]],3,FALSE)),VLOOKUP(Table32[[#This Row],[source2]],Table22[[Label]:[Weighted Degree]],3,FALSE))</f>
        <v>39711</v>
      </c>
      <c r="AM39" s="104">
        <f>IF(ISERROR(VLOOKUP(Table32[[#This Row],[target2]],Table22[[Label]:[Weighted Degree]],3,FALSE)),IF(ISERROR(VLOOKUP(Table32[[#This Row],[target2]],Table2210[[Label]:[Weighted Degree]],3,FALSE)),IF(ISERROR(VLOOKUP(Table32[[#This Row],[target2]],Table2214[[Label]:[Weighted Degree]],3,FALSE)),FALSE,VLOOKUP(Table32[[#This Row],[target2]],Table2214[[Label]:[Weighted Degree]],3,FALSE)),VLOOKUP(Table32[[#This Row],[target2]],Table2210[[Label]:[Weighted Degree]],3,FALSE)),VLOOKUP(Table32[[#This Row],[target2]],Table22[[Label]:[Weighted Degree]],3,FALSE))</f>
        <v>26074</v>
      </c>
    </row>
    <row r="40" spans="1:39" x14ac:dyDescent="0.2">
      <c r="A40" s="14" t="s">
        <v>146</v>
      </c>
      <c r="B40" s="14" t="s">
        <v>139</v>
      </c>
      <c r="C40" s="76" t="s">
        <v>771</v>
      </c>
      <c r="D40" s="14">
        <v>5512</v>
      </c>
      <c r="E40" s="63" t="str">
        <f>IF(ISERROR(VLOOKUP(Table8[[#This Row],[source2]],Table22[Label],1,FALSE)),IF(ISERROR(VLOOKUP(Table8[[#This Row],[source2]],Table2210[Label],1,FALSE)),"SPOKE","FOCUS"),"HUB")</f>
        <v>FOCUS</v>
      </c>
      <c r="F40" s="63" t="str">
        <f>IF(ISERROR(VLOOKUP(Table8[[#This Row],[target2]],Table22[Label],1,FALSE)),IF(ISERROR(VLOOKUP(Table8[[#This Row],[target2]],Table2210[Label],1,FALSE)),"SPOKE","FOCUS"),"HUB")</f>
        <v>HUB</v>
      </c>
      <c r="G40" s="63" t="str">
        <f>IF(Table8[[#This Row],[source-tyoe]]&lt;Table8[[#This Row],[target-type]],Table8[[#This Row],[target-type]]&amp;"-"&amp;Table8[[#This Row],[source-tyoe]],Table8[[#This Row],[source-tyoe]]&amp;"-"&amp;Table8[[#This Row],[target-type]])</f>
        <v>HUB-FOCUS</v>
      </c>
      <c r="H40" s="63">
        <f>IF(ISERROR(VLOOKUP(Table8[[#This Row],[source2]],Table22[[Label]:[Weighted Degree]],3,FALSE)),IF(ISERROR(VLOOKUP(Table8[[#This Row],[source2]],Table2210[[Label]:[Weighted Degree]],3,FALSE)),IF(ISERROR(VLOOKUP(Table8[[#This Row],[source2]],Table2214[[Label]:[Weighted Degree]],3,FALSE)),FALSE,VLOOKUP(Table8[[#This Row],[source2]],Table2214[[Label]:[Weighted Degree]],3,FALSE)),VLOOKUP(Table8[[#This Row],[source2]],Table2210[[Label]:[Weighted Degree]],3,FALSE)),VLOOKUP(Table8[[#This Row],[source2]],Table22[[Label]:[Weighted Degree]],3,FALSE))</f>
        <v>22882</v>
      </c>
      <c r="I40" s="63">
        <f>IF(ISERROR(VLOOKUP(Table8[[#This Row],[target2]],Table22[[Label]:[Weighted Degree]],3,FALSE)),IF(ISERROR(VLOOKUP(Table8[[#This Row],[target2]],Table2210[[Label]:[Weighted Degree]],3,FALSE)),IF(ISERROR(VLOOKUP(Table8[[#This Row],[target2]],Table2214[[Label]:[Weighted Degree]],3,FALSE)),FALSE,VLOOKUP(Table8[[#This Row],[target2]],Table2214[[Label]:[Weighted Degree]],3,FALSE)),VLOOKUP(Table8[[#This Row],[target2]],Table2210[[Label]:[Weighted Degree]],3,FALSE)),VLOOKUP(Table8[[#This Row],[target2]],Table22[[Label]:[Weighted Degree]],3,FALSE))</f>
        <v>31784</v>
      </c>
      <c r="J40" s="61"/>
      <c r="K40" s="14" t="s">
        <v>152</v>
      </c>
      <c r="L40" s="14" t="s">
        <v>129</v>
      </c>
      <c r="M40" s="15" t="s">
        <v>363</v>
      </c>
      <c r="N40" s="14">
        <v>1005</v>
      </c>
      <c r="O40" s="14" t="str">
        <f>IF(ISERROR(VLOOKUP(Table29[[#This Row],[source2]],Table22[Label],1,FALSE)),IF(ISERROR(VLOOKUP(Table29[[#This Row],[source2]],Table2210[Label],1,FALSE)),"SPOKE","FOCUS"),"HUB")</f>
        <v>SPOKE</v>
      </c>
      <c r="P40" s="14" t="str">
        <f>IF(ISERROR(VLOOKUP(Table29[[#This Row],[target2]],Table22[Label],1,FALSE)),IF(ISERROR(VLOOKUP(Table29[[#This Row],[target2]],Table2210[Label],1,FALSE)),"SPOKE","FOCUS"),"HUB")</f>
        <v>HUB</v>
      </c>
      <c r="Q40" s="14" t="str">
        <f>IF(Table29[[#This Row],[source-type]]&lt;Table29[[#This Row],[target-type]],Table29[[#This Row],[target-type]]&amp;"-"&amp;Table29[[#This Row],[source-type]],Table29[[#This Row],[source-type]]&amp;"-"&amp;Table29[[#This Row],[target-type]])</f>
        <v>SPOKE-HUB</v>
      </c>
      <c r="R40" s="104">
        <f>IF(ISERROR(VLOOKUP(Table29[[#This Row],[source2]],Table22[[Label]:[Weighted Degree]],3,FALSE)),IF(ISERROR(VLOOKUP(Table29[[#This Row],[source2]],Table2210[[Label]:[Weighted Degree]],3,FALSE)),IF(ISERROR(VLOOKUP(Table29[[#This Row],[source2]],Table2214[[Label]:[Weighted Degree]],3,FALSE)),FALSE,VLOOKUP(Table29[[#This Row],[source2]],Table2214[[Label]:[Weighted Degree]],3,FALSE)),VLOOKUP(Table29[[#This Row],[source2]],Table2210[[Label]:[Weighted Degree]],3,FALSE)),VLOOKUP(Table29[[#This Row],[source2]],Table22[[Label]:[Weighted Degree]],3,FALSE))</f>
        <v>9094</v>
      </c>
      <c r="S40" s="104">
        <f>IF(ISERROR(VLOOKUP(Table29[[#This Row],[target2]],Table22[[Label]:[Weighted Degree]],3,FALSE)),IF(ISERROR(VLOOKUP(Table29[[#This Row],[target2]],Table2210[[Label]:[Weighted Degree]],3,FALSE)),IF(ISERROR(VLOOKUP(Table29[[#This Row],[target2]],Table2214[[Label]:[Weighted Degree]],3,FALSE)),FALSE,VLOOKUP(Table29[[#This Row],[target2]],Table2214[[Label]:[Weighted Degree]],3,FALSE)),VLOOKUP(Table29[[#This Row],[target2]],Table2210[[Label]:[Weighted Degree]],3,FALSE)),VLOOKUP(Table29[[#This Row],[target2]],Table22[[Label]:[Weighted Degree]],3,FALSE))</f>
        <v>18390</v>
      </c>
      <c r="U40" s="14" t="s">
        <v>146</v>
      </c>
      <c r="V40" s="14" t="s">
        <v>139</v>
      </c>
      <c r="W40" s="77" t="s">
        <v>738</v>
      </c>
      <c r="X40" s="1">
        <v>5512</v>
      </c>
      <c r="Y40" s="14" t="str">
        <f>IF(ISERROR(VLOOKUP(Table2932[[#This Row],[source]],Table22[Label],1,FALSE)),IF(ISERROR(VLOOKUP(Table2932[[#This Row],[source]],Table2210[Label],1,FALSE)),"SPOKE","FOCUS"),"HUB")</f>
        <v>FOCUS</v>
      </c>
      <c r="Z40" s="14" t="str">
        <f>IF(ISERROR(VLOOKUP(Table2932[[#This Row],[target]],Table22[Label],1,FALSE)),IF(ISERROR(VLOOKUP(Table2932[[#This Row],[target]],Table2210[Label],1,FALSE)),"SPOKE","FOCUS"),"HUB")</f>
        <v>HUB</v>
      </c>
      <c r="AA40" s="14" t="str">
        <f>IF(Table2932[[#This Row],[source-type]]&lt;Table2932[[#This Row],[target-type]],Table2932[[#This Row],[target-type]]&amp;"-"&amp;Table2932[[#This Row],[source-type]],Table2932[[#This Row],[source-type]]&amp;"-"&amp;Table2932[[#This Row],[target-type]])</f>
        <v>HUB-FOCUS</v>
      </c>
      <c r="AB40" s="104">
        <f>IF(ISERROR(VLOOKUP(Table2932[[#This Row],[source]],Table22[[Label]:[Weighted Degree]],3,FALSE)),IF(ISERROR(VLOOKUP(Table2932[[#This Row],[source]],Table2210[[Label]:[Weighted Degree]],3,FALSE)),IF(ISERROR(VLOOKUP(Table2932[[#This Row],[source]],Table2214[[Label]:[Weighted Degree]],3,FALSE)),FALSE,VLOOKUP(Table2932[[#This Row],[source]],Table2214[[Label]:[Weighted Degree]],3,FALSE)),VLOOKUP(Table2932[[#This Row],[source]],Table2210[[Label]:[Weighted Degree]],3,FALSE)),VLOOKUP(Table2932[[#This Row],[source]],Table22[[Label]:[Weighted Degree]],3,FALSE))</f>
        <v>22882</v>
      </c>
      <c r="AC40" s="104">
        <f>IF(ISERROR(VLOOKUP(Table2932[[#This Row],[target]],Table22[[Label]:[Weighted Degree]],3,FALSE)),IF(ISERROR(VLOOKUP(Table2932[[#This Row],[target]],Table2210[[Label]:[Weighted Degree]],3,FALSE)),IF(ISERROR(VLOOKUP(Table2932[[#This Row],[target]],Table2214[[Label]:[Weighted Degree]],3,FALSE)),FALSE,VLOOKUP(Table2932[[#This Row],[target]],Table2214[[Label]:[Weighted Degree]],3,FALSE)),VLOOKUP(Table2932[[#This Row],[target]],Table2210[[Label]:[Weighted Degree]],3,FALSE)),VLOOKUP(Table2932[[#This Row],[target]],Table22[[Label]:[Weighted Degree]],3,FALSE))</f>
        <v>31784</v>
      </c>
      <c r="AE40" s="14" t="s">
        <v>133</v>
      </c>
      <c r="AF40" s="14" t="s">
        <v>130</v>
      </c>
      <c r="AG40" s="64" t="s">
        <v>1206</v>
      </c>
      <c r="AH40" s="14">
        <v>8269</v>
      </c>
      <c r="AI40" s="14" t="str">
        <f>IF(ISERROR(VLOOKUP(Table32[[#This Row],[source2]],Table22[Label],1,FALSE)),IF(ISERROR(VLOOKUP(Table32[[#This Row],[source2]],Table2210[Label],1,FALSE)),"SPOKE","FOCUS"),"HUB")</f>
        <v>HUB</v>
      </c>
      <c r="AJ40" s="14" t="str">
        <f>IF(ISERROR(VLOOKUP(Table32[[#This Row],[target2]],Table22[Label],1,FALSE)),IF(ISERROR(VLOOKUP(Table32[[#This Row],[target2]],Table2210[Label],1,FALSE)),"SPOKE","FOCUS"),"HUB")</f>
        <v>HUB</v>
      </c>
      <c r="AK40" s="14" t="str">
        <f>IF(Table32[[#This Row],[source-type]]&lt;Table32[[#This Row],[target-type]],Table32[[#This Row],[target-type]]&amp;"-"&amp;Table32[[#This Row],[source-type]],Table32[[#This Row],[source-type]]&amp;"-"&amp;Table32[[#This Row],[target-type]])</f>
        <v>HUB-HUB</v>
      </c>
      <c r="AL40" s="104">
        <f>IF(ISERROR(VLOOKUP(Table32[[#This Row],[source2]],Table22[[Label]:[Weighted Degree]],3,FALSE)),IF(ISERROR(VLOOKUP(Table32[[#This Row],[source2]],Table2210[[Label]:[Weighted Degree]],3,FALSE)),IF(ISERROR(VLOOKUP(Table32[[#This Row],[source2]],Table2214[[Label]:[Weighted Degree]],3,FALSE)),FALSE,VLOOKUP(Table32[[#This Row],[source2]],Table2214[[Label]:[Weighted Degree]],3,FALSE)),VLOOKUP(Table32[[#This Row],[source2]],Table2210[[Label]:[Weighted Degree]],3,FALSE)),VLOOKUP(Table32[[#This Row],[source2]],Table22[[Label]:[Weighted Degree]],3,FALSE))</f>
        <v>39711</v>
      </c>
      <c r="AM40" s="104">
        <f>IF(ISERROR(VLOOKUP(Table32[[#This Row],[target2]],Table22[[Label]:[Weighted Degree]],3,FALSE)),IF(ISERROR(VLOOKUP(Table32[[#This Row],[target2]],Table2210[[Label]:[Weighted Degree]],3,FALSE)),IF(ISERROR(VLOOKUP(Table32[[#This Row],[target2]],Table2214[[Label]:[Weighted Degree]],3,FALSE)),FALSE,VLOOKUP(Table32[[#This Row],[target2]],Table2214[[Label]:[Weighted Degree]],3,FALSE)),VLOOKUP(Table32[[#This Row],[target2]],Table2210[[Label]:[Weighted Degree]],3,FALSE)),VLOOKUP(Table32[[#This Row],[target2]],Table22[[Label]:[Weighted Degree]],3,FALSE))</f>
        <v>28057</v>
      </c>
    </row>
    <row r="41" spans="1:39" x14ac:dyDescent="0.2">
      <c r="A41" s="14" t="s">
        <v>133</v>
      </c>
      <c r="B41" s="14" t="s">
        <v>139</v>
      </c>
      <c r="C41" s="76" t="s">
        <v>771</v>
      </c>
      <c r="D41" s="14">
        <v>3906</v>
      </c>
      <c r="E41" s="63" t="str">
        <f>IF(ISERROR(VLOOKUP(Table8[[#This Row],[source2]],Table22[Label],1,FALSE)),IF(ISERROR(VLOOKUP(Table8[[#This Row],[source2]],Table2210[Label],1,FALSE)),"SPOKE","FOCUS"),"HUB")</f>
        <v>HUB</v>
      </c>
      <c r="F41" s="63" t="str">
        <f>IF(ISERROR(VLOOKUP(Table8[[#This Row],[target2]],Table22[Label],1,FALSE)),IF(ISERROR(VLOOKUP(Table8[[#This Row],[target2]],Table2210[Label],1,FALSE)),"SPOKE","FOCUS"),"HUB")</f>
        <v>HUB</v>
      </c>
      <c r="G41" s="63" t="str">
        <f>IF(Table8[[#This Row],[source-tyoe]]&lt;Table8[[#This Row],[target-type]],Table8[[#This Row],[target-type]]&amp;"-"&amp;Table8[[#This Row],[source-tyoe]],Table8[[#This Row],[source-tyoe]]&amp;"-"&amp;Table8[[#This Row],[target-type]])</f>
        <v>HUB-HUB</v>
      </c>
      <c r="H41" s="63">
        <f>IF(ISERROR(VLOOKUP(Table8[[#This Row],[source2]],Table22[[Label]:[Weighted Degree]],3,FALSE)),IF(ISERROR(VLOOKUP(Table8[[#This Row],[source2]],Table2210[[Label]:[Weighted Degree]],3,FALSE)),IF(ISERROR(VLOOKUP(Table8[[#This Row],[source2]],Table2214[[Label]:[Weighted Degree]],3,FALSE)),FALSE,VLOOKUP(Table8[[#This Row],[source2]],Table2214[[Label]:[Weighted Degree]],3,FALSE)),VLOOKUP(Table8[[#This Row],[source2]],Table2210[[Label]:[Weighted Degree]],3,FALSE)),VLOOKUP(Table8[[#This Row],[source2]],Table22[[Label]:[Weighted Degree]],3,FALSE))</f>
        <v>39711</v>
      </c>
      <c r="I41" s="63">
        <f>IF(ISERROR(VLOOKUP(Table8[[#This Row],[target2]],Table22[[Label]:[Weighted Degree]],3,FALSE)),IF(ISERROR(VLOOKUP(Table8[[#This Row],[target2]],Table2210[[Label]:[Weighted Degree]],3,FALSE)),IF(ISERROR(VLOOKUP(Table8[[#This Row],[target2]],Table2214[[Label]:[Weighted Degree]],3,FALSE)),FALSE,VLOOKUP(Table8[[#This Row],[target2]],Table2214[[Label]:[Weighted Degree]],3,FALSE)),VLOOKUP(Table8[[#This Row],[target2]],Table2210[[Label]:[Weighted Degree]],3,FALSE)),VLOOKUP(Table8[[#This Row],[target2]],Table22[[Label]:[Weighted Degree]],3,FALSE))</f>
        <v>31784</v>
      </c>
      <c r="J41" s="61"/>
      <c r="K41" s="14" t="s">
        <v>146</v>
      </c>
      <c r="L41" s="14" t="s">
        <v>139</v>
      </c>
      <c r="M41" s="15" t="s">
        <v>364</v>
      </c>
      <c r="N41" s="14">
        <v>2252</v>
      </c>
      <c r="O41" s="14" t="str">
        <f>IF(ISERROR(VLOOKUP(Table29[[#This Row],[source2]],Table22[Label],1,FALSE)),IF(ISERROR(VLOOKUP(Table29[[#This Row],[source2]],Table2210[Label],1,FALSE)),"SPOKE","FOCUS"),"HUB")</f>
        <v>FOCUS</v>
      </c>
      <c r="P41" s="14" t="str">
        <f>IF(ISERROR(VLOOKUP(Table29[[#This Row],[target2]],Table22[Label],1,FALSE)),IF(ISERROR(VLOOKUP(Table29[[#This Row],[target2]],Table2210[Label],1,FALSE)),"SPOKE","FOCUS"),"HUB")</f>
        <v>HUB</v>
      </c>
      <c r="Q41" s="14" t="str">
        <f>IF(Table29[[#This Row],[source-type]]&lt;Table29[[#This Row],[target-type]],Table29[[#This Row],[target-type]]&amp;"-"&amp;Table29[[#This Row],[source-type]],Table29[[#This Row],[source-type]]&amp;"-"&amp;Table29[[#This Row],[target-type]])</f>
        <v>HUB-FOCUS</v>
      </c>
      <c r="R41" s="104">
        <f>IF(ISERROR(VLOOKUP(Table29[[#This Row],[source2]],Table22[[Label]:[Weighted Degree]],3,FALSE)),IF(ISERROR(VLOOKUP(Table29[[#This Row],[source2]],Table2210[[Label]:[Weighted Degree]],3,FALSE)),IF(ISERROR(VLOOKUP(Table29[[#This Row],[source2]],Table2214[[Label]:[Weighted Degree]],3,FALSE)),FALSE,VLOOKUP(Table29[[#This Row],[source2]],Table2214[[Label]:[Weighted Degree]],3,FALSE)),VLOOKUP(Table29[[#This Row],[source2]],Table2210[[Label]:[Weighted Degree]],3,FALSE)),VLOOKUP(Table29[[#This Row],[source2]],Table22[[Label]:[Weighted Degree]],3,FALSE))</f>
        <v>22882</v>
      </c>
      <c r="S41" s="104">
        <f>IF(ISERROR(VLOOKUP(Table29[[#This Row],[target2]],Table22[[Label]:[Weighted Degree]],3,FALSE)),IF(ISERROR(VLOOKUP(Table29[[#This Row],[target2]],Table2210[[Label]:[Weighted Degree]],3,FALSE)),IF(ISERROR(VLOOKUP(Table29[[#This Row],[target2]],Table2214[[Label]:[Weighted Degree]],3,FALSE)),FALSE,VLOOKUP(Table29[[#This Row],[target2]],Table2214[[Label]:[Weighted Degree]],3,FALSE)),VLOOKUP(Table29[[#This Row],[target2]],Table2210[[Label]:[Weighted Degree]],3,FALSE)),VLOOKUP(Table29[[#This Row],[target2]],Table22[[Label]:[Weighted Degree]],3,FALSE))</f>
        <v>31784</v>
      </c>
      <c r="U41" s="14" t="s">
        <v>127</v>
      </c>
      <c r="V41" s="14" t="s">
        <v>147</v>
      </c>
      <c r="W41" s="77" t="s">
        <v>738</v>
      </c>
      <c r="X41" s="1">
        <v>4081</v>
      </c>
      <c r="Y41" s="14" t="str">
        <f>IF(ISERROR(VLOOKUP(Table2932[[#This Row],[source]],Table22[Label],1,FALSE)),IF(ISERROR(VLOOKUP(Table2932[[#This Row],[source]],Table2210[Label],1,FALSE)),"SPOKE","FOCUS"),"HUB")</f>
        <v>HUB</v>
      </c>
      <c r="Z41" s="14" t="str">
        <f>IF(ISERROR(VLOOKUP(Table2932[[#This Row],[target]],Table22[Label],1,FALSE)),IF(ISERROR(VLOOKUP(Table2932[[#This Row],[target]],Table2210[Label],1,FALSE)),"SPOKE","FOCUS"),"HUB")</f>
        <v>SPOKE</v>
      </c>
      <c r="AA41" s="14" t="str">
        <f>IF(Table2932[[#This Row],[source-type]]&lt;Table2932[[#This Row],[target-type]],Table2932[[#This Row],[target-type]]&amp;"-"&amp;Table2932[[#This Row],[source-type]],Table2932[[#This Row],[source-type]]&amp;"-"&amp;Table2932[[#This Row],[target-type]])</f>
        <v>SPOKE-HUB</v>
      </c>
      <c r="AB41" s="104">
        <f>IF(ISERROR(VLOOKUP(Table2932[[#This Row],[source]],Table22[[Label]:[Weighted Degree]],3,FALSE)),IF(ISERROR(VLOOKUP(Table2932[[#This Row],[source]],Table2210[[Label]:[Weighted Degree]],3,FALSE)),IF(ISERROR(VLOOKUP(Table2932[[#This Row],[source]],Table2214[[Label]:[Weighted Degree]],3,FALSE)),FALSE,VLOOKUP(Table2932[[#This Row],[source]],Table2214[[Label]:[Weighted Degree]],3,FALSE)),VLOOKUP(Table2932[[#This Row],[source]],Table2210[[Label]:[Weighted Degree]],3,FALSE)),VLOOKUP(Table2932[[#This Row],[source]],Table22[[Label]:[Weighted Degree]],3,FALSE))</f>
        <v>24221</v>
      </c>
      <c r="AC41" s="104">
        <f>IF(ISERROR(VLOOKUP(Table2932[[#This Row],[target]],Table22[[Label]:[Weighted Degree]],3,FALSE)),IF(ISERROR(VLOOKUP(Table2932[[#This Row],[target]],Table2210[[Label]:[Weighted Degree]],3,FALSE)),IF(ISERROR(VLOOKUP(Table2932[[#This Row],[target]],Table2214[[Label]:[Weighted Degree]],3,FALSE)),FALSE,VLOOKUP(Table2932[[#This Row],[target]],Table2214[[Label]:[Weighted Degree]],3,FALSE)),VLOOKUP(Table2932[[#This Row],[target]],Table2210[[Label]:[Weighted Degree]],3,FALSE)),VLOOKUP(Table2932[[#This Row],[target]],Table22[[Label]:[Weighted Degree]],3,FALSE))</f>
        <v>14467</v>
      </c>
      <c r="AE41" s="14" t="s">
        <v>127</v>
      </c>
      <c r="AF41" s="14" t="s">
        <v>147</v>
      </c>
      <c r="AG41" s="64" t="s">
        <v>1995</v>
      </c>
      <c r="AH41" s="14">
        <v>4081</v>
      </c>
      <c r="AI41" s="14" t="str">
        <f>IF(ISERROR(VLOOKUP(Table32[[#This Row],[source2]],Table22[Label],1,FALSE)),IF(ISERROR(VLOOKUP(Table32[[#This Row],[source2]],Table2210[Label],1,FALSE)),"SPOKE","FOCUS"),"HUB")</f>
        <v>HUB</v>
      </c>
      <c r="AJ41" s="14" t="str">
        <f>IF(ISERROR(VLOOKUP(Table32[[#This Row],[target2]],Table22[Label],1,FALSE)),IF(ISERROR(VLOOKUP(Table32[[#This Row],[target2]],Table2210[Label],1,FALSE)),"SPOKE","FOCUS"),"HUB")</f>
        <v>SPOKE</v>
      </c>
      <c r="AK41" s="14" t="str">
        <f>IF(Table32[[#This Row],[source-type]]&lt;Table32[[#This Row],[target-type]],Table32[[#This Row],[target-type]]&amp;"-"&amp;Table32[[#This Row],[source-type]],Table32[[#This Row],[source-type]]&amp;"-"&amp;Table32[[#This Row],[target-type]])</f>
        <v>SPOKE-HUB</v>
      </c>
      <c r="AL41" s="104">
        <f>IF(ISERROR(VLOOKUP(Table32[[#This Row],[source2]],Table22[[Label]:[Weighted Degree]],3,FALSE)),IF(ISERROR(VLOOKUP(Table32[[#This Row],[source2]],Table2210[[Label]:[Weighted Degree]],3,FALSE)),IF(ISERROR(VLOOKUP(Table32[[#This Row],[source2]],Table2214[[Label]:[Weighted Degree]],3,FALSE)),FALSE,VLOOKUP(Table32[[#This Row],[source2]],Table2214[[Label]:[Weighted Degree]],3,FALSE)),VLOOKUP(Table32[[#This Row],[source2]],Table2210[[Label]:[Weighted Degree]],3,FALSE)),VLOOKUP(Table32[[#This Row],[source2]],Table22[[Label]:[Weighted Degree]],3,FALSE))</f>
        <v>24221</v>
      </c>
      <c r="AM41" s="104">
        <f>IF(ISERROR(VLOOKUP(Table32[[#This Row],[target2]],Table22[[Label]:[Weighted Degree]],3,FALSE)),IF(ISERROR(VLOOKUP(Table32[[#This Row],[target2]],Table2210[[Label]:[Weighted Degree]],3,FALSE)),IF(ISERROR(VLOOKUP(Table32[[#This Row],[target2]],Table2214[[Label]:[Weighted Degree]],3,FALSE)),FALSE,VLOOKUP(Table32[[#This Row],[target2]],Table2214[[Label]:[Weighted Degree]],3,FALSE)),VLOOKUP(Table32[[#This Row],[target2]],Table2210[[Label]:[Weighted Degree]],3,FALSE)),VLOOKUP(Table32[[#This Row],[target2]],Table22[[Label]:[Weighted Degree]],3,FALSE))</f>
        <v>14467</v>
      </c>
    </row>
    <row r="42" spans="1:39" x14ac:dyDescent="0.2">
      <c r="A42" s="14" t="s">
        <v>127</v>
      </c>
      <c r="B42" s="14" t="s">
        <v>147</v>
      </c>
      <c r="C42" s="76" t="s">
        <v>771</v>
      </c>
      <c r="D42" s="14">
        <v>4081</v>
      </c>
      <c r="E42" s="63" t="str">
        <f>IF(ISERROR(VLOOKUP(Table8[[#This Row],[source2]],Table22[Label],1,FALSE)),IF(ISERROR(VLOOKUP(Table8[[#This Row],[source2]],Table2210[Label],1,FALSE)),"SPOKE","FOCUS"),"HUB")</f>
        <v>HUB</v>
      </c>
      <c r="F42" s="63" t="str">
        <f>IF(ISERROR(VLOOKUP(Table8[[#This Row],[target2]],Table22[Label],1,FALSE)),IF(ISERROR(VLOOKUP(Table8[[#This Row],[target2]],Table2210[Label],1,FALSE)),"SPOKE","FOCUS"),"HUB")</f>
        <v>SPOKE</v>
      </c>
      <c r="G42" s="63" t="str">
        <f>IF(Table8[[#This Row],[source-tyoe]]&lt;Table8[[#This Row],[target-type]],Table8[[#This Row],[target-type]]&amp;"-"&amp;Table8[[#This Row],[source-tyoe]],Table8[[#This Row],[source-tyoe]]&amp;"-"&amp;Table8[[#This Row],[target-type]])</f>
        <v>SPOKE-HUB</v>
      </c>
      <c r="H42" s="63">
        <f>IF(ISERROR(VLOOKUP(Table8[[#This Row],[source2]],Table22[[Label]:[Weighted Degree]],3,FALSE)),IF(ISERROR(VLOOKUP(Table8[[#This Row],[source2]],Table2210[[Label]:[Weighted Degree]],3,FALSE)),IF(ISERROR(VLOOKUP(Table8[[#This Row],[source2]],Table2214[[Label]:[Weighted Degree]],3,FALSE)),FALSE,VLOOKUP(Table8[[#This Row],[source2]],Table2214[[Label]:[Weighted Degree]],3,FALSE)),VLOOKUP(Table8[[#This Row],[source2]],Table2210[[Label]:[Weighted Degree]],3,FALSE)),VLOOKUP(Table8[[#This Row],[source2]],Table22[[Label]:[Weighted Degree]],3,FALSE))</f>
        <v>24221</v>
      </c>
      <c r="I42" s="63">
        <f>IF(ISERROR(VLOOKUP(Table8[[#This Row],[target2]],Table22[[Label]:[Weighted Degree]],3,FALSE)),IF(ISERROR(VLOOKUP(Table8[[#This Row],[target2]],Table2210[[Label]:[Weighted Degree]],3,FALSE)),IF(ISERROR(VLOOKUP(Table8[[#This Row],[target2]],Table2214[[Label]:[Weighted Degree]],3,FALSE)),FALSE,VLOOKUP(Table8[[#This Row],[target2]],Table2214[[Label]:[Weighted Degree]],3,FALSE)),VLOOKUP(Table8[[#This Row],[target2]],Table2210[[Label]:[Weighted Degree]],3,FALSE)),VLOOKUP(Table8[[#This Row],[target2]],Table22[[Label]:[Weighted Degree]],3,FALSE))</f>
        <v>14467</v>
      </c>
      <c r="J42" s="61"/>
      <c r="K42" s="14" t="s">
        <v>129</v>
      </c>
      <c r="L42" s="14" t="s">
        <v>148</v>
      </c>
      <c r="M42" s="15" t="s">
        <v>365</v>
      </c>
      <c r="N42" s="14">
        <v>1390</v>
      </c>
      <c r="O42" s="14" t="str">
        <f>IF(ISERROR(VLOOKUP(Table29[[#This Row],[source2]],Table22[Label],1,FALSE)),IF(ISERROR(VLOOKUP(Table29[[#This Row],[source2]],Table2210[Label],1,FALSE)),"SPOKE","FOCUS"),"HUB")</f>
        <v>HUB</v>
      </c>
      <c r="P42" s="14" t="str">
        <f>IF(ISERROR(VLOOKUP(Table29[[#This Row],[target2]],Table22[Label],1,FALSE)),IF(ISERROR(VLOOKUP(Table29[[#This Row],[target2]],Table2210[Label],1,FALSE)),"SPOKE","FOCUS"),"HUB")</f>
        <v>SPOKE</v>
      </c>
      <c r="Q42" s="14" t="str">
        <f>IF(Table29[[#This Row],[source-type]]&lt;Table29[[#This Row],[target-type]],Table29[[#This Row],[target-type]]&amp;"-"&amp;Table29[[#This Row],[source-type]],Table29[[#This Row],[source-type]]&amp;"-"&amp;Table29[[#This Row],[target-type]])</f>
        <v>SPOKE-HUB</v>
      </c>
      <c r="R42" s="104">
        <f>IF(ISERROR(VLOOKUP(Table29[[#This Row],[source2]],Table22[[Label]:[Weighted Degree]],3,FALSE)),IF(ISERROR(VLOOKUP(Table29[[#This Row],[source2]],Table2210[[Label]:[Weighted Degree]],3,FALSE)),IF(ISERROR(VLOOKUP(Table29[[#This Row],[source2]],Table2214[[Label]:[Weighted Degree]],3,FALSE)),FALSE,VLOOKUP(Table29[[#This Row],[source2]],Table2214[[Label]:[Weighted Degree]],3,FALSE)),VLOOKUP(Table29[[#This Row],[source2]],Table2210[[Label]:[Weighted Degree]],3,FALSE)),VLOOKUP(Table29[[#This Row],[source2]],Table22[[Label]:[Weighted Degree]],3,FALSE))</f>
        <v>18390</v>
      </c>
      <c r="S42" s="104">
        <f>IF(ISERROR(VLOOKUP(Table29[[#This Row],[target2]],Table22[[Label]:[Weighted Degree]],3,FALSE)),IF(ISERROR(VLOOKUP(Table29[[#This Row],[target2]],Table2210[[Label]:[Weighted Degree]],3,FALSE)),IF(ISERROR(VLOOKUP(Table29[[#This Row],[target2]],Table2214[[Label]:[Weighted Degree]],3,FALSE)),FALSE,VLOOKUP(Table29[[#This Row],[target2]],Table2214[[Label]:[Weighted Degree]],3,FALSE)),VLOOKUP(Table29[[#This Row],[target2]],Table2210[[Label]:[Weighted Degree]],3,FALSE)),VLOOKUP(Table29[[#This Row],[target2]],Table22[[Label]:[Weighted Degree]],3,FALSE))</f>
        <v>11263</v>
      </c>
      <c r="U42" s="14" t="s">
        <v>137</v>
      </c>
      <c r="V42" s="14" t="s">
        <v>147</v>
      </c>
      <c r="W42" s="77" t="s">
        <v>738</v>
      </c>
      <c r="X42" s="1">
        <v>2039</v>
      </c>
      <c r="Y42" s="14" t="str">
        <f>IF(ISERROR(VLOOKUP(Table2932[[#This Row],[source]],Table22[Label],1,FALSE)),IF(ISERROR(VLOOKUP(Table2932[[#This Row],[source]],Table2210[Label],1,FALSE)),"SPOKE","FOCUS"),"HUB")</f>
        <v>HUB</v>
      </c>
      <c r="Z42" s="14" t="str">
        <f>IF(ISERROR(VLOOKUP(Table2932[[#This Row],[target]],Table22[Label],1,FALSE)),IF(ISERROR(VLOOKUP(Table2932[[#This Row],[target]],Table2210[Label],1,FALSE)),"SPOKE","FOCUS"),"HUB")</f>
        <v>SPOKE</v>
      </c>
      <c r="AA42" s="14" t="str">
        <f>IF(Table2932[[#This Row],[source-type]]&lt;Table2932[[#This Row],[target-type]],Table2932[[#This Row],[target-type]]&amp;"-"&amp;Table2932[[#This Row],[source-type]],Table2932[[#This Row],[source-type]]&amp;"-"&amp;Table2932[[#This Row],[target-type]])</f>
        <v>SPOKE-HUB</v>
      </c>
      <c r="AB42" s="104">
        <f>IF(ISERROR(VLOOKUP(Table2932[[#This Row],[source]],Table22[[Label]:[Weighted Degree]],3,FALSE)),IF(ISERROR(VLOOKUP(Table2932[[#This Row],[source]],Table2210[[Label]:[Weighted Degree]],3,FALSE)),IF(ISERROR(VLOOKUP(Table2932[[#This Row],[source]],Table2214[[Label]:[Weighted Degree]],3,FALSE)),FALSE,VLOOKUP(Table2932[[#This Row],[source]],Table2214[[Label]:[Weighted Degree]],3,FALSE)),VLOOKUP(Table2932[[#This Row],[source]],Table2210[[Label]:[Weighted Degree]],3,FALSE)),VLOOKUP(Table2932[[#This Row],[source]],Table22[[Label]:[Weighted Degree]],3,FALSE))</f>
        <v>15166</v>
      </c>
      <c r="AC42" s="104">
        <f>IF(ISERROR(VLOOKUP(Table2932[[#This Row],[target]],Table22[[Label]:[Weighted Degree]],3,FALSE)),IF(ISERROR(VLOOKUP(Table2932[[#This Row],[target]],Table2210[[Label]:[Weighted Degree]],3,FALSE)),IF(ISERROR(VLOOKUP(Table2932[[#This Row],[target]],Table2214[[Label]:[Weighted Degree]],3,FALSE)),FALSE,VLOOKUP(Table2932[[#This Row],[target]],Table2214[[Label]:[Weighted Degree]],3,FALSE)),VLOOKUP(Table2932[[#This Row],[target]],Table2210[[Label]:[Weighted Degree]],3,FALSE)),VLOOKUP(Table2932[[#This Row],[target]],Table22[[Label]:[Weighted Degree]],3,FALSE))</f>
        <v>14467</v>
      </c>
      <c r="AE42" s="14" t="s">
        <v>137</v>
      </c>
      <c r="AF42" s="14" t="s">
        <v>147</v>
      </c>
      <c r="AG42" s="64" t="s">
        <v>1827</v>
      </c>
      <c r="AH42" s="14">
        <v>2039</v>
      </c>
      <c r="AI42" s="14" t="str">
        <f>IF(ISERROR(VLOOKUP(Table32[[#This Row],[source2]],Table22[Label],1,FALSE)),IF(ISERROR(VLOOKUP(Table32[[#This Row],[source2]],Table2210[Label],1,FALSE)),"SPOKE","FOCUS"),"HUB")</f>
        <v>HUB</v>
      </c>
      <c r="AJ42" s="14" t="str">
        <f>IF(ISERROR(VLOOKUP(Table32[[#This Row],[target2]],Table22[Label],1,FALSE)),IF(ISERROR(VLOOKUP(Table32[[#This Row],[target2]],Table2210[Label],1,FALSE)),"SPOKE","FOCUS"),"HUB")</f>
        <v>SPOKE</v>
      </c>
      <c r="AK42" s="14" t="str">
        <f>IF(Table32[[#This Row],[source-type]]&lt;Table32[[#This Row],[target-type]],Table32[[#This Row],[target-type]]&amp;"-"&amp;Table32[[#This Row],[source-type]],Table32[[#This Row],[source-type]]&amp;"-"&amp;Table32[[#This Row],[target-type]])</f>
        <v>SPOKE-HUB</v>
      </c>
      <c r="AL42" s="104">
        <f>IF(ISERROR(VLOOKUP(Table32[[#This Row],[source2]],Table22[[Label]:[Weighted Degree]],3,FALSE)),IF(ISERROR(VLOOKUP(Table32[[#This Row],[source2]],Table2210[[Label]:[Weighted Degree]],3,FALSE)),IF(ISERROR(VLOOKUP(Table32[[#This Row],[source2]],Table2214[[Label]:[Weighted Degree]],3,FALSE)),FALSE,VLOOKUP(Table32[[#This Row],[source2]],Table2214[[Label]:[Weighted Degree]],3,FALSE)),VLOOKUP(Table32[[#This Row],[source2]],Table2210[[Label]:[Weighted Degree]],3,FALSE)),VLOOKUP(Table32[[#This Row],[source2]],Table22[[Label]:[Weighted Degree]],3,FALSE))</f>
        <v>15166</v>
      </c>
      <c r="AM42" s="104">
        <f>IF(ISERROR(VLOOKUP(Table32[[#This Row],[target2]],Table22[[Label]:[Weighted Degree]],3,FALSE)),IF(ISERROR(VLOOKUP(Table32[[#This Row],[target2]],Table2210[[Label]:[Weighted Degree]],3,FALSE)),IF(ISERROR(VLOOKUP(Table32[[#This Row],[target2]],Table2214[[Label]:[Weighted Degree]],3,FALSE)),FALSE,VLOOKUP(Table32[[#This Row],[target2]],Table2214[[Label]:[Weighted Degree]],3,FALSE)),VLOOKUP(Table32[[#This Row],[target2]],Table2210[[Label]:[Weighted Degree]],3,FALSE)),VLOOKUP(Table32[[#This Row],[target2]],Table22[[Label]:[Weighted Degree]],3,FALSE))</f>
        <v>14467</v>
      </c>
    </row>
    <row r="43" spans="1:39" x14ac:dyDescent="0.2">
      <c r="A43" s="14" t="s">
        <v>140</v>
      </c>
      <c r="B43" s="14" t="s">
        <v>147</v>
      </c>
      <c r="C43" s="76" t="s">
        <v>771</v>
      </c>
      <c r="D43" s="14">
        <v>2139</v>
      </c>
      <c r="E43" s="63" t="str">
        <f>IF(ISERROR(VLOOKUP(Table8[[#This Row],[source2]],Table22[Label],1,FALSE)),IF(ISERROR(VLOOKUP(Table8[[#This Row],[source2]],Table2210[Label],1,FALSE)),"SPOKE","FOCUS"),"HUB")</f>
        <v>HUB</v>
      </c>
      <c r="F43" s="63" t="str">
        <f>IF(ISERROR(VLOOKUP(Table8[[#This Row],[target2]],Table22[Label],1,FALSE)),IF(ISERROR(VLOOKUP(Table8[[#This Row],[target2]],Table2210[Label],1,FALSE)),"SPOKE","FOCUS"),"HUB")</f>
        <v>SPOKE</v>
      </c>
      <c r="G43" s="63" t="str">
        <f>IF(Table8[[#This Row],[source-tyoe]]&lt;Table8[[#This Row],[target-type]],Table8[[#This Row],[target-type]]&amp;"-"&amp;Table8[[#This Row],[source-tyoe]],Table8[[#This Row],[source-tyoe]]&amp;"-"&amp;Table8[[#This Row],[target-type]])</f>
        <v>SPOKE-HUB</v>
      </c>
      <c r="H43" s="63">
        <f>IF(ISERROR(VLOOKUP(Table8[[#This Row],[source2]],Table22[[Label]:[Weighted Degree]],3,FALSE)),IF(ISERROR(VLOOKUP(Table8[[#This Row],[source2]],Table2210[[Label]:[Weighted Degree]],3,FALSE)),IF(ISERROR(VLOOKUP(Table8[[#This Row],[source2]],Table2214[[Label]:[Weighted Degree]],3,FALSE)),FALSE,VLOOKUP(Table8[[#This Row],[source2]],Table2214[[Label]:[Weighted Degree]],3,FALSE)),VLOOKUP(Table8[[#This Row],[source2]],Table2210[[Label]:[Weighted Degree]],3,FALSE)),VLOOKUP(Table8[[#This Row],[source2]],Table22[[Label]:[Weighted Degree]],3,FALSE))</f>
        <v>21171</v>
      </c>
      <c r="I43" s="63">
        <f>IF(ISERROR(VLOOKUP(Table8[[#This Row],[target2]],Table22[[Label]:[Weighted Degree]],3,FALSE)),IF(ISERROR(VLOOKUP(Table8[[#This Row],[target2]],Table2210[[Label]:[Weighted Degree]],3,FALSE)),IF(ISERROR(VLOOKUP(Table8[[#This Row],[target2]],Table2214[[Label]:[Weighted Degree]],3,FALSE)),FALSE,VLOOKUP(Table8[[#This Row],[target2]],Table2214[[Label]:[Weighted Degree]],3,FALSE)),VLOOKUP(Table8[[#This Row],[target2]],Table2210[[Label]:[Weighted Degree]],3,FALSE)),VLOOKUP(Table8[[#This Row],[target2]],Table22[[Label]:[Weighted Degree]],3,FALSE))</f>
        <v>14467</v>
      </c>
      <c r="J43" s="61"/>
      <c r="K43" s="14" t="s">
        <v>126</v>
      </c>
      <c r="L43" s="14" t="s">
        <v>151</v>
      </c>
      <c r="M43" s="15" t="s">
        <v>366</v>
      </c>
      <c r="N43" s="14">
        <v>4778</v>
      </c>
      <c r="O43" s="14" t="str">
        <f>IF(ISERROR(VLOOKUP(Table29[[#This Row],[source2]],Table22[Label],1,FALSE)),IF(ISERROR(VLOOKUP(Table29[[#This Row],[source2]],Table2210[Label],1,FALSE)),"SPOKE","FOCUS"),"HUB")</f>
        <v>HUB</v>
      </c>
      <c r="P43" s="14" t="str">
        <f>IF(ISERROR(VLOOKUP(Table29[[#This Row],[target2]],Table22[Label],1,FALSE)),IF(ISERROR(VLOOKUP(Table29[[#This Row],[target2]],Table2210[Label],1,FALSE)),"SPOKE","FOCUS"),"HUB")</f>
        <v>SPOKE</v>
      </c>
      <c r="Q43" s="14" t="str">
        <f>IF(Table29[[#This Row],[source-type]]&lt;Table29[[#This Row],[target-type]],Table29[[#This Row],[target-type]]&amp;"-"&amp;Table29[[#This Row],[source-type]],Table29[[#This Row],[source-type]]&amp;"-"&amp;Table29[[#This Row],[target-type]])</f>
        <v>SPOKE-HUB</v>
      </c>
      <c r="R43" s="104">
        <f>IF(ISERROR(VLOOKUP(Table29[[#This Row],[source2]],Table22[[Label]:[Weighted Degree]],3,FALSE)),IF(ISERROR(VLOOKUP(Table29[[#This Row],[source2]],Table2210[[Label]:[Weighted Degree]],3,FALSE)),IF(ISERROR(VLOOKUP(Table29[[#This Row],[source2]],Table2214[[Label]:[Weighted Degree]],3,FALSE)),FALSE,VLOOKUP(Table29[[#This Row],[source2]],Table2214[[Label]:[Weighted Degree]],3,FALSE)),VLOOKUP(Table29[[#This Row],[source2]],Table2210[[Label]:[Weighted Degree]],3,FALSE)),VLOOKUP(Table29[[#This Row],[source2]],Table22[[Label]:[Weighted Degree]],3,FALSE))</f>
        <v>36050</v>
      </c>
      <c r="S43" s="104">
        <f>IF(ISERROR(VLOOKUP(Table29[[#This Row],[target2]],Table22[[Label]:[Weighted Degree]],3,FALSE)),IF(ISERROR(VLOOKUP(Table29[[#This Row],[target2]],Table2210[[Label]:[Weighted Degree]],3,FALSE)),IF(ISERROR(VLOOKUP(Table29[[#This Row],[target2]],Table2214[[Label]:[Weighted Degree]],3,FALSE)),FALSE,VLOOKUP(Table29[[#This Row],[target2]],Table2214[[Label]:[Weighted Degree]],3,FALSE)),VLOOKUP(Table29[[#This Row],[target2]],Table2210[[Label]:[Weighted Degree]],3,FALSE)),VLOOKUP(Table29[[#This Row],[target2]],Table22[[Label]:[Weighted Degree]],3,FALSE))</f>
        <v>9869</v>
      </c>
      <c r="U43" s="14" t="s">
        <v>133</v>
      </c>
      <c r="V43" s="14" t="s">
        <v>148</v>
      </c>
      <c r="W43" s="77" t="s">
        <v>738</v>
      </c>
      <c r="X43" s="1">
        <v>2523</v>
      </c>
      <c r="Y43" s="14" t="str">
        <f>IF(ISERROR(VLOOKUP(Table2932[[#This Row],[source]],Table22[Label],1,FALSE)),IF(ISERROR(VLOOKUP(Table2932[[#This Row],[source]],Table2210[Label],1,FALSE)),"SPOKE","FOCUS"),"HUB")</f>
        <v>HUB</v>
      </c>
      <c r="Z43" s="14" t="str">
        <f>IF(ISERROR(VLOOKUP(Table2932[[#This Row],[target]],Table22[Label],1,FALSE)),IF(ISERROR(VLOOKUP(Table2932[[#This Row],[target]],Table2210[Label],1,FALSE)),"SPOKE","FOCUS"),"HUB")</f>
        <v>SPOKE</v>
      </c>
      <c r="AA43" s="14" t="str">
        <f>IF(Table2932[[#This Row],[source-type]]&lt;Table2932[[#This Row],[target-type]],Table2932[[#This Row],[target-type]]&amp;"-"&amp;Table2932[[#This Row],[source-type]],Table2932[[#This Row],[source-type]]&amp;"-"&amp;Table2932[[#This Row],[target-type]])</f>
        <v>SPOKE-HUB</v>
      </c>
      <c r="AB43" s="104">
        <f>IF(ISERROR(VLOOKUP(Table2932[[#This Row],[source]],Table22[[Label]:[Weighted Degree]],3,FALSE)),IF(ISERROR(VLOOKUP(Table2932[[#This Row],[source]],Table2210[[Label]:[Weighted Degree]],3,FALSE)),IF(ISERROR(VLOOKUP(Table2932[[#This Row],[source]],Table2214[[Label]:[Weighted Degree]],3,FALSE)),FALSE,VLOOKUP(Table2932[[#This Row],[source]],Table2214[[Label]:[Weighted Degree]],3,FALSE)),VLOOKUP(Table2932[[#This Row],[source]],Table2210[[Label]:[Weighted Degree]],3,FALSE)),VLOOKUP(Table2932[[#This Row],[source]],Table22[[Label]:[Weighted Degree]],3,FALSE))</f>
        <v>39711</v>
      </c>
      <c r="AC43" s="104">
        <f>IF(ISERROR(VLOOKUP(Table2932[[#This Row],[target]],Table22[[Label]:[Weighted Degree]],3,FALSE)),IF(ISERROR(VLOOKUP(Table2932[[#This Row],[target]],Table2210[[Label]:[Weighted Degree]],3,FALSE)),IF(ISERROR(VLOOKUP(Table2932[[#This Row],[target]],Table2214[[Label]:[Weighted Degree]],3,FALSE)),FALSE,VLOOKUP(Table2932[[#This Row],[target]],Table2214[[Label]:[Weighted Degree]],3,FALSE)),VLOOKUP(Table2932[[#This Row],[target]],Table2210[[Label]:[Weighted Degree]],3,FALSE)),VLOOKUP(Table2932[[#This Row],[target]],Table22[[Label]:[Weighted Degree]],3,FALSE))</f>
        <v>11263</v>
      </c>
      <c r="AE43" s="14" t="s">
        <v>126</v>
      </c>
      <c r="AF43" s="14" t="s">
        <v>150</v>
      </c>
      <c r="AG43" s="64" t="s">
        <v>1424</v>
      </c>
      <c r="AH43" s="14">
        <v>3563</v>
      </c>
      <c r="AI43" s="14" t="str">
        <f>IF(ISERROR(VLOOKUP(Table32[[#This Row],[source2]],Table22[Label],1,FALSE)),IF(ISERROR(VLOOKUP(Table32[[#This Row],[source2]],Table2210[Label],1,FALSE)),"SPOKE","FOCUS"),"HUB")</f>
        <v>HUB</v>
      </c>
      <c r="AJ43" s="14" t="str">
        <f>IF(ISERROR(VLOOKUP(Table32[[#This Row],[target2]],Table22[Label],1,FALSE)),IF(ISERROR(VLOOKUP(Table32[[#This Row],[target2]],Table2210[Label],1,FALSE)),"SPOKE","FOCUS"),"HUB")</f>
        <v>SPOKE</v>
      </c>
      <c r="AK43" s="14" t="str">
        <f>IF(Table32[[#This Row],[source-type]]&lt;Table32[[#This Row],[target-type]],Table32[[#This Row],[target-type]]&amp;"-"&amp;Table32[[#This Row],[source-type]],Table32[[#This Row],[source-type]]&amp;"-"&amp;Table32[[#This Row],[target-type]])</f>
        <v>SPOKE-HUB</v>
      </c>
      <c r="AL43" s="104">
        <f>IF(ISERROR(VLOOKUP(Table32[[#This Row],[source2]],Table22[[Label]:[Weighted Degree]],3,FALSE)),IF(ISERROR(VLOOKUP(Table32[[#This Row],[source2]],Table2210[[Label]:[Weighted Degree]],3,FALSE)),IF(ISERROR(VLOOKUP(Table32[[#This Row],[source2]],Table2214[[Label]:[Weighted Degree]],3,FALSE)),FALSE,VLOOKUP(Table32[[#This Row],[source2]],Table2214[[Label]:[Weighted Degree]],3,FALSE)),VLOOKUP(Table32[[#This Row],[source2]],Table2210[[Label]:[Weighted Degree]],3,FALSE)),VLOOKUP(Table32[[#This Row],[source2]],Table22[[Label]:[Weighted Degree]],3,FALSE))</f>
        <v>36050</v>
      </c>
      <c r="AM43" s="104">
        <f>IF(ISERROR(VLOOKUP(Table32[[#This Row],[target2]],Table22[[Label]:[Weighted Degree]],3,FALSE)),IF(ISERROR(VLOOKUP(Table32[[#This Row],[target2]],Table2210[[Label]:[Weighted Degree]],3,FALSE)),IF(ISERROR(VLOOKUP(Table32[[#This Row],[target2]],Table2214[[Label]:[Weighted Degree]],3,FALSE)),FALSE,VLOOKUP(Table32[[#This Row],[target2]],Table2214[[Label]:[Weighted Degree]],3,FALSE)),VLOOKUP(Table32[[#This Row],[target2]],Table2210[[Label]:[Weighted Degree]],3,FALSE)),VLOOKUP(Table32[[#This Row],[target2]],Table22[[Label]:[Weighted Degree]],3,FALSE))</f>
        <v>10215</v>
      </c>
    </row>
    <row r="44" spans="1:39" x14ac:dyDescent="0.2">
      <c r="A44" s="65" t="s">
        <v>137</v>
      </c>
      <c r="B44" s="65" t="s">
        <v>147</v>
      </c>
      <c r="C44" s="78" t="s">
        <v>771</v>
      </c>
      <c r="D44" s="65">
        <v>2039</v>
      </c>
      <c r="E44" s="63" t="str">
        <f>IF(ISERROR(VLOOKUP(Table8[[#This Row],[source2]],Table22[Label],1,FALSE)),IF(ISERROR(VLOOKUP(Table8[[#This Row],[source2]],Table2210[Label],1,FALSE)),"SPOKE","FOCUS"),"HUB")</f>
        <v>HUB</v>
      </c>
      <c r="F44" s="63" t="str">
        <f>IF(ISERROR(VLOOKUP(Table8[[#This Row],[target2]],Table22[Label],1,FALSE)),IF(ISERROR(VLOOKUP(Table8[[#This Row],[target2]],Table2210[Label],1,FALSE)),"SPOKE","FOCUS"),"HUB")</f>
        <v>SPOKE</v>
      </c>
      <c r="G44" s="63" t="str">
        <f>IF(Table8[[#This Row],[source-tyoe]]&lt;Table8[[#This Row],[target-type]],Table8[[#This Row],[target-type]]&amp;"-"&amp;Table8[[#This Row],[source-tyoe]],Table8[[#This Row],[source-tyoe]]&amp;"-"&amp;Table8[[#This Row],[target-type]])</f>
        <v>SPOKE-HUB</v>
      </c>
      <c r="H44" s="63">
        <f>IF(ISERROR(VLOOKUP(Table8[[#This Row],[source2]],Table22[[Label]:[Weighted Degree]],3,FALSE)),IF(ISERROR(VLOOKUP(Table8[[#This Row],[source2]],Table2210[[Label]:[Weighted Degree]],3,FALSE)),IF(ISERROR(VLOOKUP(Table8[[#This Row],[source2]],Table2214[[Label]:[Weighted Degree]],3,FALSE)),FALSE,VLOOKUP(Table8[[#This Row],[source2]],Table2214[[Label]:[Weighted Degree]],3,FALSE)),VLOOKUP(Table8[[#This Row],[source2]],Table2210[[Label]:[Weighted Degree]],3,FALSE)),VLOOKUP(Table8[[#This Row],[source2]],Table22[[Label]:[Weighted Degree]],3,FALSE))</f>
        <v>15166</v>
      </c>
      <c r="I44" s="63">
        <f>IF(ISERROR(VLOOKUP(Table8[[#This Row],[target2]],Table22[[Label]:[Weighted Degree]],3,FALSE)),IF(ISERROR(VLOOKUP(Table8[[#This Row],[target2]],Table2210[[Label]:[Weighted Degree]],3,FALSE)),IF(ISERROR(VLOOKUP(Table8[[#This Row],[target2]],Table2214[[Label]:[Weighted Degree]],3,FALSE)),FALSE,VLOOKUP(Table8[[#This Row],[target2]],Table2214[[Label]:[Weighted Degree]],3,FALSE)),VLOOKUP(Table8[[#This Row],[target2]],Table2210[[Label]:[Weighted Degree]],3,FALSE)),VLOOKUP(Table8[[#This Row],[target2]],Table22[[Label]:[Weighted Degree]],3,FALSE))</f>
        <v>14467</v>
      </c>
      <c r="J44" s="61"/>
      <c r="K44" s="14" t="s">
        <v>137</v>
      </c>
      <c r="L44" s="14" t="s">
        <v>127</v>
      </c>
      <c r="M44" s="15" t="s">
        <v>367</v>
      </c>
      <c r="N44" s="14">
        <v>4506</v>
      </c>
      <c r="O44" s="14" t="str">
        <f>IF(ISERROR(VLOOKUP(Table29[[#This Row],[source2]],Table22[Label],1,FALSE)),IF(ISERROR(VLOOKUP(Table29[[#This Row],[source2]],Table2210[Label],1,FALSE)),"SPOKE","FOCUS"),"HUB")</f>
        <v>HUB</v>
      </c>
      <c r="P44" s="14" t="str">
        <f>IF(ISERROR(VLOOKUP(Table29[[#This Row],[target2]],Table22[Label],1,FALSE)),IF(ISERROR(VLOOKUP(Table29[[#This Row],[target2]],Table2210[Label],1,FALSE)),"SPOKE","FOCUS"),"HUB")</f>
        <v>HUB</v>
      </c>
      <c r="Q44" s="14" t="str">
        <f>IF(Table29[[#This Row],[source-type]]&lt;Table29[[#This Row],[target-type]],Table29[[#This Row],[target-type]]&amp;"-"&amp;Table29[[#This Row],[source-type]],Table29[[#This Row],[source-type]]&amp;"-"&amp;Table29[[#This Row],[target-type]])</f>
        <v>HUB-HUB</v>
      </c>
      <c r="R44" s="104">
        <f>IF(ISERROR(VLOOKUP(Table29[[#This Row],[source2]],Table22[[Label]:[Weighted Degree]],3,FALSE)),IF(ISERROR(VLOOKUP(Table29[[#This Row],[source2]],Table2210[[Label]:[Weighted Degree]],3,FALSE)),IF(ISERROR(VLOOKUP(Table29[[#This Row],[source2]],Table2214[[Label]:[Weighted Degree]],3,FALSE)),FALSE,VLOOKUP(Table29[[#This Row],[source2]],Table2214[[Label]:[Weighted Degree]],3,FALSE)),VLOOKUP(Table29[[#This Row],[source2]],Table2210[[Label]:[Weighted Degree]],3,FALSE)),VLOOKUP(Table29[[#This Row],[source2]],Table22[[Label]:[Weighted Degree]],3,FALSE))</f>
        <v>15166</v>
      </c>
      <c r="S44" s="104">
        <f>IF(ISERROR(VLOOKUP(Table29[[#This Row],[target2]],Table22[[Label]:[Weighted Degree]],3,FALSE)),IF(ISERROR(VLOOKUP(Table29[[#This Row],[target2]],Table2210[[Label]:[Weighted Degree]],3,FALSE)),IF(ISERROR(VLOOKUP(Table29[[#This Row],[target2]],Table2214[[Label]:[Weighted Degree]],3,FALSE)),FALSE,VLOOKUP(Table29[[#This Row],[target2]],Table2214[[Label]:[Weighted Degree]],3,FALSE)),VLOOKUP(Table29[[#This Row],[target2]],Table2210[[Label]:[Weighted Degree]],3,FALSE)),VLOOKUP(Table29[[#This Row],[target2]],Table22[[Label]:[Weighted Degree]],3,FALSE))</f>
        <v>24221</v>
      </c>
      <c r="U44" s="14" t="s">
        <v>126</v>
      </c>
      <c r="V44" s="14" t="s">
        <v>150</v>
      </c>
      <c r="W44" s="77" t="s">
        <v>738</v>
      </c>
      <c r="X44" s="1">
        <v>3563</v>
      </c>
      <c r="Y44" s="14" t="str">
        <f>IF(ISERROR(VLOOKUP(Table2932[[#This Row],[source]],Table22[Label],1,FALSE)),IF(ISERROR(VLOOKUP(Table2932[[#This Row],[source]],Table2210[Label],1,FALSE)),"SPOKE","FOCUS"),"HUB")</f>
        <v>HUB</v>
      </c>
      <c r="Z44" s="14" t="str">
        <f>IF(ISERROR(VLOOKUP(Table2932[[#This Row],[target]],Table22[Label],1,FALSE)),IF(ISERROR(VLOOKUP(Table2932[[#This Row],[target]],Table2210[Label],1,FALSE)),"SPOKE","FOCUS"),"HUB")</f>
        <v>SPOKE</v>
      </c>
      <c r="AA44" s="14" t="str">
        <f>IF(Table2932[[#This Row],[source-type]]&lt;Table2932[[#This Row],[target-type]],Table2932[[#This Row],[target-type]]&amp;"-"&amp;Table2932[[#This Row],[source-type]],Table2932[[#This Row],[source-type]]&amp;"-"&amp;Table2932[[#This Row],[target-type]])</f>
        <v>SPOKE-HUB</v>
      </c>
      <c r="AB44" s="104">
        <f>IF(ISERROR(VLOOKUP(Table2932[[#This Row],[source]],Table22[[Label]:[Weighted Degree]],3,FALSE)),IF(ISERROR(VLOOKUP(Table2932[[#This Row],[source]],Table2210[[Label]:[Weighted Degree]],3,FALSE)),IF(ISERROR(VLOOKUP(Table2932[[#This Row],[source]],Table2214[[Label]:[Weighted Degree]],3,FALSE)),FALSE,VLOOKUP(Table2932[[#This Row],[source]],Table2214[[Label]:[Weighted Degree]],3,FALSE)),VLOOKUP(Table2932[[#This Row],[source]],Table2210[[Label]:[Weighted Degree]],3,FALSE)),VLOOKUP(Table2932[[#This Row],[source]],Table22[[Label]:[Weighted Degree]],3,FALSE))</f>
        <v>36050</v>
      </c>
      <c r="AC44" s="104">
        <f>IF(ISERROR(VLOOKUP(Table2932[[#This Row],[target]],Table22[[Label]:[Weighted Degree]],3,FALSE)),IF(ISERROR(VLOOKUP(Table2932[[#This Row],[target]],Table2210[[Label]:[Weighted Degree]],3,FALSE)),IF(ISERROR(VLOOKUP(Table2932[[#This Row],[target]],Table2214[[Label]:[Weighted Degree]],3,FALSE)),FALSE,VLOOKUP(Table2932[[#This Row],[target]],Table2214[[Label]:[Weighted Degree]],3,FALSE)),VLOOKUP(Table2932[[#This Row],[target]],Table2210[[Label]:[Weighted Degree]],3,FALSE)),VLOOKUP(Table2932[[#This Row],[target]],Table22[[Label]:[Weighted Degree]],3,FALSE))</f>
        <v>10215</v>
      </c>
      <c r="AE44" s="14" t="s">
        <v>144</v>
      </c>
      <c r="AF44" s="14" t="s">
        <v>150</v>
      </c>
      <c r="AG44" s="64" t="s">
        <v>2312</v>
      </c>
      <c r="AH44" s="14">
        <v>3164</v>
      </c>
      <c r="AI44" s="14" t="str">
        <f>IF(ISERROR(VLOOKUP(Table32[[#This Row],[source2]],Table22[Label],1,FALSE)),IF(ISERROR(VLOOKUP(Table32[[#This Row],[source2]],Table2210[Label],1,FALSE)),"SPOKE","FOCUS"),"HUB")</f>
        <v>FOCUS</v>
      </c>
      <c r="AJ44" s="14" t="str">
        <f>IF(ISERROR(VLOOKUP(Table32[[#This Row],[target2]],Table22[Label],1,FALSE)),IF(ISERROR(VLOOKUP(Table32[[#This Row],[target2]],Table2210[Label],1,FALSE)),"SPOKE","FOCUS"),"HUB")</f>
        <v>SPOKE</v>
      </c>
      <c r="AK44" s="14" t="str">
        <f>IF(Table32[[#This Row],[source-type]]&lt;Table32[[#This Row],[target-type]],Table32[[#This Row],[target-type]]&amp;"-"&amp;Table32[[#This Row],[source-type]],Table32[[#This Row],[source-type]]&amp;"-"&amp;Table32[[#This Row],[target-type]])</f>
        <v>SPOKE-FOCUS</v>
      </c>
      <c r="AL44" s="104">
        <f>IF(ISERROR(VLOOKUP(Table32[[#This Row],[source2]],Table22[[Label]:[Weighted Degree]],3,FALSE)),IF(ISERROR(VLOOKUP(Table32[[#This Row],[source2]],Table2210[[Label]:[Weighted Degree]],3,FALSE)),IF(ISERROR(VLOOKUP(Table32[[#This Row],[source2]],Table2214[[Label]:[Weighted Degree]],3,FALSE)),FALSE,VLOOKUP(Table32[[#This Row],[source2]],Table2214[[Label]:[Weighted Degree]],3,FALSE)),VLOOKUP(Table32[[#This Row],[source2]],Table2210[[Label]:[Weighted Degree]],3,FALSE)),VLOOKUP(Table32[[#This Row],[source2]],Table22[[Label]:[Weighted Degree]],3,FALSE))</f>
        <v>22088</v>
      </c>
      <c r="AM44" s="104">
        <f>IF(ISERROR(VLOOKUP(Table32[[#This Row],[target2]],Table22[[Label]:[Weighted Degree]],3,FALSE)),IF(ISERROR(VLOOKUP(Table32[[#This Row],[target2]],Table2210[[Label]:[Weighted Degree]],3,FALSE)),IF(ISERROR(VLOOKUP(Table32[[#This Row],[target2]],Table2214[[Label]:[Weighted Degree]],3,FALSE)),FALSE,VLOOKUP(Table32[[#This Row],[target2]],Table2214[[Label]:[Weighted Degree]],3,FALSE)),VLOOKUP(Table32[[#This Row],[target2]],Table2210[[Label]:[Weighted Degree]],3,FALSE)),VLOOKUP(Table32[[#This Row],[target2]],Table22[[Label]:[Weighted Degree]],3,FALSE))</f>
        <v>10215</v>
      </c>
    </row>
    <row r="45" spans="1:39" x14ac:dyDescent="0.2">
      <c r="A45" s="14" t="s">
        <v>133</v>
      </c>
      <c r="B45" s="14" t="s">
        <v>148</v>
      </c>
      <c r="C45" s="76" t="s">
        <v>771</v>
      </c>
      <c r="D45" s="14">
        <v>2523</v>
      </c>
      <c r="E45" s="63" t="str">
        <f>IF(ISERROR(VLOOKUP(Table8[[#This Row],[source2]],Table22[Label],1,FALSE)),IF(ISERROR(VLOOKUP(Table8[[#This Row],[source2]],Table2210[Label],1,FALSE)),"SPOKE","FOCUS"),"HUB")</f>
        <v>HUB</v>
      </c>
      <c r="F45" s="63" t="str">
        <f>IF(ISERROR(VLOOKUP(Table8[[#This Row],[target2]],Table22[Label],1,FALSE)),IF(ISERROR(VLOOKUP(Table8[[#This Row],[target2]],Table2210[Label],1,FALSE)),"SPOKE","FOCUS"),"HUB")</f>
        <v>SPOKE</v>
      </c>
      <c r="G45" s="63" t="str">
        <f>IF(Table8[[#This Row],[source-tyoe]]&lt;Table8[[#This Row],[target-type]],Table8[[#This Row],[target-type]]&amp;"-"&amp;Table8[[#This Row],[source-tyoe]],Table8[[#This Row],[source-tyoe]]&amp;"-"&amp;Table8[[#This Row],[target-type]])</f>
        <v>SPOKE-HUB</v>
      </c>
      <c r="H45" s="63">
        <f>IF(ISERROR(VLOOKUP(Table8[[#This Row],[source2]],Table22[[Label]:[Weighted Degree]],3,FALSE)),IF(ISERROR(VLOOKUP(Table8[[#This Row],[source2]],Table2210[[Label]:[Weighted Degree]],3,FALSE)),IF(ISERROR(VLOOKUP(Table8[[#This Row],[source2]],Table2214[[Label]:[Weighted Degree]],3,FALSE)),FALSE,VLOOKUP(Table8[[#This Row],[source2]],Table2214[[Label]:[Weighted Degree]],3,FALSE)),VLOOKUP(Table8[[#This Row],[source2]],Table2210[[Label]:[Weighted Degree]],3,FALSE)),VLOOKUP(Table8[[#This Row],[source2]],Table22[[Label]:[Weighted Degree]],3,FALSE))</f>
        <v>39711</v>
      </c>
      <c r="I45" s="63">
        <f>IF(ISERROR(VLOOKUP(Table8[[#This Row],[target2]],Table22[[Label]:[Weighted Degree]],3,FALSE)),IF(ISERROR(VLOOKUP(Table8[[#This Row],[target2]],Table2210[[Label]:[Weighted Degree]],3,FALSE)),IF(ISERROR(VLOOKUP(Table8[[#This Row],[target2]],Table2214[[Label]:[Weighted Degree]],3,FALSE)),FALSE,VLOOKUP(Table8[[#This Row],[target2]],Table2214[[Label]:[Weighted Degree]],3,FALSE)),VLOOKUP(Table8[[#This Row],[target2]],Table2210[[Label]:[Weighted Degree]],3,FALSE)),VLOOKUP(Table8[[#This Row],[target2]],Table22[[Label]:[Weighted Degree]],3,FALSE))</f>
        <v>11263</v>
      </c>
      <c r="J45" s="61"/>
      <c r="K45" s="14" t="s">
        <v>141</v>
      </c>
      <c r="L45" s="14" t="s">
        <v>138</v>
      </c>
      <c r="M45" s="15" t="s">
        <v>368</v>
      </c>
      <c r="N45" s="14">
        <v>2659</v>
      </c>
      <c r="O45" s="14" t="str">
        <f>IF(ISERROR(VLOOKUP(Table29[[#This Row],[source2]],Table22[Label],1,FALSE)),IF(ISERROR(VLOOKUP(Table29[[#This Row],[source2]],Table2210[Label],1,FALSE)),"SPOKE","FOCUS"),"HUB")</f>
        <v>HUB</v>
      </c>
      <c r="P45" s="14" t="str">
        <f>IF(ISERROR(VLOOKUP(Table29[[#This Row],[target2]],Table22[Label],1,FALSE)),IF(ISERROR(VLOOKUP(Table29[[#This Row],[target2]],Table2210[Label],1,FALSE)),"SPOKE","FOCUS"),"HUB")</f>
        <v>HUB</v>
      </c>
      <c r="Q45" s="14" t="str">
        <f>IF(Table29[[#This Row],[source-type]]&lt;Table29[[#This Row],[target-type]],Table29[[#This Row],[target-type]]&amp;"-"&amp;Table29[[#This Row],[source-type]],Table29[[#This Row],[source-type]]&amp;"-"&amp;Table29[[#This Row],[target-type]])</f>
        <v>HUB-HUB</v>
      </c>
      <c r="R45" s="104">
        <f>IF(ISERROR(VLOOKUP(Table29[[#This Row],[source2]],Table22[[Label]:[Weighted Degree]],3,FALSE)),IF(ISERROR(VLOOKUP(Table29[[#This Row],[source2]],Table2210[[Label]:[Weighted Degree]],3,FALSE)),IF(ISERROR(VLOOKUP(Table29[[#This Row],[source2]],Table2214[[Label]:[Weighted Degree]],3,FALSE)),FALSE,VLOOKUP(Table29[[#This Row],[source2]],Table2214[[Label]:[Weighted Degree]],3,FALSE)),VLOOKUP(Table29[[#This Row],[source2]],Table2210[[Label]:[Weighted Degree]],3,FALSE)),VLOOKUP(Table29[[#This Row],[source2]],Table22[[Label]:[Weighted Degree]],3,FALSE))</f>
        <v>11690</v>
      </c>
      <c r="S45" s="104">
        <f>IF(ISERROR(VLOOKUP(Table29[[#This Row],[target2]],Table22[[Label]:[Weighted Degree]],3,FALSE)),IF(ISERROR(VLOOKUP(Table29[[#This Row],[target2]],Table2210[[Label]:[Weighted Degree]],3,FALSE)),IF(ISERROR(VLOOKUP(Table29[[#This Row],[target2]],Table2214[[Label]:[Weighted Degree]],3,FALSE)),FALSE,VLOOKUP(Table29[[#This Row],[target2]],Table2214[[Label]:[Weighted Degree]],3,FALSE)),VLOOKUP(Table29[[#This Row],[target2]],Table2210[[Label]:[Weighted Degree]],3,FALSE)),VLOOKUP(Table29[[#This Row],[target2]],Table22[[Label]:[Weighted Degree]],3,FALSE))</f>
        <v>20047</v>
      </c>
      <c r="U45" s="14" t="s">
        <v>126</v>
      </c>
      <c r="V45" s="14" t="s">
        <v>151</v>
      </c>
      <c r="W45" s="77" t="s">
        <v>738</v>
      </c>
      <c r="X45" s="1">
        <v>2637</v>
      </c>
      <c r="Y45" s="14" t="str">
        <f>IF(ISERROR(VLOOKUP(Table2932[[#This Row],[source]],Table22[Label],1,FALSE)),IF(ISERROR(VLOOKUP(Table2932[[#This Row],[source]],Table2210[Label],1,FALSE)),"SPOKE","FOCUS"),"HUB")</f>
        <v>HUB</v>
      </c>
      <c r="Z45" s="14" t="str">
        <f>IF(ISERROR(VLOOKUP(Table2932[[#This Row],[target]],Table22[Label],1,FALSE)),IF(ISERROR(VLOOKUP(Table2932[[#This Row],[target]],Table2210[Label],1,FALSE)),"SPOKE","FOCUS"),"HUB")</f>
        <v>SPOKE</v>
      </c>
      <c r="AA45" s="14" t="str">
        <f>IF(Table2932[[#This Row],[source-type]]&lt;Table2932[[#This Row],[target-type]],Table2932[[#This Row],[target-type]]&amp;"-"&amp;Table2932[[#This Row],[source-type]],Table2932[[#This Row],[source-type]]&amp;"-"&amp;Table2932[[#This Row],[target-type]])</f>
        <v>SPOKE-HUB</v>
      </c>
      <c r="AB45" s="104">
        <f>IF(ISERROR(VLOOKUP(Table2932[[#This Row],[source]],Table22[[Label]:[Weighted Degree]],3,FALSE)),IF(ISERROR(VLOOKUP(Table2932[[#This Row],[source]],Table2210[[Label]:[Weighted Degree]],3,FALSE)),IF(ISERROR(VLOOKUP(Table2932[[#This Row],[source]],Table2214[[Label]:[Weighted Degree]],3,FALSE)),FALSE,VLOOKUP(Table2932[[#This Row],[source]],Table2214[[Label]:[Weighted Degree]],3,FALSE)),VLOOKUP(Table2932[[#This Row],[source]],Table2210[[Label]:[Weighted Degree]],3,FALSE)),VLOOKUP(Table2932[[#This Row],[source]],Table22[[Label]:[Weighted Degree]],3,FALSE))</f>
        <v>36050</v>
      </c>
      <c r="AC45" s="104">
        <f>IF(ISERROR(VLOOKUP(Table2932[[#This Row],[target]],Table22[[Label]:[Weighted Degree]],3,FALSE)),IF(ISERROR(VLOOKUP(Table2932[[#This Row],[target]],Table2210[[Label]:[Weighted Degree]],3,FALSE)),IF(ISERROR(VLOOKUP(Table2932[[#This Row],[target]],Table2214[[Label]:[Weighted Degree]],3,FALSE)),FALSE,VLOOKUP(Table2932[[#This Row],[target]],Table2214[[Label]:[Weighted Degree]],3,FALSE)),VLOOKUP(Table2932[[#This Row],[target]],Table2210[[Label]:[Weighted Degree]],3,FALSE)),VLOOKUP(Table2932[[#This Row],[target]],Table22[[Label]:[Weighted Degree]],3,FALSE))</f>
        <v>9869</v>
      </c>
      <c r="AE45" s="14" t="s">
        <v>146</v>
      </c>
      <c r="AF45" s="14" t="s">
        <v>149</v>
      </c>
      <c r="AG45" s="64" t="s">
        <v>837</v>
      </c>
      <c r="AH45" s="14">
        <v>1896</v>
      </c>
      <c r="AI45" s="14" t="str">
        <f>IF(ISERROR(VLOOKUP(Table32[[#This Row],[source2]],Table22[Label],1,FALSE)),IF(ISERROR(VLOOKUP(Table32[[#This Row],[source2]],Table2210[Label],1,FALSE)),"SPOKE","FOCUS"),"HUB")</f>
        <v>FOCUS</v>
      </c>
      <c r="AJ45" s="14" t="str">
        <f>IF(ISERROR(VLOOKUP(Table32[[#This Row],[target2]],Table22[Label],1,FALSE)),IF(ISERROR(VLOOKUP(Table32[[#This Row],[target2]],Table2210[Label],1,FALSE)),"SPOKE","FOCUS"),"HUB")</f>
        <v>SPOKE</v>
      </c>
      <c r="AK45" s="14" t="str">
        <f>IF(Table32[[#This Row],[source-type]]&lt;Table32[[#This Row],[target-type]],Table32[[#This Row],[target-type]]&amp;"-"&amp;Table32[[#This Row],[source-type]],Table32[[#This Row],[source-type]]&amp;"-"&amp;Table32[[#This Row],[target-type]])</f>
        <v>SPOKE-FOCUS</v>
      </c>
      <c r="AL45" s="104">
        <f>IF(ISERROR(VLOOKUP(Table32[[#This Row],[source2]],Table22[[Label]:[Weighted Degree]],3,FALSE)),IF(ISERROR(VLOOKUP(Table32[[#This Row],[source2]],Table2210[[Label]:[Weighted Degree]],3,FALSE)),IF(ISERROR(VLOOKUP(Table32[[#This Row],[source2]],Table2214[[Label]:[Weighted Degree]],3,FALSE)),FALSE,VLOOKUP(Table32[[#This Row],[source2]],Table2214[[Label]:[Weighted Degree]],3,FALSE)),VLOOKUP(Table32[[#This Row],[source2]],Table2210[[Label]:[Weighted Degree]],3,FALSE)),VLOOKUP(Table32[[#This Row],[source2]],Table22[[Label]:[Weighted Degree]],3,FALSE))</f>
        <v>22882</v>
      </c>
      <c r="AM45" s="104">
        <f>IF(ISERROR(VLOOKUP(Table32[[#This Row],[target2]],Table22[[Label]:[Weighted Degree]],3,FALSE)),IF(ISERROR(VLOOKUP(Table32[[#This Row],[target2]],Table2210[[Label]:[Weighted Degree]],3,FALSE)),IF(ISERROR(VLOOKUP(Table32[[#This Row],[target2]],Table2214[[Label]:[Weighted Degree]],3,FALSE)),FALSE,VLOOKUP(Table32[[#This Row],[target2]],Table2214[[Label]:[Weighted Degree]],3,FALSE)),VLOOKUP(Table32[[#This Row],[target2]],Table2210[[Label]:[Weighted Degree]],3,FALSE)),VLOOKUP(Table32[[#This Row],[target2]],Table22[[Label]:[Weighted Degree]],3,FALSE))</f>
        <v>9447</v>
      </c>
    </row>
    <row r="46" spans="1:39" x14ac:dyDescent="0.2">
      <c r="A46" s="14" t="s">
        <v>126</v>
      </c>
      <c r="B46" s="14" t="s">
        <v>150</v>
      </c>
      <c r="C46" s="76" t="s">
        <v>771</v>
      </c>
      <c r="D46" s="14">
        <v>3563</v>
      </c>
      <c r="E46" s="63" t="str">
        <f>IF(ISERROR(VLOOKUP(Table8[[#This Row],[source2]],Table22[Label],1,FALSE)),IF(ISERROR(VLOOKUP(Table8[[#This Row],[source2]],Table2210[Label],1,FALSE)),"SPOKE","FOCUS"),"HUB")</f>
        <v>HUB</v>
      </c>
      <c r="F46" s="63" t="str">
        <f>IF(ISERROR(VLOOKUP(Table8[[#This Row],[target2]],Table22[Label],1,FALSE)),IF(ISERROR(VLOOKUP(Table8[[#This Row],[target2]],Table2210[Label],1,FALSE)),"SPOKE","FOCUS"),"HUB")</f>
        <v>SPOKE</v>
      </c>
      <c r="G46" s="63" t="str">
        <f>IF(Table8[[#This Row],[source-tyoe]]&lt;Table8[[#This Row],[target-type]],Table8[[#This Row],[target-type]]&amp;"-"&amp;Table8[[#This Row],[source-tyoe]],Table8[[#This Row],[source-tyoe]]&amp;"-"&amp;Table8[[#This Row],[target-type]])</f>
        <v>SPOKE-HUB</v>
      </c>
      <c r="H46" s="63">
        <f>IF(ISERROR(VLOOKUP(Table8[[#This Row],[source2]],Table22[[Label]:[Weighted Degree]],3,FALSE)),IF(ISERROR(VLOOKUP(Table8[[#This Row],[source2]],Table2210[[Label]:[Weighted Degree]],3,FALSE)),IF(ISERROR(VLOOKUP(Table8[[#This Row],[source2]],Table2214[[Label]:[Weighted Degree]],3,FALSE)),FALSE,VLOOKUP(Table8[[#This Row],[source2]],Table2214[[Label]:[Weighted Degree]],3,FALSE)),VLOOKUP(Table8[[#This Row],[source2]],Table2210[[Label]:[Weighted Degree]],3,FALSE)),VLOOKUP(Table8[[#This Row],[source2]],Table22[[Label]:[Weighted Degree]],3,FALSE))</f>
        <v>36050</v>
      </c>
      <c r="I46" s="63">
        <f>IF(ISERROR(VLOOKUP(Table8[[#This Row],[target2]],Table22[[Label]:[Weighted Degree]],3,FALSE)),IF(ISERROR(VLOOKUP(Table8[[#This Row],[target2]],Table2210[[Label]:[Weighted Degree]],3,FALSE)),IF(ISERROR(VLOOKUP(Table8[[#This Row],[target2]],Table2214[[Label]:[Weighted Degree]],3,FALSE)),FALSE,VLOOKUP(Table8[[#This Row],[target2]],Table2214[[Label]:[Weighted Degree]],3,FALSE)),VLOOKUP(Table8[[#This Row],[target2]],Table2210[[Label]:[Weighted Degree]],3,FALSE)),VLOOKUP(Table8[[#This Row],[target2]],Table22[[Label]:[Weighted Degree]],3,FALSE))</f>
        <v>10215</v>
      </c>
      <c r="J46" s="61"/>
      <c r="K46" s="14" t="s">
        <v>137</v>
      </c>
      <c r="L46" s="14" t="s">
        <v>154</v>
      </c>
      <c r="M46" s="15" t="s">
        <v>369</v>
      </c>
      <c r="N46" s="14">
        <v>4081</v>
      </c>
      <c r="O46" s="14" t="str">
        <f>IF(ISERROR(VLOOKUP(Table29[[#This Row],[source2]],Table22[Label],1,FALSE)),IF(ISERROR(VLOOKUP(Table29[[#This Row],[source2]],Table2210[Label],1,FALSE)),"SPOKE","FOCUS"),"HUB")</f>
        <v>HUB</v>
      </c>
      <c r="P46" s="14" t="str">
        <f>IF(ISERROR(VLOOKUP(Table29[[#This Row],[target2]],Table22[Label],1,FALSE)),IF(ISERROR(VLOOKUP(Table29[[#This Row],[target2]],Table2210[Label],1,FALSE)),"SPOKE","FOCUS"),"HUB")</f>
        <v>SPOKE</v>
      </c>
      <c r="Q46" s="14" t="str">
        <f>IF(Table29[[#This Row],[source-type]]&lt;Table29[[#This Row],[target-type]],Table29[[#This Row],[target-type]]&amp;"-"&amp;Table29[[#This Row],[source-type]],Table29[[#This Row],[source-type]]&amp;"-"&amp;Table29[[#This Row],[target-type]])</f>
        <v>SPOKE-HUB</v>
      </c>
      <c r="R46" s="104">
        <f>IF(ISERROR(VLOOKUP(Table29[[#This Row],[source2]],Table22[[Label]:[Weighted Degree]],3,FALSE)),IF(ISERROR(VLOOKUP(Table29[[#This Row],[source2]],Table2210[[Label]:[Weighted Degree]],3,FALSE)),IF(ISERROR(VLOOKUP(Table29[[#This Row],[source2]],Table2214[[Label]:[Weighted Degree]],3,FALSE)),FALSE,VLOOKUP(Table29[[#This Row],[source2]],Table2214[[Label]:[Weighted Degree]],3,FALSE)),VLOOKUP(Table29[[#This Row],[source2]],Table2210[[Label]:[Weighted Degree]],3,FALSE)),VLOOKUP(Table29[[#This Row],[source2]],Table22[[Label]:[Weighted Degree]],3,FALSE))</f>
        <v>15166</v>
      </c>
      <c r="S46" s="104">
        <f>IF(ISERROR(VLOOKUP(Table29[[#This Row],[target2]],Table22[[Label]:[Weighted Degree]],3,FALSE)),IF(ISERROR(VLOOKUP(Table29[[#This Row],[target2]],Table2210[[Label]:[Weighted Degree]],3,FALSE)),IF(ISERROR(VLOOKUP(Table29[[#This Row],[target2]],Table2214[[Label]:[Weighted Degree]],3,FALSE)),FALSE,VLOOKUP(Table29[[#This Row],[target2]],Table2214[[Label]:[Weighted Degree]],3,FALSE)),VLOOKUP(Table29[[#This Row],[target2]],Table2210[[Label]:[Weighted Degree]],3,FALSE)),VLOOKUP(Table29[[#This Row],[target2]],Table22[[Label]:[Weighted Degree]],3,FALSE))</f>
        <v>5341</v>
      </c>
      <c r="U46" s="14" t="s">
        <v>125</v>
      </c>
      <c r="V46" s="14" t="s">
        <v>151</v>
      </c>
      <c r="W46" s="77" t="s">
        <v>738</v>
      </c>
      <c r="X46" s="1">
        <v>2470</v>
      </c>
      <c r="Y46" s="14" t="str">
        <f>IF(ISERROR(VLOOKUP(Table2932[[#This Row],[source]],Table22[Label],1,FALSE)),IF(ISERROR(VLOOKUP(Table2932[[#This Row],[source]],Table2210[Label],1,FALSE)),"SPOKE","FOCUS"),"HUB")</f>
        <v>HUB</v>
      </c>
      <c r="Z46" s="14" t="str">
        <f>IF(ISERROR(VLOOKUP(Table2932[[#This Row],[target]],Table22[Label],1,FALSE)),IF(ISERROR(VLOOKUP(Table2932[[#This Row],[target]],Table2210[Label],1,FALSE)),"SPOKE","FOCUS"),"HUB")</f>
        <v>SPOKE</v>
      </c>
      <c r="AA46" s="14" t="str">
        <f>IF(Table2932[[#This Row],[source-type]]&lt;Table2932[[#This Row],[target-type]],Table2932[[#This Row],[target-type]]&amp;"-"&amp;Table2932[[#This Row],[source-type]],Table2932[[#This Row],[source-type]]&amp;"-"&amp;Table2932[[#This Row],[target-type]])</f>
        <v>SPOKE-HUB</v>
      </c>
      <c r="AB46" s="104">
        <f>IF(ISERROR(VLOOKUP(Table2932[[#This Row],[source]],Table22[[Label]:[Weighted Degree]],3,FALSE)),IF(ISERROR(VLOOKUP(Table2932[[#This Row],[source]],Table2210[[Label]:[Weighted Degree]],3,FALSE)),IF(ISERROR(VLOOKUP(Table2932[[#This Row],[source]],Table2214[[Label]:[Weighted Degree]],3,FALSE)),FALSE,VLOOKUP(Table2932[[#This Row],[source]],Table2214[[Label]:[Weighted Degree]],3,FALSE)),VLOOKUP(Table2932[[#This Row],[source]],Table2210[[Label]:[Weighted Degree]],3,FALSE)),VLOOKUP(Table2932[[#This Row],[source]],Table22[[Label]:[Weighted Degree]],3,FALSE))</f>
        <v>29032</v>
      </c>
      <c r="AC46" s="104">
        <f>IF(ISERROR(VLOOKUP(Table2932[[#This Row],[target]],Table22[[Label]:[Weighted Degree]],3,FALSE)),IF(ISERROR(VLOOKUP(Table2932[[#This Row],[target]],Table2210[[Label]:[Weighted Degree]],3,FALSE)),IF(ISERROR(VLOOKUP(Table2932[[#This Row],[target]],Table2214[[Label]:[Weighted Degree]],3,FALSE)),FALSE,VLOOKUP(Table2932[[#This Row],[target]],Table2214[[Label]:[Weighted Degree]],3,FALSE)),VLOOKUP(Table2932[[#This Row],[target]],Table2210[[Label]:[Weighted Degree]],3,FALSE)),VLOOKUP(Table2932[[#This Row],[target]],Table22[[Label]:[Weighted Degree]],3,FALSE))</f>
        <v>9869</v>
      </c>
      <c r="AE46" s="14" t="s">
        <v>132</v>
      </c>
      <c r="AF46" s="14" t="s">
        <v>131</v>
      </c>
      <c r="AG46" s="64" t="s">
        <v>1733</v>
      </c>
      <c r="AH46" s="14">
        <v>5468</v>
      </c>
      <c r="AI46" s="14" t="str">
        <f>IF(ISERROR(VLOOKUP(Table32[[#This Row],[source2]],Table22[Label],1,FALSE)),IF(ISERROR(VLOOKUP(Table32[[#This Row],[source2]],Table2210[Label],1,FALSE)),"SPOKE","FOCUS"),"HUB")</f>
        <v>HUB</v>
      </c>
      <c r="AJ46" s="14" t="str">
        <f>IF(ISERROR(VLOOKUP(Table32[[#This Row],[target2]],Table22[Label],1,FALSE)),IF(ISERROR(VLOOKUP(Table32[[#This Row],[target2]],Table2210[Label],1,FALSE)),"SPOKE","FOCUS"),"HUB")</f>
        <v>HUB</v>
      </c>
      <c r="AK46" s="14" t="str">
        <f>IF(Table32[[#This Row],[source-type]]&lt;Table32[[#This Row],[target-type]],Table32[[#This Row],[target-type]]&amp;"-"&amp;Table32[[#This Row],[source-type]],Table32[[#This Row],[source-type]]&amp;"-"&amp;Table32[[#This Row],[target-type]])</f>
        <v>HUB-HUB</v>
      </c>
      <c r="AL46" s="104">
        <f>IF(ISERROR(VLOOKUP(Table32[[#This Row],[source2]],Table22[[Label]:[Weighted Degree]],3,FALSE)),IF(ISERROR(VLOOKUP(Table32[[#This Row],[source2]],Table2210[[Label]:[Weighted Degree]],3,FALSE)),IF(ISERROR(VLOOKUP(Table32[[#This Row],[source2]],Table2214[[Label]:[Weighted Degree]],3,FALSE)),FALSE,VLOOKUP(Table32[[#This Row],[source2]],Table2214[[Label]:[Weighted Degree]],3,FALSE)),VLOOKUP(Table32[[#This Row],[source2]],Table2210[[Label]:[Weighted Degree]],3,FALSE)),VLOOKUP(Table32[[#This Row],[source2]],Table22[[Label]:[Weighted Degree]],3,FALSE))</f>
        <v>23813</v>
      </c>
      <c r="AM46" s="104">
        <f>IF(ISERROR(VLOOKUP(Table32[[#This Row],[target2]],Table22[[Label]:[Weighted Degree]],3,FALSE)),IF(ISERROR(VLOOKUP(Table32[[#This Row],[target2]],Table2210[[Label]:[Weighted Degree]],3,FALSE)),IF(ISERROR(VLOOKUP(Table32[[#This Row],[target2]],Table2214[[Label]:[Weighted Degree]],3,FALSE)),FALSE,VLOOKUP(Table32[[#This Row],[target2]],Table2214[[Label]:[Weighted Degree]],3,FALSE)),VLOOKUP(Table32[[#This Row],[target2]],Table2210[[Label]:[Weighted Degree]],3,FALSE)),VLOOKUP(Table32[[#This Row],[target2]],Table22[[Label]:[Weighted Degree]],3,FALSE))</f>
        <v>44350</v>
      </c>
    </row>
    <row r="47" spans="1:39" x14ac:dyDescent="0.2">
      <c r="A47" s="14" t="s">
        <v>143</v>
      </c>
      <c r="B47" s="14" t="s">
        <v>139</v>
      </c>
      <c r="C47" s="76" t="s">
        <v>771</v>
      </c>
      <c r="D47" s="14">
        <v>3011</v>
      </c>
      <c r="E47" s="63" t="str">
        <f>IF(ISERROR(VLOOKUP(Table8[[#This Row],[source2]],Table22[Label],1,FALSE)),IF(ISERROR(VLOOKUP(Table8[[#This Row],[source2]],Table2210[Label],1,FALSE)),"SPOKE","FOCUS"),"HUB")</f>
        <v>HUB</v>
      </c>
      <c r="F47" s="63" t="str">
        <f>IF(ISERROR(VLOOKUP(Table8[[#This Row],[target2]],Table22[Label],1,FALSE)),IF(ISERROR(VLOOKUP(Table8[[#This Row],[target2]],Table2210[Label],1,FALSE)),"SPOKE","FOCUS"),"HUB")</f>
        <v>HUB</v>
      </c>
      <c r="G47" s="63" t="str">
        <f>IF(Table8[[#This Row],[source-tyoe]]&lt;Table8[[#This Row],[target-type]],Table8[[#This Row],[target-type]]&amp;"-"&amp;Table8[[#This Row],[source-tyoe]],Table8[[#This Row],[source-tyoe]]&amp;"-"&amp;Table8[[#This Row],[target-type]])</f>
        <v>HUB-HUB</v>
      </c>
      <c r="H47" s="63">
        <f>IF(ISERROR(VLOOKUP(Table8[[#This Row],[source2]],Table22[[Label]:[Weighted Degree]],3,FALSE)),IF(ISERROR(VLOOKUP(Table8[[#This Row],[source2]],Table2210[[Label]:[Weighted Degree]],3,FALSE)),IF(ISERROR(VLOOKUP(Table8[[#This Row],[source2]],Table2214[[Label]:[Weighted Degree]],3,FALSE)),FALSE,VLOOKUP(Table8[[#This Row],[source2]],Table2214[[Label]:[Weighted Degree]],3,FALSE)),VLOOKUP(Table8[[#This Row],[source2]],Table2210[[Label]:[Weighted Degree]],3,FALSE)),VLOOKUP(Table8[[#This Row],[source2]],Table22[[Label]:[Weighted Degree]],3,FALSE))</f>
        <v>10697</v>
      </c>
      <c r="I47" s="63">
        <f>IF(ISERROR(VLOOKUP(Table8[[#This Row],[target2]],Table22[[Label]:[Weighted Degree]],3,FALSE)),IF(ISERROR(VLOOKUP(Table8[[#This Row],[target2]],Table2210[[Label]:[Weighted Degree]],3,FALSE)),IF(ISERROR(VLOOKUP(Table8[[#This Row],[target2]],Table2214[[Label]:[Weighted Degree]],3,FALSE)),FALSE,VLOOKUP(Table8[[#This Row],[target2]],Table2214[[Label]:[Weighted Degree]],3,FALSE)),VLOOKUP(Table8[[#This Row],[target2]],Table2210[[Label]:[Weighted Degree]],3,FALSE)),VLOOKUP(Table8[[#This Row],[target2]],Table22[[Label]:[Weighted Degree]],3,FALSE))</f>
        <v>31784</v>
      </c>
      <c r="J47" s="61"/>
      <c r="K47" s="14" t="s">
        <v>140</v>
      </c>
      <c r="L47" s="14" t="s">
        <v>149</v>
      </c>
      <c r="M47" s="15" t="s">
        <v>370</v>
      </c>
      <c r="N47" s="14">
        <v>927</v>
      </c>
      <c r="O47" s="14" t="str">
        <f>IF(ISERROR(VLOOKUP(Table29[[#This Row],[source2]],Table22[Label],1,FALSE)),IF(ISERROR(VLOOKUP(Table29[[#This Row],[source2]],Table2210[Label],1,FALSE)),"SPOKE","FOCUS"),"HUB")</f>
        <v>HUB</v>
      </c>
      <c r="P47" s="14" t="str">
        <f>IF(ISERROR(VLOOKUP(Table29[[#This Row],[target2]],Table22[Label],1,FALSE)),IF(ISERROR(VLOOKUP(Table29[[#This Row],[target2]],Table2210[Label],1,FALSE)),"SPOKE","FOCUS"),"HUB")</f>
        <v>SPOKE</v>
      </c>
      <c r="Q47" s="14" t="str">
        <f>IF(Table29[[#This Row],[source-type]]&lt;Table29[[#This Row],[target-type]],Table29[[#This Row],[target-type]]&amp;"-"&amp;Table29[[#This Row],[source-type]],Table29[[#This Row],[source-type]]&amp;"-"&amp;Table29[[#This Row],[target-type]])</f>
        <v>SPOKE-HUB</v>
      </c>
      <c r="R47" s="104">
        <f>IF(ISERROR(VLOOKUP(Table29[[#This Row],[source2]],Table22[[Label]:[Weighted Degree]],3,FALSE)),IF(ISERROR(VLOOKUP(Table29[[#This Row],[source2]],Table2210[[Label]:[Weighted Degree]],3,FALSE)),IF(ISERROR(VLOOKUP(Table29[[#This Row],[source2]],Table2214[[Label]:[Weighted Degree]],3,FALSE)),FALSE,VLOOKUP(Table29[[#This Row],[source2]],Table2214[[Label]:[Weighted Degree]],3,FALSE)),VLOOKUP(Table29[[#This Row],[source2]],Table2210[[Label]:[Weighted Degree]],3,FALSE)),VLOOKUP(Table29[[#This Row],[source2]],Table22[[Label]:[Weighted Degree]],3,FALSE))</f>
        <v>21171</v>
      </c>
      <c r="S47" s="104">
        <f>IF(ISERROR(VLOOKUP(Table29[[#This Row],[target2]],Table22[[Label]:[Weighted Degree]],3,FALSE)),IF(ISERROR(VLOOKUP(Table29[[#This Row],[target2]],Table2210[[Label]:[Weighted Degree]],3,FALSE)),IF(ISERROR(VLOOKUP(Table29[[#This Row],[target2]],Table2214[[Label]:[Weighted Degree]],3,FALSE)),FALSE,VLOOKUP(Table29[[#This Row],[target2]],Table2214[[Label]:[Weighted Degree]],3,FALSE)),VLOOKUP(Table29[[#This Row],[target2]],Table2210[[Label]:[Weighted Degree]],3,FALSE)),VLOOKUP(Table29[[#This Row],[target2]],Table22[[Label]:[Weighted Degree]],3,FALSE))</f>
        <v>9447</v>
      </c>
      <c r="U47" s="14" t="s">
        <v>126</v>
      </c>
      <c r="V47" s="14" t="s">
        <v>149</v>
      </c>
      <c r="W47" s="77" t="s">
        <v>738</v>
      </c>
      <c r="X47" s="1">
        <v>2532</v>
      </c>
      <c r="Y47" s="14" t="str">
        <f>IF(ISERROR(VLOOKUP(Table2932[[#This Row],[source]],Table22[Label],1,FALSE)),IF(ISERROR(VLOOKUP(Table2932[[#This Row],[source]],Table2210[Label],1,FALSE)),"SPOKE","FOCUS"),"HUB")</f>
        <v>HUB</v>
      </c>
      <c r="Z47" s="14" t="str">
        <f>IF(ISERROR(VLOOKUP(Table2932[[#This Row],[target]],Table22[Label],1,FALSE)),IF(ISERROR(VLOOKUP(Table2932[[#This Row],[target]],Table2210[Label],1,FALSE)),"SPOKE","FOCUS"),"HUB")</f>
        <v>SPOKE</v>
      </c>
      <c r="AA47" s="14" t="str">
        <f>IF(Table2932[[#This Row],[source-type]]&lt;Table2932[[#This Row],[target-type]],Table2932[[#This Row],[target-type]]&amp;"-"&amp;Table2932[[#This Row],[source-type]],Table2932[[#This Row],[source-type]]&amp;"-"&amp;Table2932[[#This Row],[target-type]])</f>
        <v>SPOKE-HUB</v>
      </c>
      <c r="AB47" s="104">
        <f>IF(ISERROR(VLOOKUP(Table2932[[#This Row],[source]],Table22[[Label]:[Weighted Degree]],3,FALSE)),IF(ISERROR(VLOOKUP(Table2932[[#This Row],[source]],Table2210[[Label]:[Weighted Degree]],3,FALSE)),IF(ISERROR(VLOOKUP(Table2932[[#This Row],[source]],Table2214[[Label]:[Weighted Degree]],3,FALSE)),FALSE,VLOOKUP(Table2932[[#This Row],[source]],Table2214[[Label]:[Weighted Degree]],3,FALSE)),VLOOKUP(Table2932[[#This Row],[source]],Table2210[[Label]:[Weighted Degree]],3,FALSE)),VLOOKUP(Table2932[[#This Row],[source]],Table22[[Label]:[Weighted Degree]],3,FALSE))</f>
        <v>36050</v>
      </c>
      <c r="AC47" s="104">
        <f>IF(ISERROR(VLOOKUP(Table2932[[#This Row],[target]],Table22[[Label]:[Weighted Degree]],3,FALSE)),IF(ISERROR(VLOOKUP(Table2932[[#This Row],[target]],Table2210[[Label]:[Weighted Degree]],3,FALSE)),IF(ISERROR(VLOOKUP(Table2932[[#This Row],[target]],Table2214[[Label]:[Weighted Degree]],3,FALSE)),FALSE,VLOOKUP(Table2932[[#This Row],[target]],Table2214[[Label]:[Weighted Degree]],3,FALSE)),VLOOKUP(Table2932[[#This Row],[target]],Table2210[[Label]:[Weighted Degree]],3,FALSE)),VLOOKUP(Table2932[[#This Row],[target]],Table22[[Label]:[Weighted Degree]],3,FALSE))</f>
        <v>9447</v>
      </c>
      <c r="AE47" s="14" t="s">
        <v>132</v>
      </c>
      <c r="AF47" s="14" t="s">
        <v>145</v>
      </c>
      <c r="AG47" s="64" t="s">
        <v>1743</v>
      </c>
      <c r="AH47" s="14">
        <v>4506</v>
      </c>
      <c r="AI47" s="14" t="str">
        <f>IF(ISERROR(VLOOKUP(Table32[[#This Row],[source2]],Table22[Label],1,FALSE)),IF(ISERROR(VLOOKUP(Table32[[#This Row],[source2]],Table2210[Label],1,FALSE)),"SPOKE","FOCUS"),"HUB")</f>
        <v>HUB</v>
      </c>
      <c r="AJ47" s="14" t="str">
        <f>IF(ISERROR(VLOOKUP(Table32[[#This Row],[target2]],Table22[Label],1,FALSE)),IF(ISERROR(VLOOKUP(Table32[[#This Row],[target2]],Table2210[Label],1,FALSE)),"SPOKE","FOCUS"),"HUB")</f>
        <v>HUB</v>
      </c>
      <c r="AK47" s="14" t="str">
        <f>IF(Table32[[#This Row],[source-type]]&lt;Table32[[#This Row],[target-type]],Table32[[#This Row],[target-type]]&amp;"-"&amp;Table32[[#This Row],[source-type]],Table32[[#This Row],[source-type]]&amp;"-"&amp;Table32[[#This Row],[target-type]])</f>
        <v>HUB-HUB</v>
      </c>
      <c r="AL47" s="104">
        <f>IF(ISERROR(VLOOKUP(Table32[[#This Row],[source2]],Table22[[Label]:[Weighted Degree]],3,FALSE)),IF(ISERROR(VLOOKUP(Table32[[#This Row],[source2]],Table2210[[Label]:[Weighted Degree]],3,FALSE)),IF(ISERROR(VLOOKUP(Table32[[#This Row],[source2]],Table2214[[Label]:[Weighted Degree]],3,FALSE)),FALSE,VLOOKUP(Table32[[#This Row],[source2]],Table2214[[Label]:[Weighted Degree]],3,FALSE)),VLOOKUP(Table32[[#This Row],[source2]],Table2210[[Label]:[Weighted Degree]],3,FALSE)),VLOOKUP(Table32[[#This Row],[source2]],Table22[[Label]:[Weighted Degree]],3,FALSE))</f>
        <v>23813</v>
      </c>
      <c r="AM47" s="104">
        <f>IF(ISERROR(VLOOKUP(Table32[[#This Row],[target2]],Table22[[Label]:[Weighted Degree]],3,FALSE)),IF(ISERROR(VLOOKUP(Table32[[#This Row],[target2]],Table2210[[Label]:[Weighted Degree]],3,FALSE)),IF(ISERROR(VLOOKUP(Table32[[#This Row],[target2]],Table2214[[Label]:[Weighted Degree]],3,FALSE)),FALSE,VLOOKUP(Table32[[#This Row],[target2]],Table2214[[Label]:[Weighted Degree]],3,FALSE)),VLOOKUP(Table32[[#This Row],[target2]],Table2210[[Label]:[Weighted Degree]],3,FALSE)),VLOOKUP(Table32[[#This Row],[target2]],Table22[[Label]:[Weighted Degree]],3,FALSE))</f>
        <v>23054</v>
      </c>
    </row>
    <row r="48" spans="1:39" x14ac:dyDescent="0.2">
      <c r="A48" s="14" t="s">
        <v>144</v>
      </c>
      <c r="B48" s="14" t="s">
        <v>150</v>
      </c>
      <c r="C48" s="76" t="s">
        <v>771</v>
      </c>
      <c r="D48" s="14">
        <v>3164</v>
      </c>
      <c r="E48" s="63" t="str">
        <f>IF(ISERROR(VLOOKUP(Table8[[#This Row],[source2]],Table22[Label],1,FALSE)),IF(ISERROR(VLOOKUP(Table8[[#This Row],[source2]],Table2210[Label],1,FALSE)),"SPOKE","FOCUS"),"HUB")</f>
        <v>FOCUS</v>
      </c>
      <c r="F48" s="63" t="str">
        <f>IF(ISERROR(VLOOKUP(Table8[[#This Row],[target2]],Table22[Label],1,FALSE)),IF(ISERROR(VLOOKUP(Table8[[#This Row],[target2]],Table2210[Label],1,FALSE)),"SPOKE","FOCUS"),"HUB")</f>
        <v>SPOKE</v>
      </c>
      <c r="G48" s="63" t="str">
        <f>IF(Table8[[#This Row],[source-tyoe]]&lt;Table8[[#This Row],[target-type]],Table8[[#This Row],[target-type]]&amp;"-"&amp;Table8[[#This Row],[source-tyoe]],Table8[[#This Row],[source-tyoe]]&amp;"-"&amp;Table8[[#This Row],[target-type]])</f>
        <v>SPOKE-FOCUS</v>
      </c>
      <c r="H48" s="63">
        <f>IF(ISERROR(VLOOKUP(Table8[[#This Row],[source2]],Table22[[Label]:[Weighted Degree]],3,FALSE)),IF(ISERROR(VLOOKUP(Table8[[#This Row],[source2]],Table2210[[Label]:[Weighted Degree]],3,FALSE)),IF(ISERROR(VLOOKUP(Table8[[#This Row],[source2]],Table2214[[Label]:[Weighted Degree]],3,FALSE)),FALSE,VLOOKUP(Table8[[#This Row],[source2]],Table2214[[Label]:[Weighted Degree]],3,FALSE)),VLOOKUP(Table8[[#This Row],[source2]],Table2210[[Label]:[Weighted Degree]],3,FALSE)),VLOOKUP(Table8[[#This Row],[source2]],Table22[[Label]:[Weighted Degree]],3,FALSE))</f>
        <v>22088</v>
      </c>
      <c r="I48" s="63">
        <f>IF(ISERROR(VLOOKUP(Table8[[#This Row],[target2]],Table22[[Label]:[Weighted Degree]],3,FALSE)),IF(ISERROR(VLOOKUP(Table8[[#This Row],[target2]],Table2210[[Label]:[Weighted Degree]],3,FALSE)),IF(ISERROR(VLOOKUP(Table8[[#This Row],[target2]],Table2214[[Label]:[Weighted Degree]],3,FALSE)),FALSE,VLOOKUP(Table8[[#This Row],[target2]],Table2214[[Label]:[Weighted Degree]],3,FALSE)),VLOOKUP(Table8[[#This Row],[target2]],Table2210[[Label]:[Weighted Degree]],3,FALSE)),VLOOKUP(Table8[[#This Row],[target2]],Table22[[Label]:[Weighted Degree]],3,FALSE))</f>
        <v>10215</v>
      </c>
      <c r="J48" s="61"/>
      <c r="K48" s="14" t="s">
        <v>141</v>
      </c>
      <c r="L48" s="14" t="s">
        <v>153</v>
      </c>
      <c r="M48" s="15" t="s">
        <v>371</v>
      </c>
      <c r="N48" s="14">
        <v>2645</v>
      </c>
      <c r="O48" s="14" t="str">
        <f>IF(ISERROR(VLOOKUP(Table29[[#This Row],[source2]],Table22[Label],1,FALSE)),IF(ISERROR(VLOOKUP(Table29[[#This Row],[source2]],Table2210[Label],1,FALSE)),"SPOKE","FOCUS"),"HUB")</f>
        <v>HUB</v>
      </c>
      <c r="P48" s="14" t="str">
        <f>IF(ISERROR(VLOOKUP(Table29[[#This Row],[target2]],Table22[Label],1,FALSE)),IF(ISERROR(VLOOKUP(Table29[[#This Row],[target2]],Table2210[Label],1,FALSE)),"SPOKE","FOCUS"),"HUB")</f>
        <v>SPOKE</v>
      </c>
      <c r="Q48" s="14" t="str">
        <f>IF(Table29[[#This Row],[source-type]]&lt;Table29[[#This Row],[target-type]],Table29[[#This Row],[target-type]]&amp;"-"&amp;Table29[[#This Row],[source-type]],Table29[[#This Row],[source-type]]&amp;"-"&amp;Table29[[#This Row],[target-type]])</f>
        <v>SPOKE-HUB</v>
      </c>
      <c r="R48" s="104">
        <f>IF(ISERROR(VLOOKUP(Table29[[#This Row],[source2]],Table22[[Label]:[Weighted Degree]],3,FALSE)),IF(ISERROR(VLOOKUP(Table29[[#This Row],[source2]],Table2210[[Label]:[Weighted Degree]],3,FALSE)),IF(ISERROR(VLOOKUP(Table29[[#This Row],[source2]],Table2214[[Label]:[Weighted Degree]],3,FALSE)),FALSE,VLOOKUP(Table29[[#This Row],[source2]],Table2214[[Label]:[Weighted Degree]],3,FALSE)),VLOOKUP(Table29[[#This Row],[source2]],Table2210[[Label]:[Weighted Degree]],3,FALSE)),VLOOKUP(Table29[[#This Row],[source2]],Table22[[Label]:[Weighted Degree]],3,FALSE))</f>
        <v>11690</v>
      </c>
      <c r="S48" s="104">
        <f>IF(ISERROR(VLOOKUP(Table29[[#This Row],[target2]],Table22[[Label]:[Weighted Degree]],3,FALSE)),IF(ISERROR(VLOOKUP(Table29[[#This Row],[target2]],Table2210[[Label]:[Weighted Degree]],3,FALSE)),IF(ISERROR(VLOOKUP(Table29[[#This Row],[target2]],Table2214[[Label]:[Weighted Degree]],3,FALSE)),FALSE,VLOOKUP(Table29[[#This Row],[target2]],Table2214[[Label]:[Weighted Degree]],3,FALSE)),VLOOKUP(Table29[[#This Row],[target2]],Table2210[[Label]:[Weighted Degree]],3,FALSE)),VLOOKUP(Table29[[#This Row],[target2]],Table22[[Label]:[Weighted Degree]],3,FALSE))</f>
        <v>6181</v>
      </c>
      <c r="U48" s="14" t="s">
        <v>125</v>
      </c>
      <c r="V48" s="14" t="s">
        <v>155</v>
      </c>
      <c r="W48" s="77" t="s">
        <v>738</v>
      </c>
      <c r="X48" s="1">
        <v>2113</v>
      </c>
      <c r="Y48" s="14" t="str">
        <f>IF(ISERROR(VLOOKUP(Table2932[[#This Row],[source]],Table22[Label],1,FALSE)),IF(ISERROR(VLOOKUP(Table2932[[#This Row],[source]],Table2210[Label],1,FALSE)),"SPOKE","FOCUS"),"HUB")</f>
        <v>HUB</v>
      </c>
      <c r="Z48" s="14" t="str">
        <f>IF(ISERROR(VLOOKUP(Table2932[[#This Row],[target]],Table22[Label],1,FALSE)),IF(ISERROR(VLOOKUP(Table2932[[#This Row],[target]],Table2210[Label],1,FALSE)),"SPOKE","FOCUS"),"HUB")</f>
        <v>SPOKE</v>
      </c>
      <c r="AA48" s="14" t="str">
        <f>IF(Table2932[[#This Row],[source-type]]&lt;Table2932[[#This Row],[target-type]],Table2932[[#This Row],[target-type]]&amp;"-"&amp;Table2932[[#This Row],[source-type]],Table2932[[#This Row],[source-type]]&amp;"-"&amp;Table2932[[#This Row],[target-type]])</f>
        <v>SPOKE-HUB</v>
      </c>
      <c r="AB48" s="104">
        <f>IF(ISERROR(VLOOKUP(Table2932[[#This Row],[source]],Table22[[Label]:[Weighted Degree]],3,FALSE)),IF(ISERROR(VLOOKUP(Table2932[[#This Row],[source]],Table2210[[Label]:[Weighted Degree]],3,FALSE)),IF(ISERROR(VLOOKUP(Table2932[[#This Row],[source]],Table2214[[Label]:[Weighted Degree]],3,FALSE)),FALSE,VLOOKUP(Table2932[[#This Row],[source]],Table2214[[Label]:[Weighted Degree]],3,FALSE)),VLOOKUP(Table2932[[#This Row],[source]],Table2210[[Label]:[Weighted Degree]],3,FALSE)),VLOOKUP(Table2932[[#This Row],[source]],Table22[[Label]:[Weighted Degree]],3,FALSE))</f>
        <v>29032</v>
      </c>
      <c r="AC48" s="104">
        <f>IF(ISERROR(VLOOKUP(Table2932[[#This Row],[target]],Table22[[Label]:[Weighted Degree]],3,FALSE)),IF(ISERROR(VLOOKUP(Table2932[[#This Row],[target]],Table2210[[Label]:[Weighted Degree]],3,FALSE)),IF(ISERROR(VLOOKUP(Table2932[[#This Row],[target]],Table2214[[Label]:[Weighted Degree]],3,FALSE)),FALSE,VLOOKUP(Table2932[[#This Row],[target]],Table2214[[Label]:[Weighted Degree]],3,FALSE)),VLOOKUP(Table2932[[#This Row],[target]],Table2210[[Label]:[Weighted Degree]],3,FALSE)),VLOOKUP(Table2932[[#This Row],[target]],Table22[[Label]:[Weighted Degree]],3,FALSE))</f>
        <v>6688</v>
      </c>
      <c r="AE48" s="14" t="s">
        <v>135</v>
      </c>
      <c r="AF48" s="14" t="s">
        <v>131</v>
      </c>
      <c r="AG48" s="64" t="s">
        <v>999</v>
      </c>
      <c r="AH48" s="14">
        <v>6956</v>
      </c>
      <c r="AI48" s="14" t="str">
        <f>IF(ISERROR(VLOOKUP(Table32[[#This Row],[source2]],Table22[Label],1,FALSE)),IF(ISERROR(VLOOKUP(Table32[[#This Row],[source2]],Table2210[Label],1,FALSE)),"SPOKE","FOCUS"),"HUB")</f>
        <v>HUB</v>
      </c>
      <c r="AJ48" s="14" t="str">
        <f>IF(ISERROR(VLOOKUP(Table32[[#This Row],[target2]],Table22[Label],1,FALSE)),IF(ISERROR(VLOOKUP(Table32[[#This Row],[target2]],Table2210[Label],1,FALSE)),"SPOKE","FOCUS"),"HUB")</f>
        <v>HUB</v>
      </c>
      <c r="AK48" s="14" t="str">
        <f>IF(Table32[[#This Row],[source-type]]&lt;Table32[[#This Row],[target-type]],Table32[[#This Row],[target-type]]&amp;"-"&amp;Table32[[#This Row],[source-type]],Table32[[#This Row],[source-type]]&amp;"-"&amp;Table32[[#This Row],[target-type]])</f>
        <v>HUB-HUB</v>
      </c>
      <c r="AL48" s="104">
        <f>IF(ISERROR(VLOOKUP(Table32[[#This Row],[source2]],Table22[[Label]:[Weighted Degree]],3,FALSE)),IF(ISERROR(VLOOKUP(Table32[[#This Row],[source2]],Table2210[[Label]:[Weighted Degree]],3,FALSE)),IF(ISERROR(VLOOKUP(Table32[[#This Row],[source2]],Table2214[[Label]:[Weighted Degree]],3,FALSE)),FALSE,VLOOKUP(Table32[[#This Row],[source2]],Table2214[[Label]:[Weighted Degree]],3,FALSE)),VLOOKUP(Table32[[#This Row],[source2]],Table2210[[Label]:[Weighted Degree]],3,FALSE)),VLOOKUP(Table32[[#This Row],[source2]],Table22[[Label]:[Weighted Degree]],3,FALSE))</f>
        <v>23724</v>
      </c>
      <c r="AM48" s="104">
        <f>IF(ISERROR(VLOOKUP(Table32[[#This Row],[target2]],Table22[[Label]:[Weighted Degree]],3,FALSE)),IF(ISERROR(VLOOKUP(Table32[[#This Row],[target2]],Table2210[[Label]:[Weighted Degree]],3,FALSE)),IF(ISERROR(VLOOKUP(Table32[[#This Row],[target2]],Table2214[[Label]:[Weighted Degree]],3,FALSE)),FALSE,VLOOKUP(Table32[[#This Row],[target2]],Table2214[[Label]:[Weighted Degree]],3,FALSE)),VLOOKUP(Table32[[#This Row],[target2]],Table2210[[Label]:[Weighted Degree]],3,FALSE)),VLOOKUP(Table32[[#This Row],[target2]],Table22[[Label]:[Weighted Degree]],3,FALSE))</f>
        <v>44350</v>
      </c>
    </row>
    <row r="49" spans="1:39" x14ac:dyDescent="0.2">
      <c r="A49" s="14" t="s">
        <v>126</v>
      </c>
      <c r="B49" s="14" t="s">
        <v>151</v>
      </c>
      <c r="C49" s="76" t="s">
        <v>771</v>
      </c>
      <c r="D49" s="14">
        <v>2637</v>
      </c>
      <c r="E49" s="63" t="str">
        <f>IF(ISERROR(VLOOKUP(Table8[[#This Row],[source2]],Table22[Label],1,FALSE)),IF(ISERROR(VLOOKUP(Table8[[#This Row],[source2]],Table2210[Label],1,FALSE)),"SPOKE","FOCUS"),"HUB")</f>
        <v>HUB</v>
      </c>
      <c r="F49" s="63" t="str">
        <f>IF(ISERROR(VLOOKUP(Table8[[#This Row],[target2]],Table22[Label],1,FALSE)),IF(ISERROR(VLOOKUP(Table8[[#This Row],[target2]],Table2210[Label],1,FALSE)),"SPOKE","FOCUS"),"HUB")</f>
        <v>SPOKE</v>
      </c>
      <c r="G49" s="63" t="str">
        <f>IF(Table8[[#This Row],[source-tyoe]]&lt;Table8[[#This Row],[target-type]],Table8[[#This Row],[target-type]]&amp;"-"&amp;Table8[[#This Row],[source-tyoe]],Table8[[#This Row],[source-tyoe]]&amp;"-"&amp;Table8[[#This Row],[target-type]])</f>
        <v>SPOKE-HUB</v>
      </c>
      <c r="H49" s="63">
        <f>IF(ISERROR(VLOOKUP(Table8[[#This Row],[source2]],Table22[[Label]:[Weighted Degree]],3,FALSE)),IF(ISERROR(VLOOKUP(Table8[[#This Row],[source2]],Table2210[[Label]:[Weighted Degree]],3,FALSE)),IF(ISERROR(VLOOKUP(Table8[[#This Row],[source2]],Table2214[[Label]:[Weighted Degree]],3,FALSE)),FALSE,VLOOKUP(Table8[[#This Row],[source2]],Table2214[[Label]:[Weighted Degree]],3,FALSE)),VLOOKUP(Table8[[#This Row],[source2]],Table2210[[Label]:[Weighted Degree]],3,FALSE)),VLOOKUP(Table8[[#This Row],[source2]],Table22[[Label]:[Weighted Degree]],3,FALSE))</f>
        <v>36050</v>
      </c>
      <c r="I49" s="63">
        <f>IF(ISERROR(VLOOKUP(Table8[[#This Row],[target2]],Table22[[Label]:[Weighted Degree]],3,FALSE)),IF(ISERROR(VLOOKUP(Table8[[#This Row],[target2]],Table2210[[Label]:[Weighted Degree]],3,FALSE)),IF(ISERROR(VLOOKUP(Table8[[#This Row],[target2]],Table2214[[Label]:[Weighted Degree]],3,FALSE)),FALSE,VLOOKUP(Table8[[#This Row],[target2]],Table2214[[Label]:[Weighted Degree]],3,FALSE)),VLOOKUP(Table8[[#This Row],[target2]],Table2210[[Label]:[Weighted Degree]],3,FALSE)),VLOOKUP(Table8[[#This Row],[target2]],Table22[[Label]:[Weighted Degree]],3,FALSE))</f>
        <v>9869</v>
      </c>
      <c r="J49" s="61"/>
      <c r="K49" s="14" t="s">
        <v>135</v>
      </c>
      <c r="L49" s="14" t="s">
        <v>131</v>
      </c>
      <c r="M49" s="15" t="s">
        <v>372</v>
      </c>
      <c r="N49" s="14">
        <v>1628</v>
      </c>
      <c r="O49" s="14" t="str">
        <f>IF(ISERROR(VLOOKUP(Table29[[#This Row],[source2]],Table22[Label],1,FALSE)),IF(ISERROR(VLOOKUP(Table29[[#This Row],[source2]],Table2210[Label],1,FALSE)),"SPOKE","FOCUS"),"HUB")</f>
        <v>HUB</v>
      </c>
      <c r="P49" s="14" t="str">
        <f>IF(ISERROR(VLOOKUP(Table29[[#This Row],[target2]],Table22[Label],1,FALSE)),IF(ISERROR(VLOOKUP(Table29[[#This Row],[target2]],Table2210[Label],1,FALSE)),"SPOKE","FOCUS"),"HUB")</f>
        <v>HUB</v>
      </c>
      <c r="Q49" s="14" t="str">
        <f>IF(Table29[[#This Row],[source-type]]&lt;Table29[[#This Row],[target-type]],Table29[[#This Row],[target-type]]&amp;"-"&amp;Table29[[#This Row],[source-type]],Table29[[#This Row],[source-type]]&amp;"-"&amp;Table29[[#This Row],[target-type]])</f>
        <v>HUB-HUB</v>
      </c>
      <c r="R49" s="104">
        <f>IF(ISERROR(VLOOKUP(Table29[[#This Row],[source2]],Table22[[Label]:[Weighted Degree]],3,FALSE)),IF(ISERROR(VLOOKUP(Table29[[#This Row],[source2]],Table2210[[Label]:[Weighted Degree]],3,FALSE)),IF(ISERROR(VLOOKUP(Table29[[#This Row],[source2]],Table2214[[Label]:[Weighted Degree]],3,FALSE)),FALSE,VLOOKUP(Table29[[#This Row],[source2]],Table2214[[Label]:[Weighted Degree]],3,FALSE)),VLOOKUP(Table29[[#This Row],[source2]],Table2210[[Label]:[Weighted Degree]],3,FALSE)),VLOOKUP(Table29[[#This Row],[source2]],Table22[[Label]:[Weighted Degree]],3,FALSE))</f>
        <v>23724</v>
      </c>
      <c r="S49" s="104">
        <f>IF(ISERROR(VLOOKUP(Table29[[#This Row],[target2]],Table22[[Label]:[Weighted Degree]],3,FALSE)),IF(ISERROR(VLOOKUP(Table29[[#This Row],[target2]],Table2210[[Label]:[Weighted Degree]],3,FALSE)),IF(ISERROR(VLOOKUP(Table29[[#This Row],[target2]],Table2214[[Label]:[Weighted Degree]],3,FALSE)),FALSE,VLOOKUP(Table29[[#This Row],[target2]],Table2214[[Label]:[Weighted Degree]],3,FALSE)),VLOOKUP(Table29[[#This Row],[target2]],Table2210[[Label]:[Weighted Degree]],3,FALSE)),VLOOKUP(Table29[[#This Row],[target2]],Table22[[Label]:[Weighted Degree]],3,FALSE))</f>
        <v>44350</v>
      </c>
      <c r="U49" s="14" t="s">
        <v>125</v>
      </c>
      <c r="V49" s="14" t="s">
        <v>136</v>
      </c>
      <c r="W49" s="77" t="s">
        <v>738</v>
      </c>
      <c r="X49" s="1">
        <v>1387</v>
      </c>
      <c r="Y49" s="14" t="str">
        <f>IF(ISERROR(VLOOKUP(Table2932[[#This Row],[source]],Table22[Label],1,FALSE)),IF(ISERROR(VLOOKUP(Table2932[[#This Row],[source]],Table2210[Label],1,FALSE)),"SPOKE","FOCUS"),"HUB")</f>
        <v>HUB</v>
      </c>
      <c r="Z49" s="14" t="str">
        <f>IF(ISERROR(VLOOKUP(Table2932[[#This Row],[target]],Table22[Label],1,FALSE)),IF(ISERROR(VLOOKUP(Table2932[[#This Row],[target]],Table2210[Label],1,FALSE)),"SPOKE","FOCUS"),"HUB")</f>
        <v>HUB</v>
      </c>
      <c r="AA49" s="14" t="str">
        <f>IF(Table2932[[#This Row],[source-type]]&lt;Table2932[[#This Row],[target-type]],Table2932[[#This Row],[target-type]]&amp;"-"&amp;Table2932[[#This Row],[source-type]],Table2932[[#This Row],[source-type]]&amp;"-"&amp;Table2932[[#This Row],[target-type]])</f>
        <v>HUB-HUB</v>
      </c>
      <c r="AB49" s="104">
        <f>IF(ISERROR(VLOOKUP(Table2932[[#This Row],[source]],Table22[[Label]:[Weighted Degree]],3,FALSE)),IF(ISERROR(VLOOKUP(Table2932[[#This Row],[source]],Table2210[[Label]:[Weighted Degree]],3,FALSE)),IF(ISERROR(VLOOKUP(Table2932[[#This Row],[source]],Table2214[[Label]:[Weighted Degree]],3,FALSE)),FALSE,VLOOKUP(Table2932[[#This Row],[source]],Table2214[[Label]:[Weighted Degree]],3,FALSE)),VLOOKUP(Table2932[[#This Row],[source]],Table2210[[Label]:[Weighted Degree]],3,FALSE)),VLOOKUP(Table2932[[#This Row],[source]],Table22[[Label]:[Weighted Degree]],3,FALSE))</f>
        <v>29032</v>
      </c>
      <c r="AC49" s="104">
        <f>IF(ISERROR(VLOOKUP(Table2932[[#This Row],[target]],Table22[[Label]:[Weighted Degree]],3,FALSE)),IF(ISERROR(VLOOKUP(Table2932[[#This Row],[target]],Table2210[[Label]:[Weighted Degree]],3,FALSE)),IF(ISERROR(VLOOKUP(Table2932[[#This Row],[target]],Table2214[[Label]:[Weighted Degree]],3,FALSE)),FALSE,VLOOKUP(Table2932[[#This Row],[target]],Table2214[[Label]:[Weighted Degree]],3,FALSE)),VLOOKUP(Table2932[[#This Row],[target]],Table2210[[Label]:[Weighted Degree]],3,FALSE)),VLOOKUP(Table2932[[#This Row],[target]],Table22[[Label]:[Weighted Degree]],3,FALSE))</f>
        <v>15952</v>
      </c>
      <c r="AE49" s="14" t="s">
        <v>135</v>
      </c>
      <c r="AF49" s="14" t="s">
        <v>145</v>
      </c>
      <c r="AG49" s="64" t="s">
        <v>1015</v>
      </c>
      <c r="AH49" s="14">
        <v>4778</v>
      </c>
      <c r="AI49" s="14" t="str">
        <f>IF(ISERROR(VLOOKUP(Table32[[#This Row],[source2]],Table22[Label],1,FALSE)),IF(ISERROR(VLOOKUP(Table32[[#This Row],[source2]],Table2210[Label],1,FALSE)),"SPOKE","FOCUS"),"HUB")</f>
        <v>HUB</v>
      </c>
      <c r="AJ49" s="14" t="str">
        <f>IF(ISERROR(VLOOKUP(Table32[[#This Row],[target2]],Table22[Label],1,FALSE)),IF(ISERROR(VLOOKUP(Table32[[#This Row],[target2]],Table2210[Label],1,FALSE)),"SPOKE","FOCUS"),"HUB")</f>
        <v>HUB</v>
      </c>
      <c r="AK49" s="14" t="str">
        <f>IF(Table32[[#This Row],[source-type]]&lt;Table32[[#This Row],[target-type]],Table32[[#This Row],[target-type]]&amp;"-"&amp;Table32[[#This Row],[source-type]],Table32[[#This Row],[source-type]]&amp;"-"&amp;Table32[[#This Row],[target-type]])</f>
        <v>HUB-HUB</v>
      </c>
      <c r="AL49" s="104">
        <f>IF(ISERROR(VLOOKUP(Table32[[#This Row],[source2]],Table22[[Label]:[Weighted Degree]],3,FALSE)),IF(ISERROR(VLOOKUP(Table32[[#This Row],[source2]],Table2210[[Label]:[Weighted Degree]],3,FALSE)),IF(ISERROR(VLOOKUP(Table32[[#This Row],[source2]],Table2214[[Label]:[Weighted Degree]],3,FALSE)),FALSE,VLOOKUP(Table32[[#This Row],[source2]],Table2214[[Label]:[Weighted Degree]],3,FALSE)),VLOOKUP(Table32[[#This Row],[source2]],Table2210[[Label]:[Weighted Degree]],3,FALSE)),VLOOKUP(Table32[[#This Row],[source2]],Table22[[Label]:[Weighted Degree]],3,FALSE))</f>
        <v>23724</v>
      </c>
      <c r="AM49" s="104">
        <f>IF(ISERROR(VLOOKUP(Table32[[#This Row],[target2]],Table22[[Label]:[Weighted Degree]],3,FALSE)),IF(ISERROR(VLOOKUP(Table32[[#This Row],[target2]],Table2210[[Label]:[Weighted Degree]],3,FALSE)),IF(ISERROR(VLOOKUP(Table32[[#This Row],[target2]],Table2214[[Label]:[Weighted Degree]],3,FALSE)),FALSE,VLOOKUP(Table32[[#This Row],[target2]],Table2214[[Label]:[Weighted Degree]],3,FALSE)),VLOOKUP(Table32[[#This Row],[target2]],Table2210[[Label]:[Weighted Degree]],3,FALSE)),VLOOKUP(Table32[[#This Row],[target2]],Table22[[Label]:[Weighted Degree]],3,FALSE))</f>
        <v>23054</v>
      </c>
    </row>
    <row r="50" spans="1:39" x14ac:dyDescent="0.2">
      <c r="A50" s="14" t="s">
        <v>146</v>
      </c>
      <c r="B50" s="14" t="s">
        <v>140</v>
      </c>
      <c r="C50" s="76" t="s">
        <v>771</v>
      </c>
      <c r="D50" s="14">
        <v>2645</v>
      </c>
      <c r="E50" s="63" t="str">
        <f>IF(ISERROR(VLOOKUP(Table8[[#This Row],[source2]],Table22[Label],1,FALSE)),IF(ISERROR(VLOOKUP(Table8[[#This Row],[source2]],Table2210[Label],1,FALSE)),"SPOKE","FOCUS"),"HUB")</f>
        <v>FOCUS</v>
      </c>
      <c r="F50" s="63" t="str">
        <f>IF(ISERROR(VLOOKUP(Table8[[#This Row],[target2]],Table22[Label],1,FALSE)),IF(ISERROR(VLOOKUP(Table8[[#This Row],[target2]],Table2210[Label],1,FALSE)),"SPOKE","FOCUS"),"HUB")</f>
        <v>HUB</v>
      </c>
      <c r="G50" s="63" t="str">
        <f>IF(Table8[[#This Row],[source-tyoe]]&lt;Table8[[#This Row],[target-type]],Table8[[#This Row],[target-type]]&amp;"-"&amp;Table8[[#This Row],[source-tyoe]],Table8[[#This Row],[source-tyoe]]&amp;"-"&amp;Table8[[#This Row],[target-type]])</f>
        <v>HUB-FOCUS</v>
      </c>
      <c r="H50" s="63">
        <f>IF(ISERROR(VLOOKUP(Table8[[#This Row],[source2]],Table22[[Label]:[Weighted Degree]],3,FALSE)),IF(ISERROR(VLOOKUP(Table8[[#This Row],[source2]],Table2210[[Label]:[Weighted Degree]],3,FALSE)),IF(ISERROR(VLOOKUP(Table8[[#This Row],[source2]],Table2214[[Label]:[Weighted Degree]],3,FALSE)),FALSE,VLOOKUP(Table8[[#This Row],[source2]],Table2214[[Label]:[Weighted Degree]],3,FALSE)),VLOOKUP(Table8[[#This Row],[source2]],Table2210[[Label]:[Weighted Degree]],3,FALSE)),VLOOKUP(Table8[[#This Row],[source2]],Table22[[Label]:[Weighted Degree]],3,FALSE))</f>
        <v>22882</v>
      </c>
      <c r="I50" s="63">
        <f>IF(ISERROR(VLOOKUP(Table8[[#This Row],[target2]],Table22[[Label]:[Weighted Degree]],3,FALSE)),IF(ISERROR(VLOOKUP(Table8[[#This Row],[target2]],Table2210[[Label]:[Weighted Degree]],3,FALSE)),IF(ISERROR(VLOOKUP(Table8[[#This Row],[target2]],Table2214[[Label]:[Weighted Degree]],3,FALSE)),FALSE,VLOOKUP(Table8[[#This Row],[target2]],Table2214[[Label]:[Weighted Degree]],3,FALSE)),VLOOKUP(Table8[[#This Row],[target2]],Table2210[[Label]:[Weighted Degree]],3,FALSE)),VLOOKUP(Table8[[#This Row],[target2]],Table22[[Label]:[Weighted Degree]],3,FALSE))</f>
        <v>21171</v>
      </c>
      <c r="J50" s="61"/>
      <c r="K50" s="14" t="s">
        <v>127</v>
      </c>
      <c r="L50" s="14" t="s">
        <v>155</v>
      </c>
      <c r="M50" s="15" t="s">
        <v>373</v>
      </c>
      <c r="N50" s="14">
        <v>3164</v>
      </c>
      <c r="O50" s="14" t="str">
        <f>IF(ISERROR(VLOOKUP(Table29[[#This Row],[source2]],Table22[Label],1,FALSE)),IF(ISERROR(VLOOKUP(Table29[[#This Row],[source2]],Table2210[Label],1,FALSE)),"SPOKE","FOCUS"),"HUB")</f>
        <v>HUB</v>
      </c>
      <c r="P50" s="14" t="str">
        <f>IF(ISERROR(VLOOKUP(Table29[[#This Row],[target2]],Table22[Label],1,FALSE)),IF(ISERROR(VLOOKUP(Table29[[#This Row],[target2]],Table2210[Label],1,FALSE)),"SPOKE","FOCUS"),"HUB")</f>
        <v>SPOKE</v>
      </c>
      <c r="Q50" s="14" t="str">
        <f>IF(Table29[[#This Row],[source-type]]&lt;Table29[[#This Row],[target-type]],Table29[[#This Row],[target-type]]&amp;"-"&amp;Table29[[#This Row],[source-type]],Table29[[#This Row],[source-type]]&amp;"-"&amp;Table29[[#This Row],[target-type]])</f>
        <v>SPOKE-HUB</v>
      </c>
      <c r="R50" s="104">
        <f>IF(ISERROR(VLOOKUP(Table29[[#This Row],[source2]],Table22[[Label]:[Weighted Degree]],3,FALSE)),IF(ISERROR(VLOOKUP(Table29[[#This Row],[source2]],Table2210[[Label]:[Weighted Degree]],3,FALSE)),IF(ISERROR(VLOOKUP(Table29[[#This Row],[source2]],Table2214[[Label]:[Weighted Degree]],3,FALSE)),FALSE,VLOOKUP(Table29[[#This Row],[source2]],Table2214[[Label]:[Weighted Degree]],3,FALSE)),VLOOKUP(Table29[[#This Row],[source2]],Table2210[[Label]:[Weighted Degree]],3,FALSE)),VLOOKUP(Table29[[#This Row],[source2]],Table22[[Label]:[Weighted Degree]],3,FALSE))</f>
        <v>24221</v>
      </c>
      <c r="S50" s="104">
        <f>IF(ISERROR(VLOOKUP(Table29[[#This Row],[target2]],Table22[[Label]:[Weighted Degree]],3,FALSE)),IF(ISERROR(VLOOKUP(Table29[[#This Row],[target2]],Table2210[[Label]:[Weighted Degree]],3,FALSE)),IF(ISERROR(VLOOKUP(Table29[[#This Row],[target2]],Table2214[[Label]:[Weighted Degree]],3,FALSE)),FALSE,VLOOKUP(Table29[[#This Row],[target2]],Table2214[[Label]:[Weighted Degree]],3,FALSE)),VLOOKUP(Table29[[#This Row],[target2]],Table2210[[Label]:[Weighted Degree]],3,FALSE)),VLOOKUP(Table29[[#This Row],[target2]],Table22[[Label]:[Weighted Degree]],3,FALSE))</f>
        <v>6688</v>
      </c>
      <c r="U50" s="14" t="s">
        <v>146</v>
      </c>
      <c r="V50" s="14" t="s">
        <v>140</v>
      </c>
      <c r="W50" s="77" t="s">
        <v>738</v>
      </c>
      <c r="X50" s="1">
        <v>2645</v>
      </c>
      <c r="Y50" s="14" t="str">
        <f>IF(ISERROR(VLOOKUP(Table2932[[#This Row],[source]],Table22[Label],1,FALSE)),IF(ISERROR(VLOOKUP(Table2932[[#This Row],[source]],Table2210[Label],1,FALSE)),"SPOKE","FOCUS"),"HUB")</f>
        <v>FOCUS</v>
      </c>
      <c r="Z50" s="14" t="str">
        <f>IF(ISERROR(VLOOKUP(Table2932[[#This Row],[target]],Table22[Label],1,FALSE)),IF(ISERROR(VLOOKUP(Table2932[[#This Row],[target]],Table2210[Label],1,FALSE)),"SPOKE","FOCUS"),"HUB")</f>
        <v>HUB</v>
      </c>
      <c r="AA50" s="14" t="str">
        <f>IF(Table2932[[#This Row],[source-type]]&lt;Table2932[[#This Row],[target-type]],Table2932[[#This Row],[target-type]]&amp;"-"&amp;Table2932[[#This Row],[source-type]],Table2932[[#This Row],[source-type]]&amp;"-"&amp;Table2932[[#This Row],[target-type]])</f>
        <v>HUB-FOCUS</v>
      </c>
      <c r="AB50" s="104">
        <f>IF(ISERROR(VLOOKUP(Table2932[[#This Row],[source]],Table22[[Label]:[Weighted Degree]],3,FALSE)),IF(ISERROR(VLOOKUP(Table2932[[#This Row],[source]],Table2210[[Label]:[Weighted Degree]],3,FALSE)),IF(ISERROR(VLOOKUP(Table2932[[#This Row],[source]],Table2214[[Label]:[Weighted Degree]],3,FALSE)),FALSE,VLOOKUP(Table2932[[#This Row],[source]],Table2214[[Label]:[Weighted Degree]],3,FALSE)),VLOOKUP(Table2932[[#This Row],[source]],Table2210[[Label]:[Weighted Degree]],3,FALSE)),VLOOKUP(Table2932[[#This Row],[source]],Table22[[Label]:[Weighted Degree]],3,FALSE))</f>
        <v>22882</v>
      </c>
      <c r="AC50" s="104">
        <f>IF(ISERROR(VLOOKUP(Table2932[[#This Row],[target]],Table22[[Label]:[Weighted Degree]],3,FALSE)),IF(ISERROR(VLOOKUP(Table2932[[#This Row],[target]],Table2210[[Label]:[Weighted Degree]],3,FALSE)),IF(ISERROR(VLOOKUP(Table2932[[#This Row],[target]],Table2214[[Label]:[Weighted Degree]],3,FALSE)),FALSE,VLOOKUP(Table2932[[#This Row],[target]],Table2214[[Label]:[Weighted Degree]],3,FALSE)),VLOOKUP(Table2932[[#This Row],[target]],Table2210[[Label]:[Weighted Degree]],3,FALSE)),VLOOKUP(Table2932[[#This Row],[target]],Table22[[Label]:[Weighted Degree]],3,FALSE))</f>
        <v>21171</v>
      </c>
      <c r="AE50" s="14" t="s">
        <v>125</v>
      </c>
      <c r="AF50" s="14" t="s">
        <v>155</v>
      </c>
      <c r="AG50" s="64" t="s">
        <v>1603</v>
      </c>
      <c r="AH50" s="14">
        <v>2113</v>
      </c>
      <c r="AI50" s="14" t="str">
        <f>IF(ISERROR(VLOOKUP(Table32[[#This Row],[source2]],Table22[Label],1,FALSE)),IF(ISERROR(VLOOKUP(Table32[[#This Row],[source2]],Table2210[Label],1,FALSE)),"SPOKE","FOCUS"),"HUB")</f>
        <v>HUB</v>
      </c>
      <c r="AJ50" s="14" t="str">
        <f>IF(ISERROR(VLOOKUP(Table32[[#This Row],[target2]],Table22[Label],1,FALSE)),IF(ISERROR(VLOOKUP(Table32[[#This Row],[target2]],Table2210[Label],1,FALSE)),"SPOKE","FOCUS"),"HUB")</f>
        <v>SPOKE</v>
      </c>
      <c r="AK50" s="14" t="str">
        <f>IF(Table32[[#This Row],[source-type]]&lt;Table32[[#This Row],[target-type]],Table32[[#This Row],[target-type]]&amp;"-"&amp;Table32[[#This Row],[source-type]],Table32[[#This Row],[source-type]]&amp;"-"&amp;Table32[[#This Row],[target-type]])</f>
        <v>SPOKE-HUB</v>
      </c>
      <c r="AL50" s="104">
        <f>IF(ISERROR(VLOOKUP(Table32[[#This Row],[source2]],Table22[[Label]:[Weighted Degree]],3,FALSE)),IF(ISERROR(VLOOKUP(Table32[[#This Row],[source2]],Table2210[[Label]:[Weighted Degree]],3,FALSE)),IF(ISERROR(VLOOKUP(Table32[[#This Row],[source2]],Table2214[[Label]:[Weighted Degree]],3,FALSE)),FALSE,VLOOKUP(Table32[[#This Row],[source2]],Table2214[[Label]:[Weighted Degree]],3,FALSE)),VLOOKUP(Table32[[#This Row],[source2]],Table2210[[Label]:[Weighted Degree]],3,FALSE)),VLOOKUP(Table32[[#This Row],[source2]],Table22[[Label]:[Weighted Degree]],3,FALSE))</f>
        <v>29032</v>
      </c>
      <c r="AM50" s="104">
        <f>IF(ISERROR(VLOOKUP(Table32[[#This Row],[target2]],Table22[[Label]:[Weighted Degree]],3,FALSE)),IF(ISERROR(VLOOKUP(Table32[[#This Row],[target2]],Table2210[[Label]:[Weighted Degree]],3,FALSE)),IF(ISERROR(VLOOKUP(Table32[[#This Row],[target2]],Table2214[[Label]:[Weighted Degree]],3,FALSE)),FALSE,VLOOKUP(Table32[[#This Row],[target2]],Table2214[[Label]:[Weighted Degree]],3,FALSE)),VLOOKUP(Table32[[#This Row],[target2]],Table2210[[Label]:[Weighted Degree]],3,FALSE)),VLOOKUP(Table32[[#This Row],[target2]],Table22[[Label]:[Weighted Degree]],3,FALSE))</f>
        <v>6688</v>
      </c>
    </row>
    <row r="51" spans="1:39" x14ac:dyDescent="0.2">
      <c r="A51" s="14" t="s">
        <v>130</v>
      </c>
      <c r="B51" s="14" t="s">
        <v>124</v>
      </c>
      <c r="C51" s="76" t="s">
        <v>771</v>
      </c>
      <c r="D51" s="14">
        <v>3959</v>
      </c>
      <c r="E51" s="63" t="str">
        <f>IF(ISERROR(VLOOKUP(Table8[[#This Row],[source2]],Table22[Label],1,FALSE)),IF(ISERROR(VLOOKUP(Table8[[#This Row],[source2]],Table2210[Label],1,FALSE)),"SPOKE","FOCUS"),"HUB")</f>
        <v>HUB</v>
      </c>
      <c r="F51" s="63" t="str">
        <f>IF(ISERROR(VLOOKUP(Table8[[#This Row],[target2]],Table22[Label],1,FALSE)),IF(ISERROR(VLOOKUP(Table8[[#This Row],[target2]],Table2210[Label],1,FALSE)),"SPOKE","FOCUS"),"HUB")</f>
        <v>HUB</v>
      </c>
      <c r="G51" s="63" t="str">
        <f>IF(Table8[[#This Row],[source-tyoe]]&lt;Table8[[#This Row],[target-type]],Table8[[#This Row],[target-type]]&amp;"-"&amp;Table8[[#This Row],[source-tyoe]],Table8[[#This Row],[source-tyoe]]&amp;"-"&amp;Table8[[#This Row],[target-type]])</f>
        <v>HUB-HUB</v>
      </c>
      <c r="H51" s="63">
        <f>IF(ISERROR(VLOOKUP(Table8[[#This Row],[source2]],Table22[[Label]:[Weighted Degree]],3,FALSE)),IF(ISERROR(VLOOKUP(Table8[[#This Row],[source2]],Table2210[[Label]:[Weighted Degree]],3,FALSE)),IF(ISERROR(VLOOKUP(Table8[[#This Row],[source2]],Table2214[[Label]:[Weighted Degree]],3,FALSE)),FALSE,VLOOKUP(Table8[[#This Row],[source2]],Table2214[[Label]:[Weighted Degree]],3,FALSE)),VLOOKUP(Table8[[#This Row],[source2]],Table2210[[Label]:[Weighted Degree]],3,FALSE)),VLOOKUP(Table8[[#This Row],[source2]],Table22[[Label]:[Weighted Degree]],3,FALSE))</f>
        <v>28057</v>
      </c>
      <c r="I51" s="63">
        <f>IF(ISERROR(VLOOKUP(Table8[[#This Row],[target2]],Table22[[Label]:[Weighted Degree]],3,FALSE)),IF(ISERROR(VLOOKUP(Table8[[#This Row],[target2]],Table2210[[Label]:[Weighted Degree]],3,FALSE)),IF(ISERROR(VLOOKUP(Table8[[#This Row],[target2]],Table2214[[Label]:[Weighted Degree]],3,FALSE)),FALSE,VLOOKUP(Table8[[#This Row],[target2]],Table2214[[Label]:[Weighted Degree]],3,FALSE)),VLOOKUP(Table8[[#This Row],[target2]],Table2210[[Label]:[Weighted Degree]],3,FALSE)),VLOOKUP(Table8[[#This Row],[target2]],Table22[[Label]:[Weighted Degree]],3,FALSE))</f>
        <v>28737</v>
      </c>
      <c r="J51" s="61"/>
      <c r="K51" s="14" t="s">
        <v>128</v>
      </c>
      <c r="L51" s="14" t="s">
        <v>136</v>
      </c>
      <c r="M51" s="15" t="s">
        <v>374</v>
      </c>
      <c r="N51" s="14">
        <v>2532</v>
      </c>
      <c r="O51" s="14" t="str">
        <f>IF(ISERROR(VLOOKUP(Table29[[#This Row],[source2]],Table22[Label],1,FALSE)),IF(ISERROR(VLOOKUP(Table29[[#This Row],[source2]],Table2210[Label],1,FALSE)),"SPOKE","FOCUS"),"HUB")</f>
        <v>HUB</v>
      </c>
      <c r="P51" s="14" t="str">
        <f>IF(ISERROR(VLOOKUP(Table29[[#This Row],[target2]],Table22[Label],1,FALSE)),IF(ISERROR(VLOOKUP(Table29[[#This Row],[target2]],Table2210[Label],1,FALSE)),"SPOKE","FOCUS"),"HUB")</f>
        <v>HUB</v>
      </c>
      <c r="Q51" s="14" t="str">
        <f>IF(Table29[[#This Row],[source-type]]&lt;Table29[[#This Row],[target-type]],Table29[[#This Row],[target-type]]&amp;"-"&amp;Table29[[#This Row],[source-type]],Table29[[#This Row],[source-type]]&amp;"-"&amp;Table29[[#This Row],[target-type]])</f>
        <v>HUB-HUB</v>
      </c>
      <c r="R51" s="104">
        <f>IF(ISERROR(VLOOKUP(Table29[[#This Row],[source2]],Table22[[Label]:[Weighted Degree]],3,FALSE)),IF(ISERROR(VLOOKUP(Table29[[#This Row],[source2]],Table2210[[Label]:[Weighted Degree]],3,FALSE)),IF(ISERROR(VLOOKUP(Table29[[#This Row],[source2]],Table2214[[Label]:[Weighted Degree]],3,FALSE)),FALSE,VLOOKUP(Table29[[#This Row],[source2]],Table2214[[Label]:[Weighted Degree]],3,FALSE)),VLOOKUP(Table29[[#This Row],[source2]],Table2210[[Label]:[Weighted Degree]],3,FALSE)),VLOOKUP(Table29[[#This Row],[source2]],Table22[[Label]:[Weighted Degree]],3,FALSE))</f>
        <v>14416</v>
      </c>
      <c r="S51" s="104">
        <f>IF(ISERROR(VLOOKUP(Table29[[#This Row],[target2]],Table22[[Label]:[Weighted Degree]],3,FALSE)),IF(ISERROR(VLOOKUP(Table29[[#This Row],[target2]],Table2210[[Label]:[Weighted Degree]],3,FALSE)),IF(ISERROR(VLOOKUP(Table29[[#This Row],[target2]],Table2214[[Label]:[Weighted Degree]],3,FALSE)),FALSE,VLOOKUP(Table29[[#This Row],[target2]],Table2214[[Label]:[Weighted Degree]],3,FALSE)),VLOOKUP(Table29[[#This Row],[target2]],Table2210[[Label]:[Weighted Degree]],3,FALSE)),VLOOKUP(Table29[[#This Row],[target2]],Table22[[Label]:[Weighted Degree]],3,FALSE))</f>
        <v>15952</v>
      </c>
      <c r="U51" s="14" t="s">
        <v>130</v>
      </c>
      <c r="V51" s="14" t="s">
        <v>124</v>
      </c>
      <c r="W51" s="77" t="s">
        <v>738</v>
      </c>
      <c r="X51" s="1">
        <v>3959</v>
      </c>
      <c r="Y51" s="14" t="str">
        <f>IF(ISERROR(VLOOKUP(Table2932[[#This Row],[source]],Table22[Label],1,FALSE)),IF(ISERROR(VLOOKUP(Table2932[[#This Row],[source]],Table2210[Label],1,FALSE)),"SPOKE","FOCUS"),"HUB")</f>
        <v>HUB</v>
      </c>
      <c r="Z51" s="14" t="str">
        <f>IF(ISERROR(VLOOKUP(Table2932[[#This Row],[target]],Table22[Label],1,FALSE)),IF(ISERROR(VLOOKUP(Table2932[[#This Row],[target]],Table2210[Label],1,FALSE)),"SPOKE","FOCUS"),"HUB")</f>
        <v>HUB</v>
      </c>
      <c r="AA51" s="14" t="str">
        <f>IF(Table2932[[#This Row],[source-type]]&lt;Table2932[[#This Row],[target-type]],Table2932[[#This Row],[target-type]]&amp;"-"&amp;Table2932[[#This Row],[source-type]],Table2932[[#This Row],[source-type]]&amp;"-"&amp;Table2932[[#This Row],[target-type]])</f>
        <v>HUB-HUB</v>
      </c>
      <c r="AB51" s="104">
        <f>IF(ISERROR(VLOOKUP(Table2932[[#This Row],[source]],Table22[[Label]:[Weighted Degree]],3,FALSE)),IF(ISERROR(VLOOKUP(Table2932[[#This Row],[source]],Table2210[[Label]:[Weighted Degree]],3,FALSE)),IF(ISERROR(VLOOKUP(Table2932[[#This Row],[source]],Table2214[[Label]:[Weighted Degree]],3,FALSE)),FALSE,VLOOKUP(Table2932[[#This Row],[source]],Table2214[[Label]:[Weighted Degree]],3,FALSE)),VLOOKUP(Table2932[[#This Row],[source]],Table2210[[Label]:[Weighted Degree]],3,FALSE)),VLOOKUP(Table2932[[#This Row],[source]],Table22[[Label]:[Weighted Degree]],3,FALSE))</f>
        <v>28057</v>
      </c>
      <c r="AC51" s="104">
        <f>IF(ISERROR(VLOOKUP(Table2932[[#This Row],[target]],Table22[[Label]:[Weighted Degree]],3,FALSE)),IF(ISERROR(VLOOKUP(Table2932[[#This Row],[target]],Table2210[[Label]:[Weighted Degree]],3,FALSE)),IF(ISERROR(VLOOKUP(Table2932[[#This Row],[target]],Table2214[[Label]:[Weighted Degree]],3,FALSE)),FALSE,VLOOKUP(Table2932[[#This Row],[target]],Table2214[[Label]:[Weighted Degree]],3,FALSE)),VLOOKUP(Table2932[[#This Row],[target]],Table2210[[Label]:[Weighted Degree]],3,FALSE)),VLOOKUP(Table2932[[#This Row],[target]],Table22[[Label]:[Weighted Degree]],3,FALSE))</f>
        <v>28737</v>
      </c>
      <c r="AE51" s="14" t="s">
        <v>146</v>
      </c>
      <c r="AF51" s="14" t="s">
        <v>154</v>
      </c>
      <c r="AG51" s="64" t="s">
        <v>889</v>
      </c>
      <c r="AH51" s="14">
        <v>926</v>
      </c>
      <c r="AI51" s="14" t="str">
        <f>IF(ISERROR(VLOOKUP(Table32[[#This Row],[source2]],Table22[Label],1,FALSE)),IF(ISERROR(VLOOKUP(Table32[[#This Row],[source2]],Table2210[Label],1,FALSE)),"SPOKE","FOCUS"),"HUB")</f>
        <v>FOCUS</v>
      </c>
      <c r="AJ51" s="14" t="str">
        <f>IF(ISERROR(VLOOKUP(Table32[[#This Row],[target2]],Table22[Label],1,FALSE)),IF(ISERROR(VLOOKUP(Table32[[#This Row],[target2]],Table2210[Label],1,FALSE)),"SPOKE","FOCUS"),"HUB")</f>
        <v>SPOKE</v>
      </c>
      <c r="AK51" s="14" t="str">
        <f>IF(Table32[[#This Row],[source-type]]&lt;Table32[[#This Row],[target-type]],Table32[[#This Row],[target-type]]&amp;"-"&amp;Table32[[#This Row],[source-type]],Table32[[#This Row],[source-type]]&amp;"-"&amp;Table32[[#This Row],[target-type]])</f>
        <v>SPOKE-FOCUS</v>
      </c>
      <c r="AL51" s="104">
        <f>IF(ISERROR(VLOOKUP(Table32[[#This Row],[source2]],Table22[[Label]:[Weighted Degree]],3,FALSE)),IF(ISERROR(VLOOKUP(Table32[[#This Row],[source2]],Table2210[[Label]:[Weighted Degree]],3,FALSE)),IF(ISERROR(VLOOKUP(Table32[[#This Row],[source2]],Table2214[[Label]:[Weighted Degree]],3,FALSE)),FALSE,VLOOKUP(Table32[[#This Row],[source2]],Table2214[[Label]:[Weighted Degree]],3,FALSE)),VLOOKUP(Table32[[#This Row],[source2]],Table2210[[Label]:[Weighted Degree]],3,FALSE)),VLOOKUP(Table32[[#This Row],[source2]],Table22[[Label]:[Weighted Degree]],3,FALSE))</f>
        <v>22882</v>
      </c>
      <c r="AM51" s="104">
        <f>IF(ISERROR(VLOOKUP(Table32[[#This Row],[target2]],Table22[[Label]:[Weighted Degree]],3,FALSE)),IF(ISERROR(VLOOKUP(Table32[[#This Row],[target2]],Table2210[[Label]:[Weighted Degree]],3,FALSE)),IF(ISERROR(VLOOKUP(Table32[[#This Row],[target2]],Table2214[[Label]:[Weighted Degree]],3,FALSE)),FALSE,VLOOKUP(Table32[[#This Row],[target2]],Table2214[[Label]:[Weighted Degree]],3,FALSE)),VLOOKUP(Table32[[#This Row],[target2]],Table2210[[Label]:[Weighted Degree]],3,FALSE)),VLOOKUP(Table32[[#This Row],[target2]],Table22[[Label]:[Weighted Degree]],3,FALSE))</f>
        <v>5341</v>
      </c>
    </row>
    <row r="52" spans="1:39" x14ac:dyDescent="0.2">
      <c r="A52" s="14" t="s">
        <v>128</v>
      </c>
      <c r="B52" s="14" t="s">
        <v>124</v>
      </c>
      <c r="C52" s="76" t="s">
        <v>771</v>
      </c>
      <c r="D52" s="14">
        <v>3288</v>
      </c>
      <c r="E52" s="63" t="str">
        <f>IF(ISERROR(VLOOKUP(Table8[[#This Row],[source2]],Table22[Label],1,FALSE)),IF(ISERROR(VLOOKUP(Table8[[#This Row],[source2]],Table2210[Label],1,FALSE)),"SPOKE","FOCUS"),"HUB")</f>
        <v>HUB</v>
      </c>
      <c r="F52" s="63" t="str">
        <f>IF(ISERROR(VLOOKUP(Table8[[#This Row],[target2]],Table22[Label],1,FALSE)),IF(ISERROR(VLOOKUP(Table8[[#This Row],[target2]],Table2210[Label],1,FALSE)),"SPOKE","FOCUS"),"HUB")</f>
        <v>HUB</v>
      </c>
      <c r="G52" s="63" t="str">
        <f>IF(Table8[[#This Row],[source-tyoe]]&lt;Table8[[#This Row],[target-type]],Table8[[#This Row],[target-type]]&amp;"-"&amp;Table8[[#This Row],[source-tyoe]],Table8[[#This Row],[source-tyoe]]&amp;"-"&amp;Table8[[#This Row],[target-type]])</f>
        <v>HUB-HUB</v>
      </c>
      <c r="H52" s="63">
        <f>IF(ISERROR(VLOOKUP(Table8[[#This Row],[source2]],Table22[[Label]:[Weighted Degree]],3,FALSE)),IF(ISERROR(VLOOKUP(Table8[[#This Row],[source2]],Table2210[[Label]:[Weighted Degree]],3,FALSE)),IF(ISERROR(VLOOKUP(Table8[[#This Row],[source2]],Table2214[[Label]:[Weighted Degree]],3,FALSE)),FALSE,VLOOKUP(Table8[[#This Row],[source2]],Table2214[[Label]:[Weighted Degree]],3,FALSE)),VLOOKUP(Table8[[#This Row],[source2]],Table2210[[Label]:[Weighted Degree]],3,FALSE)),VLOOKUP(Table8[[#This Row],[source2]],Table22[[Label]:[Weighted Degree]],3,FALSE))</f>
        <v>14416</v>
      </c>
      <c r="I52" s="63">
        <f>IF(ISERROR(VLOOKUP(Table8[[#This Row],[target2]],Table22[[Label]:[Weighted Degree]],3,FALSE)),IF(ISERROR(VLOOKUP(Table8[[#This Row],[target2]],Table2210[[Label]:[Weighted Degree]],3,FALSE)),IF(ISERROR(VLOOKUP(Table8[[#This Row],[target2]],Table2214[[Label]:[Weighted Degree]],3,FALSE)),FALSE,VLOOKUP(Table8[[#This Row],[target2]],Table2214[[Label]:[Weighted Degree]],3,FALSE)),VLOOKUP(Table8[[#This Row],[target2]],Table2210[[Label]:[Weighted Degree]],3,FALSE)),VLOOKUP(Table8[[#This Row],[target2]],Table22[[Label]:[Weighted Degree]],3,FALSE))</f>
        <v>28737</v>
      </c>
      <c r="J52" s="61"/>
      <c r="K52" s="14" t="s">
        <v>152</v>
      </c>
      <c r="L52" s="14" t="s">
        <v>140</v>
      </c>
      <c r="M52" s="15" t="s">
        <v>375</v>
      </c>
      <c r="N52" s="14">
        <v>1387</v>
      </c>
      <c r="O52" s="14" t="str">
        <f>IF(ISERROR(VLOOKUP(Table29[[#This Row],[source2]],Table22[Label],1,FALSE)),IF(ISERROR(VLOOKUP(Table29[[#This Row],[source2]],Table2210[Label],1,FALSE)),"SPOKE","FOCUS"),"HUB")</f>
        <v>SPOKE</v>
      </c>
      <c r="P52" s="14" t="str">
        <f>IF(ISERROR(VLOOKUP(Table29[[#This Row],[target2]],Table22[Label],1,FALSE)),IF(ISERROR(VLOOKUP(Table29[[#This Row],[target2]],Table2210[Label],1,FALSE)),"SPOKE","FOCUS"),"HUB")</f>
        <v>HUB</v>
      </c>
      <c r="Q52" s="14" t="str">
        <f>IF(Table29[[#This Row],[source-type]]&lt;Table29[[#This Row],[target-type]],Table29[[#This Row],[target-type]]&amp;"-"&amp;Table29[[#This Row],[source-type]],Table29[[#This Row],[source-type]]&amp;"-"&amp;Table29[[#This Row],[target-type]])</f>
        <v>SPOKE-HUB</v>
      </c>
      <c r="R52" s="104">
        <f>IF(ISERROR(VLOOKUP(Table29[[#This Row],[source2]],Table22[[Label]:[Weighted Degree]],3,FALSE)),IF(ISERROR(VLOOKUP(Table29[[#This Row],[source2]],Table2210[[Label]:[Weighted Degree]],3,FALSE)),IF(ISERROR(VLOOKUP(Table29[[#This Row],[source2]],Table2214[[Label]:[Weighted Degree]],3,FALSE)),FALSE,VLOOKUP(Table29[[#This Row],[source2]],Table2214[[Label]:[Weighted Degree]],3,FALSE)),VLOOKUP(Table29[[#This Row],[source2]],Table2210[[Label]:[Weighted Degree]],3,FALSE)),VLOOKUP(Table29[[#This Row],[source2]],Table22[[Label]:[Weighted Degree]],3,FALSE))</f>
        <v>9094</v>
      </c>
      <c r="S52" s="104">
        <f>IF(ISERROR(VLOOKUP(Table29[[#This Row],[target2]],Table22[[Label]:[Weighted Degree]],3,FALSE)),IF(ISERROR(VLOOKUP(Table29[[#This Row],[target2]],Table2210[[Label]:[Weighted Degree]],3,FALSE)),IF(ISERROR(VLOOKUP(Table29[[#This Row],[target2]],Table2214[[Label]:[Weighted Degree]],3,FALSE)),FALSE,VLOOKUP(Table29[[#This Row],[target2]],Table2214[[Label]:[Weighted Degree]],3,FALSE)),VLOOKUP(Table29[[#This Row],[target2]],Table2210[[Label]:[Weighted Degree]],3,FALSE)),VLOOKUP(Table29[[#This Row],[target2]],Table22[[Label]:[Weighted Degree]],3,FALSE))</f>
        <v>21171</v>
      </c>
      <c r="U52" s="14" t="s">
        <v>133</v>
      </c>
      <c r="V52" s="14" t="s">
        <v>153</v>
      </c>
      <c r="W52" s="77" t="s">
        <v>738</v>
      </c>
      <c r="X52" s="1">
        <v>1691</v>
      </c>
      <c r="Y52" s="14" t="str">
        <f>IF(ISERROR(VLOOKUP(Table2932[[#This Row],[source]],Table22[Label],1,FALSE)),IF(ISERROR(VLOOKUP(Table2932[[#This Row],[source]],Table2210[Label],1,FALSE)),"SPOKE","FOCUS"),"HUB")</f>
        <v>HUB</v>
      </c>
      <c r="Z52" s="14" t="str">
        <f>IF(ISERROR(VLOOKUP(Table2932[[#This Row],[target]],Table22[Label],1,FALSE)),IF(ISERROR(VLOOKUP(Table2932[[#This Row],[target]],Table2210[Label],1,FALSE)),"SPOKE","FOCUS"),"HUB")</f>
        <v>SPOKE</v>
      </c>
      <c r="AA52" s="14" t="str">
        <f>IF(Table2932[[#This Row],[source-type]]&lt;Table2932[[#This Row],[target-type]],Table2932[[#This Row],[target-type]]&amp;"-"&amp;Table2932[[#This Row],[source-type]],Table2932[[#This Row],[source-type]]&amp;"-"&amp;Table2932[[#This Row],[target-type]])</f>
        <v>SPOKE-HUB</v>
      </c>
      <c r="AB52" s="104">
        <f>IF(ISERROR(VLOOKUP(Table2932[[#This Row],[source]],Table22[[Label]:[Weighted Degree]],3,FALSE)),IF(ISERROR(VLOOKUP(Table2932[[#This Row],[source]],Table2210[[Label]:[Weighted Degree]],3,FALSE)),IF(ISERROR(VLOOKUP(Table2932[[#This Row],[source]],Table2214[[Label]:[Weighted Degree]],3,FALSE)),FALSE,VLOOKUP(Table2932[[#This Row],[source]],Table2214[[Label]:[Weighted Degree]],3,FALSE)),VLOOKUP(Table2932[[#This Row],[source]],Table2210[[Label]:[Weighted Degree]],3,FALSE)),VLOOKUP(Table2932[[#This Row],[source]],Table22[[Label]:[Weighted Degree]],3,FALSE))</f>
        <v>39711</v>
      </c>
      <c r="AC52" s="104">
        <f>IF(ISERROR(VLOOKUP(Table2932[[#This Row],[target]],Table22[[Label]:[Weighted Degree]],3,FALSE)),IF(ISERROR(VLOOKUP(Table2932[[#This Row],[target]],Table2210[[Label]:[Weighted Degree]],3,FALSE)),IF(ISERROR(VLOOKUP(Table2932[[#This Row],[target]],Table2214[[Label]:[Weighted Degree]],3,FALSE)),FALSE,VLOOKUP(Table2932[[#This Row],[target]],Table2214[[Label]:[Weighted Degree]],3,FALSE)),VLOOKUP(Table2932[[#This Row],[target]],Table2210[[Label]:[Weighted Degree]],3,FALSE)),VLOOKUP(Table2932[[#This Row],[target]],Table22[[Label]:[Weighted Degree]],3,FALSE))</f>
        <v>6181</v>
      </c>
      <c r="AE52" s="14" t="s">
        <v>135</v>
      </c>
      <c r="AF52" s="14" t="s">
        <v>157</v>
      </c>
      <c r="AG52" s="64" t="s">
        <v>992</v>
      </c>
      <c r="AH52" s="14">
        <v>123</v>
      </c>
      <c r="AI52" s="14" t="str">
        <f>IF(ISERROR(VLOOKUP(Table32[[#This Row],[source2]],Table22[Label],1,FALSE)),IF(ISERROR(VLOOKUP(Table32[[#This Row],[source2]],Table2210[Label],1,FALSE)),"SPOKE","FOCUS"),"HUB")</f>
        <v>HUB</v>
      </c>
      <c r="AJ52" s="14" t="str">
        <f>IF(ISERROR(VLOOKUP(Table32[[#This Row],[target2]],Table22[Label],1,FALSE)),IF(ISERROR(VLOOKUP(Table32[[#This Row],[target2]],Table2210[Label],1,FALSE)),"SPOKE","FOCUS"),"HUB")</f>
        <v>SPOKE</v>
      </c>
      <c r="AK52" s="14" t="str">
        <f>IF(Table32[[#This Row],[source-type]]&lt;Table32[[#This Row],[target-type]],Table32[[#This Row],[target-type]]&amp;"-"&amp;Table32[[#This Row],[source-type]],Table32[[#This Row],[source-type]]&amp;"-"&amp;Table32[[#This Row],[target-type]])</f>
        <v>SPOKE-HUB</v>
      </c>
      <c r="AL52" s="104">
        <f>IF(ISERROR(VLOOKUP(Table32[[#This Row],[source2]],Table22[[Label]:[Weighted Degree]],3,FALSE)),IF(ISERROR(VLOOKUP(Table32[[#This Row],[source2]],Table2210[[Label]:[Weighted Degree]],3,FALSE)),IF(ISERROR(VLOOKUP(Table32[[#This Row],[source2]],Table2214[[Label]:[Weighted Degree]],3,FALSE)),FALSE,VLOOKUP(Table32[[#This Row],[source2]],Table2214[[Label]:[Weighted Degree]],3,FALSE)),VLOOKUP(Table32[[#This Row],[source2]],Table2210[[Label]:[Weighted Degree]],3,FALSE)),VLOOKUP(Table32[[#This Row],[source2]],Table22[[Label]:[Weighted Degree]],3,FALSE))</f>
        <v>23724</v>
      </c>
      <c r="AM52" s="104">
        <f>IF(ISERROR(VLOOKUP(Table32[[#This Row],[target2]],Table22[[Label]:[Weighted Degree]],3,FALSE)),IF(ISERROR(VLOOKUP(Table32[[#This Row],[target2]],Table2210[[Label]:[Weighted Degree]],3,FALSE)),IF(ISERROR(VLOOKUP(Table32[[#This Row],[target2]],Table2214[[Label]:[Weighted Degree]],3,FALSE)),FALSE,VLOOKUP(Table32[[#This Row],[target2]],Table2214[[Label]:[Weighted Degree]],3,FALSE)),VLOOKUP(Table32[[#This Row],[target2]],Table2210[[Label]:[Weighted Degree]],3,FALSE)),VLOOKUP(Table32[[#This Row],[target2]],Table22[[Label]:[Weighted Degree]],3,FALSE))</f>
        <v>123</v>
      </c>
    </row>
    <row r="53" spans="1:39" x14ac:dyDescent="0.2">
      <c r="A53" s="14" t="s">
        <v>125</v>
      </c>
      <c r="B53" s="14" t="s">
        <v>151</v>
      </c>
      <c r="C53" s="76" t="s">
        <v>771</v>
      </c>
      <c r="D53" s="14">
        <v>2470</v>
      </c>
      <c r="E53" s="63" t="str">
        <f>IF(ISERROR(VLOOKUP(Table8[[#This Row],[source2]],Table22[Label],1,FALSE)),IF(ISERROR(VLOOKUP(Table8[[#This Row],[source2]],Table2210[Label],1,FALSE)),"SPOKE","FOCUS"),"HUB")</f>
        <v>HUB</v>
      </c>
      <c r="F53" s="63" t="str">
        <f>IF(ISERROR(VLOOKUP(Table8[[#This Row],[target2]],Table22[Label],1,FALSE)),IF(ISERROR(VLOOKUP(Table8[[#This Row],[target2]],Table2210[Label],1,FALSE)),"SPOKE","FOCUS"),"HUB")</f>
        <v>SPOKE</v>
      </c>
      <c r="G53" s="63" t="str">
        <f>IF(Table8[[#This Row],[source-tyoe]]&lt;Table8[[#This Row],[target-type]],Table8[[#This Row],[target-type]]&amp;"-"&amp;Table8[[#This Row],[source-tyoe]],Table8[[#This Row],[source-tyoe]]&amp;"-"&amp;Table8[[#This Row],[target-type]])</f>
        <v>SPOKE-HUB</v>
      </c>
      <c r="H53" s="63">
        <f>IF(ISERROR(VLOOKUP(Table8[[#This Row],[source2]],Table22[[Label]:[Weighted Degree]],3,FALSE)),IF(ISERROR(VLOOKUP(Table8[[#This Row],[source2]],Table2210[[Label]:[Weighted Degree]],3,FALSE)),IF(ISERROR(VLOOKUP(Table8[[#This Row],[source2]],Table2214[[Label]:[Weighted Degree]],3,FALSE)),FALSE,VLOOKUP(Table8[[#This Row],[source2]],Table2214[[Label]:[Weighted Degree]],3,FALSE)),VLOOKUP(Table8[[#This Row],[source2]],Table2210[[Label]:[Weighted Degree]],3,FALSE)),VLOOKUP(Table8[[#This Row],[source2]],Table22[[Label]:[Weighted Degree]],3,FALSE))</f>
        <v>29032</v>
      </c>
      <c r="I53" s="63">
        <f>IF(ISERROR(VLOOKUP(Table8[[#This Row],[target2]],Table22[[Label]:[Weighted Degree]],3,FALSE)),IF(ISERROR(VLOOKUP(Table8[[#This Row],[target2]],Table2210[[Label]:[Weighted Degree]],3,FALSE)),IF(ISERROR(VLOOKUP(Table8[[#This Row],[target2]],Table2214[[Label]:[Weighted Degree]],3,FALSE)),FALSE,VLOOKUP(Table8[[#This Row],[target2]],Table2214[[Label]:[Weighted Degree]],3,FALSE)),VLOOKUP(Table8[[#This Row],[target2]],Table2210[[Label]:[Weighted Degree]],3,FALSE)),VLOOKUP(Table8[[#This Row],[target2]],Table22[[Label]:[Weighted Degree]],3,FALSE))</f>
        <v>9869</v>
      </c>
      <c r="J53" s="61"/>
      <c r="K53" s="14" t="s">
        <v>137</v>
      </c>
      <c r="L53" s="14" t="s">
        <v>124</v>
      </c>
      <c r="M53" s="15" t="s">
        <v>376</v>
      </c>
      <c r="N53" s="14">
        <v>3563</v>
      </c>
      <c r="O53" s="14" t="str">
        <f>IF(ISERROR(VLOOKUP(Table29[[#This Row],[source2]],Table22[Label],1,FALSE)),IF(ISERROR(VLOOKUP(Table29[[#This Row],[source2]],Table2210[Label],1,FALSE)),"SPOKE","FOCUS"),"HUB")</f>
        <v>HUB</v>
      </c>
      <c r="P53" s="14" t="str">
        <f>IF(ISERROR(VLOOKUP(Table29[[#This Row],[target2]],Table22[Label],1,FALSE)),IF(ISERROR(VLOOKUP(Table29[[#This Row],[target2]],Table2210[Label],1,FALSE)),"SPOKE","FOCUS"),"HUB")</f>
        <v>HUB</v>
      </c>
      <c r="Q53" s="14" t="str">
        <f>IF(Table29[[#This Row],[source-type]]&lt;Table29[[#This Row],[target-type]],Table29[[#This Row],[target-type]]&amp;"-"&amp;Table29[[#This Row],[source-type]],Table29[[#This Row],[source-type]]&amp;"-"&amp;Table29[[#This Row],[target-type]])</f>
        <v>HUB-HUB</v>
      </c>
      <c r="R53" s="104">
        <f>IF(ISERROR(VLOOKUP(Table29[[#This Row],[source2]],Table22[[Label]:[Weighted Degree]],3,FALSE)),IF(ISERROR(VLOOKUP(Table29[[#This Row],[source2]],Table2210[[Label]:[Weighted Degree]],3,FALSE)),IF(ISERROR(VLOOKUP(Table29[[#This Row],[source2]],Table2214[[Label]:[Weighted Degree]],3,FALSE)),FALSE,VLOOKUP(Table29[[#This Row],[source2]],Table2214[[Label]:[Weighted Degree]],3,FALSE)),VLOOKUP(Table29[[#This Row],[source2]],Table2210[[Label]:[Weighted Degree]],3,FALSE)),VLOOKUP(Table29[[#This Row],[source2]],Table22[[Label]:[Weighted Degree]],3,FALSE))</f>
        <v>15166</v>
      </c>
      <c r="S53" s="104">
        <f>IF(ISERROR(VLOOKUP(Table29[[#This Row],[target2]],Table22[[Label]:[Weighted Degree]],3,FALSE)),IF(ISERROR(VLOOKUP(Table29[[#This Row],[target2]],Table2210[[Label]:[Weighted Degree]],3,FALSE)),IF(ISERROR(VLOOKUP(Table29[[#This Row],[target2]],Table2214[[Label]:[Weighted Degree]],3,FALSE)),FALSE,VLOOKUP(Table29[[#This Row],[target2]],Table2214[[Label]:[Weighted Degree]],3,FALSE)),VLOOKUP(Table29[[#This Row],[target2]],Table2210[[Label]:[Weighted Degree]],3,FALSE)),VLOOKUP(Table29[[#This Row],[target2]],Table22[[Label]:[Weighted Degree]],3,FALSE))</f>
        <v>28737</v>
      </c>
      <c r="U53" s="14" t="s">
        <v>127</v>
      </c>
      <c r="V53" s="14" t="s">
        <v>154</v>
      </c>
      <c r="W53" s="77" t="s">
        <v>738</v>
      </c>
      <c r="X53" s="1">
        <v>1390</v>
      </c>
      <c r="Y53" s="14" t="str">
        <f>IF(ISERROR(VLOOKUP(Table2932[[#This Row],[source]],Table22[Label],1,FALSE)),IF(ISERROR(VLOOKUP(Table2932[[#This Row],[source]],Table2210[Label],1,FALSE)),"SPOKE","FOCUS"),"HUB")</f>
        <v>HUB</v>
      </c>
      <c r="Z53" s="14" t="str">
        <f>IF(ISERROR(VLOOKUP(Table2932[[#This Row],[target]],Table22[Label],1,FALSE)),IF(ISERROR(VLOOKUP(Table2932[[#This Row],[target]],Table2210[Label],1,FALSE)),"SPOKE","FOCUS"),"HUB")</f>
        <v>SPOKE</v>
      </c>
      <c r="AA53" s="14" t="str">
        <f>IF(Table2932[[#This Row],[source-type]]&lt;Table2932[[#This Row],[target-type]],Table2932[[#This Row],[target-type]]&amp;"-"&amp;Table2932[[#This Row],[source-type]],Table2932[[#This Row],[source-type]]&amp;"-"&amp;Table2932[[#This Row],[target-type]])</f>
        <v>SPOKE-HUB</v>
      </c>
      <c r="AB53" s="104">
        <f>IF(ISERROR(VLOOKUP(Table2932[[#This Row],[source]],Table22[[Label]:[Weighted Degree]],3,FALSE)),IF(ISERROR(VLOOKUP(Table2932[[#This Row],[source]],Table2210[[Label]:[Weighted Degree]],3,FALSE)),IF(ISERROR(VLOOKUP(Table2932[[#This Row],[source]],Table2214[[Label]:[Weighted Degree]],3,FALSE)),FALSE,VLOOKUP(Table2932[[#This Row],[source]],Table2214[[Label]:[Weighted Degree]],3,FALSE)),VLOOKUP(Table2932[[#This Row],[source]],Table2210[[Label]:[Weighted Degree]],3,FALSE)),VLOOKUP(Table2932[[#This Row],[source]],Table22[[Label]:[Weighted Degree]],3,FALSE))</f>
        <v>24221</v>
      </c>
      <c r="AC53" s="104">
        <f>IF(ISERROR(VLOOKUP(Table2932[[#This Row],[target]],Table22[[Label]:[Weighted Degree]],3,FALSE)),IF(ISERROR(VLOOKUP(Table2932[[#This Row],[target]],Table2210[[Label]:[Weighted Degree]],3,FALSE)),IF(ISERROR(VLOOKUP(Table2932[[#This Row],[target]],Table2214[[Label]:[Weighted Degree]],3,FALSE)),FALSE,VLOOKUP(Table2932[[#This Row],[target]],Table2214[[Label]:[Weighted Degree]],3,FALSE)),VLOOKUP(Table2932[[#This Row],[target]],Table2210[[Label]:[Weighted Degree]],3,FALSE)),VLOOKUP(Table2932[[#This Row],[target]],Table22[[Label]:[Weighted Degree]],3,FALSE))</f>
        <v>5341</v>
      </c>
      <c r="AE53" s="14" t="s">
        <v>136</v>
      </c>
      <c r="AF53" s="14" t="s">
        <v>158</v>
      </c>
      <c r="AG53" s="64" t="s">
        <v>2334</v>
      </c>
      <c r="AH53" s="14">
        <v>113</v>
      </c>
      <c r="AI53" s="14" t="str">
        <f>IF(ISERROR(VLOOKUP(Table32[[#This Row],[source2]],Table22[Label],1,FALSE)),IF(ISERROR(VLOOKUP(Table32[[#This Row],[source2]],Table2210[Label],1,FALSE)),"SPOKE","FOCUS"),"HUB")</f>
        <v>HUB</v>
      </c>
      <c r="AJ53" s="14" t="str">
        <f>IF(ISERROR(VLOOKUP(Table32[[#This Row],[target2]],Table22[Label],1,FALSE)),IF(ISERROR(VLOOKUP(Table32[[#This Row],[target2]],Table2210[Label],1,FALSE)),"SPOKE","FOCUS"),"HUB")</f>
        <v>SPOKE</v>
      </c>
      <c r="AK53" s="14" t="str">
        <f>IF(Table32[[#This Row],[source-type]]&lt;Table32[[#This Row],[target-type]],Table32[[#This Row],[target-type]]&amp;"-"&amp;Table32[[#This Row],[source-type]],Table32[[#This Row],[source-type]]&amp;"-"&amp;Table32[[#This Row],[target-type]])</f>
        <v>SPOKE-HUB</v>
      </c>
      <c r="AL53" s="104">
        <f>IF(ISERROR(VLOOKUP(Table32[[#This Row],[source2]],Table22[[Label]:[Weighted Degree]],3,FALSE)),IF(ISERROR(VLOOKUP(Table32[[#This Row],[source2]],Table2210[[Label]:[Weighted Degree]],3,FALSE)),IF(ISERROR(VLOOKUP(Table32[[#This Row],[source2]],Table2214[[Label]:[Weighted Degree]],3,FALSE)),FALSE,VLOOKUP(Table32[[#This Row],[source2]],Table2214[[Label]:[Weighted Degree]],3,FALSE)),VLOOKUP(Table32[[#This Row],[source2]],Table2210[[Label]:[Weighted Degree]],3,FALSE)),VLOOKUP(Table32[[#This Row],[source2]],Table22[[Label]:[Weighted Degree]],3,FALSE))</f>
        <v>15952</v>
      </c>
      <c r="AM53" s="104">
        <f>IF(ISERROR(VLOOKUP(Table32[[#This Row],[target2]],Table22[[Label]:[Weighted Degree]],3,FALSE)),IF(ISERROR(VLOOKUP(Table32[[#This Row],[target2]],Table2210[[Label]:[Weighted Degree]],3,FALSE)),IF(ISERROR(VLOOKUP(Table32[[#This Row],[target2]],Table2214[[Label]:[Weighted Degree]],3,FALSE)),FALSE,VLOOKUP(Table32[[#This Row],[target2]],Table2214[[Label]:[Weighted Degree]],3,FALSE)),VLOOKUP(Table32[[#This Row],[target2]],Table2210[[Label]:[Weighted Degree]],3,FALSE)),VLOOKUP(Table32[[#This Row],[target2]],Table22[[Label]:[Weighted Degree]],3,FALSE))</f>
        <v>113</v>
      </c>
    </row>
    <row r="54" spans="1:39" x14ac:dyDescent="0.2">
      <c r="A54" s="14" t="s">
        <v>133</v>
      </c>
      <c r="B54" s="14" t="s">
        <v>130</v>
      </c>
      <c r="C54" s="76" t="s">
        <v>771</v>
      </c>
      <c r="D54" s="14">
        <v>8269</v>
      </c>
      <c r="E54" s="63" t="str">
        <f>IF(ISERROR(VLOOKUP(Table8[[#This Row],[source2]],Table22[Label],1,FALSE)),IF(ISERROR(VLOOKUP(Table8[[#This Row],[source2]],Table2210[Label],1,FALSE)),"SPOKE","FOCUS"),"HUB")</f>
        <v>HUB</v>
      </c>
      <c r="F54" s="63" t="str">
        <f>IF(ISERROR(VLOOKUP(Table8[[#This Row],[target2]],Table22[Label],1,FALSE)),IF(ISERROR(VLOOKUP(Table8[[#This Row],[target2]],Table2210[Label],1,FALSE)),"SPOKE","FOCUS"),"HUB")</f>
        <v>HUB</v>
      </c>
      <c r="G54" s="63" t="str">
        <f>IF(Table8[[#This Row],[source-tyoe]]&lt;Table8[[#This Row],[target-type]],Table8[[#This Row],[target-type]]&amp;"-"&amp;Table8[[#This Row],[source-tyoe]],Table8[[#This Row],[source-tyoe]]&amp;"-"&amp;Table8[[#This Row],[target-type]])</f>
        <v>HUB-HUB</v>
      </c>
      <c r="H54" s="63">
        <f>IF(ISERROR(VLOOKUP(Table8[[#This Row],[source2]],Table22[[Label]:[Weighted Degree]],3,FALSE)),IF(ISERROR(VLOOKUP(Table8[[#This Row],[source2]],Table2210[[Label]:[Weighted Degree]],3,FALSE)),IF(ISERROR(VLOOKUP(Table8[[#This Row],[source2]],Table2214[[Label]:[Weighted Degree]],3,FALSE)),FALSE,VLOOKUP(Table8[[#This Row],[source2]],Table2214[[Label]:[Weighted Degree]],3,FALSE)),VLOOKUP(Table8[[#This Row],[source2]],Table2210[[Label]:[Weighted Degree]],3,FALSE)),VLOOKUP(Table8[[#This Row],[source2]],Table22[[Label]:[Weighted Degree]],3,FALSE))</f>
        <v>39711</v>
      </c>
      <c r="I54" s="63">
        <f>IF(ISERROR(VLOOKUP(Table8[[#This Row],[target2]],Table22[[Label]:[Weighted Degree]],3,FALSE)),IF(ISERROR(VLOOKUP(Table8[[#This Row],[target2]],Table2210[[Label]:[Weighted Degree]],3,FALSE)),IF(ISERROR(VLOOKUP(Table8[[#This Row],[target2]],Table2214[[Label]:[Weighted Degree]],3,FALSE)),FALSE,VLOOKUP(Table8[[#This Row],[target2]],Table2214[[Label]:[Weighted Degree]],3,FALSE)),VLOOKUP(Table8[[#This Row],[target2]],Table2210[[Label]:[Weighted Degree]],3,FALSE)),VLOOKUP(Table8[[#This Row],[target2]],Table22[[Label]:[Weighted Degree]],3,FALSE))</f>
        <v>28057</v>
      </c>
      <c r="J54" s="61"/>
      <c r="K54" s="14" t="s">
        <v>138</v>
      </c>
      <c r="L54" s="14" t="s">
        <v>139</v>
      </c>
      <c r="M54" s="15" t="s">
        <v>377</v>
      </c>
      <c r="N54" s="14">
        <v>1423</v>
      </c>
      <c r="O54" s="14" t="str">
        <f>IF(ISERROR(VLOOKUP(Table29[[#This Row],[source2]],Table22[Label],1,FALSE)),IF(ISERROR(VLOOKUP(Table29[[#This Row],[source2]],Table2210[Label],1,FALSE)),"SPOKE","FOCUS"),"HUB")</f>
        <v>HUB</v>
      </c>
      <c r="P54" s="14" t="str">
        <f>IF(ISERROR(VLOOKUP(Table29[[#This Row],[target2]],Table22[Label],1,FALSE)),IF(ISERROR(VLOOKUP(Table29[[#This Row],[target2]],Table2210[Label],1,FALSE)),"SPOKE","FOCUS"),"HUB")</f>
        <v>HUB</v>
      </c>
      <c r="Q54" s="14" t="str">
        <f>IF(Table29[[#This Row],[source-type]]&lt;Table29[[#This Row],[target-type]],Table29[[#This Row],[target-type]]&amp;"-"&amp;Table29[[#This Row],[source-type]],Table29[[#This Row],[source-type]]&amp;"-"&amp;Table29[[#This Row],[target-type]])</f>
        <v>HUB-HUB</v>
      </c>
      <c r="R54" s="104">
        <f>IF(ISERROR(VLOOKUP(Table29[[#This Row],[source2]],Table22[[Label]:[Weighted Degree]],3,FALSE)),IF(ISERROR(VLOOKUP(Table29[[#This Row],[source2]],Table2210[[Label]:[Weighted Degree]],3,FALSE)),IF(ISERROR(VLOOKUP(Table29[[#This Row],[source2]],Table2214[[Label]:[Weighted Degree]],3,FALSE)),FALSE,VLOOKUP(Table29[[#This Row],[source2]],Table2214[[Label]:[Weighted Degree]],3,FALSE)),VLOOKUP(Table29[[#This Row],[source2]],Table2210[[Label]:[Weighted Degree]],3,FALSE)),VLOOKUP(Table29[[#This Row],[source2]],Table22[[Label]:[Weighted Degree]],3,FALSE))</f>
        <v>20047</v>
      </c>
      <c r="S54" s="104">
        <f>IF(ISERROR(VLOOKUP(Table29[[#This Row],[target2]],Table22[[Label]:[Weighted Degree]],3,FALSE)),IF(ISERROR(VLOOKUP(Table29[[#This Row],[target2]],Table2210[[Label]:[Weighted Degree]],3,FALSE)),IF(ISERROR(VLOOKUP(Table29[[#This Row],[target2]],Table2214[[Label]:[Weighted Degree]],3,FALSE)),FALSE,VLOOKUP(Table29[[#This Row],[target2]],Table2214[[Label]:[Weighted Degree]],3,FALSE)),VLOOKUP(Table29[[#This Row],[target2]],Table2210[[Label]:[Weighted Degree]],3,FALSE)),VLOOKUP(Table29[[#This Row],[target2]],Table22[[Label]:[Weighted Degree]],3,FALSE))</f>
        <v>31784</v>
      </c>
      <c r="U54" s="14" t="s">
        <v>132</v>
      </c>
      <c r="V54" s="14" t="s">
        <v>131</v>
      </c>
      <c r="W54" s="77" t="s">
        <v>738</v>
      </c>
      <c r="X54" s="1">
        <v>5468</v>
      </c>
      <c r="Y54" s="14" t="str">
        <f>IF(ISERROR(VLOOKUP(Table2932[[#This Row],[source]],Table22[Label],1,FALSE)),IF(ISERROR(VLOOKUP(Table2932[[#This Row],[source]],Table2210[Label],1,FALSE)),"SPOKE","FOCUS"),"HUB")</f>
        <v>HUB</v>
      </c>
      <c r="Z54" s="14" t="str">
        <f>IF(ISERROR(VLOOKUP(Table2932[[#This Row],[target]],Table22[Label],1,FALSE)),IF(ISERROR(VLOOKUP(Table2932[[#This Row],[target]],Table2210[Label],1,FALSE)),"SPOKE","FOCUS"),"HUB")</f>
        <v>HUB</v>
      </c>
      <c r="AA54" s="14" t="str">
        <f>IF(Table2932[[#This Row],[source-type]]&lt;Table2932[[#This Row],[target-type]],Table2932[[#This Row],[target-type]]&amp;"-"&amp;Table2932[[#This Row],[source-type]],Table2932[[#This Row],[source-type]]&amp;"-"&amp;Table2932[[#This Row],[target-type]])</f>
        <v>HUB-HUB</v>
      </c>
      <c r="AB54" s="104">
        <f>IF(ISERROR(VLOOKUP(Table2932[[#This Row],[source]],Table22[[Label]:[Weighted Degree]],3,FALSE)),IF(ISERROR(VLOOKUP(Table2932[[#This Row],[source]],Table2210[[Label]:[Weighted Degree]],3,FALSE)),IF(ISERROR(VLOOKUP(Table2932[[#This Row],[source]],Table2214[[Label]:[Weighted Degree]],3,FALSE)),FALSE,VLOOKUP(Table2932[[#This Row],[source]],Table2214[[Label]:[Weighted Degree]],3,FALSE)),VLOOKUP(Table2932[[#This Row],[source]],Table2210[[Label]:[Weighted Degree]],3,FALSE)),VLOOKUP(Table2932[[#This Row],[source]],Table22[[Label]:[Weighted Degree]],3,FALSE))</f>
        <v>23813</v>
      </c>
      <c r="AC54" s="104">
        <f>IF(ISERROR(VLOOKUP(Table2932[[#This Row],[target]],Table22[[Label]:[Weighted Degree]],3,FALSE)),IF(ISERROR(VLOOKUP(Table2932[[#This Row],[target]],Table2210[[Label]:[Weighted Degree]],3,FALSE)),IF(ISERROR(VLOOKUP(Table2932[[#This Row],[target]],Table2214[[Label]:[Weighted Degree]],3,FALSE)),FALSE,VLOOKUP(Table2932[[#This Row],[target]],Table2214[[Label]:[Weighted Degree]],3,FALSE)),VLOOKUP(Table2932[[#This Row],[target]],Table2210[[Label]:[Weighted Degree]],3,FALSE)),VLOOKUP(Table2932[[#This Row],[target]],Table22[[Label]:[Weighted Degree]],3,FALSE))</f>
        <v>44350</v>
      </c>
      <c r="AE54" s="14" t="s">
        <v>136</v>
      </c>
      <c r="AF54" s="14" t="s">
        <v>160</v>
      </c>
      <c r="AG54" s="64" t="s">
        <v>2316</v>
      </c>
      <c r="AH54" s="14">
        <v>103</v>
      </c>
      <c r="AI54" s="14" t="str">
        <f>IF(ISERROR(VLOOKUP(Table32[[#This Row],[source2]],Table22[Label],1,FALSE)),IF(ISERROR(VLOOKUP(Table32[[#This Row],[source2]],Table2210[Label],1,FALSE)),"SPOKE","FOCUS"),"HUB")</f>
        <v>HUB</v>
      </c>
      <c r="AJ54" s="14" t="str">
        <f>IF(ISERROR(VLOOKUP(Table32[[#This Row],[target2]],Table22[Label],1,FALSE)),IF(ISERROR(VLOOKUP(Table32[[#This Row],[target2]],Table2210[Label],1,FALSE)),"SPOKE","FOCUS"),"HUB")</f>
        <v>SPOKE</v>
      </c>
      <c r="AK54" s="14" t="str">
        <f>IF(Table32[[#This Row],[source-type]]&lt;Table32[[#This Row],[target-type]],Table32[[#This Row],[target-type]]&amp;"-"&amp;Table32[[#This Row],[source-type]],Table32[[#This Row],[source-type]]&amp;"-"&amp;Table32[[#This Row],[target-type]])</f>
        <v>SPOKE-HUB</v>
      </c>
      <c r="AL54" s="104">
        <f>IF(ISERROR(VLOOKUP(Table32[[#This Row],[source2]],Table22[[Label]:[Weighted Degree]],3,FALSE)),IF(ISERROR(VLOOKUP(Table32[[#This Row],[source2]],Table2210[[Label]:[Weighted Degree]],3,FALSE)),IF(ISERROR(VLOOKUP(Table32[[#This Row],[source2]],Table2214[[Label]:[Weighted Degree]],3,FALSE)),FALSE,VLOOKUP(Table32[[#This Row],[source2]],Table2214[[Label]:[Weighted Degree]],3,FALSE)),VLOOKUP(Table32[[#This Row],[source2]],Table2210[[Label]:[Weighted Degree]],3,FALSE)),VLOOKUP(Table32[[#This Row],[source2]],Table22[[Label]:[Weighted Degree]],3,FALSE))</f>
        <v>15952</v>
      </c>
      <c r="AM54" s="104">
        <f>IF(ISERROR(VLOOKUP(Table32[[#This Row],[target2]],Table22[[Label]:[Weighted Degree]],3,FALSE)),IF(ISERROR(VLOOKUP(Table32[[#This Row],[target2]],Table2210[[Label]:[Weighted Degree]],3,FALSE)),IF(ISERROR(VLOOKUP(Table32[[#This Row],[target2]],Table2214[[Label]:[Weighted Degree]],3,FALSE)),FALSE,VLOOKUP(Table32[[#This Row],[target2]],Table2214[[Label]:[Weighted Degree]],3,FALSE)),VLOOKUP(Table32[[#This Row],[target2]],Table2210[[Label]:[Weighted Degree]],3,FALSE)),VLOOKUP(Table32[[#This Row],[target2]],Table22[[Label]:[Weighted Degree]],3,FALSE))</f>
        <v>103</v>
      </c>
    </row>
    <row r="55" spans="1:39" x14ac:dyDescent="0.2">
      <c r="A55" s="14" t="s">
        <v>132</v>
      </c>
      <c r="B55" s="14" t="s">
        <v>145</v>
      </c>
      <c r="C55" s="76" t="s">
        <v>771</v>
      </c>
      <c r="D55" s="14">
        <v>4506</v>
      </c>
      <c r="E55" s="63" t="str">
        <f>IF(ISERROR(VLOOKUP(Table8[[#This Row],[source2]],Table22[Label],1,FALSE)),IF(ISERROR(VLOOKUP(Table8[[#This Row],[source2]],Table2210[Label],1,FALSE)),"SPOKE","FOCUS"),"HUB")</f>
        <v>HUB</v>
      </c>
      <c r="F55" s="63" t="str">
        <f>IF(ISERROR(VLOOKUP(Table8[[#This Row],[target2]],Table22[Label],1,FALSE)),IF(ISERROR(VLOOKUP(Table8[[#This Row],[target2]],Table2210[Label],1,FALSE)),"SPOKE","FOCUS"),"HUB")</f>
        <v>HUB</v>
      </c>
      <c r="G55" s="63" t="str">
        <f>IF(Table8[[#This Row],[source-tyoe]]&lt;Table8[[#This Row],[target-type]],Table8[[#This Row],[target-type]]&amp;"-"&amp;Table8[[#This Row],[source-tyoe]],Table8[[#This Row],[source-tyoe]]&amp;"-"&amp;Table8[[#This Row],[target-type]])</f>
        <v>HUB-HUB</v>
      </c>
      <c r="H55" s="63">
        <f>IF(ISERROR(VLOOKUP(Table8[[#This Row],[source2]],Table22[[Label]:[Weighted Degree]],3,FALSE)),IF(ISERROR(VLOOKUP(Table8[[#This Row],[source2]],Table2210[[Label]:[Weighted Degree]],3,FALSE)),IF(ISERROR(VLOOKUP(Table8[[#This Row],[source2]],Table2214[[Label]:[Weighted Degree]],3,FALSE)),FALSE,VLOOKUP(Table8[[#This Row],[source2]],Table2214[[Label]:[Weighted Degree]],3,FALSE)),VLOOKUP(Table8[[#This Row],[source2]],Table2210[[Label]:[Weighted Degree]],3,FALSE)),VLOOKUP(Table8[[#This Row],[source2]],Table22[[Label]:[Weighted Degree]],3,FALSE))</f>
        <v>23813</v>
      </c>
      <c r="I55" s="63">
        <f>IF(ISERROR(VLOOKUP(Table8[[#This Row],[target2]],Table22[[Label]:[Weighted Degree]],3,FALSE)),IF(ISERROR(VLOOKUP(Table8[[#This Row],[target2]],Table2210[[Label]:[Weighted Degree]],3,FALSE)),IF(ISERROR(VLOOKUP(Table8[[#This Row],[target2]],Table2214[[Label]:[Weighted Degree]],3,FALSE)),FALSE,VLOOKUP(Table8[[#This Row],[target2]],Table2214[[Label]:[Weighted Degree]],3,FALSE)),VLOOKUP(Table8[[#This Row],[target2]],Table2210[[Label]:[Weighted Degree]],3,FALSE)),VLOOKUP(Table8[[#This Row],[target2]],Table22[[Label]:[Weighted Degree]],3,FALSE))</f>
        <v>23054</v>
      </c>
      <c r="J55" s="61"/>
      <c r="K55" s="14" t="s">
        <v>143</v>
      </c>
      <c r="L55" s="14" t="s">
        <v>124</v>
      </c>
      <c r="M55" s="15" t="s">
        <v>378</v>
      </c>
      <c r="N55" s="14">
        <v>829</v>
      </c>
      <c r="O55" s="14" t="str">
        <f>IF(ISERROR(VLOOKUP(Table29[[#This Row],[source2]],Table22[Label],1,FALSE)),IF(ISERROR(VLOOKUP(Table29[[#This Row],[source2]],Table2210[Label],1,FALSE)),"SPOKE","FOCUS"),"HUB")</f>
        <v>HUB</v>
      </c>
      <c r="P55" s="14" t="str">
        <f>IF(ISERROR(VLOOKUP(Table29[[#This Row],[target2]],Table22[Label],1,FALSE)),IF(ISERROR(VLOOKUP(Table29[[#This Row],[target2]],Table2210[Label],1,FALSE)),"SPOKE","FOCUS"),"HUB")</f>
        <v>HUB</v>
      </c>
      <c r="Q55" s="14" t="str">
        <f>IF(Table29[[#This Row],[source-type]]&lt;Table29[[#This Row],[target-type]],Table29[[#This Row],[target-type]]&amp;"-"&amp;Table29[[#This Row],[source-type]],Table29[[#This Row],[source-type]]&amp;"-"&amp;Table29[[#This Row],[target-type]])</f>
        <v>HUB-HUB</v>
      </c>
      <c r="R55" s="104">
        <f>IF(ISERROR(VLOOKUP(Table29[[#This Row],[source2]],Table22[[Label]:[Weighted Degree]],3,FALSE)),IF(ISERROR(VLOOKUP(Table29[[#This Row],[source2]],Table2210[[Label]:[Weighted Degree]],3,FALSE)),IF(ISERROR(VLOOKUP(Table29[[#This Row],[source2]],Table2214[[Label]:[Weighted Degree]],3,FALSE)),FALSE,VLOOKUP(Table29[[#This Row],[source2]],Table2214[[Label]:[Weighted Degree]],3,FALSE)),VLOOKUP(Table29[[#This Row],[source2]],Table2210[[Label]:[Weighted Degree]],3,FALSE)),VLOOKUP(Table29[[#This Row],[source2]],Table22[[Label]:[Weighted Degree]],3,FALSE))</f>
        <v>10697</v>
      </c>
      <c r="S55" s="104">
        <f>IF(ISERROR(VLOOKUP(Table29[[#This Row],[target2]],Table22[[Label]:[Weighted Degree]],3,FALSE)),IF(ISERROR(VLOOKUP(Table29[[#This Row],[target2]],Table2210[[Label]:[Weighted Degree]],3,FALSE)),IF(ISERROR(VLOOKUP(Table29[[#This Row],[target2]],Table2214[[Label]:[Weighted Degree]],3,FALSE)),FALSE,VLOOKUP(Table29[[#This Row],[target2]],Table2214[[Label]:[Weighted Degree]],3,FALSE)),VLOOKUP(Table29[[#This Row],[target2]],Table2210[[Label]:[Weighted Degree]],3,FALSE)),VLOOKUP(Table29[[#This Row],[target2]],Table22[[Label]:[Weighted Degree]],3,FALSE))</f>
        <v>28737</v>
      </c>
      <c r="U55" s="14" t="s">
        <v>152</v>
      </c>
      <c r="V55" s="14" t="s">
        <v>138</v>
      </c>
      <c r="W55" s="77" t="s">
        <v>738</v>
      </c>
      <c r="X55" s="1">
        <v>2252</v>
      </c>
      <c r="Y55" s="14" t="str">
        <f>IF(ISERROR(VLOOKUP(Table2932[[#This Row],[source]],Table22[Label],1,FALSE)),IF(ISERROR(VLOOKUP(Table2932[[#This Row],[source]],Table2210[Label],1,FALSE)),"SPOKE","FOCUS"),"HUB")</f>
        <v>SPOKE</v>
      </c>
      <c r="Z55" s="14" t="str">
        <f>IF(ISERROR(VLOOKUP(Table2932[[#This Row],[target]],Table22[Label],1,FALSE)),IF(ISERROR(VLOOKUP(Table2932[[#This Row],[target]],Table2210[Label],1,FALSE)),"SPOKE","FOCUS"),"HUB")</f>
        <v>HUB</v>
      </c>
      <c r="AA55" s="14" t="str">
        <f>IF(Table2932[[#This Row],[source-type]]&lt;Table2932[[#This Row],[target-type]],Table2932[[#This Row],[target-type]]&amp;"-"&amp;Table2932[[#This Row],[source-type]],Table2932[[#This Row],[source-type]]&amp;"-"&amp;Table2932[[#This Row],[target-type]])</f>
        <v>SPOKE-HUB</v>
      </c>
      <c r="AB55" s="104">
        <f>IF(ISERROR(VLOOKUP(Table2932[[#This Row],[source]],Table22[[Label]:[Weighted Degree]],3,FALSE)),IF(ISERROR(VLOOKUP(Table2932[[#This Row],[source]],Table2210[[Label]:[Weighted Degree]],3,FALSE)),IF(ISERROR(VLOOKUP(Table2932[[#This Row],[source]],Table2214[[Label]:[Weighted Degree]],3,FALSE)),FALSE,VLOOKUP(Table2932[[#This Row],[source]],Table2214[[Label]:[Weighted Degree]],3,FALSE)),VLOOKUP(Table2932[[#This Row],[source]],Table2210[[Label]:[Weighted Degree]],3,FALSE)),VLOOKUP(Table2932[[#This Row],[source]],Table22[[Label]:[Weighted Degree]],3,FALSE))</f>
        <v>9094</v>
      </c>
      <c r="AC55" s="104">
        <f>IF(ISERROR(VLOOKUP(Table2932[[#This Row],[target]],Table22[[Label]:[Weighted Degree]],3,FALSE)),IF(ISERROR(VLOOKUP(Table2932[[#This Row],[target]],Table2210[[Label]:[Weighted Degree]],3,FALSE)),IF(ISERROR(VLOOKUP(Table2932[[#This Row],[target]],Table2214[[Label]:[Weighted Degree]],3,FALSE)),FALSE,VLOOKUP(Table2932[[#This Row],[target]],Table2214[[Label]:[Weighted Degree]],3,FALSE)),VLOOKUP(Table2932[[#This Row],[target]],Table2210[[Label]:[Weighted Degree]],3,FALSE)),VLOOKUP(Table2932[[#This Row],[target]],Table22[[Label]:[Weighted Degree]],3,FALSE))</f>
        <v>20047</v>
      </c>
      <c r="AE55" s="14" t="s">
        <v>129</v>
      </c>
      <c r="AF55" s="14" t="s">
        <v>145</v>
      </c>
      <c r="AG55" s="64" t="s">
        <v>1879</v>
      </c>
      <c r="AH55" s="14">
        <v>2659</v>
      </c>
      <c r="AI55" s="14" t="str">
        <f>IF(ISERROR(VLOOKUP(Table32[[#This Row],[source2]],Table22[Label],1,FALSE)),IF(ISERROR(VLOOKUP(Table32[[#This Row],[source2]],Table2210[Label],1,FALSE)),"SPOKE","FOCUS"),"HUB")</f>
        <v>HUB</v>
      </c>
      <c r="AJ55" s="14" t="str">
        <f>IF(ISERROR(VLOOKUP(Table32[[#This Row],[target2]],Table22[Label],1,FALSE)),IF(ISERROR(VLOOKUP(Table32[[#This Row],[target2]],Table2210[Label],1,FALSE)),"SPOKE","FOCUS"),"HUB")</f>
        <v>HUB</v>
      </c>
      <c r="AK55" s="14" t="str">
        <f>IF(Table32[[#This Row],[source-type]]&lt;Table32[[#This Row],[target-type]],Table32[[#This Row],[target-type]]&amp;"-"&amp;Table32[[#This Row],[source-type]],Table32[[#This Row],[source-type]]&amp;"-"&amp;Table32[[#This Row],[target-type]])</f>
        <v>HUB-HUB</v>
      </c>
      <c r="AL55" s="104">
        <f>IF(ISERROR(VLOOKUP(Table32[[#This Row],[source2]],Table22[[Label]:[Weighted Degree]],3,FALSE)),IF(ISERROR(VLOOKUP(Table32[[#This Row],[source2]],Table2210[[Label]:[Weighted Degree]],3,FALSE)),IF(ISERROR(VLOOKUP(Table32[[#This Row],[source2]],Table2214[[Label]:[Weighted Degree]],3,FALSE)),FALSE,VLOOKUP(Table32[[#This Row],[source2]],Table2214[[Label]:[Weighted Degree]],3,FALSE)),VLOOKUP(Table32[[#This Row],[source2]],Table2210[[Label]:[Weighted Degree]],3,FALSE)),VLOOKUP(Table32[[#This Row],[source2]],Table22[[Label]:[Weighted Degree]],3,FALSE))</f>
        <v>18390</v>
      </c>
      <c r="AM55" s="104">
        <f>IF(ISERROR(VLOOKUP(Table32[[#This Row],[target2]],Table22[[Label]:[Weighted Degree]],3,FALSE)),IF(ISERROR(VLOOKUP(Table32[[#This Row],[target2]],Table2210[[Label]:[Weighted Degree]],3,FALSE)),IF(ISERROR(VLOOKUP(Table32[[#This Row],[target2]],Table2214[[Label]:[Weighted Degree]],3,FALSE)),FALSE,VLOOKUP(Table32[[#This Row],[target2]],Table2214[[Label]:[Weighted Degree]],3,FALSE)),VLOOKUP(Table32[[#This Row],[target2]],Table2210[[Label]:[Weighted Degree]],3,FALSE)),VLOOKUP(Table32[[#This Row],[target2]],Table22[[Label]:[Weighted Degree]],3,FALSE))</f>
        <v>23054</v>
      </c>
    </row>
    <row r="56" spans="1:39" x14ac:dyDescent="0.2">
      <c r="A56" s="14" t="s">
        <v>135</v>
      </c>
      <c r="B56" s="14" t="s">
        <v>145</v>
      </c>
      <c r="C56" s="76" t="s">
        <v>771</v>
      </c>
      <c r="D56" s="14">
        <v>4778</v>
      </c>
      <c r="E56" s="63" t="str">
        <f>IF(ISERROR(VLOOKUP(Table8[[#This Row],[source2]],Table22[Label],1,FALSE)),IF(ISERROR(VLOOKUP(Table8[[#This Row],[source2]],Table2210[Label],1,FALSE)),"SPOKE","FOCUS"),"HUB")</f>
        <v>HUB</v>
      </c>
      <c r="F56" s="63" t="str">
        <f>IF(ISERROR(VLOOKUP(Table8[[#This Row],[target2]],Table22[Label],1,FALSE)),IF(ISERROR(VLOOKUP(Table8[[#This Row],[target2]],Table2210[Label],1,FALSE)),"SPOKE","FOCUS"),"HUB")</f>
        <v>HUB</v>
      </c>
      <c r="G56" s="63" t="str">
        <f>IF(Table8[[#This Row],[source-tyoe]]&lt;Table8[[#This Row],[target-type]],Table8[[#This Row],[target-type]]&amp;"-"&amp;Table8[[#This Row],[source-tyoe]],Table8[[#This Row],[source-tyoe]]&amp;"-"&amp;Table8[[#This Row],[target-type]])</f>
        <v>HUB-HUB</v>
      </c>
      <c r="H56" s="63">
        <f>IF(ISERROR(VLOOKUP(Table8[[#This Row],[source2]],Table22[[Label]:[Weighted Degree]],3,FALSE)),IF(ISERROR(VLOOKUP(Table8[[#This Row],[source2]],Table2210[[Label]:[Weighted Degree]],3,FALSE)),IF(ISERROR(VLOOKUP(Table8[[#This Row],[source2]],Table2214[[Label]:[Weighted Degree]],3,FALSE)),FALSE,VLOOKUP(Table8[[#This Row],[source2]],Table2214[[Label]:[Weighted Degree]],3,FALSE)),VLOOKUP(Table8[[#This Row],[source2]],Table2210[[Label]:[Weighted Degree]],3,FALSE)),VLOOKUP(Table8[[#This Row],[source2]],Table22[[Label]:[Weighted Degree]],3,FALSE))</f>
        <v>23724</v>
      </c>
      <c r="I56" s="63">
        <f>IF(ISERROR(VLOOKUP(Table8[[#This Row],[target2]],Table22[[Label]:[Weighted Degree]],3,FALSE)),IF(ISERROR(VLOOKUP(Table8[[#This Row],[target2]],Table2210[[Label]:[Weighted Degree]],3,FALSE)),IF(ISERROR(VLOOKUP(Table8[[#This Row],[target2]],Table2214[[Label]:[Weighted Degree]],3,FALSE)),FALSE,VLOOKUP(Table8[[#This Row],[target2]],Table2214[[Label]:[Weighted Degree]],3,FALSE)),VLOOKUP(Table8[[#This Row],[target2]],Table2210[[Label]:[Weighted Degree]],3,FALSE)),VLOOKUP(Table8[[#This Row],[target2]],Table22[[Label]:[Weighted Degree]],3,FALSE))</f>
        <v>23054</v>
      </c>
      <c r="J56" s="61"/>
      <c r="K56" s="14" t="s">
        <v>141</v>
      </c>
      <c r="L56" s="14" t="s">
        <v>127</v>
      </c>
      <c r="M56" s="15" t="s">
        <v>379</v>
      </c>
      <c r="N56" s="14">
        <v>2004</v>
      </c>
      <c r="O56" s="14" t="str">
        <f>IF(ISERROR(VLOOKUP(Table29[[#This Row],[source2]],Table22[Label],1,FALSE)),IF(ISERROR(VLOOKUP(Table29[[#This Row],[source2]],Table2210[Label],1,FALSE)),"SPOKE","FOCUS"),"HUB")</f>
        <v>HUB</v>
      </c>
      <c r="P56" s="14" t="str">
        <f>IF(ISERROR(VLOOKUP(Table29[[#This Row],[target2]],Table22[Label],1,FALSE)),IF(ISERROR(VLOOKUP(Table29[[#This Row],[target2]],Table2210[Label],1,FALSE)),"SPOKE","FOCUS"),"HUB")</f>
        <v>HUB</v>
      </c>
      <c r="Q56" s="14" t="str">
        <f>IF(Table29[[#This Row],[source-type]]&lt;Table29[[#This Row],[target-type]],Table29[[#This Row],[target-type]]&amp;"-"&amp;Table29[[#This Row],[source-type]],Table29[[#This Row],[source-type]]&amp;"-"&amp;Table29[[#This Row],[target-type]])</f>
        <v>HUB-HUB</v>
      </c>
      <c r="R56" s="104">
        <f>IF(ISERROR(VLOOKUP(Table29[[#This Row],[source2]],Table22[[Label]:[Weighted Degree]],3,FALSE)),IF(ISERROR(VLOOKUP(Table29[[#This Row],[source2]],Table2210[[Label]:[Weighted Degree]],3,FALSE)),IF(ISERROR(VLOOKUP(Table29[[#This Row],[source2]],Table2214[[Label]:[Weighted Degree]],3,FALSE)),FALSE,VLOOKUP(Table29[[#This Row],[source2]],Table2214[[Label]:[Weighted Degree]],3,FALSE)),VLOOKUP(Table29[[#This Row],[source2]],Table2210[[Label]:[Weighted Degree]],3,FALSE)),VLOOKUP(Table29[[#This Row],[source2]],Table22[[Label]:[Weighted Degree]],3,FALSE))</f>
        <v>11690</v>
      </c>
      <c r="S56" s="104">
        <f>IF(ISERROR(VLOOKUP(Table29[[#This Row],[target2]],Table22[[Label]:[Weighted Degree]],3,FALSE)),IF(ISERROR(VLOOKUP(Table29[[#This Row],[target2]],Table2210[[Label]:[Weighted Degree]],3,FALSE)),IF(ISERROR(VLOOKUP(Table29[[#This Row],[target2]],Table2214[[Label]:[Weighted Degree]],3,FALSE)),FALSE,VLOOKUP(Table29[[#This Row],[target2]],Table2214[[Label]:[Weighted Degree]],3,FALSE)),VLOOKUP(Table29[[#This Row],[target2]],Table2210[[Label]:[Weighted Degree]],3,FALSE)),VLOOKUP(Table29[[#This Row],[target2]],Table22[[Label]:[Weighted Degree]],3,FALSE))</f>
        <v>24221</v>
      </c>
      <c r="U56" s="14" t="s">
        <v>135</v>
      </c>
      <c r="V56" s="14" t="s">
        <v>131</v>
      </c>
      <c r="W56" s="77" t="s">
        <v>738</v>
      </c>
      <c r="X56" s="1">
        <v>6956</v>
      </c>
      <c r="Y56" s="14" t="str">
        <f>IF(ISERROR(VLOOKUP(Table2932[[#This Row],[source]],Table22[Label],1,FALSE)),IF(ISERROR(VLOOKUP(Table2932[[#This Row],[source]],Table2210[Label],1,FALSE)),"SPOKE","FOCUS"),"HUB")</f>
        <v>HUB</v>
      </c>
      <c r="Z56" s="14" t="str">
        <f>IF(ISERROR(VLOOKUP(Table2932[[#This Row],[target]],Table22[Label],1,FALSE)),IF(ISERROR(VLOOKUP(Table2932[[#This Row],[target]],Table2210[Label],1,FALSE)),"SPOKE","FOCUS"),"HUB")</f>
        <v>HUB</v>
      </c>
      <c r="AA56" s="14" t="str">
        <f>IF(Table2932[[#This Row],[source-type]]&lt;Table2932[[#This Row],[target-type]],Table2932[[#This Row],[target-type]]&amp;"-"&amp;Table2932[[#This Row],[source-type]],Table2932[[#This Row],[source-type]]&amp;"-"&amp;Table2932[[#This Row],[target-type]])</f>
        <v>HUB-HUB</v>
      </c>
      <c r="AB56" s="104">
        <f>IF(ISERROR(VLOOKUP(Table2932[[#This Row],[source]],Table22[[Label]:[Weighted Degree]],3,FALSE)),IF(ISERROR(VLOOKUP(Table2932[[#This Row],[source]],Table2210[[Label]:[Weighted Degree]],3,FALSE)),IF(ISERROR(VLOOKUP(Table2932[[#This Row],[source]],Table2214[[Label]:[Weighted Degree]],3,FALSE)),FALSE,VLOOKUP(Table2932[[#This Row],[source]],Table2214[[Label]:[Weighted Degree]],3,FALSE)),VLOOKUP(Table2932[[#This Row],[source]],Table2210[[Label]:[Weighted Degree]],3,FALSE)),VLOOKUP(Table2932[[#This Row],[source]],Table22[[Label]:[Weighted Degree]],3,FALSE))</f>
        <v>23724</v>
      </c>
      <c r="AC56" s="104">
        <f>IF(ISERROR(VLOOKUP(Table2932[[#This Row],[target]],Table22[[Label]:[Weighted Degree]],3,FALSE)),IF(ISERROR(VLOOKUP(Table2932[[#This Row],[target]],Table2210[[Label]:[Weighted Degree]],3,FALSE)),IF(ISERROR(VLOOKUP(Table2932[[#This Row],[target]],Table2214[[Label]:[Weighted Degree]],3,FALSE)),FALSE,VLOOKUP(Table2932[[#This Row],[target]],Table2214[[Label]:[Weighted Degree]],3,FALSE)),VLOOKUP(Table2932[[#This Row],[target]],Table2210[[Label]:[Weighted Degree]],3,FALSE)),VLOOKUP(Table2932[[#This Row],[target]],Table22[[Label]:[Weighted Degree]],3,FALSE))</f>
        <v>44350</v>
      </c>
      <c r="AE56" s="14" t="s">
        <v>138</v>
      </c>
      <c r="AF56" s="14" t="s">
        <v>161</v>
      </c>
      <c r="AG56" s="64" t="s">
        <v>1564</v>
      </c>
      <c r="AH56" s="14">
        <v>97</v>
      </c>
      <c r="AI56" s="14" t="str">
        <f>IF(ISERROR(VLOOKUP(Table32[[#This Row],[source2]],Table22[Label],1,FALSE)),IF(ISERROR(VLOOKUP(Table32[[#This Row],[source2]],Table2210[Label],1,FALSE)),"SPOKE","FOCUS"),"HUB")</f>
        <v>HUB</v>
      </c>
      <c r="AJ56" s="14" t="str">
        <f>IF(ISERROR(VLOOKUP(Table32[[#This Row],[target2]],Table22[Label],1,FALSE)),IF(ISERROR(VLOOKUP(Table32[[#This Row],[target2]],Table2210[Label],1,FALSE)),"SPOKE","FOCUS"),"HUB")</f>
        <v>SPOKE</v>
      </c>
      <c r="AK56" s="14" t="str">
        <f>IF(Table32[[#This Row],[source-type]]&lt;Table32[[#This Row],[target-type]],Table32[[#This Row],[target-type]]&amp;"-"&amp;Table32[[#This Row],[source-type]],Table32[[#This Row],[source-type]]&amp;"-"&amp;Table32[[#This Row],[target-type]])</f>
        <v>SPOKE-HUB</v>
      </c>
      <c r="AL56" s="104">
        <f>IF(ISERROR(VLOOKUP(Table32[[#This Row],[source2]],Table22[[Label]:[Weighted Degree]],3,FALSE)),IF(ISERROR(VLOOKUP(Table32[[#This Row],[source2]],Table2210[[Label]:[Weighted Degree]],3,FALSE)),IF(ISERROR(VLOOKUP(Table32[[#This Row],[source2]],Table2214[[Label]:[Weighted Degree]],3,FALSE)),FALSE,VLOOKUP(Table32[[#This Row],[source2]],Table2214[[Label]:[Weighted Degree]],3,FALSE)),VLOOKUP(Table32[[#This Row],[source2]],Table2210[[Label]:[Weighted Degree]],3,FALSE)),VLOOKUP(Table32[[#This Row],[source2]],Table22[[Label]:[Weighted Degree]],3,FALSE))</f>
        <v>20047</v>
      </c>
      <c r="AM56" s="104">
        <f>IF(ISERROR(VLOOKUP(Table32[[#This Row],[target2]],Table22[[Label]:[Weighted Degree]],3,FALSE)),IF(ISERROR(VLOOKUP(Table32[[#This Row],[target2]],Table2210[[Label]:[Weighted Degree]],3,FALSE)),IF(ISERROR(VLOOKUP(Table32[[#This Row],[target2]],Table2214[[Label]:[Weighted Degree]],3,FALSE)),FALSE,VLOOKUP(Table32[[#This Row],[target2]],Table2214[[Label]:[Weighted Degree]],3,FALSE)),VLOOKUP(Table32[[#This Row],[target2]],Table2210[[Label]:[Weighted Degree]],3,FALSE)),VLOOKUP(Table32[[#This Row],[target2]],Table22[[Label]:[Weighted Degree]],3,FALSE))</f>
        <v>97</v>
      </c>
    </row>
    <row r="57" spans="1:39" x14ac:dyDescent="0.2">
      <c r="A57" s="14" t="s">
        <v>129</v>
      </c>
      <c r="B57" s="14" t="s">
        <v>145</v>
      </c>
      <c r="C57" s="76" t="s">
        <v>771</v>
      </c>
      <c r="D57" s="14">
        <v>2659</v>
      </c>
      <c r="E57" s="63" t="str">
        <f>IF(ISERROR(VLOOKUP(Table8[[#This Row],[source2]],Table22[Label],1,FALSE)),IF(ISERROR(VLOOKUP(Table8[[#This Row],[source2]],Table2210[Label],1,FALSE)),"SPOKE","FOCUS"),"HUB")</f>
        <v>HUB</v>
      </c>
      <c r="F57" s="63" t="str">
        <f>IF(ISERROR(VLOOKUP(Table8[[#This Row],[target2]],Table22[Label],1,FALSE)),IF(ISERROR(VLOOKUP(Table8[[#This Row],[target2]],Table2210[Label],1,FALSE)),"SPOKE","FOCUS"),"HUB")</f>
        <v>HUB</v>
      </c>
      <c r="G57" s="63" t="str">
        <f>IF(Table8[[#This Row],[source-tyoe]]&lt;Table8[[#This Row],[target-type]],Table8[[#This Row],[target-type]]&amp;"-"&amp;Table8[[#This Row],[source-tyoe]],Table8[[#This Row],[source-tyoe]]&amp;"-"&amp;Table8[[#This Row],[target-type]])</f>
        <v>HUB-HUB</v>
      </c>
      <c r="H57" s="63">
        <f>IF(ISERROR(VLOOKUP(Table8[[#This Row],[source2]],Table22[[Label]:[Weighted Degree]],3,FALSE)),IF(ISERROR(VLOOKUP(Table8[[#This Row],[source2]],Table2210[[Label]:[Weighted Degree]],3,FALSE)),IF(ISERROR(VLOOKUP(Table8[[#This Row],[source2]],Table2214[[Label]:[Weighted Degree]],3,FALSE)),FALSE,VLOOKUP(Table8[[#This Row],[source2]],Table2214[[Label]:[Weighted Degree]],3,FALSE)),VLOOKUP(Table8[[#This Row],[source2]],Table2210[[Label]:[Weighted Degree]],3,FALSE)),VLOOKUP(Table8[[#This Row],[source2]],Table22[[Label]:[Weighted Degree]],3,FALSE))</f>
        <v>18390</v>
      </c>
      <c r="I57" s="63">
        <f>IF(ISERROR(VLOOKUP(Table8[[#This Row],[target2]],Table22[[Label]:[Weighted Degree]],3,FALSE)),IF(ISERROR(VLOOKUP(Table8[[#This Row],[target2]],Table2210[[Label]:[Weighted Degree]],3,FALSE)),IF(ISERROR(VLOOKUP(Table8[[#This Row],[target2]],Table2214[[Label]:[Weighted Degree]],3,FALSE)),FALSE,VLOOKUP(Table8[[#This Row],[target2]],Table2214[[Label]:[Weighted Degree]],3,FALSE)),VLOOKUP(Table8[[#This Row],[target2]],Table2210[[Label]:[Weighted Degree]],3,FALSE)),VLOOKUP(Table8[[#This Row],[target2]],Table22[[Label]:[Weighted Degree]],3,FALSE))</f>
        <v>23054</v>
      </c>
      <c r="J57" s="61"/>
      <c r="K57" s="14" t="s">
        <v>149</v>
      </c>
      <c r="L57" s="14" t="s">
        <v>134</v>
      </c>
      <c r="M57" s="15" t="s">
        <v>380</v>
      </c>
      <c r="N57" s="14">
        <v>1050</v>
      </c>
      <c r="O57" s="14" t="str">
        <f>IF(ISERROR(VLOOKUP(Table29[[#This Row],[source2]],Table22[Label],1,FALSE)),IF(ISERROR(VLOOKUP(Table29[[#This Row],[source2]],Table2210[Label],1,FALSE)),"SPOKE","FOCUS"),"HUB")</f>
        <v>SPOKE</v>
      </c>
      <c r="P57" s="14" t="str">
        <f>IF(ISERROR(VLOOKUP(Table29[[#This Row],[target2]],Table22[Label],1,FALSE)),IF(ISERROR(VLOOKUP(Table29[[#This Row],[target2]],Table2210[Label],1,FALSE)),"SPOKE","FOCUS"),"HUB")</f>
        <v>FOCUS</v>
      </c>
      <c r="Q57" s="14" t="str">
        <f>IF(Table29[[#This Row],[source-type]]&lt;Table29[[#This Row],[target-type]],Table29[[#This Row],[target-type]]&amp;"-"&amp;Table29[[#This Row],[source-type]],Table29[[#This Row],[source-type]]&amp;"-"&amp;Table29[[#This Row],[target-type]])</f>
        <v>SPOKE-FOCUS</v>
      </c>
      <c r="R57" s="104">
        <f>IF(ISERROR(VLOOKUP(Table29[[#This Row],[source2]],Table22[[Label]:[Weighted Degree]],3,FALSE)),IF(ISERROR(VLOOKUP(Table29[[#This Row],[source2]],Table2210[[Label]:[Weighted Degree]],3,FALSE)),IF(ISERROR(VLOOKUP(Table29[[#This Row],[source2]],Table2214[[Label]:[Weighted Degree]],3,FALSE)),FALSE,VLOOKUP(Table29[[#This Row],[source2]],Table2214[[Label]:[Weighted Degree]],3,FALSE)),VLOOKUP(Table29[[#This Row],[source2]],Table2210[[Label]:[Weighted Degree]],3,FALSE)),VLOOKUP(Table29[[#This Row],[source2]],Table22[[Label]:[Weighted Degree]],3,FALSE))</f>
        <v>9447</v>
      </c>
      <c r="S57" s="104">
        <f>IF(ISERROR(VLOOKUP(Table29[[#This Row],[target2]],Table22[[Label]:[Weighted Degree]],3,FALSE)),IF(ISERROR(VLOOKUP(Table29[[#This Row],[target2]],Table2210[[Label]:[Weighted Degree]],3,FALSE)),IF(ISERROR(VLOOKUP(Table29[[#This Row],[target2]],Table2214[[Label]:[Weighted Degree]],3,FALSE)),FALSE,VLOOKUP(Table29[[#This Row],[target2]],Table2214[[Label]:[Weighted Degree]],3,FALSE)),VLOOKUP(Table29[[#This Row],[target2]],Table2210[[Label]:[Weighted Degree]],3,FALSE)),VLOOKUP(Table29[[#This Row],[target2]],Table22[[Label]:[Weighted Degree]],3,FALSE))</f>
        <v>26074</v>
      </c>
      <c r="U57" s="14" t="s">
        <v>135</v>
      </c>
      <c r="V57" s="14" t="s">
        <v>145</v>
      </c>
      <c r="W57" s="77" t="s">
        <v>738</v>
      </c>
      <c r="X57" s="1">
        <v>4778</v>
      </c>
      <c r="Y57" s="14" t="str">
        <f>IF(ISERROR(VLOOKUP(Table2932[[#This Row],[source]],Table22[Label],1,FALSE)),IF(ISERROR(VLOOKUP(Table2932[[#This Row],[source]],Table2210[Label],1,FALSE)),"SPOKE","FOCUS"),"HUB")</f>
        <v>HUB</v>
      </c>
      <c r="Z57" s="14" t="str">
        <f>IF(ISERROR(VLOOKUP(Table2932[[#This Row],[target]],Table22[Label],1,FALSE)),IF(ISERROR(VLOOKUP(Table2932[[#This Row],[target]],Table2210[Label],1,FALSE)),"SPOKE","FOCUS"),"HUB")</f>
        <v>HUB</v>
      </c>
      <c r="AA57" s="14" t="str">
        <f>IF(Table2932[[#This Row],[source-type]]&lt;Table2932[[#This Row],[target-type]],Table2932[[#This Row],[target-type]]&amp;"-"&amp;Table2932[[#This Row],[source-type]],Table2932[[#This Row],[source-type]]&amp;"-"&amp;Table2932[[#This Row],[target-type]])</f>
        <v>HUB-HUB</v>
      </c>
      <c r="AB57" s="104">
        <f>IF(ISERROR(VLOOKUP(Table2932[[#This Row],[source]],Table22[[Label]:[Weighted Degree]],3,FALSE)),IF(ISERROR(VLOOKUP(Table2932[[#This Row],[source]],Table2210[[Label]:[Weighted Degree]],3,FALSE)),IF(ISERROR(VLOOKUP(Table2932[[#This Row],[source]],Table2214[[Label]:[Weighted Degree]],3,FALSE)),FALSE,VLOOKUP(Table2932[[#This Row],[source]],Table2214[[Label]:[Weighted Degree]],3,FALSE)),VLOOKUP(Table2932[[#This Row],[source]],Table2210[[Label]:[Weighted Degree]],3,FALSE)),VLOOKUP(Table2932[[#This Row],[source]],Table22[[Label]:[Weighted Degree]],3,FALSE))</f>
        <v>23724</v>
      </c>
      <c r="AC57" s="104">
        <f>IF(ISERROR(VLOOKUP(Table2932[[#This Row],[target]],Table22[[Label]:[Weighted Degree]],3,FALSE)),IF(ISERROR(VLOOKUP(Table2932[[#This Row],[target]],Table2210[[Label]:[Weighted Degree]],3,FALSE)),IF(ISERROR(VLOOKUP(Table2932[[#This Row],[target]],Table2214[[Label]:[Weighted Degree]],3,FALSE)),FALSE,VLOOKUP(Table2932[[#This Row],[target]],Table2214[[Label]:[Weighted Degree]],3,FALSE)),VLOOKUP(Table2932[[#This Row],[target]],Table2210[[Label]:[Weighted Degree]],3,FALSE)),VLOOKUP(Table2932[[#This Row],[target]],Table22[[Label]:[Weighted Degree]],3,FALSE))</f>
        <v>23054</v>
      </c>
      <c r="AE57" s="14" t="s">
        <v>130</v>
      </c>
      <c r="AF57" s="14" t="s">
        <v>162</v>
      </c>
      <c r="AG57" s="64" t="s">
        <v>2138</v>
      </c>
      <c r="AH57" s="14">
        <v>94</v>
      </c>
      <c r="AI57" s="14" t="str">
        <f>IF(ISERROR(VLOOKUP(Table32[[#This Row],[source2]],Table22[Label],1,FALSE)),IF(ISERROR(VLOOKUP(Table32[[#This Row],[source2]],Table2210[Label],1,FALSE)),"SPOKE","FOCUS"),"HUB")</f>
        <v>HUB</v>
      </c>
      <c r="AJ57" s="14" t="str">
        <f>IF(ISERROR(VLOOKUP(Table32[[#This Row],[target2]],Table22[Label],1,FALSE)),IF(ISERROR(VLOOKUP(Table32[[#This Row],[target2]],Table2210[Label],1,FALSE)),"SPOKE","FOCUS"),"HUB")</f>
        <v>SPOKE</v>
      </c>
      <c r="AK57" s="14" t="str">
        <f>IF(Table32[[#This Row],[source-type]]&lt;Table32[[#This Row],[target-type]],Table32[[#This Row],[target-type]]&amp;"-"&amp;Table32[[#This Row],[source-type]],Table32[[#This Row],[source-type]]&amp;"-"&amp;Table32[[#This Row],[target-type]])</f>
        <v>SPOKE-HUB</v>
      </c>
      <c r="AL57" s="104">
        <f>IF(ISERROR(VLOOKUP(Table32[[#This Row],[source2]],Table22[[Label]:[Weighted Degree]],3,FALSE)),IF(ISERROR(VLOOKUP(Table32[[#This Row],[source2]],Table2210[[Label]:[Weighted Degree]],3,FALSE)),IF(ISERROR(VLOOKUP(Table32[[#This Row],[source2]],Table2214[[Label]:[Weighted Degree]],3,FALSE)),FALSE,VLOOKUP(Table32[[#This Row],[source2]],Table2214[[Label]:[Weighted Degree]],3,FALSE)),VLOOKUP(Table32[[#This Row],[source2]],Table2210[[Label]:[Weighted Degree]],3,FALSE)),VLOOKUP(Table32[[#This Row],[source2]],Table22[[Label]:[Weighted Degree]],3,FALSE))</f>
        <v>28057</v>
      </c>
      <c r="AM57" s="104">
        <f>IF(ISERROR(VLOOKUP(Table32[[#This Row],[target2]],Table22[[Label]:[Weighted Degree]],3,FALSE)),IF(ISERROR(VLOOKUP(Table32[[#This Row],[target2]],Table2210[[Label]:[Weighted Degree]],3,FALSE)),IF(ISERROR(VLOOKUP(Table32[[#This Row],[target2]],Table2214[[Label]:[Weighted Degree]],3,FALSE)),FALSE,VLOOKUP(Table32[[#This Row],[target2]],Table2214[[Label]:[Weighted Degree]],3,FALSE)),VLOOKUP(Table32[[#This Row],[target2]],Table2210[[Label]:[Weighted Degree]],3,FALSE)),VLOOKUP(Table32[[#This Row],[target2]],Table22[[Label]:[Weighted Degree]],3,FALSE))</f>
        <v>94</v>
      </c>
    </row>
    <row r="58" spans="1:39" x14ac:dyDescent="0.2">
      <c r="A58" s="14" t="s">
        <v>126</v>
      </c>
      <c r="B58" s="14" t="s">
        <v>149</v>
      </c>
      <c r="C58" s="76" t="s">
        <v>771</v>
      </c>
      <c r="D58" s="14">
        <v>2532</v>
      </c>
      <c r="E58" s="63" t="str">
        <f>IF(ISERROR(VLOOKUP(Table8[[#This Row],[source2]],Table22[Label],1,FALSE)),IF(ISERROR(VLOOKUP(Table8[[#This Row],[source2]],Table2210[Label],1,FALSE)),"SPOKE","FOCUS"),"HUB")</f>
        <v>HUB</v>
      </c>
      <c r="F58" s="63" t="str">
        <f>IF(ISERROR(VLOOKUP(Table8[[#This Row],[target2]],Table22[Label],1,FALSE)),IF(ISERROR(VLOOKUP(Table8[[#This Row],[target2]],Table2210[Label],1,FALSE)),"SPOKE","FOCUS"),"HUB")</f>
        <v>SPOKE</v>
      </c>
      <c r="G58" s="63" t="str">
        <f>IF(Table8[[#This Row],[source-tyoe]]&lt;Table8[[#This Row],[target-type]],Table8[[#This Row],[target-type]]&amp;"-"&amp;Table8[[#This Row],[source-tyoe]],Table8[[#This Row],[source-tyoe]]&amp;"-"&amp;Table8[[#This Row],[target-type]])</f>
        <v>SPOKE-HUB</v>
      </c>
      <c r="H58" s="63">
        <f>IF(ISERROR(VLOOKUP(Table8[[#This Row],[source2]],Table22[[Label]:[Weighted Degree]],3,FALSE)),IF(ISERROR(VLOOKUP(Table8[[#This Row],[source2]],Table2210[[Label]:[Weighted Degree]],3,FALSE)),IF(ISERROR(VLOOKUP(Table8[[#This Row],[source2]],Table2214[[Label]:[Weighted Degree]],3,FALSE)),FALSE,VLOOKUP(Table8[[#This Row],[source2]],Table2214[[Label]:[Weighted Degree]],3,FALSE)),VLOOKUP(Table8[[#This Row],[source2]],Table2210[[Label]:[Weighted Degree]],3,FALSE)),VLOOKUP(Table8[[#This Row],[source2]],Table22[[Label]:[Weighted Degree]],3,FALSE))</f>
        <v>36050</v>
      </c>
      <c r="I58" s="63">
        <f>IF(ISERROR(VLOOKUP(Table8[[#This Row],[target2]],Table22[[Label]:[Weighted Degree]],3,FALSE)),IF(ISERROR(VLOOKUP(Table8[[#This Row],[target2]],Table2210[[Label]:[Weighted Degree]],3,FALSE)),IF(ISERROR(VLOOKUP(Table8[[#This Row],[target2]],Table2214[[Label]:[Weighted Degree]],3,FALSE)),FALSE,VLOOKUP(Table8[[#This Row],[target2]],Table2214[[Label]:[Weighted Degree]],3,FALSE)),VLOOKUP(Table8[[#This Row],[target2]],Table2210[[Label]:[Weighted Degree]],3,FALSE)),VLOOKUP(Table8[[#This Row],[target2]],Table22[[Label]:[Weighted Degree]],3,FALSE))</f>
        <v>9447</v>
      </c>
      <c r="J58" s="61"/>
      <c r="K58" s="14" t="s">
        <v>138</v>
      </c>
      <c r="L58" s="14" t="s">
        <v>127</v>
      </c>
      <c r="M58" s="15" t="s">
        <v>381</v>
      </c>
      <c r="N58" s="14">
        <v>1236</v>
      </c>
      <c r="O58" s="14" t="str">
        <f>IF(ISERROR(VLOOKUP(Table29[[#This Row],[source2]],Table22[Label],1,FALSE)),IF(ISERROR(VLOOKUP(Table29[[#This Row],[source2]],Table2210[Label],1,FALSE)),"SPOKE","FOCUS"),"HUB")</f>
        <v>HUB</v>
      </c>
      <c r="P58" s="14" t="str">
        <f>IF(ISERROR(VLOOKUP(Table29[[#This Row],[target2]],Table22[Label],1,FALSE)),IF(ISERROR(VLOOKUP(Table29[[#This Row],[target2]],Table2210[Label],1,FALSE)),"SPOKE","FOCUS"),"HUB")</f>
        <v>HUB</v>
      </c>
      <c r="Q58" s="14" t="str">
        <f>IF(Table29[[#This Row],[source-type]]&lt;Table29[[#This Row],[target-type]],Table29[[#This Row],[target-type]]&amp;"-"&amp;Table29[[#This Row],[source-type]],Table29[[#This Row],[source-type]]&amp;"-"&amp;Table29[[#This Row],[target-type]])</f>
        <v>HUB-HUB</v>
      </c>
      <c r="R58" s="104">
        <f>IF(ISERROR(VLOOKUP(Table29[[#This Row],[source2]],Table22[[Label]:[Weighted Degree]],3,FALSE)),IF(ISERROR(VLOOKUP(Table29[[#This Row],[source2]],Table2210[[Label]:[Weighted Degree]],3,FALSE)),IF(ISERROR(VLOOKUP(Table29[[#This Row],[source2]],Table2214[[Label]:[Weighted Degree]],3,FALSE)),FALSE,VLOOKUP(Table29[[#This Row],[source2]],Table2214[[Label]:[Weighted Degree]],3,FALSE)),VLOOKUP(Table29[[#This Row],[source2]],Table2210[[Label]:[Weighted Degree]],3,FALSE)),VLOOKUP(Table29[[#This Row],[source2]],Table22[[Label]:[Weighted Degree]],3,FALSE))</f>
        <v>20047</v>
      </c>
      <c r="S58" s="104">
        <f>IF(ISERROR(VLOOKUP(Table29[[#This Row],[target2]],Table22[[Label]:[Weighted Degree]],3,FALSE)),IF(ISERROR(VLOOKUP(Table29[[#This Row],[target2]],Table2210[[Label]:[Weighted Degree]],3,FALSE)),IF(ISERROR(VLOOKUP(Table29[[#This Row],[target2]],Table2214[[Label]:[Weighted Degree]],3,FALSE)),FALSE,VLOOKUP(Table29[[#This Row],[target2]],Table2214[[Label]:[Weighted Degree]],3,FALSE)),VLOOKUP(Table29[[#This Row],[target2]],Table2210[[Label]:[Weighted Degree]],3,FALSE)),VLOOKUP(Table29[[#This Row],[target2]],Table22[[Label]:[Weighted Degree]],3,FALSE))</f>
        <v>24221</v>
      </c>
      <c r="U58" s="14" t="s">
        <v>135</v>
      </c>
      <c r="V58" s="14" t="s">
        <v>157</v>
      </c>
      <c r="W58" s="77" t="s">
        <v>738</v>
      </c>
      <c r="X58" s="1">
        <v>123</v>
      </c>
      <c r="Y58" s="14" t="str">
        <f>IF(ISERROR(VLOOKUP(Table2932[[#This Row],[source]],Table22[Label],1,FALSE)),IF(ISERROR(VLOOKUP(Table2932[[#This Row],[source]],Table2210[Label],1,FALSE)),"SPOKE","FOCUS"),"HUB")</f>
        <v>HUB</v>
      </c>
      <c r="Z58" s="14" t="str">
        <f>IF(ISERROR(VLOOKUP(Table2932[[#This Row],[target]],Table22[Label],1,FALSE)),IF(ISERROR(VLOOKUP(Table2932[[#This Row],[target]],Table2210[Label],1,FALSE)),"SPOKE","FOCUS"),"HUB")</f>
        <v>SPOKE</v>
      </c>
      <c r="AA58" s="14" t="str">
        <f>IF(Table2932[[#This Row],[source-type]]&lt;Table2932[[#This Row],[target-type]],Table2932[[#This Row],[target-type]]&amp;"-"&amp;Table2932[[#This Row],[source-type]],Table2932[[#This Row],[source-type]]&amp;"-"&amp;Table2932[[#This Row],[target-type]])</f>
        <v>SPOKE-HUB</v>
      </c>
      <c r="AB58" s="104">
        <f>IF(ISERROR(VLOOKUP(Table2932[[#This Row],[source]],Table22[[Label]:[Weighted Degree]],3,FALSE)),IF(ISERROR(VLOOKUP(Table2932[[#This Row],[source]],Table2210[[Label]:[Weighted Degree]],3,FALSE)),IF(ISERROR(VLOOKUP(Table2932[[#This Row],[source]],Table2214[[Label]:[Weighted Degree]],3,FALSE)),FALSE,VLOOKUP(Table2932[[#This Row],[source]],Table2214[[Label]:[Weighted Degree]],3,FALSE)),VLOOKUP(Table2932[[#This Row],[source]],Table2210[[Label]:[Weighted Degree]],3,FALSE)),VLOOKUP(Table2932[[#This Row],[source]],Table22[[Label]:[Weighted Degree]],3,FALSE))</f>
        <v>23724</v>
      </c>
      <c r="AC58" s="104">
        <f>IF(ISERROR(VLOOKUP(Table2932[[#This Row],[target]],Table22[[Label]:[Weighted Degree]],3,FALSE)),IF(ISERROR(VLOOKUP(Table2932[[#This Row],[target]],Table2210[[Label]:[Weighted Degree]],3,FALSE)),IF(ISERROR(VLOOKUP(Table2932[[#This Row],[target]],Table2214[[Label]:[Weighted Degree]],3,FALSE)),FALSE,VLOOKUP(Table2932[[#This Row],[target]],Table2214[[Label]:[Weighted Degree]],3,FALSE)),VLOOKUP(Table2932[[#This Row],[target]],Table2210[[Label]:[Weighted Degree]],3,FALSE)),VLOOKUP(Table2932[[#This Row],[target]],Table22[[Label]:[Weighted Degree]],3,FALSE))</f>
        <v>123</v>
      </c>
      <c r="AE58" s="14" t="s">
        <v>135</v>
      </c>
      <c r="AF58" s="14" t="s">
        <v>163</v>
      </c>
      <c r="AG58" s="64" t="s">
        <v>1008</v>
      </c>
      <c r="AH58" s="14">
        <v>88</v>
      </c>
      <c r="AI58" s="14" t="str">
        <f>IF(ISERROR(VLOOKUP(Table32[[#This Row],[source2]],Table22[Label],1,FALSE)),IF(ISERROR(VLOOKUP(Table32[[#This Row],[source2]],Table2210[Label],1,FALSE)),"SPOKE","FOCUS"),"HUB")</f>
        <v>HUB</v>
      </c>
      <c r="AJ58" s="14" t="str">
        <f>IF(ISERROR(VLOOKUP(Table32[[#This Row],[target2]],Table22[Label],1,FALSE)),IF(ISERROR(VLOOKUP(Table32[[#This Row],[target2]],Table2210[Label],1,FALSE)),"SPOKE","FOCUS"),"HUB")</f>
        <v>SPOKE</v>
      </c>
      <c r="AK58" s="14" t="str">
        <f>IF(Table32[[#This Row],[source-type]]&lt;Table32[[#This Row],[target-type]],Table32[[#This Row],[target-type]]&amp;"-"&amp;Table32[[#This Row],[source-type]],Table32[[#This Row],[source-type]]&amp;"-"&amp;Table32[[#This Row],[target-type]])</f>
        <v>SPOKE-HUB</v>
      </c>
      <c r="AL58" s="104">
        <f>IF(ISERROR(VLOOKUP(Table32[[#This Row],[source2]],Table22[[Label]:[Weighted Degree]],3,FALSE)),IF(ISERROR(VLOOKUP(Table32[[#This Row],[source2]],Table2210[[Label]:[Weighted Degree]],3,FALSE)),IF(ISERROR(VLOOKUP(Table32[[#This Row],[source2]],Table2214[[Label]:[Weighted Degree]],3,FALSE)),FALSE,VLOOKUP(Table32[[#This Row],[source2]],Table2214[[Label]:[Weighted Degree]],3,FALSE)),VLOOKUP(Table32[[#This Row],[source2]],Table2210[[Label]:[Weighted Degree]],3,FALSE)),VLOOKUP(Table32[[#This Row],[source2]],Table22[[Label]:[Weighted Degree]],3,FALSE))</f>
        <v>23724</v>
      </c>
      <c r="AM58" s="104">
        <f>IF(ISERROR(VLOOKUP(Table32[[#This Row],[target2]],Table22[[Label]:[Weighted Degree]],3,FALSE)),IF(ISERROR(VLOOKUP(Table32[[#This Row],[target2]],Table2210[[Label]:[Weighted Degree]],3,FALSE)),IF(ISERROR(VLOOKUP(Table32[[#This Row],[target2]],Table2214[[Label]:[Weighted Degree]],3,FALSE)),FALSE,VLOOKUP(Table32[[#This Row],[target2]],Table2214[[Label]:[Weighted Degree]],3,FALSE)),VLOOKUP(Table32[[#This Row],[target2]],Table2210[[Label]:[Weighted Degree]],3,FALSE)),VLOOKUP(Table32[[#This Row],[target2]],Table22[[Label]:[Weighted Degree]],3,FALSE))</f>
        <v>88</v>
      </c>
    </row>
    <row r="59" spans="1:39" x14ac:dyDescent="0.2">
      <c r="A59" s="14" t="s">
        <v>152</v>
      </c>
      <c r="B59" s="14" t="s">
        <v>138</v>
      </c>
      <c r="C59" s="76" t="s">
        <v>771</v>
      </c>
      <c r="D59" s="14">
        <v>2252</v>
      </c>
      <c r="E59" s="63" t="str">
        <f>IF(ISERROR(VLOOKUP(Table8[[#This Row],[source2]],Table22[Label],1,FALSE)),IF(ISERROR(VLOOKUP(Table8[[#This Row],[source2]],Table2210[Label],1,FALSE)),"SPOKE","FOCUS"),"HUB")</f>
        <v>SPOKE</v>
      </c>
      <c r="F59" s="63" t="str">
        <f>IF(ISERROR(VLOOKUP(Table8[[#This Row],[target2]],Table22[Label],1,FALSE)),IF(ISERROR(VLOOKUP(Table8[[#This Row],[target2]],Table2210[Label],1,FALSE)),"SPOKE","FOCUS"),"HUB")</f>
        <v>HUB</v>
      </c>
      <c r="G59" s="63" t="str">
        <f>IF(Table8[[#This Row],[source-tyoe]]&lt;Table8[[#This Row],[target-type]],Table8[[#This Row],[target-type]]&amp;"-"&amp;Table8[[#This Row],[source-tyoe]],Table8[[#This Row],[source-tyoe]]&amp;"-"&amp;Table8[[#This Row],[target-type]])</f>
        <v>SPOKE-HUB</v>
      </c>
      <c r="H59" s="63">
        <f>IF(ISERROR(VLOOKUP(Table8[[#This Row],[source2]],Table22[[Label]:[Weighted Degree]],3,FALSE)),IF(ISERROR(VLOOKUP(Table8[[#This Row],[source2]],Table2210[[Label]:[Weighted Degree]],3,FALSE)),IF(ISERROR(VLOOKUP(Table8[[#This Row],[source2]],Table2214[[Label]:[Weighted Degree]],3,FALSE)),FALSE,VLOOKUP(Table8[[#This Row],[source2]],Table2214[[Label]:[Weighted Degree]],3,FALSE)),VLOOKUP(Table8[[#This Row],[source2]],Table2210[[Label]:[Weighted Degree]],3,FALSE)),VLOOKUP(Table8[[#This Row],[source2]],Table22[[Label]:[Weighted Degree]],3,FALSE))</f>
        <v>9094</v>
      </c>
      <c r="I59" s="63">
        <f>IF(ISERROR(VLOOKUP(Table8[[#This Row],[target2]],Table22[[Label]:[Weighted Degree]],3,FALSE)),IF(ISERROR(VLOOKUP(Table8[[#This Row],[target2]],Table2210[[Label]:[Weighted Degree]],3,FALSE)),IF(ISERROR(VLOOKUP(Table8[[#This Row],[target2]],Table2214[[Label]:[Weighted Degree]],3,FALSE)),FALSE,VLOOKUP(Table8[[#This Row],[target2]],Table2214[[Label]:[Weighted Degree]],3,FALSE)),VLOOKUP(Table8[[#This Row],[target2]],Table2210[[Label]:[Weighted Degree]],3,FALSE)),VLOOKUP(Table8[[#This Row],[target2]],Table22[[Label]:[Weighted Degree]],3,FALSE))</f>
        <v>20047</v>
      </c>
      <c r="J59" s="61"/>
      <c r="K59" s="14" t="s">
        <v>133</v>
      </c>
      <c r="L59" s="14" t="s">
        <v>134</v>
      </c>
      <c r="M59" s="15" t="s">
        <v>382</v>
      </c>
      <c r="N59" s="14">
        <v>2139</v>
      </c>
      <c r="O59" s="14" t="str">
        <f>IF(ISERROR(VLOOKUP(Table29[[#This Row],[source2]],Table22[Label],1,FALSE)),IF(ISERROR(VLOOKUP(Table29[[#This Row],[source2]],Table2210[Label],1,FALSE)),"SPOKE","FOCUS"),"HUB")</f>
        <v>HUB</v>
      </c>
      <c r="P59" s="14" t="str">
        <f>IF(ISERROR(VLOOKUP(Table29[[#This Row],[target2]],Table22[Label],1,FALSE)),IF(ISERROR(VLOOKUP(Table29[[#This Row],[target2]],Table2210[Label],1,FALSE)),"SPOKE","FOCUS"),"HUB")</f>
        <v>FOCUS</v>
      </c>
      <c r="Q59" s="14" t="str">
        <f>IF(Table29[[#This Row],[source-type]]&lt;Table29[[#This Row],[target-type]],Table29[[#This Row],[target-type]]&amp;"-"&amp;Table29[[#This Row],[source-type]],Table29[[#This Row],[source-type]]&amp;"-"&amp;Table29[[#This Row],[target-type]])</f>
        <v>HUB-FOCUS</v>
      </c>
      <c r="R59" s="104">
        <f>IF(ISERROR(VLOOKUP(Table29[[#This Row],[source2]],Table22[[Label]:[Weighted Degree]],3,FALSE)),IF(ISERROR(VLOOKUP(Table29[[#This Row],[source2]],Table2210[[Label]:[Weighted Degree]],3,FALSE)),IF(ISERROR(VLOOKUP(Table29[[#This Row],[source2]],Table2214[[Label]:[Weighted Degree]],3,FALSE)),FALSE,VLOOKUP(Table29[[#This Row],[source2]],Table2214[[Label]:[Weighted Degree]],3,FALSE)),VLOOKUP(Table29[[#This Row],[source2]],Table2210[[Label]:[Weighted Degree]],3,FALSE)),VLOOKUP(Table29[[#This Row],[source2]],Table22[[Label]:[Weighted Degree]],3,FALSE))</f>
        <v>39711</v>
      </c>
      <c r="S59" s="104">
        <f>IF(ISERROR(VLOOKUP(Table29[[#This Row],[target2]],Table22[[Label]:[Weighted Degree]],3,FALSE)),IF(ISERROR(VLOOKUP(Table29[[#This Row],[target2]],Table2210[[Label]:[Weighted Degree]],3,FALSE)),IF(ISERROR(VLOOKUP(Table29[[#This Row],[target2]],Table2214[[Label]:[Weighted Degree]],3,FALSE)),FALSE,VLOOKUP(Table29[[#This Row],[target2]],Table2214[[Label]:[Weighted Degree]],3,FALSE)),VLOOKUP(Table29[[#This Row],[target2]],Table2210[[Label]:[Weighted Degree]],3,FALSE)),VLOOKUP(Table29[[#This Row],[target2]],Table22[[Label]:[Weighted Degree]],3,FALSE))</f>
        <v>26074</v>
      </c>
      <c r="U59" s="14" t="s">
        <v>156</v>
      </c>
      <c r="V59" s="14" t="s">
        <v>142</v>
      </c>
      <c r="W59" s="77" t="s">
        <v>738</v>
      </c>
      <c r="X59" s="1">
        <v>1628</v>
      </c>
      <c r="Y59" s="14" t="str">
        <f>IF(ISERROR(VLOOKUP(Table2932[[#This Row],[source]],Table22[Label],1,FALSE)),IF(ISERROR(VLOOKUP(Table2932[[#This Row],[source]],Table2210[Label],1,FALSE)),"SPOKE","FOCUS"),"HUB")</f>
        <v>SPOKE</v>
      </c>
      <c r="Z59" s="14" t="str">
        <f>IF(ISERROR(VLOOKUP(Table2932[[#This Row],[target]],Table22[Label],1,FALSE)),IF(ISERROR(VLOOKUP(Table2932[[#This Row],[target]],Table2210[Label],1,FALSE)),"SPOKE","FOCUS"),"HUB")</f>
        <v>HUB</v>
      </c>
      <c r="AA59" s="14" t="str">
        <f>IF(Table2932[[#This Row],[source-type]]&lt;Table2932[[#This Row],[target-type]],Table2932[[#This Row],[target-type]]&amp;"-"&amp;Table2932[[#This Row],[source-type]],Table2932[[#This Row],[source-type]]&amp;"-"&amp;Table2932[[#This Row],[target-type]])</f>
        <v>SPOKE-HUB</v>
      </c>
      <c r="AB59" s="104">
        <f>IF(ISERROR(VLOOKUP(Table2932[[#This Row],[source]],Table22[[Label]:[Weighted Degree]],3,FALSE)),IF(ISERROR(VLOOKUP(Table2932[[#This Row],[source]],Table2210[[Label]:[Weighted Degree]],3,FALSE)),IF(ISERROR(VLOOKUP(Table2932[[#This Row],[source]],Table2214[[Label]:[Weighted Degree]],3,FALSE)),FALSE,VLOOKUP(Table2932[[#This Row],[source]],Table2214[[Label]:[Weighted Degree]],3,FALSE)),VLOOKUP(Table2932[[#This Row],[source]],Table2210[[Label]:[Weighted Degree]],3,FALSE)),VLOOKUP(Table2932[[#This Row],[source]],Table22[[Label]:[Weighted Degree]],3,FALSE))</f>
        <v>8131</v>
      </c>
      <c r="AC59" s="104">
        <f>IF(ISERROR(VLOOKUP(Table2932[[#This Row],[target]],Table22[[Label]:[Weighted Degree]],3,FALSE)),IF(ISERROR(VLOOKUP(Table2932[[#This Row],[target]],Table2210[[Label]:[Weighted Degree]],3,FALSE)),IF(ISERROR(VLOOKUP(Table2932[[#This Row],[target]],Table2214[[Label]:[Weighted Degree]],3,FALSE)),FALSE,VLOOKUP(Table2932[[#This Row],[target]],Table2214[[Label]:[Weighted Degree]],3,FALSE)),VLOOKUP(Table2932[[#This Row],[target]],Table2210[[Label]:[Weighted Degree]],3,FALSE)),VLOOKUP(Table2932[[#This Row],[target]],Table22[[Label]:[Weighted Degree]],3,FALSE))</f>
        <v>18349</v>
      </c>
      <c r="AE59" s="14" t="s">
        <v>128</v>
      </c>
      <c r="AF59" s="14" t="s">
        <v>124</v>
      </c>
      <c r="AG59" s="64" t="s">
        <v>2251</v>
      </c>
      <c r="AH59" s="14">
        <v>3288</v>
      </c>
      <c r="AI59" s="14" t="str">
        <f>IF(ISERROR(VLOOKUP(Table32[[#This Row],[source2]],Table22[Label],1,FALSE)),IF(ISERROR(VLOOKUP(Table32[[#This Row],[source2]],Table2210[Label],1,FALSE)),"SPOKE","FOCUS"),"HUB")</f>
        <v>HUB</v>
      </c>
      <c r="AJ59" s="14" t="str">
        <f>IF(ISERROR(VLOOKUP(Table32[[#This Row],[target2]],Table22[Label],1,FALSE)),IF(ISERROR(VLOOKUP(Table32[[#This Row],[target2]],Table2210[Label],1,FALSE)),"SPOKE","FOCUS"),"HUB")</f>
        <v>HUB</v>
      </c>
      <c r="AK59" s="14" t="str">
        <f>IF(Table32[[#This Row],[source-type]]&lt;Table32[[#This Row],[target-type]],Table32[[#This Row],[target-type]]&amp;"-"&amp;Table32[[#This Row],[source-type]],Table32[[#This Row],[source-type]]&amp;"-"&amp;Table32[[#This Row],[target-type]])</f>
        <v>HUB-HUB</v>
      </c>
      <c r="AL59" s="104">
        <f>IF(ISERROR(VLOOKUP(Table32[[#This Row],[source2]],Table22[[Label]:[Weighted Degree]],3,FALSE)),IF(ISERROR(VLOOKUP(Table32[[#This Row],[source2]],Table2210[[Label]:[Weighted Degree]],3,FALSE)),IF(ISERROR(VLOOKUP(Table32[[#This Row],[source2]],Table2214[[Label]:[Weighted Degree]],3,FALSE)),FALSE,VLOOKUP(Table32[[#This Row],[source2]],Table2214[[Label]:[Weighted Degree]],3,FALSE)),VLOOKUP(Table32[[#This Row],[source2]],Table2210[[Label]:[Weighted Degree]],3,FALSE)),VLOOKUP(Table32[[#This Row],[source2]],Table22[[Label]:[Weighted Degree]],3,FALSE))</f>
        <v>14416</v>
      </c>
      <c r="AM59" s="104">
        <f>IF(ISERROR(VLOOKUP(Table32[[#This Row],[target2]],Table22[[Label]:[Weighted Degree]],3,FALSE)),IF(ISERROR(VLOOKUP(Table32[[#This Row],[target2]],Table2210[[Label]:[Weighted Degree]],3,FALSE)),IF(ISERROR(VLOOKUP(Table32[[#This Row],[target2]],Table2214[[Label]:[Weighted Degree]],3,FALSE)),FALSE,VLOOKUP(Table32[[#This Row],[target2]],Table2214[[Label]:[Weighted Degree]],3,FALSE)),VLOOKUP(Table32[[#This Row],[target2]],Table2210[[Label]:[Weighted Degree]],3,FALSE)),VLOOKUP(Table32[[#This Row],[target2]],Table22[[Label]:[Weighted Degree]],3,FALSE))</f>
        <v>28737</v>
      </c>
    </row>
    <row r="60" spans="1:39" x14ac:dyDescent="0.2">
      <c r="A60" s="65" t="s">
        <v>146</v>
      </c>
      <c r="B60" s="65" t="s">
        <v>149</v>
      </c>
      <c r="C60" s="78" t="s">
        <v>771</v>
      </c>
      <c r="D60" s="65">
        <v>1896</v>
      </c>
      <c r="E60" s="63" t="str">
        <f>IF(ISERROR(VLOOKUP(Table8[[#This Row],[source2]],Table22[Label],1,FALSE)),IF(ISERROR(VLOOKUP(Table8[[#This Row],[source2]],Table2210[Label],1,FALSE)),"SPOKE","FOCUS"),"HUB")</f>
        <v>FOCUS</v>
      </c>
      <c r="F60" s="63" t="str">
        <f>IF(ISERROR(VLOOKUP(Table8[[#This Row],[target2]],Table22[Label],1,FALSE)),IF(ISERROR(VLOOKUP(Table8[[#This Row],[target2]],Table2210[Label],1,FALSE)),"SPOKE","FOCUS"),"HUB")</f>
        <v>SPOKE</v>
      </c>
      <c r="G60" s="63" t="str">
        <f>IF(Table8[[#This Row],[source-tyoe]]&lt;Table8[[#This Row],[target-type]],Table8[[#This Row],[target-type]]&amp;"-"&amp;Table8[[#This Row],[source-tyoe]],Table8[[#This Row],[source-tyoe]]&amp;"-"&amp;Table8[[#This Row],[target-type]])</f>
        <v>SPOKE-FOCUS</v>
      </c>
      <c r="H60" s="63">
        <f>IF(ISERROR(VLOOKUP(Table8[[#This Row],[source2]],Table22[[Label]:[Weighted Degree]],3,FALSE)),IF(ISERROR(VLOOKUP(Table8[[#This Row],[source2]],Table2210[[Label]:[Weighted Degree]],3,FALSE)),IF(ISERROR(VLOOKUP(Table8[[#This Row],[source2]],Table2214[[Label]:[Weighted Degree]],3,FALSE)),FALSE,VLOOKUP(Table8[[#This Row],[source2]],Table2214[[Label]:[Weighted Degree]],3,FALSE)),VLOOKUP(Table8[[#This Row],[source2]],Table2210[[Label]:[Weighted Degree]],3,FALSE)),VLOOKUP(Table8[[#This Row],[source2]],Table22[[Label]:[Weighted Degree]],3,FALSE))</f>
        <v>22882</v>
      </c>
      <c r="I60" s="63">
        <f>IF(ISERROR(VLOOKUP(Table8[[#This Row],[target2]],Table22[[Label]:[Weighted Degree]],3,FALSE)),IF(ISERROR(VLOOKUP(Table8[[#This Row],[target2]],Table2210[[Label]:[Weighted Degree]],3,FALSE)),IF(ISERROR(VLOOKUP(Table8[[#This Row],[target2]],Table2214[[Label]:[Weighted Degree]],3,FALSE)),FALSE,VLOOKUP(Table8[[#This Row],[target2]],Table2214[[Label]:[Weighted Degree]],3,FALSE)),VLOOKUP(Table8[[#This Row],[target2]],Table2210[[Label]:[Weighted Degree]],3,FALSE)),VLOOKUP(Table8[[#This Row],[target2]],Table22[[Label]:[Weighted Degree]],3,FALSE))</f>
        <v>9447</v>
      </c>
      <c r="J60" s="61"/>
      <c r="K60" s="14" t="s">
        <v>143</v>
      </c>
      <c r="L60" s="14" t="s">
        <v>126</v>
      </c>
      <c r="M60" s="15" t="s">
        <v>383</v>
      </c>
      <c r="N60" s="14">
        <v>1024</v>
      </c>
      <c r="O60" s="14" t="str">
        <f>IF(ISERROR(VLOOKUP(Table29[[#This Row],[source2]],Table22[Label],1,FALSE)),IF(ISERROR(VLOOKUP(Table29[[#This Row],[source2]],Table2210[Label],1,FALSE)),"SPOKE","FOCUS"),"HUB")</f>
        <v>HUB</v>
      </c>
      <c r="P60" s="14" t="str">
        <f>IF(ISERROR(VLOOKUP(Table29[[#This Row],[target2]],Table22[Label],1,FALSE)),IF(ISERROR(VLOOKUP(Table29[[#This Row],[target2]],Table2210[Label],1,FALSE)),"SPOKE","FOCUS"),"HUB")</f>
        <v>HUB</v>
      </c>
      <c r="Q60" s="14" t="str">
        <f>IF(Table29[[#This Row],[source-type]]&lt;Table29[[#This Row],[target-type]],Table29[[#This Row],[target-type]]&amp;"-"&amp;Table29[[#This Row],[source-type]],Table29[[#This Row],[source-type]]&amp;"-"&amp;Table29[[#This Row],[target-type]])</f>
        <v>HUB-HUB</v>
      </c>
      <c r="R60" s="104">
        <f>IF(ISERROR(VLOOKUP(Table29[[#This Row],[source2]],Table22[[Label]:[Weighted Degree]],3,FALSE)),IF(ISERROR(VLOOKUP(Table29[[#This Row],[source2]],Table2210[[Label]:[Weighted Degree]],3,FALSE)),IF(ISERROR(VLOOKUP(Table29[[#This Row],[source2]],Table2214[[Label]:[Weighted Degree]],3,FALSE)),FALSE,VLOOKUP(Table29[[#This Row],[source2]],Table2214[[Label]:[Weighted Degree]],3,FALSE)),VLOOKUP(Table29[[#This Row],[source2]],Table2210[[Label]:[Weighted Degree]],3,FALSE)),VLOOKUP(Table29[[#This Row],[source2]],Table22[[Label]:[Weighted Degree]],3,FALSE))</f>
        <v>10697</v>
      </c>
      <c r="S60" s="104">
        <f>IF(ISERROR(VLOOKUP(Table29[[#This Row],[target2]],Table22[[Label]:[Weighted Degree]],3,FALSE)),IF(ISERROR(VLOOKUP(Table29[[#This Row],[target2]],Table2210[[Label]:[Weighted Degree]],3,FALSE)),IF(ISERROR(VLOOKUP(Table29[[#This Row],[target2]],Table2214[[Label]:[Weighted Degree]],3,FALSE)),FALSE,VLOOKUP(Table29[[#This Row],[target2]],Table2214[[Label]:[Weighted Degree]],3,FALSE)),VLOOKUP(Table29[[#This Row],[target2]],Table2210[[Label]:[Weighted Degree]],3,FALSE)),VLOOKUP(Table29[[#This Row],[target2]],Table22[[Label]:[Weighted Degree]],3,FALSE))</f>
        <v>36050</v>
      </c>
      <c r="U60" s="14" t="s">
        <v>129</v>
      </c>
      <c r="V60" s="14" t="s">
        <v>145</v>
      </c>
      <c r="W60" s="77" t="s">
        <v>738</v>
      </c>
      <c r="X60" s="1">
        <v>2659</v>
      </c>
      <c r="Y60" s="14" t="str">
        <f>IF(ISERROR(VLOOKUP(Table2932[[#This Row],[source]],Table22[Label],1,FALSE)),IF(ISERROR(VLOOKUP(Table2932[[#This Row],[source]],Table2210[Label],1,FALSE)),"SPOKE","FOCUS"),"HUB")</f>
        <v>HUB</v>
      </c>
      <c r="Z60" s="14" t="str">
        <f>IF(ISERROR(VLOOKUP(Table2932[[#This Row],[target]],Table22[Label],1,FALSE)),IF(ISERROR(VLOOKUP(Table2932[[#This Row],[target]],Table2210[Label],1,FALSE)),"SPOKE","FOCUS"),"HUB")</f>
        <v>HUB</v>
      </c>
      <c r="AA60" s="14" t="str">
        <f>IF(Table2932[[#This Row],[source-type]]&lt;Table2932[[#This Row],[target-type]],Table2932[[#This Row],[target-type]]&amp;"-"&amp;Table2932[[#This Row],[source-type]],Table2932[[#This Row],[source-type]]&amp;"-"&amp;Table2932[[#This Row],[target-type]])</f>
        <v>HUB-HUB</v>
      </c>
      <c r="AB60" s="104">
        <f>IF(ISERROR(VLOOKUP(Table2932[[#This Row],[source]],Table22[[Label]:[Weighted Degree]],3,FALSE)),IF(ISERROR(VLOOKUP(Table2932[[#This Row],[source]],Table2210[[Label]:[Weighted Degree]],3,FALSE)),IF(ISERROR(VLOOKUP(Table2932[[#This Row],[source]],Table2214[[Label]:[Weighted Degree]],3,FALSE)),FALSE,VLOOKUP(Table2932[[#This Row],[source]],Table2214[[Label]:[Weighted Degree]],3,FALSE)),VLOOKUP(Table2932[[#This Row],[source]],Table2210[[Label]:[Weighted Degree]],3,FALSE)),VLOOKUP(Table2932[[#This Row],[source]],Table22[[Label]:[Weighted Degree]],3,FALSE))</f>
        <v>18390</v>
      </c>
      <c r="AC60" s="104">
        <f>IF(ISERROR(VLOOKUP(Table2932[[#This Row],[target]],Table22[[Label]:[Weighted Degree]],3,FALSE)),IF(ISERROR(VLOOKUP(Table2932[[#This Row],[target]],Table2210[[Label]:[Weighted Degree]],3,FALSE)),IF(ISERROR(VLOOKUP(Table2932[[#This Row],[target]],Table2214[[Label]:[Weighted Degree]],3,FALSE)),FALSE,VLOOKUP(Table2932[[#This Row],[target]],Table2214[[Label]:[Weighted Degree]],3,FALSE)),VLOOKUP(Table2932[[#This Row],[target]],Table2210[[Label]:[Weighted Degree]],3,FALSE)),VLOOKUP(Table2932[[#This Row],[target]],Table22[[Label]:[Weighted Degree]],3,FALSE))</f>
        <v>23054</v>
      </c>
      <c r="AE60" s="14" t="s">
        <v>143</v>
      </c>
      <c r="AF60" s="14" t="s">
        <v>139</v>
      </c>
      <c r="AG60" s="64" t="s">
        <v>1032</v>
      </c>
      <c r="AH60" s="14">
        <v>3011</v>
      </c>
      <c r="AI60" s="14" t="str">
        <f>IF(ISERROR(VLOOKUP(Table32[[#This Row],[source2]],Table22[Label],1,FALSE)),IF(ISERROR(VLOOKUP(Table32[[#This Row],[source2]],Table2210[Label],1,FALSE)),"SPOKE","FOCUS"),"HUB")</f>
        <v>HUB</v>
      </c>
      <c r="AJ60" s="14" t="str">
        <f>IF(ISERROR(VLOOKUP(Table32[[#This Row],[target2]],Table22[Label],1,FALSE)),IF(ISERROR(VLOOKUP(Table32[[#This Row],[target2]],Table2210[Label],1,FALSE)),"SPOKE","FOCUS"),"HUB")</f>
        <v>HUB</v>
      </c>
      <c r="AK60" s="14" t="str">
        <f>IF(Table32[[#This Row],[source-type]]&lt;Table32[[#This Row],[target-type]],Table32[[#This Row],[target-type]]&amp;"-"&amp;Table32[[#This Row],[source-type]],Table32[[#This Row],[source-type]]&amp;"-"&amp;Table32[[#This Row],[target-type]])</f>
        <v>HUB-HUB</v>
      </c>
      <c r="AL60" s="104">
        <f>IF(ISERROR(VLOOKUP(Table32[[#This Row],[source2]],Table22[[Label]:[Weighted Degree]],3,FALSE)),IF(ISERROR(VLOOKUP(Table32[[#This Row],[source2]],Table2210[[Label]:[Weighted Degree]],3,FALSE)),IF(ISERROR(VLOOKUP(Table32[[#This Row],[source2]],Table2214[[Label]:[Weighted Degree]],3,FALSE)),FALSE,VLOOKUP(Table32[[#This Row],[source2]],Table2214[[Label]:[Weighted Degree]],3,FALSE)),VLOOKUP(Table32[[#This Row],[source2]],Table2210[[Label]:[Weighted Degree]],3,FALSE)),VLOOKUP(Table32[[#This Row],[source2]],Table22[[Label]:[Weighted Degree]],3,FALSE))</f>
        <v>10697</v>
      </c>
      <c r="AM60" s="104">
        <f>IF(ISERROR(VLOOKUP(Table32[[#This Row],[target2]],Table22[[Label]:[Weighted Degree]],3,FALSE)),IF(ISERROR(VLOOKUP(Table32[[#This Row],[target2]],Table2210[[Label]:[Weighted Degree]],3,FALSE)),IF(ISERROR(VLOOKUP(Table32[[#This Row],[target2]],Table2214[[Label]:[Weighted Degree]],3,FALSE)),FALSE,VLOOKUP(Table32[[#This Row],[target2]],Table2214[[Label]:[Weighted Degree]],3,FALSE)),VLOOKUP(Table32[[#This Row],[target2]],Table2210[[Label]:[Weighted Degree]],3,FALSE)),VLOOKUP(Table32[[#This Row],[target2]],Table22[[Label]:[Weighted Degree]],3,FALSE))</f>
        <v>31784</v>
      </c>
    </row>
    <row r="61" spans="1:39" x14ac:dyDescent="0.2">
      <c r="A61" s="14" t="s">
        <v>131</v>
      </c>
      <c r="B61" s="14" t="s">
        <v>142</v>
      </c>
      <c r="C61" s="76" t="s">
        <v>771</v>
      </c>
      <c r="D61" s="14">
        <v>4457</v>
      </c>
      <c r="E61" s="63" t="str">
        <f>IF(ISERROR(VLOOKUP(Table8[[#This Row],[source2]],Table22[Label],1,FALSE)),IF(ISERROR(VLOOKUP(Table8[[#This Row],[source2]],Table2210[Label],1,FALSE)),"SPOKE","FOCUS"),"HUB")</f>
        <v>HUB</v>
      </c>
      <c r="F61" s="63" t="str">
        <f>IF(ISERROR(VLOOKUP(Table8[[#This Row],[target2]],Table22[Label],1,FALSE)),IF(ISERROR(VLOOKUP(Table8[[#This Row],[target2]],Table2210[Label],1,FALSE)),"SPOKE","FOCUS"),"HUB")</f>
        <v>HUB</v>
      </c>
      <c r="G61" s="63" t="str">
        <f>IF(Table8[[#This Row],[source-tyoe]]&lt;Table8[[#This Row],[target-type]],Table8[[#This Row],[target-type]]&amp;"-"&amp;Table8[[#This Row],[source-tyoe]],Table8[[#This Row],[source-tyoe]]&amp;"-"&amp;Table8[[#This Row],[target-type]])</f>
        <v>HUB-HUB</v>
      </c>
      <c r="H61" s="63">
        <f>IF(ISERROR(VLOOKUP(Table8[[#This Row],[source2]],Table22[[Label]:[Weighted Degree]],3,FALSE)),IF(ISERROR(VLOOKUP(Table8[[#This Row],[source2]],Table2210[[Label]:[Weighted Degree]],3,FALSE)),IF(ISERROR(VLOOKUP(Table8[[#This Row],[source2]],Table2214[[Label]:[Weighted Degree]],3,FALSE)),FALSE,VLOOKUP(Table8[[#This Row],[source2]],Table2214[[Label]:[Weighted Degree]],3,FALSE)),VLOOKUP(Table8[[#This Row],[source2]],Table2210[[Label]:[Weighted Degree]],3,FALSE)),VLOOKUP(Table8[[#This Row],[source2]],Table22[[Label]:[Weighted Degree]],3,FALSE))</f>
        <v>44350</v>
      </c>
      <c r="I61" s="63">
        <f>IF(ISERROR(VLOOKUP(Table8[[#This Row],[target2]],Table22[[Label]:[Weighted Degree]],3,FALSE)),IF(ISERROR(VLOOKUP(Table8[[#This Row],[target2]],Table2210[[Label]:[Weighted Degree]],3,FALSE)),IF(ISERROR(VLOOKUP(Table8[[#This Row],[target2]],Table2214[[Label]:[Weighted Degree]],3,FALSE)),FALSE,VLOOKUP(Table8[[#This Row],[target2]],Table2214[[Label]:[Weighted Degree]],3,FALSE)),VLOOKUP(Table8[[#This Row],[target2]],Table2210[[Label]:[Weighted Degree]],3,FALSE)),VLOOKUP(Table8[[#This Row],[target2]],Table22[[Label]:[Weighted Degree]],3,FALSE))</f>
        <v>18349</v>
      </c>
      <c r="J61" s="61"/>
      <c r="K61" s="14" t="s">
        <v>133</v>
      </c>
      <c r="L61" s="14" t="s">
        <v>136</v>
      </c>
      <c r="M61" s="15" t="s">
        <v>384</v>
      </c>
      <c r="N61" s="14">
        <v>1141</v>
      </c>
      <c r="O61" s="14" t="str">
        <f>IF(ISERROR(VLOOKUP(Table29[[#This Row],[source2]],Table22[Label],1,FALSE)),IF(ISERROR(VLOOKUP(Table29[[#This Row],[source2]],Table2210[Label],1,FALSE)),"SPOKE","FOCUS"),"HUB")</f>
        <v>HUB</v>
      </c>
      <c r="P61" s="14" t="str">
        <f>IF(ISERROR(VLOOKUP(Table29[[#This Row],[target2]],Table22[Label],1,FALSE)),IF(ISERROR(VLOOKUP(Table29[[#This Row],[target2]],Table2210[Label],1,FALSE)),"SPOKE","FOCUS"),"HUB")</f>
        <v>HUB</v>
      </c>
      <c r="Q61" s="14" t="str">
        <f>IF(Table29[[#This Row],[source-type]]&lt;Table29[[#This Row],[target-type]],Table29[[#This Row],[target-type]]&amp;"-"&amp;Table29[[#This Row],[source-type]],Table29[[#This Row],[source-type]]&amp;"-"&amp;Table29[[#This Row],[target-type]])</f>
        <v>HUB-HUB</v>
      </c>
      <c r="R61" s="104">
        <f>IF(ISERROR(VLOOKUP(Table29[[#This Row],[source2]],Table22[[Label]:[Weighted Degree]],3,FALSE)),IF(ISERROR(VLOOKUP(Table29[[#This Row],[source2]],Table2210[[Label]:[Weighted Degree]],3,FALSE)),IF(ISERROR(VLOOKUP(Table29[[#This Row],[source2]],Table2214[[Label]:[Weighted Degree]],3,FALSE)),FALSE,VLOOKUP(Table29[[#This Row],[source2]],Table2214[[Label]:[Weighted Degree]],3,FALSE)),VLOOKUP(Table29[[#This Row],[source2]],Table2210[[Label]:[Weighted Degree]],3,FALSE)),VLOOKUP(Table29[[#This Row],[source2]],Table22[[Label]:[Weighted Degree]],3,FALSE))</f>
        <v>39711</v>
      </c>
      <c r="S61" s="104">
        <f>IF(ISERROR(VLOOKUP(Table29[[#This Row],[target2]],Table22[[Label]:[Weighted Degree]],3,FALSE)),IF(ISERROR(VLOOKUP(Table29[[#This Row],[target2]],Table2210[[Label]:[Weighted Degree]],3,FALSE)),IF(ISERROR(VLOOKUP(Table29[[#This Row],[target2]],Table2214[[Label]:[Weighted Degree]],3,FALSE)),FALSE,VLOOKUP(Table29[[#This Row],[target2]],Table2214[[Label]:[Weighted Degree]],3,FALSE)),VLOOKUP(Table29[[#This Row],[target2]],Table2210[[Label]:[Weighted Degree]],3,FALSE)),VLOOKUP(Table29[[#This Row],[target2]],Table22[[Label]:[Weighted Degree]],3,FALSE))</f>
        <v>15952</v>
      </c>
      <c r="U61" s="14" t="s">
        <v>136</v>
      </c>
      <c r="V61" s="14" t="s">
        <v>158</v>
      </c>
      <c r="W61" s="77" t="s">
        <v>738</v>
      </c>
      <c r="X61" s="1">
        <v>113</v>
      </c>
      <c r="Y61" s="14" t="str">
        <f>IF(ISERROR(VLOOKUP(Table2932[[#This Row],[source]],Table22[Label],1,FALSE)),IF(ISERROR(VLOOKUP(Table2932[[#This Row],[source]],Table2210[Label],1,FALSE)),"SPOKE","FOCUS"),"HUB")</f>
        <v>HUB</v>
      </c>
      <c r="Z61" s="14" t="str">
        <f>IF(ISERROR(VLOOKUP(Table2932[[#This Row],[target]],Table22[Label],1,FALSE)),IF(ISERROR(VLOOKUP(Table2932[[#This Row],[target]],Table2210[Label],1,FALSE)),"SPOKE","FOCUS"),"HUB")</f>
        <v>SPOKE</v>
      </c>
      <c r="AA61" s="14" t="str">
        <f>IF(Table2932[[#This Row],[source-type]]&lt;Table2932[[#This Row],[target-type]],Table2932[[#This Row],[target-type]]&amp;"-"&amp;Table2932[[#This Row],[source-type]],Table2932[[#This Row],[source-type]]&amp;"-"&amp;Table2932[[#This Row],[target-type]])</f>
        <v>SPOKE-HUB</v>
      </c>
      <c r="AB61" s="104">
        <f>IF(ISERROR(VLOOKUP(Table2932[[#This Row],[source]],Table22[[Label]:[Weighted Degree]],3,FALSE)),IF(ISERROR(VLOOKUP(Table2932[[#This Row],[source]],Table2210[[Label]:[Weighted Degree]],3,FALSE)),IF(ISERROR(VLOOKUP(Table2932[[#This Row],[source]],Table2214[[Label]:[Weighted Degree]],3,FALSE)),FALSE,VLOOKUP(Table2932[[#This Row],[source]],Table2214[[Label]:[Weighted Degree]],3,FALSE)),VLOOKUP(Table2932[[#This Row],[source]],Table2210[[Label]:[Weighted Degree]],3,FALSE)),VLOOKUP(Table2932[[#This Row],[source]],Table22[[Label]:[Weighted Degree]],3,FALSE))</f>
        <v>15952</v>
      </c>
      <c r="AC61" s="104">
        <f>IF(ISERROR(VLOOKUP(Table2932[[#This Row],[target]],Table22[[Label]:[Weighted Degree]],3,FALSE)),IF(ISERROR(VLOOKUP(Table2932[[#This Row],[target]],Table2210[[Label]:[Weighted Degree]],3,FALSE)),IF(ISERROR(VLOOKUP(Table2932[[#This Row],[target]],Table2214[[Label]:[Weighted Degree]],3,FALSE)),FALSE,VLOOKUP(Table2932[[#This Row],[target]],Table2214[[Label]:[Weighted Degree]],3,FALSE)),VLOOKUP(Table2932[[#This Row],[target]],Table2210[[Label]:[Weighted Degree]],3,FALSE)),VLOOKUP(Table2932[[#This Row],[target]],Table22[[Label]:[Weighted Degree]],3,FALSE))</f>
        <v>113</v>
      </c>
      <c r="AE61" s="14" t="s">
        <v>146</v>
      </c>
      <c r="AF61" s="14" t="s">
        <v>139</v>
      </c>
      <c r="AG61" s="64" t="s">
        <v>820</v>
      </c>
      <c r="AH61" s="14">
        <v>5512</v>
      </c>
      <c r="AI61" s="14" t="str">
        <f>IF(ISERROR(VLOOKUP(Table32[[#This Row],[source2]],Table22[Label],1,FALSE)),IF(ISERROR(VLOOKUP(Table32[[#This Row],[source2]],Table2210[Label],1,FALSE)),"SPOKE","FOCUS"),"HUB")</f>
        <v>FOCUS</v>
      </c>
      <c r="AJ61" s="14" t="str">
        <f>IF(ISERROR(VLOOKUP(Table32[[#This Row],[target2]],Table22[Label],1,FALSE)),IF(ISERROR(VLOOKUP(Table32[[#This Row],[target2]],Table2210[Label],1,FALSE)),"SPOKE","FOCUS"),"HUB")</f>
        <v>HUB</v>
      </c>
      <c r="AK61" s="14" t="str">
        <f>IF(Table32[[#This Row],[source-type]]&lt;Table32[[#This Row],[target-type]],Table32[[#This Row],[target-type]]&amp;"-"&amp;Table32[[#This Row],[source-type]],Table32[[#This Row],[source-type]]&amp;"-"&amp;Table32[[#This Row],[target-type]])</f>
        <v>HUB-FOCUS</v>
      </c>
      <c r="AL61" s="104">
        <f>IF(ISERROR(VLOOKUP(Table32[[#This Row],[source2]],Table22[[Label]:[Weighted Degree]],3,FALSE)),IF(ISERROR(VLOOKUP(Table32[[#This Row],[source2]],Table2210[[Label]:[Weighted Degree]],3,FALSE)),IF(ISERROR(VLOOKUP(Table32[[#This Row],[source2]],Table2214[[Label]:[Weighted Degree]],3,FALSE)),FALSE,VLOOKUP(Table32[[#This Row],[source2]],Table2214[[Label]:[Weighted Degree]],3,FALSE)),VLOOKUP(Table32[[#This Row],[source2]],Table2210[[Label]:[Weighted Degree]],3,FALSE)),VLOOKUP(Table32[[#This Row],[source2]],Table22[[Label]:[Weighted Degree]],3,FALSE))</f>
        <v>22882</v>
      </c>
      <c r="AM61" s="104">
        <f>IF(ISERROR(VLOOKUP(Table32[[#This Row],[target2]],Table22[[Label]:[Weighted Degree]],3,FALSE)),IF(ISERROR(VLOOKUP(Table32[[#This Row],[target2]],Table2210[[Label]:[Weighted Degree]],3,FALSE)),IF(ISERROR(VLOOKUP(Table32[[#This Row],[target2]],Table2214[[Label]:[Weighted Degree]],3,FALSE)),FALSE,VLOOKUP(Table32[[#This Row],[target2]],Table2214[[Label]:[Weighted Degree]],3,FALSE)),VLOOKUP(Table32[[#This Row],[target2]],Table2210[[Label]:[Weighted Degree]],3,FALSE)),VLOOKUP(Table32[[#This Row],[target2]],Table22[[Label]:[Weighted Degree]],3,FALSE))</f>
        <v>31784</v>
      </c>
    </row>
    <row r="62" spans="1:39" x14ac:dyDescent="0.2">
      <c r="A62" s="65" t="s">
        <v>125</v>
      </c>
      <c r="B62" s="65" t="s">
        <v>155</v>
      </c>
      <c r="C62" s="78" t="s">
        <v>771</v>
      </c>
      <c r="D62" s="65">
        <v>2113</v>
      </c>
      <c r="E62" s="63" t="str">
        <f>IF(ISERROR(VLOOKUP(Table8[[#This Row],[source2]],Table22[Label],1,FALSE)),IF(ISERROR(VLOOKUP(Table8[[#This Row],[source2]],Table2210[Label],1,FALSE)),"SPOKE","FOCUS"),"HUB")</f>
        <v>HUB</v>
      </c>
      <c r="F62" s="63" t="str">
        <f>IF(ISERROR(VLOOKUP(Table8[[#This Row],[target2]],Table22[Label],1,FALSE)),IF(ISERROR(VLOOKUP(Table8[[#This Row],[target2]],Table2210[Label],1,FALSE)),"SPOKE","FOCUS"),"HUB")</f>
        <v>SPOKE</v>
      </c>
      <c r="G62" s="63" t="str">
        <f>IF(Table8[[#This Row],[source-tyoe]]&lt;Table8[[#This Row],[target-type]],Table8[[#This Row],[target-type]]&amp;"-"&amp;Table8[[#This Row],[source-tyoe]],Table8[[#This Row],[source-tyoe]]&amp;"-"&amp;Table8[[#This Row],[target-type]])</f>
        <v>SPOKE-HUB</v>
      </c>
      <c r="H62" s="63">
        <f>IF(ISERROR(VLOOKUP(Table8[[#This Row],[source2]],Table22[[Label]:[Weighted Degree]],3,FALSE)),IF(ISERROR(VLOOKUP(Table8[[#This Row],[source2]],Table2210[[Label]:[Weighted Degree]],3,FALSE)),IF(ISERROR(VLOOKUP(Table8[[#This Row],[source2]],Table2214[[Label]:[Weighted Degree]],3,FALSE)),FALSE,VLOOKUP(Table8[[#This Row],[source2]],Table2214[[Label]:[Weighted Degree]],3,FALSE)),VLOOKUP(Table8[[#This Row],[source2]],Table2210[[Label]:[Weighted Degree]],3,FALSE)),VLOOKUP(Table8[[#This Row],[source2]],Table22[[Label]:[Weighted Degree]],3,FALSE))</f>
        <v>29032</v>
      </c>
      <c r="I62" s="63">
        <f>IF(ISERROR(VLOOKUP(Table8[[#This Row],[target2]],Table22[[Label]:[Weighted Degree]],3,FALSE)),IF(ISERROR(VLOOKUP(Table8[[#This Row],[target2]],Table2210[[Label]:[Weighted Degree]],3,FALSE)),IF(ISERROR(VLOOKUP(Table8[[#This Row],[target2]],Table2214[[Label]:[Weighted Degree]],3,FALSE)),FALSE,VLOOKUP(Table8[[#This Row],[target2]],Table2214[[Label]:[Weighted Degree]],3,FALSE)),VLOOKUP(Table8[[#This Row],[target2]],Table2210[[Label]:[Weighted Degree]],3,FALSE)),VLOOKUP(Table8[[#This Row],[target2]],Table22[[Label]:[Weighted Degree]],3,FALSE))</f>
        <v>6688</v>
      </c>
      <c r="J62" s="61"/>
      <c r="K62" s="14" t="s">
        <v>139</v>
      </c>
      <c r="L62" s="14" t="s">
        <v>142</v>
      </c>
      <c r="M62" s="15" t="s">
        <v>385</v>
      </c>
      <c r="N62" s="14">
        <v>1218</v>
      </c>
      <c r="O62" s="14" t="str">
        <f>IF(ISERROR(VLOOKUP(Table29[[#This Row],[source2]],Table22[Label],1,FALSE)),IF(ISERROR(VLOOKUP(Table29[[#This Row],[source2]],Table2210[Label],1,FALSE)),"SPOKE","FOCUS"),"HUB")</f>
        <v>HUB</v>
      </c>
      <c r="P62" s="14" t="str">
        <f>IF(ISERROR(VLOOKUP(Table29[[#This Row],[target2]],Table22[Label],1,FALSE)),IF(ISERROR(VLOOKUP(Table29[[#This Row],[target2]],Table2210[Label],1,FALSE)),"SPOKE","FOCUS"),"HUB")</f>
        <v>HUB</v>
      </c>
      <c r="Q62" s="14" t="str">
        <f>IF(Table29[[#This Row],[source-type]]&lt;Table29[[#This Row],[target-type]],Table29[[#This Row],[target-type]]&amp;"-"&amp;Table29[[#This Row],[source-type]],Table29[[#This Row],[source-type]]&amp;"-"&amp;Table29[[#This Row],[target-type]])</f>
        <v>HUB-HUB</v>
      </c>
      <c r="R62" s="104">
        <f>IF(ISERROR(VLOOKUP(Table29[[#This Row],[source2]],Table22[[Label]:[Weighted Degree]],3,FALSE)),IF(ISERROR(VLOOKUP(Table29[[#This Row],[source2]],Table2210[[Label]:[Weighted Degree]],3,FALSE)),IF(ISERROR(VLOOKUP(Table29[[#This Row],[source2]],Table2214[[Label]:[Weighted Degree]],3,FALSE)),FALSE,VLOOKUP(Table29[[#This Row],[source2]],Table2214[[Label]:[Weighted Degree]],3,FALSE)),VLOOKUP(Table29[[#This Row],[source2]],Table2210[[Label]:[Weighted Degree]],3,FALSE)),VLOOKUP(Table29[[#This Row],[source2]],Table22[[Label]:[Weighted Degree]],3,FALSE))</f>
        <v>31784</v>
      </c>
      <c r="S62" s="104">
        <f>IF(ISERROR(VLOOKUP(Table29[[#This Row],[target2]],Table22[[Label]:[Weighted Degree]],3,FALSE)),IF(ISERROR(VLOOKUP(Table29[[#This Row],[target2]],Table2210[[Label]:[Weighted Degree]],3,FALSE)),IF(ISERROR(VLOOKUP(Table29[[#This Row],[target2]],Table2214[[Label]:[Weighted Degree]],3,FALSE)),FALSE,VLOOKUP(Table29[[#This Row],[target2]],Table2214[[Label]:[Weighted Degree]],3,FALSE)),VLOOKUP(Table29[[#This Row],[target2]],Table2210[[Label]:[Weighted Degree]],3,FALSE)),VLOOKUP(Table29[[#This Row],[target2]],Table22[[Label]:[Weighted Degree]],3,FALSE))</f>
        <v>18349</v>
      </c>
      <c r="U62" s="14" t="s">
        <v>126</v>
      </c>
      <c r="V62" s="14" t="s">
        <v>159</v>
      </c>
      <c r="W62" s="77" t="s">
        <v>738</v>
      </c>
      <c r="X62" s="1">
        <v>109</v>
      </c>
      <c r="Y62" s="14" t="str">
        <f>IF(ISERROR(VLOOKUP(Table2932[[#This Row],[source]],Table22[Label],1,FALSE)),IF(ISERROR(VLOOKUP(Table2932[[#This Row],[source]],Table2210[Label],1,FALSE)),"SPOKE","FOCUS"),"HUB")</f>
        <v>HUB</v>
      </c>
      <c r="Z62" s="14" t="str">
        <f>IF(ISERROR(VLOOKUP(Table2932[[#This Row],[target]],Table22[Label],1,FALSE)),IF(ISERROR(VLOOKUP(Table2932[[#This Row],[target]],Table2210[Label],1,FALSE)),"SPOKE","FOCUS"),"HUB")</f>
        <v>SPOKE</v>
      </c>
      <c r="AA62" s="14" t="str">
        <f>IF(Table2932[[#This Row],[source-type]]&lt;Table2932[[#This Row],[target-type]],Table2932[[#This Row],[target-type]]&amp;"-"&amp;Table2932[[#This Row],[source-type]],Table2932[[#This Row],[source-type]]&amp;"-"&amp;Table2932[[#This Row],[target-type]])</f>
        <v>SPOKE-HUB</v>
      </c>
      <c r="AB62" s="104">
        <f>IF(ISERROR(VLOOKUP(Table2932[[#This Row],[source]],Table22[[Label]:[Weighted Degree]],3,FALSE)),IF(ISERROR(VLOOKUP(Table2932[[#This Row],[source]],Table2210[[Label]:[Weighted Degree]],3,FALSE)),IF(ISERROR(VLOOKUP(Table2932[[#This Row],[source]],Table2214[[Label]:[Weighted Degree]],3,FALSE)),FALSE,VLOOKUP(Table2932[[#This Row],[source]],Table2214[[Label]:[Weighted Degree]],3,FALSE)),VLOOKUP(Table2932[[#This Row],[source]],Table2210[[Label]:[Weighted Degree]],3,FALSE)),VLOOKUP(Table2932[[#This Row],[source]],Table22[[Label]:[Weighted Degree]],3,FALSE))</f>
        <v>36050</v>
      </c>
      <c r="AC62" s="104">
        <f>IF(ISERROR(VLOOKUP(Table2932[[#This Row],[target]],Table22[[Label]:[Weighted Degree]],3,FALSE)),IF(ISERROR(VLOOKUP(Table2932[[#This Row],[target]],Table2210[[Label]:[Weighted Degree]],3,FALSE)),IF(ISERROR(VLOOKUP(Table2932[[#This Row],[target]],Table2214[[Label]:[Weighted Degree]],3,FALSE)),FALSE,VLOOKUP(Table2932[[#This Row],[target]],Table2214[[Label]:[Weighted Degree]],3,FALSE)),VLOOKUP(Table2932[[#This Row],[target]],Table2210[[Label]:[Weighted Degree]],3,FALSE)),VLOOKUP(Table2932[[#This Row],[target]],Table22[[Label]:[Weighted Degree]],3,FALSE))</f>
        <v>109</v>
      </c>
      <c r="AE62" s="14" t="s">
        <v>146</v>
      </c>
      <c r="AF62" s="14" t="s">
        <v>140</v>
      </c>
      <c r="AG62" s="64" t="s">
        <v>840</v>
      </c>
      <c r="AH62" s="14">
        <v>2645</v>
      </c>
      <c r="AI62" s="14" t="str">
        <f>IF(ISERROR(VLOOKUP(Table32[[#This Row],[source2]],Table22[Label],1,FALSE)),IF(ISERROR(VLOOKUP(Table32[[#This Row],[source2]],Table2210[Label],1,FALSE)),"SPOKE","FOCUS"),"HUB")</f>
        <v>FOCUS</v>
      </c>
      <c r="AJ62" s="14" t="str">
        <f>IF(ISERROR(VLOOKUP(Table32[[#This Row],[target2]],Table22[Label],1,FALSE)),IF(ISERROR(VLOOKUP(Table32[[#This Row],[target2]],Table2210[Label],1,FALSE)),"SPOKE","FOCUS"),"HUB")</f>
        <v>HUB</v>
      </c>
      <c r="AK62" s="14" t="str">
        <f>IF(Table32[[#This Row],[source-type]]&lt;Table32[[#This Row],[target-type]],Table32[[#This Row],[target-type]]&amp;"-"&amp;Table32[[#This Row],[source-type]],Table32[[#This Row],[source-type]]&amp;"-"&amp;Table32[[#This Row],[target-type]])</f>
        <v>HUB-FOCUS</v>
      </c>
      <c r="AL62" s="104">
        <f>IF(ISERROR(VLOOKUP(Table32[[#This Row],[source2]],Table22[[Label]:[Weighted Degree]],3,FALSE)),IF(ISERROR(VLOOKUP(Table32[[#This Row],[source2]],Table2210[[Label]:[Weighted Degree]],3,FALSE)),IF(ISERROR(VLOOKUP(Table32[[#This Row],[source2]],Table2214[[Label]:[Weighted Degree]],3,FALSE)),FALSE,VLOOKUP(Table32[[#This Row],[source2]],Table2214[[Label]:[Weighted Degree]],3,FALSE)),VLOOKUP(Table32[[#This Row],[source2]],Table2210[[Label]:[Weighted Degree]],3,FALSE)),VLOOKUP(Table32[[#This Row],[source2]],Table22[[Label]:[Weighted Degree]],3,FALSE))</f>
        <v>22882</v>
      </c>
      <c r="AM62" s="104">
        <f>IF(ISERROR(VLOOKUP(Table32[[#This Row],[target2]],Table22[[Label]:[Weighted Degree]],3,FALSE)),IF(ISERROR(VLOOKUP(Table32[[#This Row],[target2]],Table2210[[Label]:[Weighted Degree]],3,FALSE)),IF(ISERROR(VLOOKUP(Table32[[#This Row],[target2]],Table2214[[Label]:[Weighted Degree]],3,FALSE)),FALSE,VLOOKUP(Table32[[#This Row],[target2]],Table2214[[Label]:[Weighted Degree]],3,FALSE)),VLOOKUP(Table32[[#This Row],[target2]],Table2210[[Label]:[Weighted Degree]],3,FALSE)),VLOOKUP(Table32[[#This Row],[target2]],Table22[[Label]:[Weighted Degree]],3,FALSE))</f>
        <v>21171</v>
      </c>
    </row>
    <row r="63" spans="1:39" x14ac:dyDescent="0.2">
      <c r="A63" s="14" t="s">
        <v>139</v>
      </c>
      <c r="B63" s="14" t="s">
        <v>142</v>
      </c>
      <c r="C63" s="76" t="s">
        <v>771</v>
      </c>
      <c r="D63" s="14">
        <v>2758</v>
      </c>
      <c r="E63" s="63" t="str">
        <f>IF(ISERROR(VLOOKUP(Table8[[#This Row],[source2]],Table22[Label],1,FALSE)),IF(ISERROR(VLOOKUP(Table8[[#This Row],[source2]],Table2210[Label],1,FALSE)),"SPOKE","FOCUS"),"HUB")</f>
        <v>HUB</v>
      </c>
      <c r="F63" s="63" t="str">
        <f>IF(ISERROR(VLOOKUP(Table8[[#This Row],[target2]],Table22[Label],1,FALSE)),IF(ISERROR(VLOOKUP(Table8[[#This Row],[target2]],Table2210[Label],1,FALSE)),"SPOKE","FOCUS"),"HUB")</f>
        <v>HUB</v>
      </c>
      <c r="G63" s="63" t="str">
        <f>IF(Table8[[#This Row],[source-tyoe]]&lt;Table8[[#This Row],[target-type]],Table8[[#This Row],[target-type]]&amp;"-"&amp;Table8[[#This Row],[source-tyoe]],Table8[[#This Row],[source-tyoe]]&amp;"-"&amp;Table8[[#This Row],[target-type]])</f>
        <v>HUB-HUB</v>
      </c>
      <c r="H63" s="63">
        <f>IF(ISERROR(VLOOKUP(Table8[[#This Row],[source2]],Table22[[Label]:[Weighted Degree]],3,FALSE)),IF(ISERROR(VLOOKUP(Table8[[#This Row],[source2]],Table2210[[Label]:[Weighted Degree]],3,FALSE)),IF(ISERROR(VLOOKUP(Table8[[#This Row],[source2]],Table2214[[Label]:[Weighted Degree]],3,FALSE)),FALSE,VLOOKUP(Table8[[#This Row],[source2]],Table2214[[Label]:[Weighted Degree]],3,FALSE)),VLOOKUP(Table8[[#This Row],[source2]],Table2210[[Label]:[Weighted Degree]],3,FALSE)),VLOOKUP(Table8[[#This Row],[source2]],Table22[[Label]:[Weighted Degree]],3,FALSE))</f>
        <v>31784</v>
      </c>
      <c r="I63" s="63">
        <f>IF(ISERROR(VLOOKUP(Table8[[#This Row],[target2]],Table22[[Label]:[Weighted Degree]],3,FALSE)),IF(ISERROR(VLOOKUP(Table8[[#This Row],[target2]],Table2210[[Label]:[Weighted Degree]],3,FALSE)),IF(ISERROR(VLOOKUP(Table8[[#This Row],[target2]],Table2214[[Label]:[Weighted Degree]],3,FALSE)),FALSE,VLOOKUP(Table8[[#This Row],[target2]],Table2214[[Label]:[Weighted Degree]],3,FALSE)),VLOOKUP(Table8[[#This Row],[target2]],Table2210[[Label]:[Weighted Degree]],3,FALSE)),VLOOKUP(Table8[[#This Row],[target2]],Table22[[Label]:[Weighted Degree]],3,FALSE))</f>
        <v>18349</v>
      </c>
      <c r="J63" s="61"/>
      <c r="K63" s="14" t="s">
        <v>138</v>
      </c>
      <c r="L63" s="14" t="s">
        <v>134</v>
      </c>
      <c r="M63" s="15" t="s">
        <v>386</v>
      </c>
      <c r="N63" s="14">
        <v>1691</v>
      </c>
      <c r="O63" s="14" t="str">
        <f>IF(ISERROR(VLOOKUP(Table29[[#This Row],[source2]],Table22[Label],1,FALSE)),IF(ISERROR(VLOOKUP(Table29[[#This Row],[source2]],Table2210[Label],1,FALSE)),"SPOKE","FOCUS"),"HUB")</f>
        <v>HUB</v>
      </c>
      <c r="P63" s="14" t="str">
        <f>IF(ISERROR(VLOOKUP(Table29[[#This Row],[target2]],Table22[Label],1,FALSE)),IF(ISERROR(VLOOKUP(Table29[[#This Row],[target2]],Table2210[Label],1,FALSE)),"SPOKE","FOCUS"),"HUB")</f>
        <v>FOCUS</v>
      </c>
      <c r="Q63" s="14" t="str">
        <f>IF(Table29[[#This Row],[source-type]]&lt;Table29[[#This Row],[target-type]],Table29[[#This Row],[target-type]]&amp;"-"&amp;Table29[[#This Row],[source-type]],Table29[[#This Row],[source-type]]&amp;"-"&amp;Table29[[#This Row],[target-type]])</f>
        <v>HUB-FOCUS</v>
      </c>
      <c r="R63" s="104">
        <f>IF(ISERROR(VLOOKUP(Table29[[#This Row],[source2]],Table22[[Label]:[Weighted Degree]],3,FALSE)),IF(ISERROR(VLOOKUP(Table29[[#This Row],[source2]],Table2210[[Label]:[Weighted Degree]],3,FALSE)),IF(ISERROR(VLOOKUP(Table29[[#This Row],[source2]],Table2214[[Label]:[Weighted Degree]],3,FALSE)),FALSE,VLOOKUP(Table29[[#This Row],[source2]],Table2214[[Label]:[Weighted Degree]],3,FALSE)),VLOOKUP(Table29[[#This Row],[source2]],Table2210[[Label]:[Weighted Degree]],3,FALSE)),VLOOKUP(Table29[[#This Row],[source2]],Table22[[Label]:[Weighted Degree]],3,FALSE))</f>
        <v>20047</v>
      </c>
      <c r="S63" s="104">
        <f>IF(ISERROR(VLOOKUP(Table29[[#This Row],[target2]],Table22[[Label]:[Weighted Degree]],3,FALSE)),IF(ISERROR(VLOOKUP(Table29[[#This Row],[target2]],Table2210[[Label]:[Weighted Degree]],3,FALSE)),IF(ISERROR(VLOOKUP(Table29[[#This Row],[target2]],Table2214[[Label]:[Weighted Degree]],3,FALSE)),FALSE,VLOOKUP(Table29[[#This Row],[target2]],Table2214[[Label]:[Weighted Degree]],3,FALSE)),VLOOKUP(Table29[[#This Row],[target2]],Table2210[[Label]:[Weighted Degree]],3,FALSE)),VLOOKUP(Table29[[#This Row],[target2]],Table22[[Label]:[Weighted Degree]],3,FALSE))</f>
        <v>26074</v>
      </c>
      <c r="U63" s="14" t="s">
        <v>128</v>
      </c>
      <c r="V63" s="14" t="s">
        <v>124</v>
      </c>
      <c r="W63" s="77" t="s">
        <v>738</v>
      </c>
      <c r="X63" s="1">
        <v>3288</v>
      </c>
      <c r="Y63" s="14" t="str">
        <f>IF(ISERROR(VLOOKUP(Table2932[[#This Row],[source]],Table22[Label],1,FALSE)),IF(ISERROR(VLOOKUP(Table2932[[#This Row],[source]],Table2210[Label],1,FALSE)),"SPOKE","FOCUS"),"HUB")</f>
        <v>HUB</v>
      </c>
      <c r="Z63" s="14" t="str">
        <f>IF(ISERROR(VLOOKUP(Table2932[[#This Row],[target]],Table22[Label],1,FALSE)),IF(ISERROR(VLOOKUP(Table2932[[#This Row],[target]],Table2210[Label],1,FALSE)),"SPOKE","FOCUS"),"HUB")</f>
        <v>HUB</v>
      </c>
      <c r="AA63" s="14" t="str">
        <f>IF(Table2932[[#This Row],[source-type]]&lt;Table2932[[#This Row],[target-type]],Table2932[[#This Row],[target-type]]&amp;"-"&amp;Table2932[[#This Row],[source-type]],Table2932[[#This Row],[source-type]]&amp;"-"&amp;Table2932[[#This Row],[target-type]])</f>
        <v>HUB-HUB</v>
      </c>
      <c r="AB63" s="104">
        <f>IF(ISERROR(VLOOKUP(Table2932[[#This Row],[source]],Table22[[Label]:[Weighted Degree]],3,FALSE)),IF(ISERROR(VLOOKUP(Table2932[[#This Row],[source]],Table2210[[Label]:[Weighted Degree]],3,FALSE)),IF(ISERROR(VLOOKUP(Table2932[[#This Row],[source]],Table2214[[Label]:[Weighted Degree]],3,FALSE)),FALSE,VLOOKUP(Table2932[[#This Row],[source]],Table2214[[Label]:[Weighted Degree]],3,FALSE)),VLOOKUP(Table2932[[#This Row],[source]],Table2210[[Label]:[Weighted Degree]],3,FALSE)),VLOOKUP(Table2932[[#This Row],[source]],Table22[[Label]:[Weighted Degree]],3,FALSE))</f>
        <v>14416</v>
      </c>
      <c r="AC63" s="104">
        <f>IF(ISERROR(VLOOKUP(Table2932[[#This Row],[target]],Table22[[Label]:[Weighted Degree]],3,FALSE)),IF(ISERROR(VLOOKUP(Table2932[[#This Row],[target]],Table2210[[Label]:[Weighted Degree]],3,FALSE)),IF(ISERROR(VLOOKUP(Table2932[[#This Row],[target]],Table2214[[Label]:[Weighted Degree]],3,FALSE)),FALSE,VLOOKUP(Table2932[[#This Row],[target]],Table2214[[Label]:[Weighted Degree]],3,FALSE)),VLOOKUP(Table2932[[#This Row],[target]],Table2210[[Label]:[Weighted Degree]],3,FALSE)),VLOOKUP(Table2932[[#This Row],[target]],Table22[[Label]:[Weighted Degree]],3,FALSE))</f>
        <v>28737</v>
      </c>
      <c r="AE63" s="14" t="s">
        <v>145</v>
      </c>
      <c r="AF63" s="14" t="s">
        <v>164</v>
      </c>
      <c r="AG63" s="64" t="s">
        <v>2356</v>
      </c>
      <c r="AH63" s="14">
        <v>55</v>
      </c>
      <c r="AI63" s="14" t="str">
        <f>IF(ISERROR(VLOOKUP(Table32[[#This Row],[source2]],Table22[Label],1,FALSE)),IF(ISERROR(VLOOKUP(Table32[[#This Row],[source2]],Table2210[Label],1,FALSE)),"SPOKE","FOCUS"),"HUB")</f>
        <v>HUB</v>
      </c>
      <c r="AJ63" s="14" t="str">
        <f>IF(ISERROR(VLOOKUP(Table32[[#This Row],[target2]],Table22[Label],1,FALSE)),IF(ISERROR(VLOOKUP(Table32[[#This Row],[target2]],Table2210[Label],1,FALSE)),"SPOKE","FOCUS"),"HUB")</f>
        <v>SPOKE</v>
      </c>
      <c r="AK63" s="14" t="str">
        <f>IF(Table32[[#This Row],[source-type]]&lt;Table32[[#This Row],[target-type]],Table32[[#This Row],[target-type]]&amp;"-"&amp;Table32[[#This Row],[source-type]],Table32[[#This Row],[source-type]]&amp;"-"&amp;Table32[[#This Row],[target-type]])</f>
        <v>SPOKE-HUB</v>
      </c>
      <c r="AL63" s="104">
        <f>IF(ISERROR(VLOOKUP(Table32[[#This Row],[source2]],Table22[[Label]:[Weighted Degree]],3,FALSE)),IF(ISERROR(VLOOKUP(Table32[[#This Row],[source2]],Table2210[[Label]:[Weighted Degree]],3,FALSE)),IF(ISERROR(VLOOKUP(Table32[[#This Row],[source2]],Table2214[[Label]:[Weighted Degree]],3,FALSE)),FALSE,VLOOKUP(Table32[[#This Row],[source2]],Table2214[[Label]:[Weighted Degree]],3,FALSE)),VLOOKUP(Table32[[#This Row],[source2]],Table2210[[Label]:[Weighted Degree]],3,FALSE)),VLOOKUP(Table32[[#This Row],[source2]],Table22[[Label]:[Weighted Degree]],3,FALSE))</f>
        <v>23054</v>
      </c>
      <c r="AM63" s="104">
        <f>IF(ISERROR(VLOOKUP(Table32[[#This Row],[target2]],Table22[[Label]:[Weighted Degree]],3,FALSE)),IF(ISERROR(VLOOKUP(Table32[[#This Row],[target2]],Table2210[[Label]:[Weighted Degree]],3,FALSE)),IF(ISERROR(VLOOKUP(Table32[[#This Row],[target2]],Table2214[[Label]:[Weighted Degree]],3,FALSE)),FALSE,VLOOKUP(Table32[[#This Row],[target2]],Table2214[[Label]:[Weighted Degree]],3,FALSE)),VLOOKUP(Table32[[#This Row],[target2]],Table2210[[Label]:[Weighted Degree]],3,FALSE)),VLOOKUP(Table32[[#This Row],[target2]],Table22[[Label]:[Weighted Degree]],3,FALSE))</f>
        <v>55</v>
      </c>
    </row>
    <row r="64" spans="1:39" x14ac:dyDescent="0.2">
      <c r="A64" s="65" t="s">
        <v>133</v>
      </c>
      <c r="B64" s="65" t="s">
        <v>153</v>
      </c>
      <c r="C64" s="78" t="s">
        <v>771</v>
      </c>
      <c r="D64" s="65">
        <v>1691</v>
      </c>
      <c r="E64" s="63" t="str">
        <f>IF(ISERROR(VLOOKUP(Table8[[#This Row],[source2]],Table22[Label],1,FALSE)),IF(ISERROR(VLOOKUP(Table8[[#This Row],[source2]],Table2210[Label],1,FALSE)),"SPOKE","FOCUS"),"HUB")</f>
        <v>HUB</v>
      </c>
      <c r="F64" s="63" t="str">
        <f>IF(ISERROR(VLOOKUP(Table8[[#This Row],[target2]],Table22[Label],1,FALSE)),IF(ISERROR(VLOOKUP(Table8[[#This Row],[target2]],Table2210[Label],1,FALSE)),"SPOKE","FOCUS"),"HUB")</f>
        <v>SPOKE</v>
      </c>
      <c r="G64" s="63" t="str">
        <f>IF(Table8[[#This Row],[source-tyoe]]&lt;Table8[[#This Row],[target-type]],Table8[[#This Row],[target-type]]&amp;"-"&amp;Table8[[#This Row],[source-tyoe]],Table8[[#This Row],[source-tyoe]]&amp;"-"&amp;Table8[[#This Row],[target-type]])</f>
        <v>SPOKE-HUB</v>
      </c>
      <c r="H64" s="63">
        <f>IF(ISERROR(VLOOKUP(Table8[[#This Row],[source2]],Table22[[Label]:[Weighted Degree]],3,FALSE)),IF(ISERROR(VLOOKUP(Table8[[#This Row],[source2]],Table2210[[Label]:[Weighted Degree]],3,FALSE)),IF(ISERROR(VLOOKUP(Table8[[#This Row],[source2]],Table2214[[Label]:[Weighted Degree]],3,FALSE)),FALSE,VLOOKUP(Table8[[#This Row],[source2]],Table2214[[Label]:[Weighted Degree]],3,FALSE)),VLOOKUP(Table8[[#This Row],[source2]],Table2210[[Label]:[Weighted Degree]],3,FALSE)),VLOOKUP(Table8[[#This Row],[source2]],Table22[[Label]:[Weighted Degree]],3,FALSE))</f>
        <v>39711</v>
      </c>
      <c r="I64" s="63">
        <f>IF(ISERROR(VLOOKUP(Table8[[#This Row],[target2]],Table22[[Label]:[Weighted Degree]],3,FALSE)),IF(ISERROR(VLOOKUP(Table8[[#This Row],[target2]],Table2210[[Label]:[Weighted Degree]],3,FALSE)),IF(ISERROR(VLOOKUP(Table8[[#This Row],[target2]],Table2214[[Label]:[Weighted Degree]],3,FALSE)),FALSE,VLOOKUP(Table8[[#This Row],[target2]],Table2214[[Label]:[Weighted Degree]],3,FALSE)),VLOOKUP(Table8[[#This Row],[target2]],Table2210[[Label]:[Weighted Degree]],3,FALSE)),VLOOKUP(Table8[[#This Row],[target2]],Table22[[Label]:[Weighted Degree]],3,FALSE))</f>
        <v>6181</v>
      </c>
      <c r="J64" s="61"/>
      <c r="K64" s="14" t="s">
        <v>126</v>
      </c>
      <c r="L64" s="14" t="s">
        <v>129</v>
      </c>
      <c r="M64" s="15" t="s">
        <v>387</v>
      </c>
      <c r="N64" s="14">
        <v>2130</v>
      </c>
      <c r="O64" s="14" t="str">
        <f>IF(ISERROR(VLOOKUP(Table29[[#This Row],[source2]],Table22[Label],1,FALSE)),IF(ISERROR(VLOOKUP(Table29[[#This Row],[source2]],Table2210[Label],1,FALSE)),"SPOKE","FOCUS"),"HUB")</f>
        <v>HUB</v>
      </c>
      <c r="P64" s="14" t="str">
        <f>IF(ISERROR(VLOOKUP(Table29[[#This Row],[target2]],Table22[Label],1,FALSE)),IF(ISERROR(VLOOKUP(Table29[[#This Row],[target2]],Table2210[Label],1,FALSE)),"SPOKE","FOCUS"),"HUB")</f>
        <v>HUB</v>
      </c>
      <c r="Q64" s="14" t="str">
        <f>IF(Table29[[#This Row],[source-type]]&lt;Table29[[#This Row],[target-type]],Table29[[#This Row],[target-type]]&amp;"-"&amp;Table29[[#This Row],[source-type]],Table29[[#This Row],[source-type]]&amp;"-"&amp;Table29[[#This Row],[target-type]])</f>
        <v>HUB-HUB</v>
      </c>
      <c r="R64" s="104">
        <f>IF(ISERROR(VLOOKUP(Table29[[#This Row],[source2]],Table22[[Label]:[Weighted Degree]],3,FALSE)),IF(ISERROR(VLOOKUP(Table29[[#This Row],[source2]],Table2210[[Label]:[Weighted Degree]],3,FALSE)),IF(ISERROR(VLOOKUP(Table29[[#This Row],[source2]],Table2214[[Label]:[Weighted Degree]],3,FALSE)),FALSE,VLOOKUP(Table29[[#This Row],[source2]],Table2214[[Label]:[Weighted Degree]],3,FALSE)),VLOOKUP(Table29[[#This Row],[source2]],Table2210[[Label]:[Weighted Degree]],3,FALSE)),VLOOKUP(Table29[[#This Row],[source2]],Table22[[Label]:[Weighted Degree]],3,FALSE))</f>
        <v>36050</v>
      </c>
      <c r="S64" s="104">
        <f>IF(ISERROR(VLOOKUP(Table29[[#This Row],[target2]],Table22[[Label]:[Weighted Degree]],3,FALSE)),IF(ISERROR(VLOOKUP(Table29[[#This Row],[target2]],Table2210[[Label]:[Weighted Degree]],3,FALSE)),IF(ISERROR(VLOOKUP(Table29[[#This Row],[target2]],Table2214[[Label]:[Weighted Degree]],3,FALSE)),FALSE,VLOOKUP(Table29[[#This Row],[target2]],Table2214[[Label]:[Weighted Degree]],3,FALSE)),VLOOKUP(Table29[[#This Row],[target2]],Table2210[[Label]:[Weighted Degree]],3,FALSE)),VLOOKUP(Table29[[#This Row],[target2]],Table22[[Label]:[Weighted Degree]],3,FALSE))</f>
        <v>18390</v>
      </c>
      <c r="U64" s="14" t="s">
        <v>141</v>
      </c>
      <c r="V64" s="14" t="s">
        <v>125</v>
      </c>
      <c r="W64" s="77" t="s">
        <v>738</v>
      </c>
      <c r="X64" s="1">
        <v>1005</v>
      </c>
      <c r="Y64" s="14" t="str">
        <f>IF(ISERROR(VLOOKUP(Table2932[[#This Row],[source]],Table22[Label],1,FALSE)),IF(ISERROR(VLOOKUP(Table2932[[#This Row],[source]],Table2210[Label],1,FALSE)),"SPOKE","FOCUS"),"HUB")</f>
        <v>HUB</v>
      </c>
      <c r="Z64" s="14" t="str">
        <f>IF(ISERROR(VLOOKUP(Table2932[[#This Row],[target]],Table22[Label],1,FALSE)),IF(ISERROR(VLOOKUP(Table2932[[#This Row],[target]],Table2210[Label],1,FALSE)),"SPOKE","FOCUS"),"HUB")</f>
        <v>HUB</v>
      </c>
      <c r="AA64" s="14" t="str">
        <f>IF(Table2932[[#This Row],[source-type]]&lt;Table2932[[#This Row],[target-type]],Table2932[[#This Row],[target-type]]&amp;"-"&amp;Table2932[[#This Row],[source-type]],Table2932[[#This Row],[source-type]]&amp;"-"&amp;Table2932[[#This Row],[target-type]])</f>
        <v>HUB-HUB</v>
      </c>
      <c r="AB64" s="104">
        <f>IF(ISERROR(VLOOKUP(Table2932[[#This Row],[source]],Table22[[Label]:[Weighted Degree]],3,FALSE)),IF(ISERROR(VLOOKUP(Table2932[[#This Row],[source]],Table2210[[Label]:[Weighted Degree]],3,FALSE)),IF(ISERROR(VLOOKUP(Table2932[[#This Row],[source]],Table2214[[Label]:[Weighted Degree]],3,FALSE)),FALSE,VLOOKUP(Table2932[[#This Row],[source]],Table2214[[Label]:[Weighted Degree]],3,FALSE)),VLOOKUP(Table2932[[#This Row],[source]],Table2210[[Label]:[Weighted Degree]],3,FALSE)),VLOOKUP(Table2932[[#This Row],[source]],Table22[[Label]:[Weighted Degree]],3,FALSE))</f>
        <v>11690</v>
      </c>
      <c r="AC64" s="104">
        <f>IF(ISERROR(VLOOKUP(Table2932[[#This Row],[target]],Table22[[Label]:[Weighted Degree]],3,FALSE)),IF(ISERROR(VLOOKUP(Table2932[[#This Row],[target]],Table2210[[Label]:[Weighted Degree]],3,FALSE)),IF(ISERROR(VLOOKUP(Table2932[[#This Row],[target]],Table2214[[Label]:[Weighted Degree]],3,FALSE)),FALSE,VLOOKUP(Table2932[[#This Row],[target]],Table2214[[Label]:[Weighted Degree]],3,FALSE)),VLOOKUP(Table2932[[#This Row],[target]],Table2210[[Label]:[Weighted Degree]],3,FALSE)),VLOOKUP(Table2932[[#This Row],[target]],Table22[[Label]:[Weighted Degree]],3,FALSE))</f>
        <v>29032</v>
      </c>
      <c r="AE64" s="14" t="s">
        <v>124</v>
      </c>
      <c r="AF64" s="14" t="s">
        <v>165</v>
      </c>
      <c r="AG64" s="64" t="s">
        <v>2295</v>
      </c>
      <c r="AH64" s="14">
        <v>10</v>
      </c>
      <c r="AI64" s="14" t="str">
        <f>IF(ISERROR(VLOOKUP(Table32[[#This Row],[source2]],Table22[Label],1,FALSE)),IF(ISERROR(VLOOKUP(Table32[[#This Row],[source2]],Table2210[Label],1,FALSE)),"SPOKE","FOCUS"),"HUB")</f>
        <v>HUB</v>
      </c>
      <c r="AJ64" s="14" t="str">
        <f>IF(ISERROR(VLOOKUP(Table32[[#This Row],[target2]],Table22[Label],1,FALSE)),IF(ISERROR(VLOOKUP(Table32[[#This Row],[target2]],Table2210[Label],1,FALSE)),"SPOKE","FOCUS"),"HUB")</f>
        <v>SPOKE</v>
      </c>
      <c r="AK64" s="14" t="str">
        <f>IF(Table32[[#This Row],[source-type]]&lt;Table32[[#This Row],[target-type]],Table32[[#This Row],[target-type]]&amp;"-"&amp;Table32[[#This Row],[source-type]],Table32[[#This Row],[source-type]]&amp;"-"&amp;Table32[[#This Row],[target-type]])</f>
        <v>SPOKE-HUB</v>
      </c>
      <c r="AL64" s="104">
        <f>IF(ISERROR(VLOOKUP(Table32[[#This Row],[source2]],Table22[[Label]:[Weighted Degree]],3,FALSE)),IF(ISERROR(VLOOKUP(Table32[[#This Row],[source2]],Table2210[[Label]:[Weighted Degree]],3,FALSE)),IF(ISERROR(VLOOKUP(Table32[[#This Row],[source2]],Table2214[[Label]:[Weighted Degree]],3,FALSE)),FALSE,VLOOKUP(Table32[[#This Row],[source2]],Table2214[[Label]:[Weighted Degree]],3,FALSE)),VLOOKUP(Table32[[#This Row],[source2]],Table2210[[Label]:[Weighted Degree]],3,FALSE)),VLOOKUP(Table32[[#This Row],[source2]],Table22[[Label]:[Weighted Degree]],3,FALSE))</f>
        <v>28737</v>
      </c>
      <c r="AM64" s="104">
        <f>IF(ISERROR(VLOOKUP(Table32[[#This Row],[target2]],Table22[[Label]:[Weighted Degree]],3,FALSE)),IF(ISERROR(VLOOKUP(Table32[[#This Row],[target2]],Table2210[[Label]:[Weighted Degree]],3,FALSE)),IF(ISERROR(VLOOKUP(Table32[[#This Row],[target2]],Table2214[[Label]:[Weighted Degree]],3,FALSE)),FALSE,VLOOKUP(Table32[[#This Row],[target2]],Table2214[[Label]:[Weighted Degree]],3,FALSE)),VLOOKUP(Table32[[#This Row],[target2]],Table2210[[Label]:[Weighted Degree]],3,FALSE)),VLOOKUP(Table32[[#This Row],[target2]],Table22[[Label]:[Weighted Degree]],3,FALSE))</f>
        <v>10</v>
      </c>
    </row>
    <row r="65" spans="1:39" x14ac:dyDescent="0.2">
      <c r="A65" s="65" t="s">
        <v>130</v>
      </c>
      <c r="B65" s="65" t="s">
        <v>128</v>
      </c>
      <c r="C65" s="78" t="s">
        <v>771</v>
      </c>
      <c r="D65" s="65">
        <v>2004</v>
      </c>
      <c r="E65" s="63" t="str">
        <f>IF(ISERROR(VLOOKUP(Table8[[#This Row],[source2]],Table22[Label],1,FALSE)),IF(ISERROR(VLOOKUP(Table8[[#This Row],[source2]],Table2210[Label],1,FALSE)),"SPOKE","FOCUS"),"HUB")</f>
        <v>HUB</v>
      </c>
      <c r="F65" s="63" t="str">
        <f>IF(ISERROR(VLOOKUP(Table8[[#This Row],[target2]],Table22[Label],1,FALSE)),IF(ISERROR(VLOOKUP(Table8[[#This Row],[target2]],Table2210[Label],1,FALSE)),"SPOKE","FOCUS"),"HUB")</f>
        <v>HUB</v>
      </c>
      <c r="G65" s="63" t="str">
        <f>IF(Table8[[#This Row],[source-tyoe]]&lt;Table8[[#This Row],[target-type]],Table8[[#This Row],[target-type]]&amp;"-"&amp;Table8[[#This Row],[source-tyoe]],Table8[[#This Row],[source-tyoe]]&amp;"-"&amp;Table8[[#This Row],[target-type]])</f>
        <v>HUB-HUB</v>
      </c>
      <c r="H65" s="63">
        <f>IF(ISERROR(VLOOKUP(Table8[[#This Row],[source2]],Table22[[Label]:[Weighted Degree]],3,FALSE)),IF(ISERROR(VLOOKUP(Table8[[#This Row],[source2]],Table2210[[Label]:[Weighted Degree]],3,FALSE)),IF(ISERROR(VLOOKUP(Table8[[#This Row],[source2]],Table2214[[Label]:[Weighted Degree]],3,FALSE)),FALSE,VLOOKUP(Table8[[#This Row],[source2]],Table2214[[Label]:[Weighted Degree]],3,FALSE)),VLOOKUP(Table8[[#This Row],[source2]],Table2210[[Label]:[Weighted Degree]],3,FALSE)),VLOOKUP(Table8[[#This Row],[source2]],Table22[[Label]:[Weighted Degree]],3,FALSE))</f>
        <v>28057</v>
      </c>
      <c r="I65" s="63">
        <f>IF(ISERROR(VLOOKUP(Table8[[#This Row],[target2]],Table22[[Label]:[Weighted Degree]],3,FALSE)),IF(ISERROR(VLOOKUP(Table8[[#This Row],[target2]],Table2210[[Label]:[Weighted Degree]],3,FALSE)),IF(ISERROR(VLOOKUP(Table8[[#This Row],[target2]],Table2214[[Label]:[Weighted Degree]],3,FALSE)),FALSE,VLOOKUP(Table8[[#This Row],[target2]],Table2214[[Label]:[Weighted Degree]],3,FALSE)),VLOOKUP(Table8[[#This Row],[target2]],Table2210[[Label]:[Weighted Degree]],3,FALSE)),VLOOKUP(Table8[[#This Row],[target2]],Table22[[Label]:[Weighted Degree]],3,FALSE))</f>
        <v>14416</v>
      </c>
      <c r="J65" s="61"/>
      <c r="K65" s="14" t="s">
        <v>141</v>
      </c>
      <c r="L65" s="14" t="s">
        <v>137</v>
      </c>
      <c r="M65" s="15" t="s">
        <v>388</v>
      </c>
      <c r="N65" s="14">
        <v>2470</v>
      </c>
      <c r="O65" s="14" t="str">
        <f>IF(ISERROR(VLOOKUP(Table29[[#This Row],[source2]],Table22[Label],1,FALSE)),IF(ISERROR(VLOOKUP(Table29[[#This Row],[source2]],Table2210[Label],1,FALSE)),"SPOKE","FOCUS"),"HUB")</f>
        <v>HUB</v>
      </c>
      <c r="P65" s="79" t="str">
        <f>IF(ISERROR(VLOOKUP(Table29[[#This Row],[target2]],Table22[Label],1,FALSE)),IF(ISERROR(VLOOKUP(Table29[[#This Row],[target2]],Table2210[Label],1,FALSE)),"SPOKE","FOCUS"),"HUB")</f>
        <v>HUB</v>
      </c>
      <c r="Q65" s="14" t="str">
        <f>IF(Table29[[#This Row],[source-type]]&lt;Table29[[#This Row],[target-type]],Table29[[#This Row],[target-type]]&amp;"-"&amp;Table29[[#This Row],[source-type]],Table29[[#This Row],[source-type]]&amp;"-"&amp;Table29[[#This Row],[target-type]])</f>
        <v>HUB-HUB</v>
      </c>
      <c r="R65" s="104">
        <f>IF(ISERROR(VLOOKUP(Table29[[#This Row],[source2]],Table22[[Label]:[Weighted Degree]],3,FALSE)),IF(ISERROR(VLOOKUP(Table29[[#This Row],[source2]],Table2210[[Label]:[Weighted Degree]],3,FALSE)),IF(ISERROR(VLOOKUP(Table29[[#This Row],[source2]],Table2214[[Label]:[Weighted Degree]],3,FALSE)),FALSE,VLOOKUP(Table29[[#This Row],[source2]],Table2214[[Label]:[Weighted Degree]],3,FALSE)),VLOOKUP(Table29[[#This Row],[source2]],Table2210[[Label]:[Weighted Degree]],3,FALSE)),VLOOKUP(Table29[[#This Row],[source2]],Table22[[Label]:[Weighted Degree]],3,FALSE))</f>
        <v>11690</v>
      </c>
      <c r="S65" s="104">
        <f>IF(ISERROR(VLOOKUP(Table29[[#This Row],[target2]],Table22[[Label]:[Weighted Degree]],3,FALSE)),IF(ISERROR(VLOOKUP(Table29[[#This Row],[target2]],Table2210[[Label]:[Weighted Degree]],3,FALSE)),IF(ISERROR(VLOOKUP(Table29[[#This Row],[target2]],Table2214[[Label]:[Weighted Degree]],3,FALSE)),FALSE,VLOOKUP(Table29[[#This Row],[target2]],Table2214[[Label]:[Weighted Degree]],3,FALSE)),VLOOKUP(Table29[[#This Row],[target2]],Table2210[[Label]:[Weighted Degree]],3,FALSE)),VLOOKUP(Table29[[#This Row],[target2]],Table22[[Label]:[Weighted Degree]],3,FALSE))</f>
        <v>15166</v>
      </c>
      <c r="U65" s="14" t="s">
        <v>143</v>
      </c>
      <c r="V65" s="14" t="s">
        <v>139</v>
      </c>
      <c r="W65" s="77" t="s">
        <v>738</v>
      </c>
      <c r="X65" s="1">
        <v>3011</v>
      </c>
      <c r="Y65" s="14" t="str">
        <f>IF(ISERROR(VLOOKUP(Table2932[[#This Row],[source]],Table22[Label],1,FALSE)),IF(ISERROR(VLOOKUP(Table2932[[#This Row],[source]],Table2210[Label],1,FALSE)),"SPOKE","FOCUS"),"HUB")</f>
        <v>HUB</v>
      </c>
      <c r="Z65" s="79" t="str">
        <f>IF(ISERROR(VLOOKUP(Table2932[[#This Row],[target]],Table22[Label],1,FALSE)),IF(ISERROR(VLOOKUP(Table2932[[#This Row],[target]],Table2210[Label],1,FALSE)),"SPOKE","FOCUS"),"HUB")</f>
        <v>HUB</v>
      </c>
      <c r="AA65" s="14" t="str">
        <f>IF(Table2932[[#This Row],[source-type]]&lt;Table2932[[#This Row],[target-type]],Table2932[[#This Row],[target-type]]&amp;"-"&amp;Table2932[[#This Row],[source-type]],Table2932[[#This Row],[source-type]]&amp;"-"&amp;Table2932[[#This Row],[target-type]])</f>
        <v>HUB-HUB</v>
      </c>
      <c r="AB65" s="104">
        <f>IF(ISERROR(VLOOKUP(Table2932[[#This Row],[source]],Table22[[Label]:[Weighted Degree]],3,FALSE)),IF(ISERROR(VLOOKUP(Table2932[[#This Row],[source]],Table2210[[Label]:[Weighted Degree]],3,FALSE)),IF(ISERROR(VLOOKUP(Table2932[[#This Row],[source]],Table2214[[Label]:[Weighted Degree]],3,FALSE)),FALSE,VLOOKUP(Table2932[[#This Row],[source]],Table2214[[Label]:[Weighted Degree]],3,FALSE)),VLOOKUP(Table2932[[#This Row],[source]],Table2210[[Label]:[Weighted Degree]],3,FALSE)),VLOOKUP(Table2932[[#This Row],[source]],Table22[[Label]:[Weighted Degree]],3,FALSE))</f>
        <v>10697</v>
      </c>
      <c r="AC65" s="104">
        <f>IF(ISERROR(VLOOKUP(Table2932[[#This Row],[target]],Table22[[Label]:[Weighted Degree]],3,FALSE)),IF(ISERROR(VLOOKUP(Table2932[[#This Row],[target]],Table2210[[Label]:[Weighted Degree]],3,FALSE)),IF(ISERROR(VLOOKUP(Table2932[[#This Row],[target]],Table2214[[Label]:[Weighted Degree]],3,FALSE)),FALSE,VLOOKUP(Table2932[[#This Row],[target]],Table2214[[Label]:[Weighted Degree]],3,FALSE)),VLOOKUP(Table2932[[#This Row],[target]],Table2210[[Label]:[Weighted Degree]],3,FALSE)),VLOOKUP(Table2932[[#This Row],[target]],Table22[[Label]:[Weighted Degree]],3,FALSE))</f>
        <v>31784</v>
      </c>
      <c r="AE65" s="14" t="s">
        <v>138</v>
      </c>
      <c r="AF65" s="14" t="s">
        <v>166</v>
      </c>
      <c r="AG65" s="64" t="s">
        <v>1560</v>
      </c>
      <c r="AH65" s="14">
        <v>7</v>
      </c>
      <c r="AI65" s="79" t="str">
        <f>IF(ISERROR(VLOOKUP(Table32[[#This Row],[source2]],Table22[Label],1,FALSE)),IF(ISERROR(VLOOKUP(Table32[[#This Row],[source2]],Table2210[Label],1,FALSE)),"SPOKE","FOCUS"),"HUB")</f>
        <v>HUB</v>
      </c>
      <c r="AJ65" s="79" t="str">
        <f>IF(ISERROR(VLOOKUP(Table32[[#This Row],[target2]],Table22[Label],1,FALSE)),IF(ISERROR(VLOOKUP(Table32[[#This Row],[target2]],Table2210[Label],1,FALSE)),"SPOKE","FOCUS"),"HUB")</f>
        <v>SPOKE</v>
      </c>
      <c r="AK65" s="79" t="str">
        <f>IF(Table32[[#This Row],[source-type]]&lt;Table32[[#This Row],[target-type]],Table32[[#This Row],[target-type]]&amp;"-"&amp;Table32[[#This Row],[source-type]],Table32[[#This Row],[source-type]]&amp;"-"&amp;Table32[[#This Row],[target-type]])</f>
        <v>SPOKE-HUB</v>
      </c>
      <c r="AL65" s="104">
        <f>IF(ISERROR(VLOOKUP(Table32[[#This Row],[source2]],Table22[[Label]:[Weighted Degree]],3,FALSE)),IF(ISERROR(VLOOKUP(Table32[[#This Row],[source2]],Table2210[[Label]:[Weighted Degree]],3,FALSE)),IF(ISERROR(VLOOKUP(Table32[[#This Row],[source2]],Table2214[[Label]:[Weighted Degree]],3,FALSE)),FALSE,VLOOKUP(Table32[[#This Row],[source2]],Table2214[[Label]:[Weighted Degree]],3,FALSE)),VLOOKUP(Table32[[#This Row],[source2]],Table2210[[Label]:[Weighted Degree]],3,FALSE)),VLOOKUP(Table32[[#This Row],[source2]],Table22[[Label]:[Weighted Degree]],3,FALSE))</f>
        <v>20047</v>
      </c>
      <c r="AM65" s="104">
        <f>IF(ISERROR(VLOOKUP(Table32[[#This Row],[target2]],Table22[[Label]:[Weighted Degree]],3,FALSE)),IF(ISERROR(VLOOKUP(Table32[[#This Row],[target2]],Table2210[[Label]:[Weighted Degree]],3,FALSE)),IF(ISERROR(VLOOKUP(Table32[[#This Row],[target2]],Table2214[[Label]:[Weighted Degree]],3,FALSE)),FALSE,VLOOKUP(Table32[[#This Row],[target2]],Table2214[[Label]:[Weighted Degree]],3,FALSE)),VLOOKUP(Table32[[#This Row],[target2]],Table2210[[Label]:[Weighted Degree]],3,FALSE)),VLOOKUP(Table32[[#This Row],[target2]],Table22[[Label]:[Weighted Degree]],3,FALSE))</f>
        <v>7</v>
      </c>
    </row>
    <row r="66" spans="1:39" x14ac:dyDescent="0.2">
      <c r="A66" s="62"/>
      <c r="B66" s="62"/>
      <c r="C66" s="116"/>
      <c r="D66" s="62">
        <f>SUBTOTAL(109,Table8[weight])</f>
        <v>111468</v>
      </c>
      <c r="E66" s="113"/>
      <c r="F66" s="113"/>
      <c r="G66" s="117"/>
      <c r="K66" s="62"/>
      <c r="L66" s="62"/>
      <c r="M66" s="115"/>
      <c r="N66" s="62">
        <f>SUBTOTAL(109,Table29[weight])</f>
        <v>65323</v>
      </c>
      <c r="O66" s="113"/>
      <c r="P66" s="113"/>
      <c r="Q66" s="113"/>
      <c r="R66" s="113"/>
      <c r="S66" s="113"/>
      <c r="U66" s="62"/>
      <c r="V66" s="62"/>
      <c r="W66" s="114"/>
      <c r="X66" s="62">
        <f>SUBTOTAL(109,Table2932[weight])</f>
        <v>96850</v>
      </c>
      <c r="Y66" s="113"/>
      <c r="Z66" s="113"/>
      <c r="AA66" s="113"/>
      <c r="AB66" s="113"/>
      <c r="AC66" s="113"/>
      <c r="AE66" s="62"/>
      <c r="AF66" s="62"/>
      <c r="AG66" s="67"/>
      <c r="AH66" s="62">
        <f>SUBTOTAL(109,Table32[weight])</f>
        <v>83636</v>
      </c>
      <c r="AI66" s="113"/>
      <c r="AJ66" s="113"/>
      <c r="AK66" s="113"/>
      <c r="AL66" s="113"/>
      <c r="AM66" s="113"/>
    </row>
    <row r="74" spans="1:39" ht="20" customHeight="1" x14ac:dyDescent="0.2"/>
    <row r="75" spans="1:39" ht="29" customHeight="1" x14ac:dyDescent="0.2">
      <c r="A75" s="131" t="s">
        <v>2447</v>
      </c>
      <c r="B75" s="131"/>
      <c r="C75" s="131"/>
      <c r="D75" s="131"/>
    </row>
    <row r="76" spans="1:39" ht="34" x14ac:dyDescent="0.2">
      <c r="A76" s="49" t="s">
        <v>2399</v>
      </c>
      <c r="B76" s="50" t="s">
        <v>2400</v>
      </c>
      <c r="C76" s="58" t="s">
        <v>2413</v>
      </c>
      <c r="D76" s="58" t="s">
        <v>2414</v>
      </c>
    </row>
    <row r="77" spans="1:39" x14ac:dyDescent="0.2">
      <c r="A77" s="51" t="s">
        <v>2402</v>
      </c>
      <c r="B77" s="52">
        <f>COUNTA(Table22[Label])</f>
        <v>20</v>
      </c>
      <c r="C77" s="6">
        <v>10697</v>
      </c>
      <c r="D77" s="6">
        <v>44350</v>
      </c>
    </row>
    <row r="78" spans="1:39" x14ac:dyDescent="0.2">
      <c r="A78" s="51" t="s">
        <v>2403</v>
      </c>
      <c r="B78" s="52">
        <f>COUNTA(Table2210[Label])</f>
        <v>3</v>
      </c>
      <c r="C78" s="1">
        <v>22088</v>
      </c>
      <c r="D78" s="5">
        <v>26047</v>
      </c>
    </row>
    <row r="79" spans="1:39" x14ac:dyDescent="0.2">
      <c r="A79" s="53" t="s">
        <v>2404</v>
      </c>
      <c r="B79" s="54">
        <f>COUNTA(Table2214[Label])</f>
        <v>20</v>
      </c>
      <c r="C79" s="5">
        <v>7</v>
      </c>
      <c r="D79" s="6">
        <v>14467</v>
      </c>
    </row>
    <row r="80" spans="1:39" x14ac:dyDescent="0.2">
      <c r="A80" s="55"/>
      <c r="B80" s="54">
        <f>SUBTOTAL(109,Table39[Count])</f>
        <v>43</v>
      </c>
      <c r="C80" s="57"/>
      <c r="D80" s="57"/>
    </row>
    <row r="81" spans="1:9" x14ac:dyDescent="0.2">
      <c r="I81" s="5">
        <f>MATCH("HUB",Table33[source-type],0)</f>
        <v>1</v>
      </c>
    </row>
    <row r="85" spans="1:9" x14ac:dyDescent="0.2">
      <c r="A85" s="131" t="s">
        <v>2445</v>
      </c>
      <c r="B85" s="131"/>
      <c r="C85" s="131"/>
      <c r="D85" s="131"/>
    </row>
    <row r="86" spans="1:9" ht="25" customHeight="1" x14ac:dyDescent="0.2">
      <c r="A86" s="5" t="s">
        <v>2384</v>
      </c>
      <c r="B86" s="5" t="s">
        <v>2388</v>
      </c>
      <c r="C86" s="5" t="s">
        <v>2389</v>
      </c>
      <c r="D86" s="5" t="s">
        <v>2390</v>
      </c>
    </row>
    <row r="87" spans="1:9" x14ac:dyDescent="0.2">
      <c r="A87" s="80" t="s">
        <v>2387</v>
      </c>
      <c r="B87" s="96">
        <f>COUNTIF(Table22[Global Threshold],TRUE)*5</f>
        <v>85</v>
      </c>
      <c r="C87" s="97">
        <f>COUNTIF(Table2210[Global Threshold],TRUE)*100/3</f>
        <v>100</v>
      </c>
      <c r="D87" s="96">
        <f>COUNTIF(Table2214[Global Threshold],TRUE)*5</f>
        <v>30</v>
      </c>
    </row>
    <row r="88" spans="1:9" x14ac:dyDescent="0.2">
      <c r="A88" s="80" t="s">
        <v>303</v>
      </c>
      <c r="B88" s="96">
        <f>COUNTIF(Table22[Disparity Filter],TRUE)*5</f>
        <v>85</v>
      </c>
      <c r="C88" s="97">
        <f>COUNTIF(Table2210[Disparity Filter],TRUE)*100/3</f>
        <v>100</v>
      </c>
      <c r="D88" s="96">
        <f>COUNTIF(Table2214[Disparity Filter],TRUE)*5</f>
        <v>45</v>
      </c>
    </row>
    <row r="89" spans="1:9" x14ac:dyDescent="0.2">
      <c r="A89" s="80" t="s">
        <v>351</v>
      </c>
      <c r="B89" s="96">
        <f>COUNTIF(Table22[Polya Filter],TRUE)*5</f>
        <v>85</v>
      </c>
      <c r="C89" s="95">
        <f>COUNTIF(Table2210[Polya Filter],TRUE)*100/3</f>
        <v>66.666666666666671</v>
      </c>
      <c r="D89" s="96">
        <f>COUNTIF(Table2214[Polya Filter],TRUE)*5</f>
        <v>30</v>
      </c>
    </row>
    <row r="90" spans="1:9" x14ac:dyDescent="0.2">
      <c r="A90" s="80" t="s">
        <v>2385</v>
      </c>
      <c r="B90" s="96">
        <f>COUNTIF(Table22[NC Filter],TRUE)*5</f>
        <v>85</v>
      </c>
      <c r="C90" s="97">
        <f>COUNTIF(Table2210[NC Filter],TRUE)*100/3</f>
        <v>100</v>
      </c>
      <c r="D90" s="96">
        <f>COUNTIF(Table2214[NC Filter],TRUE)*5</f>
        <v>30</v>
      </c>
    </row>
    <row r="91" spans="1:9" x14ac:dyDescent="0.2">
      <c r="A91" s="80" t="s">
        <v>2386</v>
      </c>
      <c r="B91" s="94">
        <f>COUNTIF(Table22[ML Filter],TRUE)*5</f>
        <v>90</v>
      </c>
      <c r="C91" s="97">
        <f>COUNTIF(Table2210[ML Filter],TRUE)*100/3</f>
        <v>100</v>
      </c>
      <c r="D91" s="96">
        <f>COUNTIF(Table2214[ML Filter],TRUE)*5</f>
        <v>40</v>
      </c>
    </row>
    <row r="92" spans="1:9" x14ac:dyDescent="0.2">
      <c r="A92" s="80" t="s">
        <v>344</v>
      </c>
      <c r="B92" s="94">
        <f>COUNTIF(Table22[GLOSS Filter],TRUE)*5</f>
        <v>95</v>
      </c>
      <c r="C92" s="95">
        <f>COUNTIF(Table2210[GLOSS Filter],TRUE)*100/3</f>
        <v>66.666666666666671</v>
      </c>
      <c r="D92" s="96">
        <f>COUNTIF(Table2214[GLOSS Filter],TRUE)*5</f>
        <v>45</v>
      </c>
    </row>
    <row r="93" spans="1:9" x14ac:dyDescent="0.2">
      <c r="A93" s="80" t="s">
        <v>348</v>
      </c>
      <c r="B93" s="94">
        <f>COUNTIF(Table22[LANS Filter],TRUE)*5</f>
        <v>100</v>
      </c>
      <c r="C93" s="97">
        <f>COUNTIF(Table2210[LANS Filter],TRUE)*100/3</f>
        <v>100</v>
      </c>
      <c r="D93" s="94">
        <f>COUNTIF(Table2214[LANS Filter],TRUE)*5</f>
        <v>65</v>
      </c>
    </row>
    <row r="94" spans="1:9" x14ac:dyDescent="0.2">
      <c r="A94" s="80" t="s">
        <v>340</v>
      </c>
      <c r="B94" s="94">
        <f>COUNTIF(Table22[ECM Filter],TRUE)*5</f>
        <v>95</v>
      </c>
      <c r="C94" s="97">
        <f>COUNTIF(Table2210[ECM Filter],TRUE)*100/3</f>
        <v>100</v>
      </c>
      <c r="D94" s="94">
        <f>COUNTIF(Table2214[ECM Filter],TRUE)*5</f>
        <v>80</v>
      </c>
    </row>
    <row r="95" spans="1:9" x14ac:dyDescent="0.2">
      <c r="A95" s="63"/>
      <c r="B95" s="63"/>
      <c r="C95" s="88"/>
      <c r="D95" s="63"/>
    </row>
    <row r="96" spans="1:9" x14ac:dyDescent="0.2">
      <c r="A96" s="131" t="s">
        <v>2434</v>
      </c>
      <c r="B96" s="131"/>
      <c r="C96" s="131"/>
      <c r="D96" s="131"/>
      <c r="E96" s="131"/>
      <c r="F96" s="131"/>
    </row>
    <row r="97" spans="1:24" ht="20" customHeight="1" x14ac:dyDescent="0.2">
      <c r="A97" s="5" t="s">
        <v>2384</v>
      </c>
      <c r="B97" s="5" t="s">
        <v>2391</v>
      </c>
      <c r="C97" s="5" t="s">
        <v>2392</v>
      </c>
      <c r="D97" s="5" t="s">
        <v>2393</v>
      </c>
      <c r="E97" s="5" t="s">
        <v>2394</v>
      </c>
      <c r="F97" s="5" t="s">
        <v>2395</v>
      </c>
      <c r="H97" s="5" t="s">
        <v>2384</v>
      </c>
      <c r="I97" s="5" t="s">
        <v>2391</v>
      </c>
      <c r="J97" s="5" t="s">
        <v>2392</v>
      </c>
      <c r="K97" s="5" t="s">
        <v>2393</v>
      </c>
      <c r="L97" s="5" t="s">
        <v>2394</v>
      </c>
      <c r="M97" s="5" t="s">
        <v>2395</v>
      </c>
      <c r="W97" s="63"/>
      <c r="X97" s="63"/>
    </row>
    <row r="98" spans="1:24" x14ac:dyDescent="0.2">
      <c r="A98" s="80" t="s">
        <v>2387</v>
      </c>
      <c r="B98" s="81">
        <f>COUNTIF(Table17[Edge-Type],"HUB-HUB")*100/I109</f>
        <v>8.1081081081081088</v>
      </c>
      <c r="C98" s="95">
        <f>COUNTIF(Table17[Edge-Type],"HUB-FOCUS")*100/I110</f>
        <v>10.344827586206897</v>
      </c>
      <c r="D98" s="81">
        <f>COUNTIF(Table17[Edge-Type],"SPOKE-HUB")*100/I111</f>
        <v>6.7226890756302522</v>
      </c>
      <c r="E98" s="81">
        <f>COUNTIF(Table17[Edge-Type],"FOCUS-FOCUS")*100/30</f>
        <v>0</v>
      </c>
      <c r="F98" s="81">
        <f>COUNTIF(Table17[Edge-Type],"SPOKE-FOCUS")*100/I113</f>
        <v>7.6923076923076925</v>
      </c>
      <c r="H98" s="80" t="s">
        <v>2387</v>
      </c>
      <c r="I98" s="81">
        <f>COUNTIF(Table17[Edge-Type],"HUB-HUB")*100/30</f>
        <v>50</v>
      </c>
      <c r="J98" s="81">
        <f>COUNTIF(Table17[Edge-Type],"HUB-FOCUS")*100/30</f>
        <v>20</v>
      </c>
      <c r="K98" s="87">
        <f>COUNTIF(Table17[Edge-Type],"SPOKE-HUB")*100/30</f>
        <v>26.666666666666668</v>
      </c>
      <c r="L98" s="87">
        <f>COUNTIF(Table17[Edge-Type],"FOCUS-FOCUS")*100/30</f>
        <v>0</v>
      </c>
      <c r="M98" s="123">
        <f>COUNTIF(Table17[Edge-Type],"SPOKE-FOCUS")*100/30</f>
        <v>3.3333333333333335</v>
      </c>
      <c r="W98" s="88"/>
      <c r="X98" s="88"/>
    </row>
    <row r="99" spans="1:24" x14ac:dyDescent="0.2">
      <c r="A99" s="80" t="s">
        <v>303</v>
      </c>
      <c r="B99" s="81">
        <f>COUNTIF(Table33[Edge-Type],"HUB-HUB")*100/I109</f>
        <v>7.5675675675675675</v>
      </c>
      <c r="C99" s="81">
        <f>COUNTIF(Table33[Edge-Type],"HUB-FOCUS")*100/I110</f>
        <v>6.8965517241379306</v>
      </c>
      <c r="D99" s="95">
        <f>COUNTIF(Table33[Edge-Type],"SPOKE-HUB")*100/I111</f>
        <v>8.4033613445378155</v>
      </c>
      <c r="E99" s="81">
        <f>COUNTIF(Table33[Edge-Type],"FOCUS-FOCUS")*100/30</f>
        <v>0</v>
      </c>
      <c r="F99" s="95">
        <f>COUNTIF(Table33[Edge-Type],"SPOKE-FOCUS")*100/I113</f>
        <v>15.384615384615385</v>
      </c>
      <c r="H99" s="80" t="s">
        <v>303</v>
      </c>
      <c r="I99" s="81">
        <f>COUNTIF(Table33[Edge-Type],"HUB-HUB")*100/30</f>
        <v>46.666666666666664</v>
      </c>
      <c r="J99" s="81">
        <f>COUNTIF(Table33[Edge-Type],"HUB-FOCUS")*100/30</f>
        <v>13.333333333333334</v>
      </c>
      <c r="K99" s="95">
        <f>COUNTIF(Table33[Edge-Type],"SPOKE-HUB")*100/30</f>
        <v>33.333333333333336</v>
      </c>
      <c r="L99" s="81">
        <f>COUNTIF(Table33[Edge-Type],"FOCUS-FOCUS")*100/30</f>
        <v>0</v>
      </c>
      <c r="M99" s="125">
        <f>COUNTIF(Table33[Edge-Type],"SPOKE-FOCUS")*100/30</f>
        <v>6.666666666666667</v>
      </c>
      <c r="W99" s="88"/>
      <c r="X99" s="88"/>
    </row>
    <row r="100" spans="1:24" x14ac:dyDescent="0.2">
      <c r="A100" s="80" t="s">
        <v>351</v>
      </c>
      <c r="B100" s="95">
        <f>COUNTIF(Table36[Edge-Type],"HUB-HUB")*100/I109</f>
        <v>8.6486486486486491</v>
      </c>
      <c r="C100" s="95">
        <f>COUNTIF(Table36[Edge-Type],"HUB-FOCUS")*100/I110</f>
        <v>8.6206896551724146</v>
      </c>
      <c r="D100" s="95">
        <f>COUNTIF(Table36[Edge-Type],"SPOKE-HUB")*100/I111</f>
        <v>6.7226890756302522</v>
      </c>
      <c r="E100" s="95">
        <f>COUNTIF(Table36[Edge-Type],"FOCUS-FOCUS")*100/30</f>
        <v>0</v>
      </c>
      <c r="F100" s="95">
        <f>COUNTIF(Table36[Edge-Type],"SPOKE-FOCUS")*100/I113</f>
        <v>7.6923076923076925</v>
      </c>
      <c r="H100" s="80" t="s">
        <v>351</v>
      </c>
      <c r="I100" s="95">
        <f>COUNTIF(Table36[Edge-Type],"HUB-HUB")*100/30</f>
        <v>53.333333333333336</v>
      </c>
      <c r="J100" s="81">
        <f>COUNTIF(Table36[Edge-Type],"HUB-FOCUS")*100/30</f>
        <v>16.666666666666668</v>
      </c>
      <c r="K100" s="81">
        <f>COUNTIF(Table36[Edge-Type],"SPOKE-HUB")*100/30</f>
        <v>26.666666666666668</v>
      </c>
      <c r="L100" s="81">
        <f>COUNTIF(Table36[Edge-Type],"FOCUS-FOCUS")*100/30</f>
        <v>0</v>
      </c>
      <c r="M100" s="124">
        <f>COUNTIF(Table36[Edge-Type],"SPOKE-FOCUS")*100/30</f>
        <v>3.3333333333333335</v>
      </c>
      <c r="W100" s="88"/>
      <c r="X100" s="88"/>
    </row>
    <row r="101" spans="1:24" x14ac:dyDescent="0.2">
      <c r="A101" s="80" t="s">
        <v>2385</v>
      </c>
      <c r="B101" s="95">
        <f>COUNTIF(Table34[Edge-Type],"HUB-HUB")*100/I109</f>
        <v>8.1081081081081088</v>
      </c>
      <c r="C101" s="95">
        <f>COUNTIF(Table34[Edge-Type],"HUB-FOCUS")*100/I110</f>
        <v>10.344827586206897</v>
      </c>
      <c r="D101" s="81">
        <f>COUNTIF(Table34[Edge-Type],"SPOKE-HUB")*100/I111</f>
        <v>6.7226890756302522</v>
      </c>
      <c r="E101" s="81">
        <f>COUNTIF(Table34[Edge-Type],"FOCUS-FOCUS")*100/30</f>
        <v>0</v>
      </c>
      <c r="F101" s="81">
        <f>COUNTIF(Table34[Edge-Type],"SPOKE-FOCUS")*100/I113</f>
        <v>7.6923076923076925</v>
      </c>
      <c r="H101" s="80" t="s">
        <v>2385</v>
      </c>
      <c r="I101" s="81">
        <f>COUNTIF(Table34[Edge-Type],"HUB-HUB")*100/30</f>
        <v>50</v>
      </c>
      <c r="J101" s="81">
        <f>COUNTIF(Table34[Edge-Type],"HUB-FOCUS")*100/30</f>
        <v>20</v>
      </c>
      <c r="K101" s="81">
        <f>COUNTIF(Table34[Edge-Type],"SPOKE-HUB")*100/30</f>
        <v>26.666666666666668</v>
      </c>
      <c r="L101" s="81">
        <f>COUNTIF(Table34[Edge-Type],"FOCUS-FOCUS")*100/30</f>
        <v>0</v>
      </c>
      <c r="M101" s="124">
        <f>COUNTIF(Table34[Edge-Type],"SPOKE-FOCUS")*100/30</f>
        <v>3.3333333333333335</v>
      </c>
      <c r="W101" s="88"/>
      <c r="X101" s="88"/>
    </row>
    <row r="102" spans="1:24" x14ac:dyDescent="0.2">
      <c r="A102" s="80" t="s">
        <v>2386</v>
      </c>
      <c r="B102" s="81">
        <f>COUNTIF(Table8[Edge-Type],"HUB-HUB")*100/I109</f>
        <v>7.0270270270270272</v>
      </c>
      <c r="C102" s="81">
        <f>COUNTIF(Table8[Edge-Type],"HUB-FOCUS")*100/I110</f>
        <v>6.8965517241379306</v>
      </c>
      <c r="D102" s="95">
        <f>COUNTIF(Table8[Edge-Type],"SPOKE-HUB")*100/I111</f>
        <v>9.2436974789915958</v>
      </c>
      <c r="E102" s="81">
        <f>COUNTIF(Table8[Edge-Type],"FOCUS-FOCUS")*100/30</f>
        <v>0</v>
      </c>
      <c r="F102" s="95">
        <f>COUNTIF(Table8[Edge-Type],"SPOKE-FOCUS")*100/I113</f>
        <v>15.384615384615385</v>
      </c>
      <c r="H102" s="80" t="s">
        <v>2386</v>
      </c>
      <c r="I102" s="81">
        <f>COUNTIF(Table8[Edge-Type],"HUB-HUB")*100/30</f>
        <v>43.333333333333336</v>
      </c>
      <c r="J102" s="81">
        <f>COUNTIF(Table8[Edge-Type],"HUB-FOCUS")*100/30</f>
        <v>13.333333333333334</v>
      </c>
      <c r="K102" s="95">
        <f>COUNTIF(Table8[Edge-Type],"SPOKE-HUB")*100/30</f>
        <v>36.666666666666664</v>
      </c>
      <c r="L102" s="81">
        <f>COUNTIF(Table8[Edge-Type],"FOCUS-FOCUS")*100/30</f>
        <v>0</v>
      </c>
      <c r="M102" s="125">
        <f>COUNTIF(Table8[Edge-Type],"SPOKE-FOCUS")*100/30</f>
        <v>6.666666666666667</v>
      </c>
      <c r="W102" s="88"/>
      <c r="X102" s="88"/>
    </row>
    <row r="103" spans="1:24" x14ac:dyDescent="0.2">
      <c r="A103" s="80" t="s">
        <v>344</v>
      </c>
      <c r="B103" s="81">
        <f>COUNTIF(Table29[Edge-Type],"HUB-HUB")*100/I109</f>
        <v>9.7297297297297298</v>
      </c>
      <c r="C103" s="81">
        <f>COUNTIF(Table29[Edge-Type],"HUB-FOCUS")*100/I110</f>
        <v>5.1724137931034484</v>
      </c>
      <c r="D103" s="81">
        <f>COUNTIF(Table29[Edge-Type],"SPOKE-HUB")*100/I111</f>
        <v>6.7226890756302522</v>
      </c>
      <c r="E103" s="81">
        <f>COUNTIF(Table29[Edge-Type],"FOCUS-FOCUS")*100/30</f>
        <v>0</v>
      </c>
      <c r="F103" s="81">
        <f>COUNTIF(Table29[Edge-Type],"SPOKE-FOCUS")*100/I113</f>
        <v>7.6923076923076925</v>
      </c>
      <c r="H103" s="80" t="s">
        <v>344</v>
      </c>
      <c r="I103" s="95">
        <f>COUNTIF(Table29[Edge-Type],"HUB-HUB")*100/30</f>
        <v>60</v>
      </c>
      <c r="J103" s="81">
        <f>COUNTIF(Table29[Edge-Type],"HUB-FOCUS")*100/30</f>
        <v>10</v>
      </c>
      <c r="K103" s="81">
        <f>COUNTIF(Table29[Edge-Type],"SPOKE-HUB")*100/30</f>
        <v>26.666666666666668</v>
      </c>
      <c r="L103" s="81">
        <f>COUNTIF(Table29[Edge-Type],"FOCUS-FOCUS")*100/30</f>
        <v>0</v>
      </c>
      <c r="M103" s="124">
        <f>COUNTIF(Table29[Edge-Type],"SPOKE-FOCUS")*100/30</f>
        <v>3.3333333333333335</v>
      </c>
      <c r="W103" s="88"/>
      <c r="X103" s="88"/>
    </row>
    <row r="104" spans="1:24" x14ac:dyDescent="0.2">
      <c r="A104" s="80" t="s">
        <v>348</v>
      </c>
      <c r="B104" s="81">
        <f>COUNTIF(Table2932[Edge-Type],"HUB-HUB")*100/I109</f>
        <v>5.9459459459459456</v>
      </c>
      <c r="C104" s="81">
        <f>COUNTIF(Table2932[Edge-Type],"HUB-FOCUS")*100/I110</f>
        <v>6.8965517241379306</v>
      </c>
      <c r="D104" s="95">
        <f>COUNTIF(Table2932[Edge-Type],"SPOKE-HUB")*100/I111</f>
        <v>12.605042016806722</v>
      </c>
      <c r="E104" s="81">
        <f>COUNTIF(Table2932[Edge-Type],"FOCUS-FOCUS")*100/30</f>
        <v>0</v>
      </c>
      <c r="F104" s="95">
        <f>COUNTIF(Table2932[Edge-Type],"SPOKE-FOCUS")*100/I113</f>
        <v>0</v>
      </c>
      <c r="H104" s="80" t="s">
        <v>348</v>
      </c>
      <c r="I104" s="81">
        <f>COUNTIF(Table2932[Edge-Type],"HUB-HUB")*100/30</f>
        <v>36.666666666666664</v>
      </c>
      <c r="J104" s="81">
        <f>COUNTIF(Table2932[Edge-Type],"HUB-FOCUS")*100/30</f>
        <v>13.333333333333334</v>
      </c>
      <c r="K104" s="95">
        <f>COUNTIF(Table2932[Edge-Type],"SPOKE-HUB")*100/30</f>
        <v>50</v>
      </c>
      <c r="L104" s="81">
        <f>COUNTIF(Table2932[Edge-Type],"FOCUS-FOCUS")*100/30</f>
        <v>0</v>
      </c>
      <c r="M104" s="124">
        <f>COUNTIF(Table2932[Edge-Type],"SPOKE-FOCUS")*100/30</f>
        <v>0</v>
      </c>
      <c r="W104" s="88"/>
      <c r="X104" s="88"/>
    </row>
    <row r="105" spans="1:24" x14ac:dyDescent="0.2">
      <c r="A105" s="80" t="s">
        <v>340</v>
      </c>
      <c r="B105" s="95">
        <f>COUNTIF(Table32[Edge-Type],"HUB-HUB")*100/I109</f>
        <v>4.3243243243243246</v>
      </c>
      <c r="C105" s="81">
        <f>COUNTIF(Table32[Edge-Type],"HUB-FOCUS")*100/I110</f>
        <v>6.8965517241379306</v>
      </c>
      <c r="D105" s="95">
        <f>COUNTIF(Table32[Edge-Type],"SPOKE-HUB")*100/I111</f>
        <v>12.605042016806722</v>
      </c>
      <c r="E105" s="81">
        <f>COUNTIF(Table32[Edge-Type],"FOCUS-FOCUS")*100/30</f>
        <v>0</v>
      </c>
      <c r="F105" s="95">
        <f>COUNTIF(Table32[Edge-Type],"SPOKE-FOCUS")*100/I113</f>
        <v>23.076923076923077</v>
      </c>
      <c r="H105" s="80" t="s">
        <v>340</v>
      </c>
      <c r="I105" s="81">
        <f>COUNTIF(Table32[Edge-Type],"HUB-HUB")*100/30</f>
        <v>26.666666666666668</v>
      </c>
      <c r="J105" s="81">
        <f>COUNTIF(Table32[Edge-Type],"HUB-FOCUS")*100/30</f>
        <v>13.333333333333334</v>
      </c>
      <c r="K105" s="126">
        <f>COUNTIF(Table32[Edge-Type],"SPOKE-HUB")*100/30</f>
        <v>50</v>
      </c>
      <c r="L105" s="120">
        <f>COUNTIF(Table32[Edge-Type],"FOCUS-FOCUS")*100/30</f>
        <v>0</v>
      </c>
      <c r="M105" s="127">
        <f>COUNTIF(Table32[Edge-Type],"SPOKE-FOCUS")*100/30</f>
        <v>10</v>
      </c>
      <c r="W105" s="88"/>
      <c r="X105" s="88"/>
    </row>
    <row r="106" spans="1:24" x14ac:dyDescent="0.2">
      <c r="I106" s="106"/>
    </row>
    <row r="107" spans="1:24" x14ac:dyDescent="0.2">
      <c r="A107" s="131" t="s">
        <v>2433</v>
      </c>
      <c r="B107" s="131"/>
      <c r="C107" s="131"/>
      <c r="D107" s="131"/>
      <c r="E107" s="131"/>
      <c r="F107" s="131"/>
      <c r="H107" s="132" t="s">
        <v>2446</v>
      </c>
      <c r="I107" s="133"/>
      <c r="J107" s="133"/>
      <c r="K107" s="134"/>
      <c r="N107" s="131" t="s">
        <v>2448</v>
      </c>
      <c r="O107" s="131"/>
      <c r="P107" s="131"/>
      <c r="Q107" s="131"/>
    </row>
    <row r="108" spans="1:24" x14ac:dyDescent="0.2">
      <c r="A108" s="5" t="s">
        <v>2384</v>
      </c>
      <c r="B108" s="5" t="s">
        <v>2405</v>
      </c>
      <c r="C108" s="5" t="s">
        <v>2406</v>
      </c>
      <c r="D108" s="5" t="s">
        <v>2407</v>
      </c>
      <c r="E108" s="5" t="s">
        <v>2408</v>
      </c>
      <c r="F108" s="5" t="s">
        <v>2409</v>
      </c>
      <c r="H108" s="49" t="s">
        <v>2401</v>
      </c>
      <c r="I108" s="56" t="s">
        <v>2400</v>
      </c>
      <c r="J108" s="56" t="s">
        <v>2411</v>
      </c>
      <c r="K108" s="50" t="s">
        <v>2412</v>
      </c>
      <c r="L108" s="56" t="s">
        <v>2466</v>
      </c>
      <c r="N108" s="5" t="s">
        <v>2384</v>
      </c>
      <c r="O108" s="5" t="s">
        <v>2449</v>
      </c>
      <c r="P108" s="5" t="s">
        <v>2403</v>
      </c>
      <c r="Q108" s="5" t="s">
        <v>2450</v>
      </c>
    </row>
    <row r="109" spans="1:24" x14ac:dyDescent="0.2">
      <c r="A109" s="80" t="s">
        <v>2387</v>
      </c>
      <c r="B109" s="100" t="s">
        <v>2427</v>
      </c>
      <c r="C109" s="95" t="s">
        <v>2428</v>
      </c>
      <c r="D109" s="95" t="s">
        <v>2429</v>
      </c>
      <c r="E109" s="95" t="s">
        <v>1</v>
      </c>
      <c r="F109" s="99">
        <v>3164</v>
      </c>
      <c r="H109" s="51" t="s">
        <v>2405</v>
      </c>
      <c r="I109" s="80">
        <f>COUNTIF(Table10[Edge-Type],"HUB-HUB")</f>
        <v>185</v>
      </c>
      <c r="J109" s="80">
        <v>8</v>
      </c>
      <c r="K109" s="90">
        <v>8269</v>
      </c>
      <c r="L109" s="1">
        <v>171925</v>
      </c>
      <c r="N109" s="80" t="s">
        <v>2387</v>
      </c>
      <c r="O109" s="83" t="s">
        <v>2453</v>
      </c>
      <c r="P109" s="80" t="s">
        <v>2454</v>
      </c>
      <c r="Q109" s="80" t="s">
        <v>2457</v>
      </c>
    </row>
    <row r="110" spans="1:24" x14ac:dyDescent="0.2">
      <c r="A110" s="80" t="s">
        <v>303</v>
      </c>
      <c r="B110" s="95" t="s">
        <v>2423</v>
      </c>
      <c r="C110" s="95" t="s">
        <v>2424</v>
      </c>
      <c r="D110" s="95" t="s">
        <v>2425</v>
      </c>
      <c r="E110" s="81" t="s">
        <v>1</v>
      </c>
      <c r="F110" s="95" t="s">
        <v>2426</v>
      </c>
      <c r="H110" s="51" t="s">
        <v>2406</v>
      </c>
      <c r="I110" s="80">
        <f>COUNTIF(Table10[Edge-Type],"HUB-FOCUS")</f>
        <v>58</v>
      </c>
      <c r="J110" s="80">
        <v>114</v>
      </c>
      <c r="K110" s="90">
        <v>7566</v>
      </c>
      <c r="L110" s="5">
        <v>56278</v>
      </c>
      <c r="N110" s="80" t="s">
        <v>303</v>
      </c>
      <c r="O110" s="83" t="s">
        <v>2453</v>
      </c>
      <c r="P110" s="80" t="s">
        <v>2454</v>
      </c>
      <c r="Q110" s="80" t="s">
        <v>2455</v>
      </c>
    </row>
    <row r="111" spans="1:24" x14ac:dyDescent="0.2">
      <c r="A111" s="107" t="s">
        <v>351</v>
      </c>
      <c r="B111" s="108" t="s">
        <v>2430</v>
      </c>
      <c r="C111" s="108" t="s">
        <v>2431</v>
      </c>
      <c r="D111" s="108" t="s">
        <v>2432</v>
      </c>
      <c r="E111" s="108" t="s">
        <v>1</v>
      </c>
      <c r="F111" s="109">
        <v>145</v>
      </c>
      <c r="H111" s="51" t="s">
        <v>2407</v>
      </c>
      <c r="I111" s="80">
        <f>COUNTIF(Table10[Edge-Type],"SPOKE-HUB")</f>
        <v>119</v>
      </c>
      <c r="J111" s="80">
        <v>7</v>
      </c>
      <c r="K111" s="91">
        <v>4081</v>
      </c>
      <c r="L111" s="5">
        <v>78283</v>
      </c>
      <c r="N111" s="80" t="s">
        <v>351</v>
      </c>
      <c r="O111" s="80" t="s">
        <v>2453</v>
      </c>
      <c r="P111" s="80" t="s">
        <v>2454</v>
      </c>
      <c r="Q111" s="80" t="s">
        <v>2458</v>
      </c>
    </row>
    <row r="112" spans="1:24" x14ac:dyDescent="0.2">
      <c r="A112" s="80" t="s">
        <v>2385</v>
      </c>
      <c r="B112" s="87" t="s">
        <v>2427</v>
      </c>
      <c r="C112" s="81" t="s">
        <v>2428</v>
      </c>
      <c r="D112" s="81" t="s">
        <v>2429</v>
      </c>
      <c r="E112" s="81" t="s">
        <v>1</v>
      </c>
      <c r="F112" s="14">
        <v>3164</v>
      </c>
      <c r="H112" s="51" t="s">
        <v>2408</v>
      </c>
      <c r="I112" s="80">
        <f>COUNTIF(Table10[Edge-Type],"FOCUS-FOCUS")</f>
        <v>3</v>
      </c>
      <c r="J112" s="89">
        <v>158</v>
      </c>
      <c r="K112" s="52">
        <v>449</v>
      </c>
      <c r="L112" s="5">
        <v>777</v>
      </c>
      <c r="N112" s="80" t="s">
        <v>2385</v>
      </c>
      <c r="O112" s="80" t="s">
        <v>2453</v>
      </c>
      <c r="P112" s="80" t="s">
        <v>2454</v>
      </c>
      <c r="Q112" s="80" t="s">
        <v>2457</v>
      </c>
    </row>
    <row r="113" spans="1:17" x14ac:dyDescent="0.2">
      <c r="A113" s="80" t="s">
        <v>2386</v>
      </c>
      <c r="B113" s="81" t="s">
        <v>2423</v>
      </c>
      <c r="C113" s="81" t="s">
        <v>2424</v>
      </c>
      <c r="D113" s="81" t="s">
        <v>2436</v>
      </c>
      <c r="E113" s="81" t="s">
        <v>1</v>
      </c>
      <c r="F113" s="81" t="s">
        <v>2426</v>
      </c>
      <c r="H113" s="51" t="s">
        <v>2409</v>
      </c>
      <c r="I113" s="80">
        <f>COUNTIF(Table10[Edge-Type],"SPOKE-FOCUS")</f>
        <v>13</v>
      </c>
      <c r="J113" s="80">
        <v>8</v>
      </c>
      <c r="K113" s="52">
        <v>3164</v>
      </c>
      <c r="L113" s="5">
        <v>13212</v>
      </c>
      <c r="N113" s="80" t="s">
        <v>2386</v>
      </c>
      <c r="O113" s="80" t="s">
        <v>2453</v>
      </c>
      <c r="P113" s="80" t="s">
        <v>2454</v>
      </c>
      <c r="Q113" s="80" t="s">
        <v>2456</v>
      </c>
    </row>
    <row r="114" spans="1:17" x14ac:dyDescent="0.2">
      <c r="A114" s="107" t="s">
        <v>344</v>
      </c>
      <c r="B114" s="108" t="s">
        <v>2437</v>
      </c>
      <c r="C114" s="108" t="s">
        <v>2438</v>
      </c>
      <c r="D114" s="108" t="s">
        <v>2439</v>
      </c>
      <c r="E114" s="108" t="s">
        <v>1</v>
      </c>
      <c r="F114" s="110">
        <v>1050</v>
      </c>
      <c r="H114" s="53" t="s">
        <v>2410</v>
      </c>
      <c r="I114" s="85">
        <f>COUNTIF(Table10[Edge-Type],"SPOKE-SPOKE")</f>
        <v>0</v>
      </c>
      <c r="J114" s="85">
        <v>0</v>
      </c>
      <c r="K114" s="54">
        <v>0</v>
      </c>
      <c r="N114" s="80" t="s">
        <v>344</v>
      </c>
      <c r="O114" s="80" t="s">
        <v>2453</v>
      </c>
      <c r="P114" s="63" t="s">
        <v>2459</v>
      </c>
      <c r="Q114" s="63" t="s">
        <v>2460</v>
      </c>
    </row>
    <row r="115" spans="1:17" x14ac:dyDescent="0.2">
      <c r="A115" s="80" t="s">
        <v>348</v>
      </c>
      <c r="B115" s="81" t="s">
        <v>2440</v>
      </c>
      <c r="C115" s="81" t="s">
        <v>2424</v>
      </c>
      <c r="D115" s="95" t="s">
        <v>2441</v>
      </c>
      <c r="E115" s="81" t="s">
        <v>1</v>
      </c>
      <c r="F115" s="81" t="s">
        <v>1</v>
      </c>
      <c r="N115" s="80" t="s">
        <v>348</v>
      </c>
      <c r="O115" s="80" t="s">
        <v>2453</v>
      </c>
      <c r="P115" s="80" t="s">
        <v>2454</v>
      </c>
      <c r="Q115" s="63" t="s">
        <v>2461</v>
      </c>
    </row>
    <row r="116" spans="1:17" x14ac:dyDescent="0.2">
      <c r="A116" s="80" t="s">
        <v>340</v>
      </c>
      <c r="B116" s="81" t="s">
        <v>2442</v>
      </c>
      <c r="C116" s="81" t="s">
        <v>2424</v>
      </c>
      <c r="D116" s="98" t="s">
        <v>2443</v>
      </c>
      <c r="E116" s="81" t="s">
        <v>1</v>
      </c>
      <c r="F116" s="95" t="s">
        <v>2444</v>
      </c>
      <c r="N116" s="80" t="s">
        <v>340</v>
      </c>
      <c r="O116" s="94" t="s">
        <v>2453</v>
      </c>
      <c r="P116" s="94" t="s">
        <v>2454</v>
      </c>
      <c r="Q116" s="105" t="s">
        <v>2462</v>
      </c>
    </row>
    <row r="117" spans="1:17" x14ac:dyDescent="0.2">
      <c r="A117" s="63"/>
      <c r="B117" s="88"/>
      <c r="C117" s="88"/>
      <c r="D117" s="104"/>
      <c r="E117" s="88"/>
      <c r="F117" s="88"/>
    </row>
    <row r="118" spans="1:17" x14ac:dyDescent="0.2">
      <c r="A118" s="131" t="s">
        <v>2465</v>
      </c>
      <c r="B118" s="131"/>
      <c r="C118" s="131"/>
      <c r="D118" s="131"/>
      <c r="E118" s="131"/>
      <c r="F118" s="131"/>
    </row>
    <row r="119" spans="1:17" x14ac:dyDescent="0.2">
      <c r="A119" s="5" t="s">
        <v>2384</v>
      </c>
      <c r="B119" s="5" t="s">
        <v>2405</v>
      </c>
      <c r="C119" s="5" t="s">
        <v>2406</v>
      </c>
      <c r="D119" s="5" t="s">
        <v>2407</v>
      </c>
      <c r="E119" s="5" t="s">
        <v>2408</v>
      </c>
      <c r="F119" s="5" t="s">
        <v>2409</v>
      </c>
    </row>
    <row r="120" spans="1:17" x14ac:dyDescent="0.2">
      <c r="A120" s="80" t="s">
        <v>2387</v>
      </c>
      <c r="B120" s="100">
        <f>62451*100/L109</f>
        <v>36.324560127962776</v>
      </c>
      <c r="C120" s="95">
        <f>27887*100/L110</f>
        <v>49.552222893493017</v>
      </c>
      <c r="D120" s="81">
        <f>22197*100/L111</f>
        <v>28.354815221695642</v>
      </c>
      <c r="E120" s="81" t="s">
        <v>1</v>
      </c>
      <c r="F120" s="121">
        <f>3164*100/L113</f>
        <v>23.947926127762639</v>
      </c>
    </row>
    <row r="121" spans="1:17" x14ac:dyDescent="0.2">
      <c r="A121" s="80" t="s">
        <v>303</v>
      </c>
      <c r="B121" s="81">
        <f>58661*100/L109</f>
        <v>34.120110513305221</v>
      </c>
      <c r="C121" s="81">
        <f>22349*100/L110</f>
        <v>39.711787910018124</v>
      </c>
      <c r="D121" s="81">
        <f>25252*100/L111</f>
        <v>32.25732279038872</v>
      </c>
      <c r="E121" s="81" t="s">
        <v>1</v>
      </c>
      <c r="F121" s="81">
        <f>5060*100/L113</f>
        <v>38.298516500151379</v>
      </c>
    </row>
    <row r="122" spans="1:17" x14ac:dyDescent="0.2">
      <c r="A122" s="80" t="s">
        <v>351</v>
      </c>
      <c r="B122" s="81">
        <f>16539*100/L109</f>
        <v>9.6198923949396544</v>
      </c>
      <c r="C122" s="81">
        <f>2767*100/L110</f>
        <v>4.916663705177867</v>
      </c>
      <c r="D122" s="81">
        <f>4924*100/L111</f>
        <v>6.2899991058084135</v>
      </c>
      <c r="E122" s="81" t="s">
        <v>1</v>
      </c>
      <c r="F122" s="81">
        <f>145*100/L113</f>
        <v>1.0974871329094762</v>
      </c>
    </row>
    <row r="123" spans="1:17" x14ac:dyDescent="0.2">
      <c r="A123" s="80" t="s">
        <v>2385</v>
      </c>
      <c r="B123" s="81">
        <v>36.324560127962776</v>
      </c>
      <c r="C123" s="81">
        <v>49.552222893493017</v>
      </c>
      <c r="D123" s="81">
        <v>28.354815221695642</v>
      </c>
      <c r="E123" s="81" t="s">
        <v>1</v>
      </c>
      <c r="F123" s="81">
        <v>23.947926127762639</v>
      </c>
    </row>
    <row r="124" spans="1:17" x14ac:dyDescent="0.2">
      <c r="A124" s="80" t="s">
        <v>2386</v>
      </c>
      <c r="B124" s="81">
        <f>56019*100/L109</f>
        <v>32.583393921768213</v>
      </c>
      <c r="C124" s="81">
        <f>22349*100/L110</f>
        <v>39.711787910018124</v>
      </c>
      <c r="D124" s="95">
        <f>28040*100/L111</f>
        <v>35.818760139493889</v>
      </c>
      <c r="E124" s="95" t="s">
        <v>1</v>
      </c>
      <c r="F124" s="95">
        <f>5060*100/L113</f>
        <v>38.298516500151379</v>
      </c>
    </row>
    <row r="125" spans="1:17" x14ac:dyDescent="0.2">
      <c r="A125" s="80" t="s">
        <v>344</v>
      </c>
      <c r="B125" s="81">
        <f>38814*100/L109</f>
        <v>22.576123309582666</v>
      </c>
      <c r="C125" s="81">
        <f>6082*100/L110</f>
        <v>10.807064927680443</v>
      </c>
      <c r="D125" s="81">
        <f>19377*100/L111</f>
        <v>24.752500542902034</v>
      </c>
      <c r="E125" s="81" t="s">
        <v>1</v>
      </c>
      <c r="F125" s="121">
        <f>1050*100/L113</f>
        <v>7.9473206176203455</v>
      </c>
    </row>
    <row r="126" spans="1:17" x14ac:dyDescent="0.2">
      <c r="A126" s="80" t="s">
        <v>348</v>
      </c>
      <c r="B126" s="81">
        <f>45237*100/L109</f>
        <v>26.312054675003637</v>
      </c>
      <c r="C126" s="81">
        <f>22349*100/L110</f>
        <v>39.711787910018124</v>
      </c>
      <c r="D126" s="81">
        <f>29264*100/L111</f>
        <v>37.382318000076644</v>
      </c>
      <c r="E126" s="81" t="s">
        <v>1</v>
      </c>
      <c r="F126" s="81" t="s">
        <v>1</v>
      </c>
    </row>
    <row r="127" spans="1:17" x14ac:dyDescent="0.2">
      <c r="A127" s="80" t="s">
        <v>340</v>
      </c>
      <c r="B127" s="81">
        <f>38935*100/L109</f>
        <v>22.646502835538751</v>
      </c>
      <c r="C127" s="81">
        <f>22349*100/L110</f>
        <v>39.711787910018124</v>
      </c>
      <c r="D127" s="81">
        <f>16366*100/L111</f>
        <v>20.906199302530563</v>
      </c>
      <c r="E127" s="81" t="s">
        <v>1</v>
      </c>
      <c r="F127" s="81">
        <f>5986*100/L113</f>
        <v>45.307296397214657</v>
      </c>
    </row>
    <row r="128" spans="1:17" x14ac:dyDescent="0.2">
      <c r="A128" s="85"/>
      <c r="B128" s="120"/>
      <c r="C128" s="120"/>
      <c r="D128" s="120"/>
      <c r="E128" s="120" t="s">
        <v>1</v>
      </c>
      <c r="F128" s="120"/>
    </row>
    <row r="129" spans="1:13" x14ac:dyDescent="0.2">
      <c r="A129" s="63"/>
      <c r="B129" s="88"/>
      <c r="C129" s="88"/>
      <c r="D129" s="88"/>
      <c r="E129" s="88"/>
      <c r="F129" s="88"/>
    </row>
    <row r="130" spans="1:13" x14ac:dyDescent="0.2">
      <c r="A130" s="130" t="s">
        <v>2435</v>
      </c>
      <c r="B130" s="130"/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</row>
    <row r="131" spans="1:13" x14ac:dyDescent="0.2">
      <c r="A131" s="82" t="s">
        <v>2384</v>
      </c>
      <c r="B131" s="119" t="s">
        <v>2465</v>
      </c>
      <c r="C131" s="82" t="s">
        <v>2396</v>
      </c>
      <c r="D131" s="82" t="s">
        <v>2397</v>
      </c>
      <c r="E131" s="82" t="s">
        <v>2398</v>
      </c>
      <c r="F131" s="82" t="s">
        <v>2415</v>
      </c>
      <c r="G131" s="82" t="s">
        <v>2416</v>
      </c>
      <c r="H131" s="82" t="s">
        <v>2417</v>
      </c>
      <c r="I131" s="82" t="s">
        <v>2418</v>
      </c>
      <c r="J131" s="82" t="s">
        <v>2419</v>
      </c>
      <c r="K131" s="82" t="s">
        <v>2420</v>
      </c>
      <c r="L131" s="82" t="s">
        <v>2421</v>
      </c>
      <c r="M131" s="82" t="s">
        <v>2422</v>
      </c>
    </row>
    <row r="132" spans="1:13" x14ac:dyDescent="0.2">
      <c r="A132" s="83" t="s">
        <v>2387</v>
      </c>
      <c r="B132" s="15">
        <f>Table17[[#Totals],[weight]]*100/Table10[[#Totals],[weight]]</f>
        <v>36.102348077073096</v>
      </c>
      <c r="C132" s="84">
        <f>COUNTIF(Table2226[Global Threshold],TRUE)*100/43</f>
        <v>60.465116279069768</v>
      </c>
      <c r="D132" s="83">
        <v>2</v>
      </c>
      <c r="E132" s="101">
        <v>92.3</v>
      </c>
      <c r="F132" s="81">
        <v>7.7</v>
      </c>
      <c r="G132" s="80" t="s">
        <v>1</v>
      </c>
      <c r="H132" s="80" t="s">
        <v>1</v>
      </c>
      <c r="I132" s="80" t="s">
        <v>1</v>
      </c>
      <c r="J132" s="80" t="s">
        <v>1</v>
      </c>
      <c r="K132" s="80" t="s">
        <v>1</v>
      </c>
      <c r="L132" s="80" t="s">
        <v>1</v>
      </c>
      <c r="M132" s="80" t="s">
        <v>1</v>
      </c>
    </row>
    <row r="133" spans="1:13" x14ac:dyDescent="0.2">
      <c r="A133" s="83" t="s">
        <v>303</v>
      </c>
      <c r="B133" s="15">
        <f>Table33[[#Totals],[weight]]*100/Table10[[#Totals],[weight]]</f>
        <v>34.736562914423899</v>
      </c>
      <c r="C133" s="84">
        <f>COUNTIF(Table2226[Disparity Filter],TRUE)*100/43</f>
        <v>67.441860465116278</v>
      </c>
      <c r="D133" s="83">
        <v>3</v>
      </c>
      <c r="E133" s="102">
        <v>82.75</v>
      </c>
      <c r="F133" s="80">
        <v>10.35</v>
      </c>
      <c r="G133" s="80">
        <v>6.9</v>
      </c>
      <c r="H133" s="80" t="s">
        <v>1</v>
      </c>
      <c r="I133" s="80" t="s">
        <v>1</v>
      </c>
      <c r="J133" s="80" t="s">
        <v>1</v>
      </c>
      <c r="K133" s="80" t="s">
        <v>1</v>
      </c>
      <c r="L133" s="80" t="s">
        <v>1</v>
      </c>
      <c r="M133" s="80" t="s">
        <v>1</v>
      </c>
    </row>
    <row r="134" spans="1:13" x14ac:dyDescent="0.2">
      <c r="A134" s="83" t="s">
        <v>351</v>
      </c>
      <c r="B134" s="15">
        <f>Table36[[#Totals],[weight]]*100/Table10[[#Totals],[weight]]</f>
        <v>7.6058974959045171</v>
      </c>
      <c r="C134" s="84">
        <f>COUNTIF(Table2226[Polya Filter],TRUE)*100/43</f>
        <v>58.139534883720927</v>
      </c>
      <c r="D134" s="83">
        <v>2</v>
      </c>
      <c r="E134" s="102">
        <v>92</v>
      </c>
      <c r="F134" s="80">
        <v>8</v>
      </c>
      <c r="G134" s="80" t="s">
        <v>1</v>
      </c>
      <c r="H134" s="80" t="s">
        <v>1</v>
      </c>
      <c r="I134" s="80" t="s">
        <v>1</v>
      </c>
      <c r="J134" s="80" t="s">
        <v>1</v>
      </c>
      <c r="K134" s="80" t="s">
        <v>1</v>
      </c>
      <c r="L134" s="80" t="s">
        <v>1</v>
      </c>
      <c r="M134" s="80" t="s">
        <v>1</v>
      </c>
    </row>
    <row r="135" spans="1:13" x14ac:dyDescent="0.2">
      <c r="A135" s="83" t="s">
        <v>2385</v>
      </c>
      <c r="B135" s="15">
        <f>Table34[[#Totals],[weight]]*100/Table10[[#Totals],[weight]]</f>
        <v>36.102348077073096</v>
      </c>
      <c r="C135" s="84">
        <f>COUNTIF(Table2226[NC Filter],TRUE)*100/43</f>
        <v>60.465116279069768</v>
      </c>
      <c r="D135" s="83">
        <v>2</v>
      </c>
      <c r="E135" s="102">
        <v>92.3</v>
      </c>
      <c r="F135" s="80">
        <v>7.7</v>
      </c>
      <c r="G135" s="80" t="s">
        <v>1</v>
      </c>
      <c r="H135" s="80" t="s">
        <v>1</v>
      </c>
      <c r="I135" s="80" t="s">
        <v>1</v>
      </c>
      <c r="J135" s="80" t="s">
        <v>1</v>
      </c>
      <c r="K135" s="86" t="s">
        <v>1</v>
      </c>
      <c r="L135" s="80" t="s">
        <v>1</v>
      </c>
      <c r="M135" s="80" t="s">
        <v>1</v>
      </c>
    </row>
    <row r="136" spans="1:13" x14ac:dyDescent="0.2">
      <c r="A136" s="83" t="s">
        <v>2386</v>
      </c>
      <c r="B136" s="15">
        <f>Table8[[#Totals],[weight]]*100/Table10[[#Totals],[weight]]</f>
        <v>34.782120290194243</v>
      </c>
      <c r="C136" s="84">
        <f>COUNTIF(Table2226[ML Filter],TRUE)*100/43</f>
        <v>67.441860465116278</v>
      </c>
      <c r="D136" s="83">
        <v>2</v>
      </c>
      <c r="E136" s="102">
        <v>93.1</v>
      </c>
      <c r="F136" s="80">
        <v>6.9</v>
      </c>
      <c r="G136" s="80" t="s">
        <v>1</v>
      </c>
      <c r="H136" s="80" t="s">
        <v>1</v>
      </c>
      <c r="I136" s="80" t="s">
        <v>1</v>
      </c>
      <c r="J136" s="80" t="s">
        <v>1</v>
      </c>
      <c r="K136" s="80" t="s">
        <v>1</v>
      </c>
      <c r="L136" s="80" t="s">
        <v>1</v>
      </c>
      <c r="M136" s="80" t="s">
        <v>1</v>
      </c>
    </row>
    <row r="137" spans="1:13" x14ac:dyDescent="0.2">
      <c r="A137" s="16" t="s">
        <v>344</v>
      </c>
      <c r="B137" s="15">
        <f>Table29[[#Totals],[weight]]*100/Table10[[#Totals],[weight]]</f>
        <v>20.383181215383416</v>
      </c>
      <c r="C137" s="111">
        <f>COUNTIF(Table2226[GLOSS Filter],TRUE)*100/43</f>
        <v>69.767441860465112</v>
      </c>
      <c r="D137" s="83">
        <v>4</v>
      </c>
      <c r="E137" s="102">
        <v>56.67</v>
      </c>
      <c r="F137" s="94">
        <v>26.67</v>
      </c>
      <c r="G137" s="80">
        <v>10</v>
      </c>
      <c r="H137" s="80">
        <v>6.66</v>
      </c>
      <c r="I137" s="80" t="s">
        <v>1</v>
      </c>
      <c r="J137" s="80" t="s">
        <v>1</v>
      </c>
      <c r="K137" s="80" t="s">
        <v>1</v>
      </c>
      <c r="L137" s="80" t="s">
        <v>1</v>
      </c>
      <c r="M137" s="80" t="s">
        <v>1</v>
      </c>
    </row>
    <row r="138" spans="1:13" x14ac:dyDescent="0.2">
      <c r="A138" s="83" t="s">
        <v>348</v>
      </c>
      <c r="B138" s="15">
        <f>Table2932[[#Totals],[weight]]*100/Table10[[#Totals],[weight]]</f>
        <v>30.220766050393948</v>
      </c>
      <c r="C138" s="111">
        <f>COUNTIF(Table2226[LANS Filter],TRUE)*100/43</f>
        <v>83.720930232558146</v>
      </c>
      <c r="D138" s="83">
        <v>6</v>
      </c>
      <c r="E138" s="103">
        <v>27.79</v>
      </c>
      <c r="F138" s="94">
        <v>25</v>
      </c>
      <c r="G138" s="94">
        <v>19.45</v>
      </c>
      <c r="H138" s="80">
        <v>11.1</v>
      </c>
      <c r="I138" s="80">
        <v>11.1</v>
      </c>
      <c r="J138" s="80">
        <v>5.56</v>
      </c>
      <c r="K138" s="80" t="s">
        <v>1</v>
      </c>
      <c r="L138" s="80" t="s">
        <v>1</v>
      </c>
      <c r="M138" s="80" t="s">
        <v>1</v>
      </c>
    </row>
    <row r="139" spans="1:13" x14ac:dyDescent="0.2">
      <c r="A139" s="83" t="s">
        <v>340</v>
      </c>
      <c r="B139" s="17">
        <f>Table32[[#Totals],[weight]]*100/Table10[[#Totals],[weight]]</f>
        <v>26.097511506357751</v>
      </c>
      <c r="C139" s="111">
        <f>COUNTIF(Table2226[ECM Filter],TRUE)*100/43</f>
        <v>88.372093023255815</v>
      </c>
      <c r="D139" s="83">
        <v>9</v>
      </c>
      <c r="E139" s="102">
        <v>28.95</v>
      </c>
      <c r="F139" s="94">
        <v>15.79</v>
      </c>
      <c r="G139" s="94">
        <v>10.52</v>
      </c>
      <c r="H139" s="94">
        <v>10.52</v>
      </c>
      <c r="I139" s="80">
        <v>7.9</v>
      </c>
      <c r="J139" s="80">
        <v>7.9</v>
      </c>
      <c r="K139" s="80">
        <v>7.9</v>
      </c>
      <c r="L139" s="80">
        <v>5.26</v>
      </c>
      <c r="M139" s="80">
        <v>5.26</v>
      </c>
    </row>
    <row r="141" spans="1:13" x14ac:dyDescent="0.2">
      <c r="B141" s="106"/>
    </row>
  </sheetData>
  <autoFilter ref="A131:G139" xr:uid="{E3380C91-8E1B-E946-BDB8-E3B29558B4EE}"/>
  <mergeCells count="8">
    <mergeCell ref="A130:L130"/>
    <mergeCell ref="A75:D75"/>
    <mergeCell ref="H107:K107"/>
    <mergeCell ref="N107:Q107"/>
    <mergeCell ref="A85:D85"/>
    <mergeCell ref="A107:F107"/>
    <mergeCell ref="A96:F96"/>
    <mergeCell ref="A118:F118"/>
  </mergeCells>
  <phoneticPr fontId="1" type="noConversion"/>
  <pageMargins left="0.7" right="0.7" top="0.75" bottom="0.75" header="0.3" footer="0.3"/>
  <ignoredErrors>
    <ignoredError sqref="B87:E94" calculatedColumn="1"/>
  </ignoredErrors>
  <legacyDrawing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762C6-56E3-2C4F-90E6-DA4253FE19AD}">
  <dimension ref="A1:C9"/>
  <sheetViews>
    <sheetView topLeftCell="A3" workbookViewId="0">
      <selection activeCell="C9" sqref="C9"/>
    </sheetView>
  </sheetViews>
  <sheetFormatPr baseColWidth="10" defaultRowHeight="16" x14ac:dyDescent="0.2"/>
  <cols>
    <col min="1" max="1" width="22.33203125" bestFit="1" customWidth="1"/>
    <col min="2" max="2" width="53.83203125" customWidth="1"/>
    <col min="3" max="3" width="37.6640625" bestFit="1" customWidth="1"/>
  </cols>
  <sheetData>
    <row r="1" spans="1:3" ht="32" customHeight="1" x14ac:dyDescent="0.2">
      <c r="A1" s="82" t="s">
        <v>2384</v>
      </c>
      <c r="B1" s="82" t="s">
        <v>2463</v>
      </c>
      <c r="C1" s="82" t="s">
        <v>2464</v>
      </c>
    </row>
    <row r="2" spans="1:3" ht="51" x14ac:dyDescent="0.2">
      <c r="A2" s="83" t="s">
        <v>2387</v>
      </c>
      <c r="B2" s="122" t="s">
        <v>2467</v>
      </c>
      <c r="C2" s="128" t="s">
        <v>2468</v>
      </c>
    </row>
    <row r="3" spans="1:3" ht="51" x14ac:dyDescent="0.2">
      <c r="A3" s="83" t="s">
        <v>303</v>
      </c>
      <c r="B3" s="122" t="s">
        <v>2472</v>
      </c>
      <c r="C3" s="128" t="s">
        <v>2469</v>
      </c>
    </row>
    <row r="4" spans="1:3" ht="51" x14ac:dyDescent="0.2">
      <c r="A4" s="83" t="s">
        <v>351</v>
      </c>
      <c r="B4" s="122" t="s">
        <v>2477</v>
      </c>
      <c r="C4" s="128" t="s">
        <v>2470</v>
      </c>
    </row>
    <row r="5" spans="1:3" x14ac:dyDescent="0.2">
      <c r="A5" s="83" t="s">
        <v>2475</v>
      </c>
      <c r="B5" s="112" t="s">
        <v>2471</v>
      </c>
      <c r="C5" s="112" t="s">
        <v>2471</v>
      </c>
    </row>
    <row r="6" spans="1:3" ht="68" x14ac:dyDescent="0.2">
      <c r="A6" s="83" t="s">
        <v>2386</v>
      </c>
      <c r="B6" s="122" t="s">
        <v>2474</v>
      </c>
      <c r="C6" s="112" t="s">
        <v>2473</v>
      </c>
    </row>
    <row r="7" spans="1:3" ht="51" x14ac:dyDescent="0.2">
      <c r="A7" s="16" t="s">
        <v>344</v>
      </c>
      <c r="B7" s="122" t="s">
        <v>2482</v>
      </c>
      <c r="C7" s="128" t="s">
        <v>2476</v>
      </c>
    </row>
    <row r="8" spans="1:3" ht="51" x14ac:dyDescent="0.2">
      <c r="A8" s="83" t="s">
        <v>348</v>
      </c>
      <c r="B8" s="122" t="s">
        <v>2478</v>
      </c>
      <c r="C8" s="128" t="s">
        <v>2479</v>
      </c>
    </row>
    <row r="9" spans="1:3" ht="34" x14ac:dyDescent="0.2">
      <c r="A9" s="83" t="s">
        <v>340</v>
      </c>
      <c r="B9" s="122" t="s">
        <v>2480</v>
      </c>
      <c r="C9" s="128" t="s">
        <v>2481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3FF23-7097-784A-AF68-E0EFD26E2384}">
  <dimension ref="A1:T26"/>
  <sheetViews>
    <sheetView topLeftCell="C1" workbookViewId="0">
      <selection activeCell="G23" sqref="G23"/>
    </sheetView>
  </sheetViews>
  <sheetFormatPr baseColWidth="10" defaultRowHeight="16" x14ac:dyDescent="0.2"/>
  <cols>
    <col min="1" max="1" width="29.33203125" customWidth="1"/>
    <col min="2" max="2" width="8.1640625" style="1" customWidth="1"/>
    <col min="3" max="3" width="15.83203125" style="1" bestFit="1" customWidth="1"/>
    <col min="4" max="4" width="10.83203125" style="1" customWidth="1"/>
    <col min="5" max="5" width="8.83203125" style="1" customWidth="1"/>
    <col min="6" max="6" width="13.6640625" style="1" customWidth="1"/>
    <col min="7" max="7" width="21.1640625" style="1" customWidth="1"/>
    <col min="8" max="8" width="14" style="1" bestFit="1" customWidth="1"/>
    <col min="9" max="13" width="18" style="1" customWidth="1"/>
    <col min="14" max="14" width="12.6640625" style="1" customWidth="1"/>
    <col min="15" max="19" width="10.83203125" style="1" customWidth="1"/>
  </cols>
  <sheetData>
    <row r="1" spans="1:20" x14ac:dyDescent="0.2">
      <c r="A1" t="s">
        <v>0</v>
      </c>
      <c r="B1" s="1" t="s">
        <v>728</v>
      </c>
      <c r="C1" s="1" t="s">
        <v>7</v>
      </c>
      <c r="D1" s="1" t="s">
        <v>8</v>
      </c>
      <c r="E1" s="1" t="s">
        <v>353</v>
      </c>
      <c r="F1" s="1" t="s">
        <v>354</v>
      </c>
      <c r="G1" s="1" t="s">
        <v>167</v>
      </c>
      <c r="H1" s="1" t="s">
        <v>352</v>
      </c>
      <c r="I1" s="1" t="s">
        <v>303</v>
      </c>
      <c r="J1" s="1" t="s">
        <v>351</v>
      </c>
      <c r="K1" s="1" t="s">
        <v>350</v>
      </c>
      <c r="L1" s="1" t="s">
        <v>349</v>
      </c>
      <c r="M1" s="1" t="s">
        <v>344</v>
      </c>
      <c r="N1" s="1" t="s">
        <v>348</v>
      </c>
      <c r="O1" s="1" t="s">
        <v>340</v>
      </c>
      <c r="P1" s="1" t="s">
        <v>2364</v>
      </c>
      <c r="Q1" s="1" t="s">
        <v>2363</v>
      </c>
      <c r="R1" s="1" t="s">
        <v>2362</v>
      </c>
      <c r="S1" s="1" t="s">
        <v>3</v>
      </c>
      <c r="T1" t="s">
        <v>2361</v>
      </c>
    </row>
    <row r="2" spans="1:20" x14ac:dyDescent="0.2">
      <c r="A2" t="s">
        <v>29</v>
      </c>
      <c r="B2" s="6">
        <v>730</v>
      </c>
      <c r="C2" s="23" t="s">
        <v>30</v>
      </c>
      <c r="D2" s="5" t="s">
        <v>131</v>
      </c>
      <c r="E2" s="6">
        <v>24</v>
      </c>
      <c r="F2" s="6">
        <v>44350</v>
      </c>
      <c r="G2" s="6" t="s">
        <v>227</v>
      </c>
      <c r="H2" s="1" t="b">
        <f>IF(ISERROR(VLOOKUP(_xlfn.CONCAT("K",D2),Table24[Label],1,FALSE)),FALSE,TRUE)</f>
        <v>1</v>
      </c>
      <c r="I2" s="1" t="b">
        <f>IF(ISERROR(VLOOKUP(_xlfn.CONCAT("K",D2),Table1[Label],1,FALSE)),FALSE,TRUE)</f>
        <v>1</v>
      </c>
      <c r="J2" s="1" t="b">
        <f>IF(ISERROR(VLOOKUP(_xlfn.CONCAT("K",D2),Table7[Label],1,FALSE)),FALSE,TRUE)</f>
        <v>1</v>
      </c>
      <c r="K2" s="1" t="b">
        <f>IF(ISERROR(VLOOKUP(_xlfn.CONCAT("K",D2),Table6[Label],1,FALSE)),FALSE,TRUE)</f>
        <v>1</v>
      </c>
      <c r="L2" s="1" t="b">
        <f>IF(ISERROR(VLOOKUP(_xlfn.CONCAT("K",D2),Table5[Label],1,FALSE)),FALSE,TRUE)</f>
        <v>1</v>
      </c>
      <c r="M2" s="1" t="b">
        <f>IF(ISERROR(VLOOKUP(_xlfn.CONCAT("K",D2),Table3[Label],1,FALSE)),FALSE,TRUE)</f>
        <v>0</v>
      </c>
      <c r="N2" s="1" t="b">
        <f>IF(ISERROR(VLOOKUP(_xlfn.CONCAT("K",D2),Table4[Label],1,FALSE)),FALSE,TRUE)</f>
        <v>1</v>
      </c>
      <c r="O2" s="1" t="b">
        <f>IF(ISERROR(VLOOKUP(_xlfn.CONCAT("K",D2),Table2[Label],1,FALSE)),FALSE,TRUE)</f>
        <v>1</v>
      </c>
      <c r="P2" s="24"/>
      <c r="Q2" s="24"/>
      <c r="R2" s="24"/>
      <c r="S2" s="24"/>
      <c r="T2" s="24"/>
    </row>
    <row r="3" spans="1:20" x14ac:dyDescent="0.2">
      <c r="A3" t="s">
        <v>35</v>
      </c>
      <c r="B3" s="6">
        <v>571</v>
      </c>
      <c r="C3" t="s">
        <v>36</v>
      </c>
      <c r="D3" s="5" t="s">
        <v>133</v>
      </c>
      <c r="E3" s="6">
        <v>27</v>
      </c>
      <c r="F3" s="6">
        <v>39711</v>
      </c>
      <c r="G3" s="1" t="s">
        <v>223</v>
      </c>
      <c r="H3" s="1" t="b">
        <f>IF(ISERROR(VLOOKUP(_xlfn.CONCAT("K",D3),Table24[Label],1,FALSE)),FALSE,TRUE)</f>
        <v>1</v>
      </c>
      <c r="I3" s="1" t="b">
        <f>IF(ISERROR(VLOOKUP(_xlfn.CONCAT("K",D3),Table1[Label],1,FALSE)),FALSE,TRUE)</f>
        <v>1</v>
      </c>
      <c r="J3" s="1" t="b">
        <f>IF(ISERROR(VLOOKUP(_xlfn.CONCAT("K",D3),Table7[Label],1,FALSE)),FALSE,TRUE)</f>
        <v>1</v>
      </c>
      <c r="K3" s="1" t="b">
        <f>IF(ISERROR(VLOOKUP(_xlfn.CONCAT("K",D3),Table6[Label],1,FALSE)),FALSE,TRUE)</f>
        <v>1</v>
      </c>
      <c r="L3" s="1" t="b">
        <f>IF(ISERROR(VLOOKUP(_xlfn.CONCAT("K",D3),Table5[Label],1,FALSE)),FALSE,TRUE)</f>
        <v>1</v>
      </c>
      <c r="M3" s="1" t="b">
        <f>IF(ISERROR(VLOOKUP(_xlfn.CONCAT("K",D3),Table3[Label],1,FALSE)),FALSE,TRUE)</f>
        <v>1</v>
      </c>
      <c r="N3" s="1" t="b">
        <f>IF(ISERROR(VLOOKUP(_xlfn.CONCAT("K",D3),Table4[Label],1,FALSE)),FALSE,TRUE)</f>
        <v>1</v>
      </c>
      <c r="O3" s="1" t="b">
        <f>IF(ISERROR(VLOOKUP(_xlfn.CONCAT("K",D3),Table2[Label],1,FALSE)),FALSE,TRUE)</f>
        <v>1</v>
      </c>
      <c r="P3" s="24"/>
      <c r="Q3" s="24"/>
      <c r="R3" s="24"/>
      <c r="S3" s="24"/>
      <c r="T3" s="24"/>
    </row>
    <row r="4" spans="1:20" x14ac:dyDescent="0.2">
      <c r="A4" t="s">
        <v>15</v>
      </c>
      <c r="B4" s="6">
        <v>506</v>
      </c>
      <c r="C4" s="23" t="s">
        <v>16</v>
      </c>
      <c r="D4" s="5" t="s">
        <v>126</v>
      </c>
      <c r="E4" s="6">
        <v>32</v>
      </c>
      <c r="F4" s="6">
        <v>36050</v>
      </c>
      <c r="G4" s="6" t="s">
        <v>222</v>
      </c>
      <c r="H4" s="1" t="b">
        <f>IF(ISERROR(VLOOKUP(_xlfn.CONCAT("K",D4),Table24[Label],1,FALSE)),FALSE,TRUE)</f>
        <v>1</v>
      </c>
      <c r="I4" s="1" t="b">
        <f>IF(ISERROR(VLOOKUP(_xlfn.CONCAT("K",D4),Table1[Label],1,FALSE)),FALSE,TRUE)</f>
        <v>1</v>
      </c>
      <c r="J4" s="1" t="b">
        <f>IF(ISERROR(VLOOKUP(_xlfn.CONCAT("K",D4),Table7[Label],1,FALSE)),FALSE,TRUE)</f>
        <v>1</v>
      </c>
      <c r="K4" s="1" t="b">
        <f>IF(ISERROR(VLOOKUP(_xlfn.CONCAT("K",D4),Table6[Label],1,FALSE)),FALSE,TRUE)</f>
        <v>1</v>
      </c>
      <c r="L4" s="1" t="b">
        <f>IF(ISERROR(VLOOKUP(_xlfn.CONCAT("K",D4),Table5[Label],1,FALSE)),FALSE,TRUE)</f>
        <v>1</v>
      </c>
      <c r="M4" s="1" t="b">
        <f>IF(ISERROR(VLOOKUP(_xlfn.CONCAT("K",D4),Table3[Label],1,FALSE)),FALSE,TRUE)</f>
        <v>1</v>
      </c>
      <c r="N4" s="1" t="b">
        <f>IF(ISERROR(VLOOKUP(_xlfn.CONCAT("K",D4),Table4[Label],1,FALSE)),FALSE,TRUE)</f>
        <v>1</v>
      </c>
      <c r="O4" s="1" t="b">
        <f>IF(ISERROR(VLOOKUP(_xlfn.CONCAT("K",D4),Table2[Label],1,FALSE)),FALSE,TRUE)</f>
        <v>1</v>
      </c>
      <c r="P4" s="24"/>
      <c r="Q4" s="24"/>
      <c r="R4" s="24"/>
      <c r="S4" s="24"/>
      <c r="T4" s="24"/>
    </row>
    <row r="5" spans="1:20" x14ac:dyDescent="0.2">
      <c r="A5" t="s">
        <v>52</v>
      </c>
      <c r="B5" s="6">
        <v>702</v>
      </c>
      <c r="C5" t="s">
        <v>53</v>
      </c>
      <c r="D5" s="5" t="s">
        <v>139</v>
      </c>
      <c r="E5" s="6">
        <v>27</v>
      </c>
      <c r="F5" s="6">
        <v>31784</v>
      </c>
      <c r="G5" s="1" t="s">
        <v>231</v>
      </c>
      <c r="H5" s="1" t="b">
        <f>IF(ISERROR(VLOOKUP(_xlfn.CONCAT("K",D5),Table24[Label],1,FALSE)),FALSE,TRUE)</f>
        <v>1</v>
      </c>
      <c r="I5" s="1" t="b">
        <f>IF(ISERROR(VLOOKUP(_xlfn.CONCAT("K",D5),Table1[Label],1,FALSE)),FALSE,TRUE)</f>
        <v>1</v>
      </c>
      <c r="J5" s="1" t="b">
        <f>IF(ISERROR(VLOOKUP(_xlfn.CONCAT("K",D5),Table7[Label],1,FALSE)),FALSE,TRUE)</f>
        <v>0</v>
      </c>
      <c r="K5" s="1" t="b">
        <f>IF(ISERROR(VLOOKUP(_xlfn.CONCAT("K",D5),Table6[Label],1,FALSE)),FALSE,TRUE)</f>
        <v>1</v>
      </c>
      <c r="L5" s="1" t="b">
        <f>IF(ISERROR(VLOOKUP(_xlfn.CONCAT("K",D5),Table5[Label],1,FALSE)),FALSE,TRUE)</f>
        <v>1</v>
      </c>
      <c r="M5" s="1" t="b">
        <f>IF(ISERROR(VLOOKUP(_xlfn.CONCAT("K",D5),Table3[Label],1,FALSE)),FALSE,TRUE)</f>
        <v>1</v>
      </c>
      <c r="N5" s="1" t="b">
        <f>IF(ISERROR(VLOOKUP(_xlfn.CONCAT("K",D5),Table4[Label],1,FALSE)),FALSE,TRUE)</f>
        <v>1</v>
      </c>
      <c r="O5" s="1" t="b">
        <f>IF(ISERROR(VLOOKUP(_xlfn.CONCAT("K",D5),Table2[Label],1,FALSE)),FALSE,TRUE)</f>
        <v>1</v>
      </c>
      <c r="P5" s="24"/>
      <c r="Q5" s="24"/>
      <c r="R5" s="24"/>
      <c r="S5" s="24"/>
      <c r="T5" s="24"/>
    </row>
    <row r="6" spans="1:20" x14ac:dyDescent="0.2">
      <c r="A6" t="s">
        <v>12</v>
      </c>
      <c r="B6" s="6">
        <v>691</v>
      </c>
      <c r="C6" s="23" t="s">
        <v>13</v>
      </c>
      <c r="D6" s="5" t="s">
        <v>125</v>
      </c>
      <c r="E6" s="6">
        <v>32</v>
      </c>
      <c r="F6" s="6">
        <v>29032</v>
      </c>
      <c r="G6" s="6" t="s">
        <v>221</v>
      </c>
      <c r="H6" s="1" t="b">
        <f>IF(ISERROR(VLOOKUP(_xlfn.CONCAT("K",D6),Table24[Label],1,FALSE)),FALSE,TRUE)</f>
        <v>1</v>
      </c>
      <c r="I6" s="1" t="b">
        <f>IF(ISERROR(VLOOKUP(_xlfn.CONCAT("K",D6),Table1[Label],1,FALSE)),FALSE,TRUE)</f>
        <v>1</v>
      </c>
      <c r="J6" s="1" t="b">
        <f>IF(ISERROR(VLOOKUP(_xlfn.CONCAT("K",D6),Table7[Label],1,FALSE)),FALSE,TRUE)</f>
        <v>0</v>
      </c>
      <c r="K6" s="1" t="b">
        <f>IF(ISERROR(VLOOKUP(_xlfn.CONCAT("K",D6),Table6[Label],1,FALSE)),FALSE,TRUE)</f>
        <v>1</v>
      </c>
      <c r="L6" s="1" t="b">
        <f>IF(ISERROR(VLOOKUP(_xlfn.CONCAT("K",D6),Table5[Label],1,FALSE)),FALSE,TRUE)</f>
        <v>1</v>
      </c>
      <c r="M6" s="1" t="b">
        <f>IF(ISERROR(VLOOKUP(_xlfn.CONCAT("K",D6),Table3[Label],1,FALSE)),FALSE,TRUE)</f>
        <v>1</v>
      </c>
      <c r="N6" s="1" t="b">
        <f>IF(ISERROR(VLOOKUP(_xlfn.CONCAT("K",D6),Table4[Label],1,FALSE)),FALSE,TRUE)</f>
        <v>1</v>
      </c>
      <c r="O6" s="1" t="b">
        <f>IF(ISERROR(VLOOKUP(_xlfn.CONCAT("K",D6),Table2[Label],1,FALSE)),FALSE,TRUE)</f>
        <v>1</v>
      </c>
      <c r="P6" s="24"/>
      <c r="Q6" s="24"/>
      <c r="R6" s="24"/>
      <c r="S6" s="24"/>
      <c r="T6" s="24"/>
    </row>
    <row r="7" spans="1:20" x14ac:dyDescent="0.2">
      <c r="A7" t="s">
        <v>9</v>
      </c>
      <c r="B7" s="6">
        <v>648</v>
      </c>
      <c r="C7" s="23" t="s">
        <v>10</v>
      </c>
      <c r="D7" s="5" t="s">
        <v>124</v>
      </c>
      <c r="E7" s="6">
        <v>25</v>
      </c>
      <c r="F7" s="6">
        <v>28737</v>
      </c>
      <c r="G7" s="6" t="s">
        <v>220</v>
      </c>
      <c r="H7" s="1" t="b">
        <f>IF(ISERROR(VLOOKUP(_xlfn.CONCAT("K",D7),Table24[Label],1,FALSE)),FALSE,TRUE)</f>
        <v>1</v>
      </c>
      <c r="I7" s="1" t="b">
        <f>IF(ISERROR(VLOOKUP(_xlfn.CONCAT("K",D7),Table1[Label],1,FALSE)),FALSE,TRUE)</f>
        <v>1</v>
      </c>
      <c r="J7" s="1" t="b">
        <f>IF(ISERROR(VLOOKUP(_xlfn.CONCAT("K",D7),Table7[Label],1,FALSE)),FALSE,TRUE)</f>
        <v>1</v>
      </c>
      <c r="K7" s="1" t="b">
        <f>IF(ISERROR(VLOOKUP(_xlfn.CONCAT("K",D7),Table6[Label],1,FALSE)),FALSE,TRUE)</f>
        <v>1</v>
      </c>
      <c r="L7" s="1" t="b">
        <f>IF(ISERROR(VLOOKUP(_xlfn.CONCAT("K",D7),Table5[Label],1,FALSE)),FALSE,TRUE)</f>
        <v>1</v>
      </c>
      <c r="M7" s="1" t="b">
        <f>IF(ISERROR(VLOOKUP(_xlfn.CONCAT("K",D7),Table3[Label],1,FALSE)),FALSE,TRUE)</f>
        <v>1</v>
      </c>
      <c r="N7" s="1" t="b">
        <f>IF(ISERROR(VLOOKUP(_xlfn.CONCAT("K",D7),Table4[Label],1,FALSE)),FALSE,TRUE)</f>
        <v>1</v>
      </c>
      <c r="O7" s="1" t="b">
        <f>IF(ISERROR(VLOOKUP(_xlfn.CONCAT("K",D7),Table2[Label],1,FALSE)),FALSE,TRUE)</f>
        <v>1</v>
      </c>
      <c r="P7" s="24"/>
      <c r="Q7" s="24"/>
      <c r="R7" s="24"/>
      <c r="S7" s="24"/>
      <c r="T7" s="24"/>
    </row>
    <row r="8" spans="1:20" x14ac:dyDescent="0.2">
      <c r="A8" t="s">
        <v>27</v>
      </c>
      <c r="B8" s="6">
        <v>733</v>
      </c>
      <c r="C8" t="s">
        <v>2</v>
      </c>
      <c r="D8" s="5" t="s">
        <v>130</v>
      </c>
      <c r="E8" s="6">
        <v>25</v>
      </c>
      <c r="F8" s="6">
        <v>28057</v>
      </c>
      <c r="G8" s="1" t="s">
        <v>226</v>
      </c>
      <c r="H8" s="1" t="b">
        <f>IF(ISERROR(VLOOKUP(_xlfn.CONCAT("K",D8),Table24[Label],1,FALSE)),FALSE,TRUE)</f>
        <v>1</v>
      </c>
      <c r="I8" s="1" t="b">
        <f>IF(ISERROR(VLOOKUP(_xlfn.CONCAT("K",D8),Table1[Label],1,FALSE)),FALSE,TRUE)</f>
        <v>1</v>
      </c>
      <c r="J8" s="1" t="b">
        <f>IF(ISERROR(VLOOKUP(_xlfn.CONCAT("K",D8),Table7[Label],1,FALSE)),FALSE,TRUE)</f>
        <v>1</v>
      </c>
      <c r="K8" s="1" t="b">
        <f>IF(ISERROR(VLOOKUP(_xlfn.CONCAT("K",D8),Table6[Label],1,FALSE)),FALSE,TRUE)</f>
        <v>1</v>
      </c>
      <c r="L8" s="1" t="b">
        <f>IF(ISERROR(VLOOKUP(_xlfn.CONCAT("K",D8),Table5[Label],1,FALSE)),FALSE,TRUE)</f>
        <v>1</v>
      </c>
      <c r="M8" s="1" t="b">
        <f>IF(ISERROR(VLOOKUP(_xlfn.CONCAT("K",D8),Table3[Label],1,FALSE)),FALSE,TRUE)</f>
        <v>1</v>
      </c>
      <c r="N8" s="1" t="b">
        <f>IF(ISERROR(VLOOKUP(_xlfn.CONCAT("K",D8),Table4[Label],1,FALSE)),FALSE,TRUE)</f>
        <v>1</v>
      </c>
      <c r="O8" s="1" t="b">
        <f>IF(ISERROR(VLOOKUP(_xlfn.CONCAT("K",D8),Table2[Label],1,FALSE)),FALSE,TRUE)</f>
        <v>1</v>
      </c>
      <c r="P8" s="24"/>
      <c r="Q8" s="24"/>
      <c r="R8" s="24"/>
      <c r="S8" s="24"/>
      <c r="T8" s="24"/>
    </row>
    <row r="9" spans="1:20" x14ac:dyDescent="0.2">
      <c r="A9" t="s">
        <v>18</v>
      </c>
      <c r="B9" s="6">
        <v>575</v>
      </c>
      <c r="C9" t="s">
        <v>19</v>
      </c>
      <c r="D9" s="5" t="s">
        <v>127</v>
      </c>
      <c r="E9" s="6">
        <v>30</v>
      </c>
      <c r="F9" s="6">
        <v>24221</v>
      </c>
      <c r="G9" s="1" t="s">
        <v>223</v>
      </c>
      <c r="H9" s="1" t="b">
        <f>IF(ISERROR(VLOOKUP(_xlfn.CONCAT("K",D9),Table24[Label],1,FALSE)),FALSE,TRUE)</f>
        <v>1</v>
      </c>
      <c r="I9" s="1" t="b">
        <f>IF(ISERROR(VLOOKUP(_xlfn.CONCAT("K",D9),Table1[Label],1,FALSE)),FALSE,TRUE)</f>
        <v>1</v>
      </c>
      <c r="J9" s="1" t="b">
        <f>IF(ISERROR(VLOOKUP(_xlfn.CONCAT("K",D9),Table7[Label],1,FALSE)),FALSE,TRUE)</f>
        <v>1</v>
      </c>
      <c r="K9" s="1" t="b">
        <f>IF(ISERROR(VLOOKUP(_xlfn.CONCAT("K",D9),Table6[Label],1,FALSE)),FALSE,TRUE)</f>
        <v>1</v>
      </c>
      <c r="L9" s="1" t="b">
        <f>IF(ISERROR(VLOOKUP(_xlfn.CONCAT("K",D9),Table5[Label],1,FALSE)),FALSE,TRUE)</f>
        <v>1</v>
      </c>
      <c r="M9" s="1" t="b">
        <f>IF(ISERROR(VLOOKUP(_xlfn.CONCAT("K",D9),Table3[Label],1,FALSE)),FALSE,TRUE)</f>
        <v>1</v>
      </c>
      <c r="N9" s="1" t="b">
        <f>IF(ISERROR(VLOOKUP(_xlfn.CONCAT("K",D9),Table4[Label],1,FALSE)),FALSE,TRUE)</f>
        <v>1</v>
      </c>
      <c r="O9" s="1" t="b">
        <f>IF(ISERROR(VLOOKUP(_xlfn.CONCAT("K",D9),Table2[Label],1,FALSE)),FALSE,TRUE)</f>
        <v>1</v>
      </c>
      <c r="P9" s="24"/>
      <c r="Q9" s="24"/>
      <c r="R9" s="24"/>
      <c r="S9" s="24"/>
      <c r="T9" s="24"/>
    </row>
    <row r="10" spans="1:20" x14ac:dyDescent="0.2">
      <c r="A10" t="s">
        <v>32</v>
      </c>
      <c r="B10" s="6">
        <v>554</v>
      </c>
      <c r="C10" t="s">
        <v>33</v>
      </c>
      <c r="D10" s="5" t="s">
        <v>132</v>
      </c>
      <c r="E10" s="6">
        <v>29</v>
      </c>
      <c r="F10" s="6">
        <v>23813</v>
      </c>
      <c r="G10" s="1" t="s">
        <v>223</v>
      </c>
      <c r="H10" s="1" t="b">
        <f>IF(ISERROR(VLOOKUP(_xlfn.CONCAT("K",D10),Table24[Label],1,FALSE)),FALSE,TRUE)</f>
        <v>1</v>
      </c>
      <c r="I10" s="1" t="b">
        <f>IF(ISERROR(VLOOKUP(_xlfn.CONCAT("K",D10),Table1[Label],1,FALSE)),FALSE,TRUE)</f>
        <v>1</v>
      </c>
      <c r="J10" s="1" t="b">
        <f>IF(ISERROR(VLOOKUP(_xlfn.CONCAT("K",D10),Table7[Label],1,FALSE)),FALSE,TRUE)</f>
        <v>1</v>
      </c>
      <c r="K10" s="1" t="b">
        <f>IF(ISERROR(VLOOKUP(_xlfn.CONCAT("K",D10),Table6[Label],1,FALSE)),FALSE,TRUE)</f>
        <v>1</v>
      </c>
      <c r="L10" s="1" t="b">
        <f>IF(ISERROR(VLOOKUP(_xlfn.CONCAT("K",D10),Table5[Label],1,FALSE)),FALSE,TRUE)</f>
        <v>1</v>
      </c>
      <c r="M10" s="1" t="b">
        <f>IF(ISERROR(VLOOKUP(_xlfn.CONCAT("K",D10),Table3[Label],1,FALSE)),FALSE,TRUE)</f>
        <v>1</v>
      </c>
      <c r="N10" s="1" t="b">
        <f>IF(ISERROR(VLOOKUP(_xlfn.CONCAT("K",D10),Table4[Label],1,FALSE)),FALSE,TRUE)</f>
        <v>1</v>
      </c>
      <c r="O10" s="1" t="b">
        <f>IF(ISERROR(VLOOKUP(_xlfn.CONCAT("K",D10),Table2[Label],1,FALSE)),FALSE,TRUE)</f>
        <v>1</v>
      </c>
      <c r="P10" s="24"/>
      <c r="Q10" s="24"/>
      <c r="R10" s="24"/>
      <c r="S10" s="24"/>
      <c r="T10" s="24"/>
    </row>
    <row r="11" spans="1:20" x14ac:dyDescent="0.2">
      <c r="A11" t="s">
        <v>42</v>
      </c>
      <c r="B11" s="6">
        <v>700</v>
      </c>
      <c r="C11" t="s">
        <v>43</v>
      </c>
      <c r="D11" s="5" t="s">
        <v>135</v>
      </c>
      <c r="E11" s="6">
        <v>29</v>
      </c>
      <c r="F11" s="6">
        <v>23724</v>
      </c>
      <c r="G11" s="1" t="s">
        <v>223</v>
      </c>
      <c r="H11" s="1" t="b">
        <f>IF(ISERROR(VLOOKUP(_xlfn.CONCAT("K",D11),Table24[Label],1,FALSE)),FALSE,TRUE)</f>
        <v>1</v>
      </c>
      <c r="I11" s="1" t="b">
        <f>IF(ISERROR(VLOOKUP(_xlfn.CONCAT("K",D11),Table1[Label],1,FALSE)),FALSE,TRUE)</f>
        <v>1</v>
      </c>
      <c r="J11" s="1" t="b">
        <f>IF(ISERROR(VLOOKUP(_xlfn.CONCAT("K",D11),Table7[Label],1,FALSE)),FALSE,TRUE)</f>
        <v>1</v>
      </c>
      <c r="K11" s="1" t="b">
        <f>IF(ISERROR(VLOOKUP(_xlfn.CONCAT("K",D11),Table6[Label],1,FALSE)),FALSE,TRUE)</f>
        <v>1</v>
      </c>
      <c r="L11" s="1" t="b">
        <f>IF(ISERROR(VLOOKUP(_xlfn.CONCAT("K",D11),Table5[Label],1,FALSE)),FALSE,TRUE)</f>
        <v>1</v>
      </c>
      <c r="M11" s="1" t="b">
        <f>IF(ISERROR(VLOOKUP(_xlfn.CONCAT("K",D11),Table3[Label],1,FALSE)),FALSE,TRUE)</f>
        <v>1</v>
      </c>
      <c r="N11" s="1" t="b">
        <f>IF(ISERROR(VLOOKUP(_xlfn.CONCAT("K",D11),Table4[Label],1,FALSE)),FALSE,TRUE)</f>
        <v>1</v>
      </c>
      <c r="O11" s="1" t="b">
        <f>IF(ISERROR(VLOOKUP(_xlfn.CONCAT("K",D11),Table2[Label],1,FALSE)),FALSE,TRUE)</f>
        <v>1</v>
      </c>
      <c r="P11" s="24"/>
      <c r="Q11" s="24"/>
      <c r="R11" s="24"/>
      <c r="S11" s="24"/>
      <c r="T11" s="24"/>
    </row>
    <row r="12" spans="1:20" x14ac:dyDescent="0.2">
      <c r="A12" t="s">
        <v>69</v>
      </c>
      <c r="B12" s="6">
        <v>736</v>
      </c>
      <c r="C12" s="23" t="s">
        <v>70</v>
      </c>
      <c r="D12" s="5" t="s">
        <v>145</v>
      </c>
      <c r="E12" s="6">
        <v>23</v>
      </c>
      <c r="F12" s="6">
        <v>23054</v>
      </c>
      <c r="G12" s="6" t="s">
        <v>232</v>
      </c>
      <c r="H12" s="1" t="b">
        <f>IF(ISERROR(VLOOKUP(_xlfn.CONCAT("K",D12),Table24[Label],1,FALSE)),FALSE,TRUE)</f>
        <v>1</v>
      </c>
      <c r="I12" s="1" t="b">
        <f>IF(ISERROR(VLOOKUP(_xlfn.CONCAT("K",D12),Table1[Label],1,FALSE)),FALSE,TRUE)</f>
        <v>1</v>
      </c>
      <c r="J12" s="1" t="b">
        <f>IF(ISERROR(VLOOKUP(_xlfn.CONCAT("K",D12),Table7[Label],1,FALSE)),FALSE,TRUE)</f>
        <v>1</v>
      </c>
      <c r="K12" s="1" t="b">
        <f>IF(ISERROR(VLOOKUP(_xlfn.CONCAT("K",D12),Table6[Label],1,FALSE)),FALSE,TRUE)</f>
        <v>1</v>
      </c>
      <c r="L12" s="1" t="b">
        <f>IF(ISERROR(VLOOKUP(_xlfn.CONCAT("K",D12),Table5[Label],1,FALSE)),FALSE,TRUE)</f>
        <v>1</v>
      </c>
      <c r="M12" s="1" t="b">
        <f>IF(ISERROR(VLOOKUP(_xlfn.CONCAT("K",D12),Table3[Label],1,FALSE)),FALSE,TRUE)</f>
        <v>1</v>
      </c>
      <c r="N12" s="1" t="b">
        <f>IF(ISERROR(VLOOKUP(_xlfn.CONCAT("K",D12),Table4[Label],1,FALSE)),FALSE,TRUE)</f>
        <v>1</v>
      </c>
      <c r="O12" s="1" t="b">
        <f>IF(ISERROR(VLOOKUP(_xlfn.CONCAT("K",D12),Table2[Label],1,FALSE)),FALSE,TRUE)</f>
        <v>1</v>
      </c>
      <c r="P12" s="24"/>
      <c r="Q12" s="24"/>
      <c r="R12" s="24"/>
      <c r="S12" s="24"/>
      <c r="T12" s="24"/>
    </row>
    <row r="13" spans="1:20" x14ac:dyDescent="0.2">
      <c r="A13" t="s">
        <v>55</v>
      </c>
      <c r="B13" s="6">
        <v>682</v>
      </c>
      <c r="C13" s="23" t="s">
        <v>56</v>
      </c>
      <c r="D13" s="5" t="s">
        <v>140</v>
      </c>
      <c r="E13" s="6">
        <v>30</v>
      </c>
      <c r="F13" s="6">
        <v>21171</v>
      </c>
      <c r="G13" s="6" t="s">
        <v>232</v>
      </c>
      <c r="H13" s="1" t="b">
        <f>IF(ISERROR(VLOOKUP(_xlfn.CONCAT("K",D13),Table24[Label],1,FALSE)),FALSE,TRUE)</f>
        <v>1</v>
      </c>
      <c r="I13" s="1" t="b">
        <f>IF(ISERROR(VLOOKUP(_xlfn.CONCAT("K",D13),Table1[Label],1,FALSE)),FALSE,TRUE)</f>
        <v>1</v>
      </c>
      <c r="J13" s="1" t="b">
        <f>IF(ISERROR(VLOOKUP(_xlfn.CONCAT("K",D13),Table7[Label],1,FALSE)),FALSE,TRUE)</f>
        <v>1</v>
      </c>
      <c r="K13" s="1" t="b">
        <f>IF(ISERROR(VLOOKUP(_xlfn.CONCAT("K",D13),Table6[Label],1,FALSE)),FALSE,TRUE)</f>
        <v>1</v>
      </c>
      <c r="L13" s="1" t="b">
        <f>IF(ISERROR(VLOOKUP(_xlfn.CONCAT("K",D13),Table5[Label],1,FALSE)),FALSE,TRUE)</f>
        <v>1</v>
      </c>
      <c r="M13" s="1" t="b">
        <f>IF(ISERROR(VLOOKUP(_xlfn.CONCAT("K",D13),Table3[Label],1,FALSE)),FALSE,TRUE)</f>
        <v>1</v>
      </c>
      <c r="N13" s="1" t="b">
        <f>IF(ISERROR(VLOOKUP(_xlfn.CONCAT("K",D13),Table4[Label],1,FALSE)),FALSE,TRUE)</f>
        <v>1</v>
      </c>
      <c r="O13" s="1" t="b">
        <f>IF(ISERROR(VLOOKUP(_xlfn.CONCAT("K",D13),Table2[Label],1,FALSE)),FALSE,TRUE)</f>
        <v>1</v>
      </c>
      <c r="P13" s="24"/>
      <c r="Q13" s="24"/>
      <c r="R13" s="24"/>
      <c r="S13" s="24"/>
      <c r="T13" s="24"/>
    </row>
    <row r="14" spans="1:20" x14ac:dyDescent="0.2">
      <c r="A14" t="s">
        <v>49</v>
      </c>
      <c r="B14" s="6">
        <v>574</v>
      </c>
      <c r="C14" t="s">
        <v>50</v>
      </c>
      <c r="D14" s="5" t="s">
        <v>138</v>
      </c>
      <c r="E14" s="6">
        <v>30</v>
      </c>
      <c r="F14" s="6">
        <v>20047</v>
      </c>
      <c r="G14" s="1" t="s">
        <v>230</v>
      </c>
      <c r="H14" s="1" t="b">
        <f>IF(ISERROR(VLOOKUP(_xlfn.CONCAT("K",D14),Table24[Label],1,FALSE)),FALSE,TRUE)</f>
        <v>1</v>
      </c>
      <c r="I14" s="1" t="b">
        <f>IF(ISERROR(VLOOKUP(_xlfn.CONCAT("K",D14),Table1[Label],1,FALSE)),FALSE,TRUE)</f>
        <v>1</v>
      </c>
      <c r="J14" s="1" t="b">
        <f>IF(ISERROR(VLOOKUP(_xlfn.CONCAT("K",D14),Table7[Label],1,FALSE)),FALSE,TRUE)</f>
        <v>1</v>
      </c>
      <c r="K14" s="1" t="b">
        <f>IF(ISERROR(VLOOKUP(_xlfn.CONCAT("K",D14),Table6[Label],1,FALSE)),FALSE,TRUE)</f>
        <v>1</v>
      </c>
      <c r="L14" s="1" t="b">
        <f>IF(ISERROR(VLOOKUP(_xlfn.CONCAT("K",D14),Table5[Label],1,FALSE)),FALSE,TRUE)</f>
        <v>1</v>
      </c>
      <c r="M14" s="1" t="b">
        <f>IF(ISERROR(VLOOKUP(_xlfn.CONCAT("K",D14),Table3[Label],1,FALSE)),FALSE,TRUE)</f>
        <v>1</v>
      </c>
      <c r="N14" s="1" t="b">
        <f>IF(ISERROR(VLOOKUP(_xlfn.CONCAT("K",D14),Table4[Label],1,FALSE)),FALSE,TRUE)</f>
        <v>1</v>
      </c>
      <c r="O14" s="1" t="b">
        <f>IF(ISERROR(VLOOKUP(_xlfn.CONCAT("K",D14),Table2[Label],1,FALSE)),FALSE,TRUE)</f>
        <v>1</v>
      </c>
      <c r="P14" s="24"/>
      <c r="Q14" s="24"/>
      <c r="R14" s="24"/>
      <c r="S14" s="24"/>
      <c r="T14" s="24"/>
    </row>
    <row r="15" spans="1:20" x14ac:dyDescent="0.2">
      <c r="A15" t="s">
        <v>24</v>
      </c>
      <c r="B15" s="6">
        <v>591</v>
      </c>
      <c r="C15" t="s">
        <v>25</v>
      </c>
      <c r="D15" s="5" t="s">
        <v>129</v>
      </c>
      <c r="E15" s="6">
        <v>28</v>
      </c>
      <c r="F15" s="6">
        <v>18390</v>
      </c>
      <c r="G15" s="1" t="s">
        <v>225</v>
      </c>
      <c r="H15" s="1" t="b">
        <f>IF(ISERROR(VLOOKUP(_xlfn.CONCAT("K",D15),Table24[Label],1,FALSE)),FALSE,TRUE)</f>
        <v>1</v>
      </c>
      <c r="I15" s="1" t="b">
        <f>IF(ISERROR(VLOOKUP(_xlfn.CONCAT("K",D15),Table1[Label],1,FALSE)),FALSE,TRUE)</f>
        <v>1</v>
      </c>
      <c r="J15" s="1" t="b">
        <f>IF(ISERROR(VLOOKUP(_xlfn.CONCAT("K",D15),Table7[Label],1,FALSE)),FALSE,TRUE)</f>
        <v>0</v>
      </c>
      <c r="K15" s="1" t="b">
        <f>IF(ISERROR(VLOOKUP(_xlfn.CONCAT("K",D15),Table6[Label],1,FALSE)),FALSE,TRUE)</f>
        <v>1</v>
      </c>
      <c r="L15" s="1" t="b">
        <f>IF(ISERROR(VLOOKUP(_xlfn.CONCAT("K",D15),Table5[Label],1,FALSE)),FALSE,TRUE)</f>
        <v>1</v>
      </c>
      <c r="M15" s="1" t="b">
        <f>IF(ISERROR(VLOOKUP(_xlfn.CONCAT("K",D15),Table3[Label],1,FALSE)),FALSE,TRUE)</f>
        <v>1</v>
      </c>
      <c r="N15" s="1" t="b">
        <f>IF(ISERROR(VLOOKUP(_xlfn.CONCAT("K",D15),Table4[Label],1,FALSE)),FALSE,TRUE)</f>
        <v>1</v>
      </c>
      <c r="O15" s="1" t="b">
        <f>IF(ISERROR(VLOOKUP(_xlfn.CONCAT("K",D15),Table2[Label],1,FALSE)),FALSE,TRUE)</f>
        <v>1</v>
      </c>
      <c r="P15" s="24"/>
      <c r="Q15" s="24"/>
      <c r="R15" s="24"/>
      <c r="S15" s="24"/>
      <c r="T15" s="24"/>
    </row>
    <row r="16" spans="1:20" x14ac:dyDescent="0.2">
      <c r="A16" t="s">
        <v>61</v>
      </c>
      <c r="B16" s="6">
        <v>673</v>
      </c>
      <c r="C16" t="s">
        <v>62</v>
      </c>
      <c r="D16" s="5" t="s">
        <v>142</v>
      </c>
      <c r="E16" s="6">
        <v>22</v>
      </c>
      <c r="F16" s="6">
        <v>18349</v>
      </c>
      <c r="G16" s="1" t="s">
        <v>223</v>
      </c>
      <c r="H16" s="1" t="b">
        <f>IF(ISERROR(VLOOKUP(_xlfn.CONCAT("K",D16),Table24[Label],1,FALSE)),FALSE,TRUE)</f>
        <v>1</v>
      </c>
      <c r="I16" s="1" t="b">
        <f>IF(ISERROR(VLOOKUP(_xlfn.CONCAT("K",D16),Table1[Label],1,FALSE)),FALSE,TRUE)</f>
        <v>1</v>
      </c>
      <c r="J16" s="1" t="b">
        <f>IF(ISERROR(VLOOKUP(_xlfn.CONCAT("K",D16),Table7[Label],1,FALSE)),FALSE,TRUE)</f>
        <v>1</v>
      </c>
      <c r="K16" s="1" t="b">
        <f>IF(ISERROR(VLOOKUP(_xlfn.CONCAT("K",D16),Table6[Label],1,FALSE)),FALSE,TRUE)</f>
        <v>1</v>
      </c>
      <c r="L16" s="1" t="b">
        <f>IF(ISERROR(VLOOKUP(_xlfn.CONCAT("K",D16),Table5[Label],1,FALSE)),FALSE,TRUE)</f>
        <v>1</v>
      </c>
      <c r="M16" s="1" t="b">
        <f>IF(ISERROR(VLOOKUP(_xlfn.CONCAT("K",D16),Table3[Label],1,FALSE)),FALSE,TRUE)</f>
        <v>1</v>
      </c>
      <c r="N16" s="1" t="b">
        <f>IF(ISERROR(VLOOKUP(_xlfn.CONCAT("K",D16),Table4[Label],1,FALSE)),FALSE,TRUE)</f>
        <v>1</v>
      </c>
      <c r="O16" s="1" t="b">
        <f>IF(ISERROR(VLOOKUP(_xlfn.CONCAT("K",D16),Table2[Label],1,FALSE)),FALSE,TRUE)</f>
        <v>1</v>
      </c>
      <c r="P16" s="24"/>
      <c r="Q16" s="24"/>
      <c r="R16" s="24"/>
      <c r="S16" s="24"/>
      <c r="T16" s="24"/>
    </row>
    <row r="17" spans="1:20" x14ac:dyDescent="0.2">
      <c r="A17" t="s">
        <v>45</v>
      </c>
      <c r="B17" s="6">
        <v>529</v>
      </c>
      <c r="C17" s="23" t="s">
        <v>46</v>
      </c>
      <c r="D17" s="5" t="s">
        <v>136</v>
      </c>
      <c r="E17" s="6">
        <v>27</v>
      </c>
      <c r="F17" s="6">
        <v>15952</v>
      </c>
      <c r="G17" s="6" t="s">
        <v>229</v>
      </c>
      <c r="H17" s="1" t="b">
        <f>IF(ISERROR(VLOOKUP(_xlfn.CONCAT("K",D17),Table24[Label],1,FALSE)),FALSE,TRUE)</f>
        <v>0</v>
      </c>
      <c r="I17" s="1" t="b">
        <f>IF(ISERROR(VLOOKUP(_xlfn.CONCAT("K",D17),Table1[Label],1,FALSE)),FALSE,TRUE)</f>
        <v>0</v>
      </c>
      <c r="J17" s="1" t="b">
        <f>IF(ISERROR(VLOOKUP(_xlfn.CONCAT("K",D17),Table7[Label],1,FALSE)),FALSE,TRUE)</f>
        <v>1</v>
      </c>
      <c r="K17" s="1" t="b">
        <f>IF(ISERROR(VLOOKUP(_xlfn.CONCAT("K",D17),Table6[Label],1,FALSE)),FALSE,TRUE)</f>
        <v>0</v>
      </c>
      <c r="L17" s="1" t="b">
        <f>IF(ISERROR(VLOOKUP(_xlfn.CONCAT("K",D17),Table5[Label],1,FALSE)),FALSE,TRUE)</f>
        <v>0</v>
      </c>
      <c r="M17" s="1" t="b">
        <f>IF(ISERROR(VLOOKUP(_xlfn.CONCAT("K",D17),Table3[Label],1,FALSE)),FALSE,TRUE)</f>
        <v>1</v>
      </c>
      <c r="N17" s="1" t="b">
        <f>IF(ISERROR(VLOOKUP(_xlfn.CONCAT("K",D17),Table4[Label],1,FALSE)),FALSE,TRUE)</f>
        <v>1</v>
      </c>
      <c r="O17" s="1" t="b">
        <f>IF(ISERROR(VLOOKUP(_xlfn.CONCAT("K",D17),Table2[Label],1,FALSE)),FALSE,TRUE)</f>
        <v>1</v>
      </c>
      <c r="P17" s="24"/>
      <c r="Q17" s="24"/>
      <c r="R17" s="24"/>
      <c r="S17" s="24"/>
      <c r="T17" s="24"/>
    </row>
    <row r="18" spans="1:20" x14ac:dyDescent="0.2">
      <c r="A18" t="s">
        <v>47</v>
      </c>
      <c r="B18" s="6">
        <v>627</v>
      </c>
      <c r="C18" s="23" t="s">
        <v>48</v>
      </c>
      <c r="D18" s="5" t="s">
        <v>137</v>
      </c>
      <c r="E18" s="6">
        <v>29</v>
      </c>
      <c r="F18" s="6">
        <v>15166</v>
      </c>
      <c r="G18" s="6" t="s">
        <v>225</v>
      </c>
      <c r="H18" s="1" t="b">
        <f>IF(ISERROR(VLOOKUP(_xlfn.CONCAT("K",D18),Table24[Label],1,FALSE)),FALSE,TRUE)</f>
        <v>0</v>
      </c>
      <c r="I18" s="1" t="b">
        <f>IF(ISERROR(VLOOKUP(_xlfn.CONCAT("K",D18),Table1[Label],1,FALSE)),FALSE,TRUE)</f>
        <v>0</v>
      </c>
      <c r="J18" s="1" t="b">
        <f>IF(ISERROR(VLOOKUP(_xlfn.CONCAT("K",D18),Table7[Label],1,FALSE)),FALSE,TRUE)</f>
        <v>1</v>
      </c>
      <c r="K18" s="1" t="b">
        <f>IF(ISERROR(VLOOKUP(_xlfn.CONCAT("K",D18),Table6[Label],1,FALSE)),FALSE,TRUE)</f>
        <v>0</v>
      </c>
      <c r="L18" s="1" t="b">
        <f>IF(ISERROR(VLOOKUP(_xlfn.CONCAT("K",D18),Table5[Label],1,FALSE)),FALSE,TRUE)</f>
        <v>1</v>
      </c>
      <c r="M18" s="1" t="b">
        <f>IF(ISERROR(VLOOKUP(_xlfn.CONCAT("K",D18),Table3[Label],1,FALSE)),FALSE,TRUE)</f>
        <v>1</v>
      </c>
      <c r="N18" s="1" t="b">
        <f>IF(ISERROR(VLOOKUP(_xlfn.CONCAT("K",D18),Table4[Label],1,FALSE)),FALSE,TRUE)</f>
        <v>1</v>
      </c>
      <c r="O18" s="1" t="b">
        <f>IF(ISERROR(VLOOKUP(_xlfn.CONCAT("K",D18),Table2[Label],1,FALSE)),FALSE,TRUE)</f>
        <v>1</v>
      </c>
      <c r="P18" s="24"/>
      <c r="Q18" s="24"/>
      <c r="R18" s="24"/>
      <c r="S18" s="24"/>
      <c r="T18" s="24"/>
    </row>
    <row r="19" spans="1:20" x14ac:dyDescent="0.2">
      <c r="A19" t="s">
        <v>21</v>
      </c>
      <c r="B19" s="6">
        <v>645</v>
      </c>
      <c r="C19" s="23" t="s">
        <v>22</v>
      </c>
      <c r="D19" s="5" t="s">
        <v>128</v>
      </c>
      <c r="E19" s="6">
        <v>22</v>
      </c>
      <c r="F19" s="6">
        <v>14416</v>
      </c>
      <c r="G19" s="6" t="s">
        <v>224</v>
      </c>
      <c r="H19" s="1" t="b">
        <f>IF(ISERROR(VLOOKUP(_xlfn.CONCAT("K",D19),Table24[Label],1,FALSE)),FALSE,TRUE)</f>
        <v>1</v>
      </c>
      <c r="I19" s="1" t="b">
        <f>IF(ISERROR(VLOOKUP(_xlfn.CONCAT("K",D19),Table1[Label],1,FALSE)),FALSE,TRUE)</f>
        <v>1</v>
      </c>
      <c r="J19" s="1" t="b">
        <f>IF(ISERROR(VLOOKUP(_xlfn.CONCAT("K",D19),Table7[Label],1,FALSE)),FALSE,TRUE)</f>
        <v>1</v>
      </c>
      <c r="K19" s="1" t="b">
        <f>IF(ISERROR(VLOOKUP(_xlfn.CONCAT("K",D19),Table6[Label],1,FALSE)),FALSE,TRUE)</f>
        <v>1</v>
      </c>
      <c r="L19" s="1" t="b">
        <f>IF(ISERROR(VLOOKUP(_xlfn.CONCAT("K",D19),Table5[Label],1,FALSE)),FALSE,TRUE)</f>
        <v>1</v>
      </c>
      <c r="M19" s="1" t="b">
        <f>IF(ISERROR(VLOOKUP(_xlfn.CONCAT("K",D19),Table3[Label],1,FALSE)),FALSE,TRUE)</f>
        <v>1</v>
      </c>
      <c r="N19" s="1" t="b">
        <f>IF(ISERROR(VLOOKUP(_xlfn.CONCAT("K",D19),Table4[Label],1,FALSE)),FALSE,TRUE)</f>
        <v>1</v>
      </c>
      <c r="O19" s="1" t="b">
        <f>IF(ISERROR(VLOOKUP(_xlfn.CONCAT("K",D19),Table2[Label],1,FALSE)),FALSE,TRUE)</f>
        <v>1</v>
      </c>
      <c r="P19" s="24"/>
      <c r="Q19" s="24"/>
      <c r="R19" s="24"/>
      <c r="S19" s="24"/>
      <c r="T19" s="24"/>
    </row>
    <row r="20" spans="1:20" x14ac:dyDescent="0.2">
      <c r="A20" t="s">
        <v>58</v>
      </c>
      <c r="B20" s="6">
        <v>579</v>
      </c>
      <c r="C20" s="23" t="s">
        <v>59</v>
      </c>
      <c r="D20" s="5" t="s">
        <v>141</v>
      </c>
      <c r="E20" s="6">
        <v>30</v>
      </c>
      <c r="F20" s="6">
        <v>11690</v>
      </c>
      <c r="G20" s="6" t="s">
        <v>232</v>
      </c>
      <c r="H20" s="1" t="b">
        <f>IF(ISERROR(VLOOKUP(_xlfn.CONCAT("K",D20),Table24[Label],1,FALSE)),FALSE,TRUE)</f>
        <v>0</v>
      </c>
      <c r="I20" s="1" t="b">
        <f>IF(ISERROR(VLOOKUP(_xlfn.CONCAT("K",D20),Table1[Label],1,FALSE)),FALSE,TRUE)</f>
        <v>0</v>
      </c>
      <c r="J20" s="1" t="b">
        <f>IF(ISERROR(VLOOKUP(_xlfn.CONCAT("K",D20),Table7[Label],1,FALSE)),FALSE,TRUE)</f>
        <v>1</v>
      </c>
      <c r="K20" s="1" t="b">
        <f>IF(ISERROR(VLOOKUP(_xlfn.CONCAT("K",D20),Table6[Label],1,FALSE)),FALSE,TRUE)</f>
        <v>0</v>
      </c>
      <c r="L20" s="1" t="b">
        <f>IF(ISERROR(VLOOKUP(_xlfn.CONCAT("K",D20),Table5[Label],1,FALSE)),FALSE,TRUE)</f>
        <v>0</v>
      </c>
      <c r="M20" s="1" t="b">
        <f>IF(ISERROR(VLOOKUP(_xlfn.CONCAT("K",D20),Table3[Label],1,FALSE)),FALSE,TRUE)</f>
        <v>1</v>
      </c>
      <c r="N20" s="1" t="b">
        <f>IF(ISERROR(VLOOKUP(_xlfn.CONCAT("K",D20),Table4[Label],1,FALSE)),FALSE,TRUE)</f>
        <v>1</v>
      </c>
      <c r="O20" s="1" t="b">
        <f>IF(ISERROR(VLOOKUP(_xlfn.CONCAT("K",D20),Table2[Label],1,FALSE)),FALSE,TRUE)</f>
        <v>0</v>
      </c>
      <c r="P20" s="24"/>
      <c r="Q20" s="24"/>
      <c r="R20" s="24"/>
      <c r="S20" s="24"/>
      <c r="T20" s="24"/>
    </row>
    <row r="21" spans="1:20" x14ac:dyDescent="0.2">
      <c r="A21" t="s">
        <v>64</v>
      </c>
      <c r="B21" s="6">
        <v>625</v>
      </c>
      <c r="C21" s="23" t="s">
        <v>36</v>
      </c>
      <c r="D21" s="5" t="s">
        <v>143</v>
      </c>
      <c r="E21" s="6">
        <v>26</v>
      </c>
      <c r="F21" s="6">
        <v>10697</v>
      </c>
      <c r="G21" s="6" t="s">
        <v>225</v>
      </c>
      <c r="H21" s="1" t="b">
        <f>IF(ISERROR(VLOOKUP(_xlfn.CONCAT("K",D21),Table24[Label],1,FALSE)),FALSE,TRUE)</f>
        <v>1</v>
      </c>
      <c r="I21" s="1" t="b">
        <f>IF(ISERROR(VLOOKUP(_xlfn.CONCAT("K",D21),Table1[Label],1,FALSE)),FALSE,TRUE)</f>
        <v>1</v>
      </c>
      <c r="J21" s="1" t="b">
        <f>IF(ISERROR(VLOOKUP(_xlfn.CONCAT("K",D21),Table7[Label],1,FALSE)),FALSE,TRUE)</f>
        <v>1</v>
      </c>
      <c r="K21" s="1" t="b">
        <f>IF(ISERROR(VLOOKUP(_xlfn.CONCAT("K",D21),Table6[Label],1,FALSE)),FALSE,TRUE)</f>
        <v>1</v>
      </c>
      <c r="L21" s="1" t="b">
        <f>IF(ISERROR(VLOOKUP(_xlfn.CONCAT("K",D21),Table5[Label],1,FALSE)),FALSE,TRUE)</f>
        <v>1</v>
      </c>
      <c r="M21" s="1" t="b">
        <f>IF(ISERROR(VLOOKUP(_xlfn.CONCAT("K",D21),Table3[Label],1,FALSE)),FALSE,TRUE)</f>
        <v>1</v>
      </c>
      <c r="N21" s="1" t="b">
        <f>IF(ISERROR(VLOOKUP(_xlfn.CONCAT("K",D21),Table4[Label],1,FALSE)),FALSE,TRUE)</f>
        <v>1</v>
      </c>
      <c r="O21" s="1" t="b">
        <f>IF(ISERROR(VLOOKUP(_xlfn.CONCAT("K",D21),Table2[Label],1,FALSE)),FALSE,TRUE)</f>
        <v>1</v>
      </c>
      <c r="P21" s="24"/>
      <c r="Q21" s="24"/>
      <c r="R21" s="24"/>
      <c r="S21" s="24"/>
      <c r="T21" s="24"/>
    </row>
    <row r="22" spans="1:20" x14ac:dyDescent="0.2">
      <c r="E22" s="6"/>
    </row>
    <row r="23" spans="1:20" x14ac:dyDescent="0.2">
      <c r="E23" s="6"/>
    </row>
    <row r="24" spans="1:20" x14ac:dyDescent="0.2">
      <c r="E24" s="6"/>
    </row>
    <row r="25" spans="1:20" x14ac:dyDescent="0.2">
      <c r="E25" s="6"/>
    </row>
    <row r="26" spans="1:20" x14ac:dyDescent="0.2">
      <c r="E26" s="6"/>
    </row>
  </sheetData>
  <phoneticPr fontId="1" type="noConversion"/>
  <conditionalFormatting sqref="E22:E1048576 H1:H21 J2:O21">
    <cfRule type="cellIs" dxfId="154" priority="15" operator="equal">
      <formula>FALSE</formula>
    </cfRule>
    <cfRule type="cellIs" dxfId="153" priority="16" operator="equal">
      <formula>TRUE</formula>
    </cfRule>
  </conditionalFormatting>
  <conditionalFormatting sqref="I2:M21">
    <cfRule type="cellIs" dxfId="152" priority="13" operator="equal">
      <formula>FALSE</formula>
    </cfRule>
    <cfRule type="cellIs" dxfId="151" priority="14" operator="equal">
      <formula>TRUE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9095B-E338-A745-BEEB-5A119719B1FA}">
  <dimension ref="A1:O53"/>
  <sheetViews>
    <sheetView workbookViewId="0">
      <selection activeCell="D4" sqref="D4"/>
    </sheetView>
  </sheetViews>
  <sheetFormatPr baseColWidth="10" defaultRowHeight="16" x14ac:dyDescent="0.2"/>
  <cols>
    <col min="1" max="1" width="13.83203125" customWidth="1"/>
    <col min="2" max="2" width="18.83203125" bestFit="1" customWidth="1"/>
    <col min="3" max="3" width="8.1640625" style="1" customWidth="1"/>
    <col min="4" max="4" width="10.83203125" style="1" customWidth="1"/>
    <col min="5" max="5" width="8.83203125" style="1" customWidth="1"/>
    <col min="6" max="6" width="13.6640625" style="1" customWidth="1"/>
    <col min="7" max="7" width="21.1640625" style="1" customWidth="1"/>
    <col min="8" max="8" width="14" style="1" bestFit="1" customWidth="1"/>
    <col min="9" max="9" width="18" style="1" customWidth="1"/>
    <col min="10" max="10" width="12.6640625" style="1" customWidth="1"/>
    <col min="11" max="15" width="10.83203125" style="1" customWidth="1"/>
  </cols>
  <sheetData>
    <row r="1" spans="1:15" x14ac:dyDescent="0.2">
      <c r="A1" t="s">
        <v>0</v>
      </c>
      <c r="B1" t="s">
        <v>7</v>
      </c>
      <c r="C1" s="1" t="s">
        <v>728</v>
      </c>
      <c r="D1" s="1" t="s">
        <v>8</v>
      </c>
      <c r="E1" s="1" t="s">
        <v>353</v>
      </c>
      <c r="F1" s="1" t="s">
        <v>354</v>
      </c>
      <c r="G1" s="1" t="s">
        <v>167</v>
      </c>
      <c r="H1" s="1" t="s">
        <v>352</v>
      </c>
      <c r="I1" s="1" t="s">
        <v>303</v>
      </c>
      <c r="J1" s="1" t="s">
        <v>340</v>
      </c>
      <c r="K1" s="1" t="s">
        <v>344</v>
      </c>
      <c r="L1" s="1" t="s">
        <v>348</v>
      </c>
      <c r="M1" s="1" t="s">
        <v>349</v>
      </c>
      <c r="N1" s="1" t="s">
        <v>350</v>
      </c>
      <c r="O1" s="1" t="s">
        <v>351</v>
      </c>
    </row>
    <row r="2" spans="1:15" x14ac:dyDescent="0.2">
      <c r="A2" t="s">
        <v>39</v>
      </c>
      <c r="B2" t="s">
        <v>40</v>
      </c>
      <c r="C2" s="1">
        <v>647</v>
      </c>
      <c r="D2" s="5" t="s">
        <v>134</v>
      </c>
      <c r="E2" s="1">
        <v>28</v>
      </c>
      <c r="F2" s="1">
        <v>26074</v>
      </c>
      <c r="G2" s="1" t="s">
        <v>228</v>
      </c>
      <c r="H2" s="1" t="b">
        <f>IF(ISERROR(VLOOKUP(_xlfn.CONCAT("K",D2),Table24[Label],1,FALSE)),FALSE,TRUE)</f>
        <v>1</v>
      </c>
      <c r="I2" s="1" t="b">
        <f>IF(ISERROR(VLOOKUP(_xlfn.CONCAT("K",D2),Table1[Label],1,FALSE)),FALSE,TRUE)</f>
        <v>1</v>
      </c>
      <c r="J2" s="1" t="b">
        <f>IF(ISERROR(VLOOKUP(_xlfn.CONCAT("K",D2),Table2[Label],1,FALSE)),FALSE,TRUE)</f>
        <v>1</v>
      </c>
      <c r="K2" s="1" t="b">
        <f>IF(ISERROR(VLOOKUP(_xlfn.CONCAT("K",D2),Table3[Label],1,FALSE)),FALSE,TRUE)</f>
        <v>0</v>
      </c>
      <c r="L2" s="1" t="b">
        <f>IF(ISERROR(VLOOKUP(_xlfn.CONCAT("K",D2),Table4[Label],1,FALSE)),FALSE,TRUE)</f>
        <v>1</v>
      </c>
      <c r="M2" s="1" t="b">
        <f>IF(ISERROR(VLOOKUP(_xlfn.CONCAT("K",D2),Table5[Label],1,FALSE)),FALSE,TRUE)</f>
        <v>1</v>
      </c>
      <c r="N2" s="1" t="b">
        <f>IF(ISERROR(VLOOKUP(_xlfn.CONCAT("K",D2),Table6[Label],1,FALSE)),FALSE,TRUE)</f>
        <v>1</v>
      </c>
      <c r="O2" s="1" t="b">
        <f>IF(ISERROR(VLOOKUP(_xlfn.CONCAT("K",D2),Table7[Label],1,FALSE)),FALSE,TRUE)</f>
        <v>1</v>
      </c>
    </row>
    <row r="3" spans="1:15" x14ac:dyDescent="0.2">
      <c r="A3" t="s">
        <v>72</v>
      </c>
      <c r="B3" t="s">
        <v>73</v>
      </c>
      <c r="C3" s="1">
        <v>597</v>
      </c>
      <c r="D3" s="5" t="s">
        <v>146</v>
      </c>
      <c r="E3" s="1">
        <v>24</v>
      </c>
      <c r="F3" s="1">
        <v>22882</v>
      </c>
      <c r="G3" s="1" t="s">
        <v>233</v>
      </c>
      <c r="H3" s="1" t="b">
        <f>IF(ISERROR(VLOOKUP(_xlfn.CONCAT("K",D3),Table24[Label],1,FALSE)),FALSE,TRUE)</f>
        <v>1</v>
      </c>
      <c r="I3" s="1" t="b">
        <f>IF(ISERROR(VLOOKUP(_xlfn.CONCAT("K",D3),Table1[Label],1,FALSE)),FALSE,TRUE)</f>
        <v>1</v>
      </c>
      <c r="J3" s="1" t="b">
        <f>IF(ISERROR(VLOOKUP(_xlfn.CONCAT("K",D3),Table2[Label],1,FALSE)),FALSE,TRUE)</f>
        <v>1</v>
      </c>
      <c r="K3" s="1" t="b">
        <f>IF(ISERROR(VLOOKUP(_xlfn.CONCAT("K",D3),Table3[Label],1,FALSE)),FALSE,TRUE)</f>
        <v>1</v>
      </c>
      <c r="L3" s="1" t="b">
        <f>IF(ISERROR(VLOOKUP(_xlfn.CONCAT("K",D3),Table4[Label],1,FALSE)),FALSE,TRUE)</f>
        <v>1</v>
      </c>
      <c r="M3" s="1" t="b">
        <f>IF(ISERROR(VLOOKUP(_xlfn.CONCAT("K",D3),Table5[Label],1,FALSE)),FALSE,TRUE)</f>
        <v>1</v>
      </c>
      <c r="N3" s="1" t="b">
        <f>IF(ISERROR(VLOOKUP(_xlfn.CONCAT("K",D3),Table6[Label],1,FALSE)),FALSE,TRUE)</f>
        <v>1</v>
      </c>
      <c r="O3" s="1" t="b">
        <f>IF(ISERROR(VLOOKUP(_xlfn.CONCAT("K",D3),Table7[Label],1,FALSE)),FALSE,TRUE)</f>
        <v>0</v>
      </c>
    </row>
    <row r="4" spans="1:15" x14ac:dyDescent="0.2">
      <c r="A4" t="s">
        <v>66</v>
      </c>
      <c r="B4" t="s">
        <v>67</v>
      </c>
      <c r="C4" s="1">
        <v>663</v>
      </c>
      <c r="D4" s="5" t="s">
        <v>144</v>
      </c>
      <c r="E4" s="1">
        <v>25</v>
      </c>
      <c r="F4" s="1">
        <v>22088</v>
      </c>
      <c r="G4" s="1" t="s">
        <v>233</v>
      </c>
      <c r="H4" s="1" t="b">
        <f>IF(ISERROR(VLOOKUP(_xlfn.CONCAT("K",D4),Table24[Label],1,FALSE)),FALSE,TRUE)</f>
        <v>1</v>
      </c>
      <c r="I4" s="1" t="b">
        <f>IF(ISERROR(VLOOKUP(_xlfn.CONCAT("K",D4),Table1[Label],1,FALSE)),FALSE,TRUE)</f>
        <v>1</v>
      </c>
      <c r="J4" s="1" t="b">
        <f>IF(ISERROR(VLOOKUP(_xlfn.CONCAT("K",D4),Table2[Label],1,FALSE)),FALSE,TRUE)</f>
        <v>1</v>
      </c>
      <c r="K4" s="1" t="b">
        <f>IF(ISERROR(VLOOKUP(_xlfn.CONCAT("K",D4),Table3[Label],1,FALSE)),FALSE,TRUE)</f>
        <v>1</v>
      </c>
      <c r="L4" s="1" t="b">
        <f>IF(ISERROR(VLOOKUP(_xlfn.CONCAT("K",D4),Table4[Label],1,FALSE)),FALSE,TRUE)</f>
        <v>1</v>
      </c>
      <c r="M4" s="1" t="b">
        <f>IF(ISERROR(VLOOKUP(_xlfn.CONCAT("K",D4),Table5[Label],1,FALSE)),FALSE,TRUE)</f>
        <v>1</v>
      </c>
      <c r="N4" s="1" t="b">
        <f>IF(ISERROR(VLOOKUP(_xlfn.CONCAT("K",D4),Table6[Label],1,FALSE)),FALSE,TRUE)</f>
        <v>1</v>
      </c>
      <c r="O4" s="1" t="b">
        <f>IF(ISERROR(VLOOKUP(_xlfn.CONCAT("K",D4),Table7[Label],1,FALSE)),FALSE,TRUE)</f>
        <v>1</v>
      </c>
    </row>
    <row r="5" spans="1:15" x14ac:dyDescent="0.2">
      <c r="E5" s="6"/>
    </row>
    <row r="6" spans="1:15" x14ac:dyDescent="0.2">
      <c r="E6" s="6"/>
    </row>
    <row r="7" spans="1:15" x14ac:dyDescent="0.2">
      <c r="E7" s="6"/>
    </row>
    <row r="8" spans="1:15" x14ac:dyDescent="0.2">
      <c r="E8" s="6"/>
    </row>
    <row r="9" spans="1:15" x14ac:dyDescent="0.2">
      <c r="E9" s="6"/>
    </row>
    <row r="10" spans="1:15" x14ac:dyDescent="0.2">
      <c r="A10" t="s">
        <v>234</v>
      </c>
      <c r="B10" t="s">
        <v>235</v>
      </c>
      <c r="C10" s="1" t="s">
        <v>236</v>
      </c>
      <c r="D10" s="1" t="s">
        <v>0</v>
      </c>
      <c r="E10" s="1" t="s">
        <v>7</v>
      </c>
      <c r="F10" s="1" t="s">
        <v>237</v>
      </c>
      <c r="G10" s="1" t="s">
        <v>8</v>
      </c>
      <c r="H10" s="1" t="s">
        <v>238</v>
      </c>
      <c r="I10" s="1" t="s">
        <v>239</v>
      </c>
      <c r="J10" s="1" t="s">
        <v>240</v>
      </c>
    </row>
    <row r="11" spans="1:15" x14ac:dyDescent="0.2">
      <c r="A11">
        <v>730</v>
      </c>
      <c r="B11" t="s">
        <v>256</v>
      </c>
      <c r="C11" s="1" t="s">
        <v>257</v>
      </c>
      <c r="D11" s="1" t="s">
        <v>29</v>
      </c>
      <c r="E11" s="1" t="s">
        <v>30</v>
      </c>
      <c r="F11" s="1" t="s">
        <v>243</v>
      </c>
      <c r="G11" s="1" t="s">
        <v>31</v>
      </c>
      <c r="H11" s="1">
        <v>24</v>
      </c>
      <c r="I11" s="1">
        <v>44350</v>
      </c>
      <c r="J11" s="1">
        <v>1</v>
      </c>
    </row>
    <row r="12" spans="1:15" x14ac:dyDescent="0.2">
      <c r="A12">
        <v>571</v>
      </c>
      <c r="B12" t="s">
        <v>260</v>
      </c>
      <c r="C12" s="1" t="s">
        <v>261</v>
      </c>
      <c r="D12" s="1" t="s">
        <v>35</v>
      </c>
      <c r="E12" s="1" t="s">
        <v>36</v>
      </c>
      <c r="F12" s="1" t="s">
        <v>243</v>
      </c>
      <c r="G12" s="1" t="s">
        <v>37</v>
      </c>
      <c r="H12" s="1">
        <v>27</v>
      </c>
      <c r="I12" s="1">
        <v>39711</v>
      </c>
      <c r="J12" s="1">
        <v>1</v>
      </c>
    </row>
    <row r="13" spans="1:15" x14ac:dyDescent="0.2">
      <c r="A13">
        <v>506</v>
      </c>
      <c r="B13" t="s">
        <v>246</v>
      </c>
      <c r="C13" s="1" t="s">
        <v>247</v>
      </c>
      <c r="D13" s="1" t="s">
        <v>15</v>
      </c>
      <c r="E13" s="1" t="s">
        <v>16</v>
      </c>
      <c r="F13" s="1" t="s">
        <v>243</v>
      </c>
      <c r="G13" s="1" t="s">
        <v>17</v>
      </c>
      <c r="H13" s="1">
        <v>32</v>
      </c>
      <c r="I13" s="1">
        <v>36050</v>
      </c>
      <c r="J13" s="1">
        <v>1</v>
      </c>
    </row>
    <row r="14" spans="1:15" x14ac:dyDescent="0.2">
      <c r="A14">
        <v>702</v>
      </c>
      <c r="B14" t="s">
        <v>268</v>
      </c>
      <c r="C14" s="1" t="s">
        <v>269</v>
      </c>
      <c r="D14" s="1" t="s">
        <v>52</v>
      </c>
      <c r="E14" s="1" t="s">
        <v>53</v>
      </c>
      <c r="F14" s="1" t="s">
        <v>243</v>
      </c>
      <c r="G14" s="1" t="s">
        <v>54</v>
      </c>
      <c r="H14" s="1">
        <v>27</v>
      </c>
      <c r="I14" s="1">
        <v>31784</v>
      </c>
      <c r="J14" s="1">
        <v>1</v>
      </c>
    </row>
    <row r="15" spans="1:15" x14ac:dyDescent="0.2">
      <c r="A15">
        <v>691</v>
      </c>
      <c r="B15" t="s">
        <v>244</v>
      </c>
      <c r="C15" s="1" t="s">
        <v>245</v>
      </c>
      <c r="D15" s="1" t="s">
        <v>12</v>
      </c>
      <c r="E15" s="1" t="s">
        <v>13</v>
      </c>
      <c r="F15" s="1" t="s">
        <v>243</v>
      </c>
      <c r="G15" s="1" t="s">
        <v>14</v>
      </c>
      <c r="H15" s="1">
        <v>32</v>
      </c>
      <c r="I15" s="1">
        <v>29032</v>
      </c>
      <c r="J15" s="1">
        <v>1</v>
      </c>
    </row>
    <row r="16" spans="1:15" x14ac:dyDescent="0.2">
      <c r="A16">
        <v>648</v>
      </c>
      <c r="B16" t="s">
        <v>241</v>
      </c>
      <c r="C16" s="1" t="s">
        <v>242</v>
      </c>
      <c r="D16" s="1" t="s">
        <v>9</v>
      </c>
      <c r="E16" s="1" t="s">
        <v>10</v>
      </c>
      <c r="F16" s="1" t="s">
        <v>243</v>
      </c>
      <c r="G16" s="1" t="s">
        <v>11</v>
      </c>
      <c r="H16" s="1">
        <v>25</v>
      </c>
      <c r="I16" s="1">
        <v>28737</v>
      </c>
      <c r="J16" s="1">
        <v>1</v>
      </c>
    </row>
    <row r="17" spans="1:10" x14ac:dyDescent="0.2">
      <c r="A17">
        <v>733</v>
      </c>
      <c r="B17" t="s">
        <v>254</v>
      </c>
      <c r="C17" s="1" t="s">
        <v>255</v>
      </c>
      <c r="D17" s="1" t="s">
        <v>27</v>
      </c>
      <c r="E17" s="1" t="s">
        <v>2</v>
      </c>
      <c r="F17" s="1" t="s">
        <v>243</v>
      </c>
      <c r="G17" s="1" t="s">
        <v>28</v>
      </c>
      <c r="H17" s="1">
        <v>25</v>
      </c>
      <c r="I17" s="1">
        <v>28057</v>
      </c>
      <c r="J17" s="1">
        <v>1</v>
      </c>
    </row>
    <row r="18" spans="1:10" x14ac:dyDescent="0.2">
      <c r="A18">
        <v>647</v>
      </c>
      <c r="B18" t="s">
        <v>262</v>
      </c>
      <c r="C18" s="1" t="s">
        <v>263</v>
      </c>
      <c r="D18" s="1" t="s">
        <v>39</v>
      </c>
      <c r="E18" s="1" t="s">
        <v>40</v>
      </c>
      <c r="F18" s="1" t="s">
        <v>243</v>
      </c>
      <c r="G18" s="1" t="s">
        <v>41</v>
      </c>
      <c r="H18" s="1">
        <v>28</v>
      </c>
      <c r="I18" s="1">
        <v>26074</v>
      </c>
      <c r="J18" s="1">
        <v>1</v>
      </c>
    </row>
    <row r="19" spans="1:10" x14ac:dyDescent="0.2">
      <c r="A19">
        <v>575</v>
      </c>
      <c r="B19" t="s">
        <v>248</v>
      </c>
      <c r="C19" s="1" t="s">
        <v>249</v>
      </c>
      <c r="D19" s="1" t="s">
        <v>18</v>
      </c>
      <c r="E19" s="1" t="s">
        <v>19</v>
      </c>
      <c r="F19" s="1" t="s">
        <v>243</v>
      </c>
      <c r="G19" s="1" t="s">
        <v>20</v>
      </c>
      <c r="H19" s="1">
        <v>30</v>
      </c>
      <c r="I19" s="1">
        <v>24221</v>
      </c>
      <c r="J19" s="1">
        <v>1</v>
      </c>
    </row>
    <row r="20" spans="1:10" x14ac:dyDescent="0.2">
      <c r="A20">
        <v>554</v>
      </c>
      <c r="B20" t="s">
        <v>258</v>
      </c>
      <c r="C20" s="1" t="s">
        <v>259</v>
      </c>
      <c r="D20" s="1" t="s">
        <v>32</v>
      </c>
      <c r="E20" s="1" t="s">
        <v>33</v>
      </c>
      <c r="F20" s="1" t="s">
        <v>243</v>
      </c>
      <c r="G20" s="1" t="s">
        <v>34</v>
      </c>
      <c r="H20" s="1">
        <v>29</v>
      </c>
      <c r="I20" s="1">
        <v>23813</v>
      </c>
      <c r="J20" s="1">
        <v>1</v>
      </c>
    </row>
    <row r="21" spans="1:10" x14ac:dyDescent="0.2">
      <c r="A21">
        <v>700</v>
      </c>
      <c r="B21" t="s">
        <v>264</v>
      </c>
      <c r="C21" s="1" t="s">
        <v>265</v>
      </c>
      <c r="D21" s="1" t="s">
        <v>42</v>
      </c>
      <c r="E21" s="1" t="s">
        <v>43</v>
      </c>
      <c r="F21" s="1" t="s">
        <v>243</v>
      </c>
      <c r="G21" s="1" t="s">
        <v>44</v>
      </c>
      <c r="H21" s="1">
        <v>29</v>
      </c>
      <c r="I21" s="1">
        <v>23724</v>
      </c>
      <c r="J21" s="1">
        <v>1</v>
      </c>
    </row>
    <row r="22" spans="1:10" x14ac:dyDescent="0.2">
      <c r="A22">
        <v>736</v>
      </c>
      <c r="B22" t="s">
        <v>278</v>
      </c>
      <c r="C22" s="1" t="s">
        <v>279</v>
      </c>
      <c r="D22" s="1" t="s">
        <v>69</v>
      </c>
      <c r="E22" s="1" t="s">
        <v>70</v>
      </c>
      <c r="F22" s="1" t="s">
        <v>243</v>
      </c>
      <c r="G22" s="1" t="s">
        <v>71</v>
      </c>
      <c r="H22" s="1">
        <v>23</v>
      </c>
      <c r="I22" s="1">
        <v>23054</v>
      </c>
      <c r="J22" s="1">
        <v>1</v>
      </c>
    </row>
    <row r="23" spans="1:10" x14ac:dyDescent="0.2">
      <c r="A23">
        <v>597</v>
      </c>
      <c r="B23" t="s">
        <v>280</v>
      </c>
      <c r="C23" s="1" t="s">
        <v>281</v>
      </c>
      <c r="D23" s="1" t="s">
        <v>72</v>
      </c>
      <c r="E23" s="1" t="s">
        <v>73</v>
      </c>
      <c r="F23" s="1" t="s">
        <v>243</v>
      </c>
      <c r="G23" s="1" t="s">
        <v>74</v>
      </c>
      <c r="H23" s="1">
        <v>24</v>
      </c>
      <c r="I23" s="1">
        <v>22882</v>
      </c>
      <c r="J23" s="1">
        <v>1</v>
      </c>
    </row>
    <row r="24" spans="1:10" x14ac:dyDescent="0.2">
      <c r="A24">
        <v>663</v>
      </c>
      <c r="B24" t="s">
        <v>276</v>
      </c>
      <c r="C24" s="1" t="s">
        <v>277</v>
      </c>
      <c r="D24" s="1" t="s">
        <v>66</v>
      </c>
      <c r="E24" s="1" t="s">
        <v>67</v>
      </c>
      <c r="F24" s="1" t="s">
        <v>243</v>
      </c>
      <c r="G24" s="1" t="s">
        <v>68</v>
      </c>
      <c r="H24" s="1">
        <v>25</v>
      </c>
      <c r="I24" s="1">
        <v>22088</v>
      </c>
      <c r="J24" s="1">
        <v>1</v>
      </c>
    </row>
    <row r="25" spans="1:10" x14ac:dyDescent="0.2">
      <c r="A25">
        <v>682</v>
      </c>
      <c r="B25" t="s">
        <v>270</v>
      </c>
      <c r="C25" s="1" t="s">
        <v>271</v>
      </c>
      <c r="D25" s="1" t="s">
        <v>55</v>
      </c>
      <c r="E25" s="1" t="s">
        <v>56</v>
      </c>
      <c r="F25" s="1" t="s">
        <v>243</v>
      </c>
      <c r="G25" s="1" t="s">
        <v>57</v>
      </c>
      <c r="H25" s="1">
        <v>30</v>
      </c>
      <c r="I25" s="1">
        <v>21171</v>
      </c>
      <c r="J25" s="1">
        <v>1</v>
      </c>
    </row>
    <row r="26" spans="1:10" x14ac:dyDescent="0.2">
      <c r="A26">
        <v>574</v>
      </c>
      <c r="B26" t="s">
        <v>266</v>
      </c>
      <c r="C26" s="1" t="s">
        <v>267</v>
      </c>
      <c r="D26" s="1" t="s">
        <v>49</v>
      </c>
      <c r="E26" s="1" t="s">
        <v>50</v>
      </c>
      <c r="F26" s="1" t="s">
        <v>243</v>
      </c>
      <c r="G26" s="1" t="s">
        <v>51</v>
      </c>
      <c r="H26" s="1">
        <v>30</v>
      </c>
      <c r="I26" s="1">
        <v>20047</v>
      </c>
      <c r="J26" s="1">
        <v>1</v>
      </c>
    </row>
    <row r="27" spans="1:10" x14ac:dyDescent="0.2">
      <c r="A27">
        <v>591</v>
      </c>
      <c r="B27" t="s">
        <v>252</v>
      </c>
      <c r="C27" s="1" t="s">
        <v>253</v>
      </c>
      <c r="D27" s="1" t="s">
        <v>24</v>
      </c>
      <c r="E27" s="1" t="s">
        <v>25</v>
      </c>
      <c r="F27" s="1" t="s">
        <v>243</v>
      </c>
      <c r="G27" s="1" t="s">
        <v>26</v>
      </c>
      <c r="H27" s="1">
        <v>28</v>
      </c>
      <c r="I27" s="1">
        <v>18390</v>
      </c>
      <c r="J27" s="1">
        <v>1</v>
      </c>
    </row>
    <row r="28" spans="1:10" x14ac:dyDescent="0.2">
      <c r="A28">
        <v>673</v>
      </c>
      <c r="B28" t="s">
        <v>272</v>
      </c>
      <c r="C28" s="1" t="s">
        <v>273</v>
      </c>
      <c r="D28" s="1" t="s">
        <v>61</v>
      </c>
      <c r="E28" s="1" t="s">
        <v>62</v>
      </c>
      <c r="F28" s="1" t="s">
        <v>243</v>
      </c>
      <c r="G28" s="1" t="s">
        <v>63</v>
      </c>
      <c r="H28" s="1">
        <v>22</v>
      </c>
      <c r="I28" s="1">
        <v>18349</v>
      </c>
      <c r="J28" s="1">
        <v>1</v>
      </c>
    </row>
    <row r="29" spans="1:10" x14ac:dyDescent="0.2">
      <c r="A29">
        <v>529</v>
      </c>
      <c r="B29" t="s">
        <v>304</v>
      </c>
      <c r="C29" s="1" t="s">
        <v>305</v>
      </c>
      <c r="D29" s="1" t="s">
        <v>45</v>
      </c>
      <c r="E29" s="1" t="s">
        <v>46</v>
      </c>
      <c r="F29" s="1" t="s">
        <v>243</v>
      </c>
      <c r="G29" s="1" t="s">
        <v>306</v>
      </c>
      <c r="H29" s="1">
        <v>27</v>
      </c>
      <c r="I29" s="1">
        <v>15952</v>
      </c>
      <c r="J29" s="1">
        <v>1</v>
      </c>
    </row>
    <row r="30" spans="1:10" x14ac:dyDescent="0.2">
      <c r="A30">
        <v>627</v>
      </c>
      <c r="B30" t="s">
        <v>307</v>
      </c>
      <c r="C30" s="1" t="s">
        <v>308</v>
      </c>
      <c r="D30" s="1" t="s">
        <v>47</v>
      </c>
      <c r="E30" s="1" t="s">
        <v>48</v>
      </c>
      <c r="F30" s="1" t="s">
        <v>243</v>
      </c>
      <c r="G30" s="1" t="s">
        <v>309</v>
      </c>
      <c r="H30" s="1">
        <v>29</v>
      </c>
      <c r="I30" s="1">
        <v>15166</v>
      </c>
      <c r="J30" s="1">
        <v>1</v>
      </c>
    </row>
    <row r="31" spans="1:10" x14ac:dyDescent="0.2">
      <c r="A31">
        <v>720</v>
      </c>
      <c r="B31" t="s">
        <v>282</v>
      </c>
      <c r="C31" s="1" t="s">
        <v>283</v>
      </c>
      <c r="D31" s="1" t="s">
        <v>75</v>
      </c>
      <c r="E31" s="1" t="s">
        <v>76</v>
      </c>
      <c r="F31" s="1" t="s">
        <v>243</v>
      </c>
      <c r="G31" s="1" t="s">
        <v>77</v>
      </c>
      <c r="H31" s="1">
        <v>15</v>
      </c>
      <c r="I31" s="1">
        <v>14467</v>
      </c>
      <c r="J31" s="1">
        <v>1</v>
      </c>
    </row>
    <row r="32" spans="1:10" x14ac:dyDescent="0.2">
      <c r="A32">
        <v>645</v>
      </c>
      <c r="B32" t="s">
        <v>250</v>
      </c>
      <c r="C32" s="1" t="s">
        <v>251</v>
      </c>
      <c r="D32" s="1" t="s">
        <v>21</v>
      </c>
      <c r="E32" s="1" t="s">
        <v>22</v>
      </c>
      <c r="F32" s="1" t="s">
        <v>243</v>
      </c>
      <c r="G32" s="1" t="s">
        <v>23</v>
      </c>
      <c r="H32" s="1">
        <v>22</v>
      </c>
      <c r="I32" s="1">
        <v>14416</v>
      </c>
      <c r="J32" s="1">
        <v>1</v>
      </c>
    </row>
    <row r="33" spans="1:10" x14ac:dyDescent="0.2">
      <c r="A33">
        <v>579</v>
      </c>
      <c r="B33" t="s">
        <v>341</v>
      </c>
      <c r="C33" s="1" t="s">
        <v>342</v>
      </c>
      <c r="D33" s="1" t="s">
        <v>58</v>
      </c>
      <c r="E33" s="1" t="s">
        <v>59</v>
      </c>
      <c r="F33" s="1" t="s">
        <v>243</v>
      </c>
      <c r="G33" s="1" t="s">
        <v>343</v>
      </c>
      <c r="H33" s="1">
        <v>30</v>
      </c>
      <c r="I33" s="1">
        <v>11690</v>
      </c>
      <c r="J33" s="1">
        <v>1</v>
      </c>
    </row>
    <row r="34" spans="1:10" x14ac:dyDescent="0.2">
      <c r="A34">
        <v>578</v>
      </c>
      <c r="B34" t="s">
        <v>284</v>
      </c>
      <c r="C34" s="1" t="s">
        <v>285</v>
      </c>
      <c r="D34" s="1" t="s">
        <v>78</v>
      </c>
      <c r="E34" s="1" t="s">
        <v>79</v>
      </c>
      <c r="F34" s="1" t="s">
        <v>243</v>
      </c>
      <c r="G34" s="1" t="s">
        <v>80</v>
      </c>
      <c r="H34" s="1">
        <v>12</v>
      </c>
      <c r="I34" s="1">
        <v>11263</v>
      </c>
      <c r="J34" s="1">
        <v>1</v>
      </c>
    </row>
    <row r="35" spans="1:10" x14ac:dyDescent="0.2">
      <c r="A35">
        <v>625</v>
      </c>
      <c r="B35" t="s">
        <v>274</v>
      </c>
      <c r="C35" s="1" t="s">
        <v>275</v>
      </c>
      <c r="D35" s="1" t="s">
        <v>64</v>
      </c>
      <c r="E35" s="1" t="s">
        <v>36</v>
      </c>
      <c r="F35" s="1" t="s">
        <v>243</v>
      </c>
      <c r="G35" s="1" t="s">
        <v>65</v>
      </c>
      <c r="H35" s="1">
        <v>26</v>
      </c>
      <c r="I35" s="1">
        <v>10697</v>
      </c>
      <c r="J35" s="1">
        <v>1</v>
      </c>
    </row>
    <row r="36" spans="1:10" x14ac:dyDescent="0.2">
      <c r="A36">
        <v>723</v>
      </c>
      <c r="B36" t="s">
        <v>288</v>
      </c>
      <c r="C36" s="1" t="s">
        <v>289</v>
      </c>
      <c r="D36" s="1" t="s">
        <v>84</v>
      </c>
      <c r="E36" s="1" t="s">
        <v>85</v>
      </c>
      <c r="F36" s="1" t="s">
        <v>243</v>
      </c>
      <c r="G36" s="1" t="s">
        <v>86</v>
      </c>
      <c r="H36" s="1">
        <v>12</v>
      </c>
      <c r="I36" s="1">
        <v>10215</v>
      </c>
      <c r="J36" s="1">
        <v>1</v>
      </c>
    </row>
    <row r="37" spans="1:10" x14ac:dyDescent="0.2">
      <c r="A37">
        <v>2190</v>
      </c>
      <c r="B37" t="s">
        <v>290</v>
      </c>
      <c r="C37" s="1" t="s">
        <v>291</v>
      </c>
      <c r="D37" s="1" t="s">
        <v>87</v>
      </c>
      <c r="E37" s="1" t="s">
        <v>88</v>
      </c>
      <c r="F37" s="1" t="s">
        <v>243</v>
      </c>
      <c r="G37" s="1" t="s">
        <v>89</v>
      </c>
      <c r="H37" s="1">
        <v>12</v>
      </c>
      <c r="I37" s="1">
        <v>9869</v>
      </c>
      <c r="J37" s="1">
        <v>1</v>
      </c>
    </row>
    <row r="38" spans="1:10" x14ac:dyDescent="0.2">
      <c r="A38">
        <v>498</v>
      </c>
      <c r="B38" t="s">
        <v>286</v>
      </c>
      <c r="C38" s="1" t="s">
        <v>287</v>
      </c>
      <c r="D38" s="1" t="s">
        <v>81</v>
      </c>
      <c r="E38" s="1" t="s">
        <v>82</v>
      </c>
      <c r="F38" s="1" t="s">
        <v>243</v>
      </c>
      <c r="G38" s="1" t="s">
        <v>83</v>
      </c>
      <c r="H38" s="1">
        <v>13</v>
      </c>
      <c r="I38" s="1">
        <v>9447</v>
      </c>
      <c r="J38" s="1">
        <v>1</v>
      </c>
    </row>
    <row r="39" spans="1:10" x14ac:dyDescent="0.2">
      <c r="A39">
        <v>2191</v>
      </c>
      <c r="B39" t="s">
        <v>292</v>
      </c>
      <c r="C39" s="1" t="s">
        <v>293</v>
      </c>
      <c r="D39" s="1" t="s">
        <v>90</v>
      </c>
      <c r="E39" s="1" t="s">
        <v>91</v>
      </c>
      <c r="F39" s="1" t="s">
        <v>243</v>
      </c>
      <c r="G39" s="1" t="s">
        <v>92</v>
      </c>
      <c r="H39" s="1">
        <v>13</v>
      </c>
      <c r="I39" s="1">
        <v>9094</v>
      </c>
      <c r="J39" s="1">
        <v>1</v>
      </c>
    </row>
    <row r="40" spans="1:10" x14ac:dyDescent="0.2">
      <c r="A40">
        <v>2189</v>
      </c>
      <c r="B40" t="s">
        <v>310</v>
      </c>
      <c r="C40" s="1" t="s">
        <v>311</v>
      </c>
      <c r="D40" s="1" t="s">
        <v>100</v>
      </c>
      <c r="E40" s="1" t="s">
        <v>101</v>
      </c>
      <c r="F40" s="1" t="s">
        <v>243</v>
      </c>
      <c r="G40" s="1" t="s">
        <v>312</v>
      </c>
      <c r="H40" s="1">
        <v>13</v>
      </c>
      <c r="I40" s="1">
        <v>8131</v>
      </c>
      <c r="J40" s="1">
        <v>1</v>
      </c>
    </row>
    <row r="41" spans="1:10" x14ac:dyDescent="0.2">
      <c r="A41">
        <v>712</v>
      </c>
      <c r="B41" t="s">
        <v>300</v>
      </c>
      <c r="C41" s="1" t="s">
        <v>301</v>
      </c>
      <c r="D41" s="1" t="s">
        <v>98</v>
      </c>
      <c r="E41" s="1" t="s">
        <v>99</v>
      </c>
      <c r="F41" s="1" t="s">
        <v>243</v>
      </c>
      <c r="G41" s="1" t="s">
        <v>302</v>
      </c>
      <c r="H41" s="1">
        <v>11</v>
      </c>
      <c r="I41" s="1">
        <v>6688</v>
      </c>
      <c r="J41" s="1">
        <v>1</v>
      </c>
    </row>
    <row r="42" spans="1:10" x14ac:dyDescent="0.2">
      <c r="A42">
        <v>653</v>
      </c>
      <c r="B42" t="s">
        <v>294</v>
      </c>
      <c r="C42" s="1" t="s">
        <v>295</v>
      </c>
      <c r="D42" s="1" t="s">
        <v>94</v>
      </c>
      <c r="E42" s="1" t="s">
        <v>95</v>
      </c>
      <c r="F42" s="1" t="s">
        <v>243</v>
      </c>
      <c r="G42" s="1" t="s">
        <v>296</v>
      </c>
      <c r="H42" s="1">
        <v>10</v>
      </c>
      <c r="I42" s="1">
        <v>6181</v>
      </c>
      <c r="J42" s="1">
        <v>1</v>
      </c>
    </row>
    <row r="43" spans="1:10" x14ac:dyDescent="0.2">
      <c r="A43">
        <v>613</v>
      </c>
      <c r="B43" t="s">
        <v>297</v>
      </c>
      <c r="C43" s="1" t="s">
        <v>298</v>
      </c>
      <c r="D43" s="1" t="s">
        <v>96</v>
      </c>
      <c r="E43" s="1" t="s">
        <v>97</v>
      </c>
      <c r="F43" s="1" t="s">
        <v>243</v>
      </c>
      <c r="G43" s="1" t="s">
        <v>299</v>
      </c>
      <c r="H43" s="1">
        <v>11</v>
      </c>
      <c r="I43" s="1">
        <v>5341</v>
      </c>
      <c r="J43" s="1">
        <v>1</v>
      </c>
    </row>
    <row r="44" spans="1:10" x14ac:dyDescent="0.2">
      <c r="A44">
        <v>624</v>
      </c>
      <c r="B44" t="s">
        <v>313</v>
      </c>
      <c r="C44" s="1" t="s">
        <v>314</v>
      </c>
      <c r="D44" s="1" t="s">
        <v>102</v>
      </c>
      <c r="E44" s="1" t="s">
        <v>103</v>
      </c>
      <c r="F44" s="1" t="s">
        <v>243</v>
      </c>
      <c r="G44" s="1" t="s">
        <v>315</v>
      </c>
      <c r="H44" s="1">
        <v>1</v>
      </c>
      <c r="I44" s="1">
        <v>123</v>
      </c>
      <c r="J44" s="1">
        <v>1</v>
      </c>
    </row>
    <row r="45" spans="1:10" x14ac:dyDescent="0.2">
      <c r="A45">
        <v>519</v>
      </c>
      <c r="B45" t="s">
        <v>316</v>
      </c>
      <c r="C45" s="1" t="s">
        <v>317</v>
      </c>
      <c r="D45" s="1" t="s">
        <v>104</v>
      </c>
      <c r="E45" s="1" t="s">
        <v>105</v>
      </c>
      <c r="F45" s="1" t="s">
        <v>243</v>
      </c>
      <c r="G45" s="1" t="s">
        <v>318</v>
      </c>
      <c r="H45" s="1">
        <v>1</v>
      </c>
      <c r="I45" s="1">
        <v>113</v>
      </c>
      <c r="J45" s="1">
        <v>1</v>
      </c>
    </row>
    <row r="46" spans="1:10" x14ac:dyDescent="0.2">
      <c r="A46">
        <v>490</v>
      </c>
      <c r="B46" t="s">
        <v>345</v>
      </c>
      <c r="C46" s="1" t="s">
        <v>346</v>
      </c>
      <c r="D46" s="1" t="s">
        <v>106</v>
      </c>
      <c r="E46" s="1" t="s">
        <v>82</v>
      </c>
      <c r="F46" s="1" t="s">
        <v>243</v>
      </c>
      <c r="G46" s="1" t="s">
        <v>347</v>
      </c>
      <c r="H46" s="1">
        <v>1</v>
      </c>
      <c r="I46" s="1">
        <v>109</v>
      </c>
      <c r="J46" s="1">
        <v>1</v>
      </c>
    </row>
    <row r="47" spans="1:10" x14ac:dyDescent="0.2">
      <c r="A47">
        <v>2207</v>
      </c>
      <c r="B47" t="s">
        <v>319</v>
      </c>
      <c r="C47" s="1" t="s">
        <v>320</v>
      </c>
      <c r="D47" s="1" t="s">
        <v>107</v>
      </c>
      <c r="E47" s="1" t="s">
        <v>108</v>
      </c>
      <c r="F47" s="1" t="s">
        <v>243</v>
      </c>
      <c r="G47" s="1" t="s">
        <v>321</v>
      </c>
      <c r="H47" s="1">
        <v>1</v>
      </c>
      <c r="I47" s="1">
        <v>103</v>
      </c>
      <c r="J47" s="1">
        <v>1</v>
      </c>
    </row>
    <row r="48" spans="1:10" x14ac:dyDescent="0.2">
      <c r="A48">
        <v>2219</v>
      </c>
      <c r="B48" t="s">
        <v>322</v>
      </c>
      <c r="C48" s="1" t="s">
        <v>323</v>
      </c>
      <c r="D48" s="1" t="s">
        <v>109</v>
      </c>
      <c r="E48" s="1" t="s">
        <v>110</v>
      </c>
      <c r="F48" s="1" t="s">
        <v>243</v>
      </c>
      <c r="G48" s="1" t="s">
        <v>324</v>
      </c>
      <c r="H48" s="1">
        <v>1</v>
      </c>
      <c r="I48" s="1">
        <v>97</v>
      </c>
      <c r="J48" s="1">
        <v>1</v>
      </c>
    </row>
    <row r="49" spans="1:10" x14ac:dyDescent="0.2">
      <c r="A49">
        <v>716</v>
      </c>
      <c r="B49" t="s">
        <v>325</v>
      </c>
      <c r="C49" s="1" t="s">
        <v>326</v>
      </c>
      <c r="D49" s="1" t="s">
        <v>111</v>
      </c>
      <c r="E49" s="1" t="s">
        <v>112</v>
      </c>
      <c r="F49" s="1" t="s">
        <v>243</v>
      </c>
      <c r="G49" s="1" t="s">
        <v>327</v>
      </c>
      <c r="H49" s="1">
        <v>1</v>
      </c>
      <c r="I49" s="1">
        <v>94</v>
      </c>
      <c r="J49" s="1">
        <v>1</v>
      </c>
    </row>
    <row r="50" spans="1:10" x14ac:dyDescent="0.2">
      <c r="A50">
        <v>635</v>
      </c>
      <c r="B50" t="s">
        <v>328</v>
      </c>
      <c r="C50" s="1" t="s">
        <v>329</v>
      </c>
      <c r="D50" s="1" t="s">
        <v>113</v>
      </c>
      <c r="E50" s="1" t="s">
        <v>114</v>
      </c>
      <c r="F50" s="1" t="s">
        <v>243</v>
      </c>
      <c r="G50" s="1" t="s">
        <v>330</v>
      </c>
      <c r="H50" s="1">
        <v>1</v>
      </c>
      <c r="I50" s="1">
        <v>88</v>
      </c>
      <c r="J50" s="1">
        <v>1</v>
      </c>
    </row>
    <row r="51" spans="1:10" x14ac:dyDescent="0.2">
      <c r="A51">
        <v>534</v>
      </c>
      <c r="B51" t="s">
        <v>331</v>
      </c>
      <c r="C51" s="1" t="s">
        <v>332</v>
      </c>
      <c r="D51" s="1" t="s">
        <v>115</v>
      </c>
      <c r="E51" s="1" t="s">
        <v>116</v>
      </c>
      <c r="F51" s="1" t="s">
        <v>243</v>
      </c>
      <c r="G51" s="1" t="s">
        <v>333</v>
      </c>
      <c r="H51" s="1">
        <v>1</v>
      </c>
      <c r="I51" s="1">
        <v>55</v>
      </c>
      <c r="J51" s="1">
        <v>1</v>
      </c>
    </row>
    <row r="52" spans="1:10" x14ac:dyDescent="0.2">
      <c r="A52">
        <v>563</v>
      </c>
      <c r="B52" t="s">
        <v>334</v>
      </c>
      <c r="C52" s="1" t="s">
        <v>335</v>
      </c>
      <c r="D52" s="1" t="s">
        <v>117</v>
      </c>
      <c r="E52" s="1" t="s">
        <v>118</v>
      </c>
      <c r="F52" s="1" t="s">
        <v>243</v>
      </c>
      <c r="G52" s="1" t="s">
        <v>336</v>
      </c>
      <c r="H52" s="1">
        <v>1</v>
      </c>
      <c r="I52" s="1">
        <v>10</v>
      </c>
      <c r="J52" s="1">
        <v>1</v>
      </c>
    </row>
    <row r="53" spans="1:10" x14ac:dyDescent="0.2">
      <c r="A53">
        <v>567</v>
      </c>
      <c r="B53" t="s">
        <v>337</v>
      </c>
      <c r="C53" s="1" t="s">
        <v>338</v>
      </c>
      <c r="D53" s="1" t="s">
        <v>119</v>
      </c>
      <c r="E53" s="1" t="s">
        <v>120</v>
      </c>
      <c r="F53" s="1" t="s">
        <v>243</v>
      </c>
      <c r="G53" s="1" t="s">
        <v>339</v>
      </c>
      <c r="H53" s="1">
        <v>1</v>
      </c>
      <c r="I53" s="1">
        <v>7</v>
      </c>
      <c r="J53" s="1">
        <v>1</v>
      </c>
    </row>
  </sheetData>
  <conditionalFormatting sqref="E5:E1048576 H1 H2:O4">
    <cfRule type="cellIs" dxfId="131" priority="15" operator="equal">
      <formula>FALSE</formula>
    </cfRule>
    <cfRule type="cellIs" dxfId="130" priority="16" operator="equal">
      <formula>TRUE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90B5D-CB93-BA4F-8B89-E64075CF5E92}">
  <dimension ref="A1:O70"/>
  <sheetViews>
    <sheetView workbookViewId="0">
      <selection activeCell="E16" sqref="E16"/>
    </sheetView>
  </sheetViews>
  <sheetFormatPr baseColWidth="10" defaultRowHeight="16" x14ac:dyDescent="0.2"/>
  <cols>
    <col min="1" max="1" width="13.83203125" customWidth="1"/>
    <col min="2" max="2" width="18.83203125" bestFit="1" customWidth="1"/>
    <col min="3" max="3" width="8.1640625" style="1" customWidth="1"/>
    <col min="4" max="4" width="10.83203125" style="1" customWidth="1"/>
    <col min="5" max="5" width="8.83203125" style="1" customWidth="1"/>
    <col min="6" max="6" width="13.6640625" style="1" customWidth="1"/>
    <col min="7" max="7" width="21.1640625" style="1" customWidth="1"/>
    <col min="8" max="8" width="14" style="1" bestFit="1" customWidth="1"/>
    <col min="9" max="9" width="18" style="1" customWidth="1"/>
    <col min="10" max="10" width="12.6640625" style="1" customWidth="1"/>
    <col min="11" max="15" width="10.83203125" style="1" customWidth="1"/>
  </cols>
  <sheetData>
    <row r="1" spans="1:15" x14ac:dyDescent="0.2">
      <c r="A1" t="s">
        <v>0</v>
      </c>
      <c r="B1" t="s">
        <v>7</v>
      </c>
      <c r="C1" s="1" t="s">
        <v>728</v>
      </c>
      <c r="D1" s="1" t="s">
        <v>8</v>
      </c>
      <c r="E1" s="1" t="s">
        <v>353</v>
      </c>
      <c r="F1" s="1" t="s">
        <v>354</v>
      </c>
      <c r="G1" s="1" t="s">
        <v>167</v>
      </c>
      <c r="H1" s="1" t="s">
        <v>352</v>
      </c>
      <c r="I1" s="1" t="s">
        <v>303</v>
      </c>
      <c r="J1" s="1" t="s">
        <v>340</v>
      </c>
      <c r="K1" s="1" t="s">
        <v>344</v>
      </c>
      <c r="L1" s="1" t="s">
        <v>348</v>
      </c>
      <c r="M1" s="1" t="s">
        <v>349</v>
      </c>
      <c r="N1" s="1" t="s">
        <v>350</v>
      </c>
      <c r="O1" s="1" t="s">
        <v>351</v>
      </c>
    </row>
    <row r="2" spans="1:15" x14ac:dyDescent="0.2">
      <c r="A2" t="s">
        <v>75</v>
      </c>
      <c r="B2" t="s">
        <v>76</v>
      </c>
      <c r="C2" s="9">
        <v>720</v>
      </c>
      <c r="D2" s="10" t="s">
        <v>147</v>
      </c>
      <c r="E2" s="9">
        <v>15</v>
      </c>
      <c r="F2" s="9">
        <v>14467</v>
      </c>
      <c r="G2" s="1" t="s">
        <v>1</v>
      </c>
      <c r="H2" s="1" t="b">
        <f>IF(ISERROR(VLOOKUP(_xlfn.CONCAT("K",D2),Table24[Label],1,FALSE)),FALSE,TRUE)</f>
        <v>1</v>
      </c>
      <c r="I2" s="1" t="b">
        <f>IF(ISERROR(VLOOKUP(_xlfn.CONCAT("K",D2),Table1[Label],1,FALSE)),FALSE,TRUE)</f>
        <v>1</v>
      </c>
      <c r="J2" s="1" t="b">
        <f>IF(ISERROR(VLOOKUP(_xlfn.CONCAT("K",D2),Table2[Label],1,FALSE)),FALSE,TRUE)</f>
        <v>1</v>
      </c>
      <c r="K2" s="1" t="b">
        <f>IF(ISERROR(VLOOKUP(_xlfn.CONCAT("K",D2),Table3[Label],1,FALSE)),FALSE,TRUE)</f>
        <v>1</v>
      </c>
      <c r="L2" s="1" t="b">
        <f>IF(ISERROR(VLOOKUP(_xlfn.CONCAT("K",D2),Table4[Label],1,FALSE)),FALSE,TRUE)</f>
        <v>1</v>
      </c>
      <c r="M2" s="1" t="b">
        <f>IF(ISERROR(VLOOKUP(_xlfn.CONCAT("K",D2),Table5[Label],1,FALSE)),FALSE,TRUE)</f>
        <v>1</v>
      </c>
      <c r="N2" s="1" t="b">
        <f>IF(ISERROR(VLOOKUP(_xlfn.CONCAT("K",D2),Table6[Label],1,FALSE)),FALSE,TRUE)</f>
        <v>1</v>
      </c>
      <c r="O2" s="1" t="b">
        <f>IF(ISERROR(VLOOKUP(_xlfn.CONCAT("K",D2),Table7[Label],1,FALSE)),FALSE,TRUE)</f>
        <v>0</v>
      </c>
    </row>
    <row r="3" spans="1:15" x14ac:dyDescent="0.2">
      <c r="A3" t="s">
        <v>78</v>
      </c>
      <c r="B3" t="s">
        <v>79</v>
      </c>
      <c r="C3" s="1">
        <v>578</v>
      </c>
      <c r="D3" s="1" t="s">
        <v>148</v>
      </c>
      <c r="E3" s="1">
        <v>12</v>
      </c>
      <c r="F3" s="1">
        <v>11263</v>
      </c>
      <c r="G3" s="1" t="s">
        <v>1</v>
      </c>
      <c r="H3" s="1" t="b">
        <f>IF(ISERROR(VLOOKUP(_xlfn.CONCAT("K",D3),Table24[Label],1,FALSE)),FALSE,TRUE)</f>
        <v>1</v>
      </c>
      <c r="I3" s="1" t="b">
        <f>IF(ISERROR(VLOOKUP(_xlfn.CONCAT("K",D3),Table1[Label],1,FALSE)),FALSE,TRUE)</f>
        <v>1</v>
      </c>
      <c r="J3" s="1" t="b">
        <f>IF(ISERROR(VLOOKUP(_xlfn.CONCAT("K",D3),Table2[Label],1,FALSE)),FALSE,TRUE)</f>
        <v>0</v>
      </c>
      <c r="K3" s="1" t="b">
        <f>IF(ISERROR(VLOOKUP(_xlfn.CONCAT("K",D3),Table3[Label],1,FALSE)),FALSE,TRUE)</f>
        <v>0</v>
      </c>
      <c r="L3" s="1" t="b">
        <f>IF(ISERROR(VLOOKUP(_xlfn.CONCAT("K",D3),Table4[Label],1,FALSE)),FALSE,TRUE)</f>
        <v>1</v>
      </c>
      <c r="M3" s="1" t="b">
        <f>IF(ISERROR(VLOOKUP(_xlfn.CONCAT("K",D3),Table5[Label],1,FALSE)),FALSE,TRUE)</f>
        <v>1</v>
      </c>
      <c r="N3" s="1" t="b">
        <f>IF(ISERROR(VLOOKUP(_xlfn.CONCAT("K",D3),Table6[Label],1,FALSE)),FALSE,TRUE)</f>
        <v>1</v>
      </c>
      <c r="O3" s="1" t="b">
        <f>IF(ISERROR(VLOOKUP(_xlfn.CONCAT("K",D3),Table7[Label],1,FALSE)),FALSE,TRUE)</f>
        <v>0</v>
      </c>
    </row>
    <row r="4" spans="1:15" x14ac:dyDescent="0.2">
      <c r="A4" t="s">
        <v>84</v>
      </c>
      <c r="B4" t="s">
        <v>85</v>
      </c>
      <c r="C4" s="7">
        <v>723</v>
      </c>
      <c r="D4" s="7" t="s">
        <v>150</v>
      </c>
      <c r="E4" s="7">
        <v>12</v>
      </c>
      <c r="F4" s="7">
        <v>10215</v>
      </c>
      <c r="G4" s="1" t="s">
        <v>1</v>
      </c>
      <c r="H4" s="1" t="b">
        <f>IF(ISERROR(VLOOKUP(_xlfn.CONCAT("K",D4),Table24[Label],1,FALSE)),FALSE,TRUE)</f>
        <v>1</v>
      </c>
      <c r="I4" s="1" t="b">
        <f>IF(ISERROR(VLOOKUP(_xlfn.CONCAT("K",D4),Table1[Label],1,FALSE)),FALSE,TRUE)</f>
        <v>1</v>
      </c>
      <c r="J4" s="1" t="b">
        <f>IF(ISERROR(VLOOKUP(_xlfn.CONCAT("K",D4),Table2[Label],1,FALSE)),FALSE,TRUE)</f>
        <v>1</v>
      </c>
      <c r="K4" s="1" t="b">
        <f>IF(ISERROR(VLOOKUP(_xlfn.CONCAT("K",D4),Table3[Label],1,FALSE)),FALSE,TRUE)</f>
        <v>1</v>
      </c>
      <c r="L4" s="1" t="b">
        <f>IF(ISERROR(VLOOKUP(_xlfn.CONCAT("K",D4),Table4[Label],1,FALSE)),FALSE,TRUE)</f>
        <v>1</v>
      </c>
      <c r="M4" s="1" t="b">
        <f>IF(ISERROR(VLOOKUP(_xlfn.CONCAT("K",D4),Table5[Label],1,FALSE)),FALSE,TRUE)</f>
        <v>1</v>
      </c>
      <c r="N4" s="1" t="b">
        <f>IF(ISERROR(VLOOKUP(_xlfn.CONCAT("K",D4),Table6[Label],1,FALSE)),FALSE,TRUE)</f>
        <v>1</v>
      </c>
      <c r="O4" s="1" t="b">
        <f>IF(ISERROR(VLOOKUP(_xlfn.CONCAT("K",D4),Table7[Label],1,FALSE)),FALSE,TRUE)</f>
        <v>1</v>
      </c>
    </row>
    <row r="5" spans="1:15" x14ac:dyDescent="0.2">
      <c r="A5" t="s">
        <v>87</v>
      </c>
      <c r="B5" t="s">
        <v>88</v>
      </c>
      <c r="C5" s="1">
        <v>2190</v>
      </c>
      <c r="D5" s="1" t="s">
        <v>151</v>
      </c>
      <c r="E5" s="1">
        <v>12</v>
      </c>
      <c r="F5" s="1">
        <v>9869</v>
      </c>
      <c r="G5" s="1" t="s">
        <v>1</v>
      </c>
      <c r="H5" s="1" t="b">
        <f>IF(ISERROR(VLOOKUP(_xlfn.CONCAT("K",D5),Table24[Label],1,FALSE)),FALSE,TRUE)</f>
        <v>1</v>
      </c>
      <c r="I5" s="1" t="b">
        <f>IF(ISERROR(VLOOKUP(_xlfn.CONCAT("K",D5),Table1[Label],1,FALSE)),FALSE,TRUE)</f>
        <v>1</v>
      </c>
      <c r="J5" s="1" t="b">
        <f>IF(ISERROR(VLOOKUP(_xlfn.CONCAT("K",D5),Table2[Label],1,FALSE)),FALSE,TRUE)</f>
        <v>0</v>
      </c>
      <c r="K5" s="1" t="b">
        <f>IF(ISERROR(VLOOKUP(_xlfn.CONCAT("K",D5),Table3[Label],1,FALSE)),FALSE,TRUE)</f>
        <v>1</v>
      </c>
      <c r="L5" s="1" t="b">
        <f>IF(ISERROR(VLOOKUP(_xlfn.CONCAT("K",D5),Table4[Label],1,FALSE)),FALSE,TRUE)</f>
        <v>1</v>
      </c>
      <c r="M5" s="1" t="b">
        <f>IF(ISERROR(VLOOKUP(_xlfn.CONCAT("K",D5),Table5[Label],1,FALSE)),FALSE,TRUE)</f>
        <v>1</v>
      </c>
      <c r="N5" s="1" t="b">
        <f>IF(ISERROR(VLOOKUP(_xlfn.CONCAT("K",D5),Table6[Label],1,FALSE)),FALSE,TRUE)</f>
        <v>1</v>
      </c>
      <c r="O5" s="1" t="b">
        <f>IF(ISERROR(VLOOKUP(_xlfn.CONCAT("K",D5),Table7[Label],1,FALSE)),FALSE,TRUE)</f>
        <v>1</v>
      </c>
    </row>
    <row r="6" spans="1:15" x14ac:dyDescent="0.2">
      <c r="A6" t="s">
        <v>81</v>
      </c>
      <c r="B6" t="s">
        <v>82</v>
      </c>
      <c r="C6" s="1">
        <v>498</v>
      </c>
      <c r="D6" s="1" t="s">
        <v>149</v>
      </c>
      <c r="E6" s="1">
        <v>13</v>
      </c>
      <c r="F6" s="1">
        <v>9447</v>
      </c>
      <c r="G6" s="1" t="s">
        <v>1</v>
      </c>
      <c r="H6" s="1" t="b">
        <f>IF(ISERROR(VLOOKUP(_xlfn.CONCAT("K",D6),Table24[Label],1,FALSE)),FALSE,TRUE)</f>
        <v>1</v>
      </c>
      <c r="I6" s="1" t="b">
        <f>IF(ISERROR(VLOOKUP(_xlfn.CONCAT("K",D6),Table1[Label],1,FALSE)),FALSE,TRUE)</f>
        <v>1</v>
      </c>
      <c r="J6" s="1" t="b">
        <f>IF(ISERROR(VLOOKUP(_xlfn.CONCAT("K",D6),Table2[Label],1,FALSE)),FALSE,TRUE)</f>
        <v>1</v>
      </c>
      <c r="K6" s="1" t="b">
        <f>IF(ISERROR(VLOOKUP(_xlfn.CONCAT("K",D6),Table3[Label],1,FALSE)),FALSE,TRUE)</f>
        <v>1</v>
      </c>
      <c r="L6" s="1" t="b">
        <f>IF(ISERROR(VLOOKUP(_xlfn.CONCAT("K",D6),Table4[Label],1,FALSE)),FALSE,TRUE)</f>
        <v>1</v>
      </c>
      <c r="M6" s="1" t="b">
        <f>IF(ISERROR(VLOOKUP(_xlfn.CONCAT("K",D6),Table5[Label],1,FALSE)),FALSE,TRUE)</f>
        <v>1</v>
      </c>
      <c r="N6" s="1" t="b">
        <f>IF(ISERROR(VLOOKUP(_xlfn.CONCAT("K",D6),Table6[Label],1,FALSE)),FALSE,TRUE)</f>
        <v>1</v>
      </c>
      <c r="O6" s="1" t="b">
        <f>IF(ISERROR(VLOOKUP(_xlfn.CONCAT("K",D6),Table7[Label],1,FALSE)),FALSE,TRUE)</f>
        <v>1</v>
      </c>
    </row>
    <row r="7" spans="1:15" x14ac:dyDescent="0.2">
      <c r="A7" t="s">
        <v>90</v>
      </c>
      <c r="B7" t="s">
        <v>91</v>
      </c>
      <c r="C7" s="1">
        <v>2191</v>
      </c>
      <c r="D7" s="1" t="s">
        <v>152</v>
      </c>
      <c r="E7" s="1">
        <v>13</v>
      </c>
      <c r="F7" s="1">
        <v>9094</v>
      </c>
      <c r="G7" s="1" t="s">
        <v>1</v>
      </c>
      <c r="H7" s="1" t="b">
        <f>IF(ISERROR(VLOOKUP(_xlfn.CONCAT("K",D7),Table24[Label],1,FALSE)),FALSE,TRUE)</f>
        <v>1</v>
      </c>
      <c r="I7" s="1" t="b">
        <f>IF(ISERROR(VLOOKUP(_xlfn.CONCAT("K",D7),Table1[Label],1,FALSE)),FALSE,TRUE)</f>
        <v>1</v>
      </c>
      <c r="J7" s="1" t="b">
        <f>IF(ISERROR(VLOOKUP(_xlfn.CONCAT("K",D7),Table2[Label],1,FALSE)),FALSE,TRUE)</f>
        <v>1</v>
      </c>
      <c r="K7" s="1" t="b">
        <f>IF(ISERROR(VLOOKUP(_xlfn.CONCAT("K",D7),Table3[Label],1,FALSE)),FALSE,TRUE)</f>
        <v>1</v>
      </c>
      <c r="L7" s="1" t="b">
        <f>IF(ISERROR(VLOOKUP(_xlfn.CONCAT("K",D7),Table4[Label],1,FALSE)),FALSE,TRUE)</f>
        <v>1</v>
      </c>
      <c r="M7" s="1" t="b">
        <f>IF(ISERROR(VLOOKUP(_xlfn.CONCAT("K",D7),Table5[Label],1,FALSE)),FALSE,TRUE)</f>
        <v>1</v>
      </c>
      <c r="N7" s="1" t="b">
        <f>IF(ISERROR(VLOOKUP(_xlfn.CONCAT("K",D7),Table6[Label],1,FALSE)),FALSE,TRUE)</f>
        <v>1</v>
      </c>
      <c r="O7" s="1" t="b">
        <f>IF(ISERROR(VLOOKUP(_xlfn.CONCAT("K",D7),Table7[Label],1,FALSE)),FALSE,TRUE)</f>
        <v>1</v>
      </c>
    </row>
    <row r="8" spans="1:15" x14ac:dyDescent="0.2">
      <c r="A8" t="s">
        <v>100</v>
      </c>
      <c r="B8" t="s">
        <v>101</v>
      </c>
      <c r="C8" s="1">
        <v>2189</v>
      </c>
      <c r="D8" s="1" t="s">
        <v>156</v>
      </c>
      <c r="E8" s="1">
        <v>13</v>
      </c>
      <c r="F8" s="1">
        <v>8131</v>
      </c>
      <c r="G8" s="1" t="s">
        <v>1</v>
      </c>
      <c r="H8" s="1" t="b">
        <f>IF(ISERROR(VLOOKUP(_xlfn.CONCAT("K",D8),Table24[Label],1,FALSE)),FALSE,TRUE)</f>
        <v>0</v>
      </c>
      <c r="I8" s="1" t="b">
        <f>IF(ISERROR(VLOOKUP(_xlfn.CONCAT("K",D8),Table1[Label],1,FALSE)),FALSE,TRUE)</f>
        <v>0</v>
      </c>
      <c r="J8" s="1" t="b">
        <f>IF(ISERROR(VLOOKUP(_xlfn.CONCAT("K",D8),Table2[Label],1,FALSE)),FALSE,TRUE)</f>
        <v>1</v>
      </c>
      <c r="K8" s="1" t="b">
        <f>IF(ISERROR(VLOOKUP(_xlfn.CONCAT("K",D8),Table3[Label],1,FALSE)),FALSE,TRUE)</f>
        <v>1</v>
      </c>
      <c r="L8" s="1" t="b">
        <f>IF(ISERROR(VLOOKUP(_xlfn.CONCAT("K",D8),Table4[Label],1,FALSE)),FALSE,TRUE)</f>
        <v>1</v>
      </c>
      <c r="M8" s="1" t="b">
        <f>IF(ISERROR(VLOOKUP(_xlfn.CONCAT("K",D8),Table5[Label],1,FALSE)),FALSE,TRUE)</f>
        <v>0</v>
      </c>
      <c r="N8" s="1" t="b">
        <f>IF(ISERROR(VLOOKUP(_xlfn.CONCAT("K",D8),Table6[Label],1,FALSE)),FALSE,TRUE)</f>
        <v>0</v>
      </c>
      <c r="O8" s="1" t="b">
        <f>IF(ISERROR(VLOOKUP(_xlfn.CONCAT("K",D8),Table7[Label],1,FALSE)),FALSE,TRUE)</f>
        <v>1</v>
      </c>
    </row>
    <row r="9" spans="1:15" x14ac:dyDescent="0.2">
      <c r="A9" t="s">
        <v>98</v>
      </c>
      <c r="B9" t="s">
        <v>99</v>
      </c>
      <c r="C9" s="1">
        <v>712</v>
      </c>
      <c r="D9" s="1" t="s">
        <v>155</v>
      </c>
      <c r="E9" s="1">
        <v>11</v>
      </c>
      <c r="F9" s="1">
        <v>6688</v>
      </c>
      <c r="G9" s="1" t="s">
        <v>1</v>
      </c>
      <c r="H9" s="1" t="b">
        <f>IF(ISERROR(VLOOKUP(_xlfn.CONCAT("K",D9),Table24[Label],1,FALSE)),FALSE,TRUE)</f>
        <v>0</v>
      </c>
      <c r="I9" s="1" t="b">
        <f>IF(ISERROR(VLOOKUP(_xlfn.CONCAT("K",D9),Table1[Label],1,FALSE)),FALSE,TRUE)</f>
        <v>1</v>
      </c>
      <c r="J9" s="1" t="b">
        <f>IF(ISERROR(VLOOKUP(_xlfn.CONCAT("K",D9),Table2[Label],1,FALSE)),FALSE,TRUE)</f>
        <v>1</v>
      </c>
      <c r="K9" s="1" t="b">
        <f>IF(ISERROR(VLOOKUP(_xlfn.CONCAT("K",D9),Table3[Label],1,FALSE)),FALSE,TRUE)</f>
        <v>1</v>
      </c>
      <c r="L9" s="1" t="b">
        <f>IF(ISERROR(VLOOKUP(_xlfn.CONCAT("K",D9),Table4[Label],1,FALSE)),FALSE,TRUE)</f>
        <v>1</v>
      </c>
      <c r="M9" s="1" t="b">
        <f>IF(ISERROR(VLOOKUP(_xlfn.CONCAT("K",D9),Table5[Label],1,FALSE)),FALSE,TRUE)</f>
        <v>1</v>
      </c>
      <c r="N9" s="1" t="b">
        <f>IF(ISERROR(VLOOKUP(_xlfn.CONCAT("K",D9),Table6[Label],1,FALSE)),FALSE,TRUE)</f>
        <v>0</v>
      </c>
      <c r="O9" s="1" t="b">
        <f>IF(ISERROR(VLOOKUP(_xlfn.CONCAT("K",D9),Table7[Label],1,FALSE)),FALSE,TRUE)</f>
        <v>1</v>
      </c>
    </row>
    <row r="10" spans="1:15" x14ac:dyDescent="0.2">
      <c r="A10" t="s">
        <v>94</v>
      </c>
      <c r="B10" t="s">
        <v>95</v>
      </c>
      <c r="C10" s="1">
        <v>653</v>
      </c>
      <c r="D10" s="1" t="s">
        <v>153</v>
      </c>
      <c r="E10" s="1">
        <v>10</v>
      </c>
      <c r="F10" s="1">
        <v>6181</v>
      </c>
      <c r="G10" s="1" t="s">
        <v>1</v>
      </c>
      <c r="H10" s="1" t="b">
        <f>IF(ISERROR(VLOOKUP(_xlfn.CONCAT("K",D10),Table24[Label],1,FALSE)),FALSE,TRUE)</f>
        <v>0</v>
      </c>
      <c r="I10" s="1" t="b">
        <f>IF(ISERROR(VLOOKUP(_xlfn.CONCAT("K",D10),Table1[Label],1,FALSE)),FALSE,TRUE)</f>
        <v>1</v>
      </c>
      <c r="J10" s="1" t="b">
        <f>IF(ISERROR(VLOOKUP(_xlfn.CONCAT("K",D10),Table2[Label],1,FALSE)),FALSE,TRUE)</f>
        <v>0</v>
      </c>
      <c r="K10" s="1" t="b">
        <f>IF(ISERROR(VLOOKUP(_xlfn.CONCAT("K",D10),Table3[Label],1,FALSE)),FALSE,TRUE)</f>
        <v>1</v>
      </c>
      <c r="L10" s="1" t="b">
        <f>IF(ISERROR(VLOOKUP(_xlfn.CONCAT("K",D10),Table4[Label],1,FALSE)),FALSE,TRUE)</f>
        <v>1</v>
      </c>
      <c r="M10" s="1" t="b">
        <f>IF(ISERROR(VLOOKUP(_xlfn.CONCAT("K",D10),Table5[Label],1,FALSE)),FALSE,TRUE)</f>
        <v>1</v>
      </c>
      <c r="N10" s="1" t="b">
        <f>IF(ISERROR(VLOOKUP(_xlfn.CONCAT("K",D10),Table6[Label],1,FALSE)),FALSE,TRUE)</f>
        <v>0</v>
      </c>
      <c r="O10" s="1" t="b">
        <f>IF(ISERROR(VLOOKUP(_xlfn.CONCAT("K",D10),Table7[Label],1,FALSE)),FALSE,TRUE)</f>
        <v>0</v>
      </c>
    </row>
    <row r="11" spans="1:15" x14ac:dyDescent="0.2">
      <c r="A11" t="s">
        <v>96</v>
      </c>
      <c r="B11" t="s">
        <v>97</v>
      </c>
      <c r="C11" s="1">
        <v>613</v>
      </c>
      <c r="D11" s="1" t="s">
        <v>154</v>
      </c>
      <c r="E11" s="1">
        <v>11</v>
      </c>
      <c r="F11" s="1">
        <v>5341</v>
      </c>
      <c r="G11" s="1" t="s">
        <v>1</v>
      </c>
      <c r="H11" s="1" t="b">
        <f>IF(ISERROR(VLOOKUP(_xlfn.CONCAT("K",D11),Table24[Label],1,FALSE)),FALSE,TRUE)</f>
        <v>0</v>
      </c>
      <c r="I11" s="1" t="b">
        <f>IF(ISERROR(VLOOKUP(_xlfn.CONCAT("K",D11),Table1[Label],1,FALSE)),FALSE,TRUE)</f>
        <v>1</v>
      </c>
      <c r="J11" s="1" t="b">
        <f>IF(ISERROR(VLOOKUP(_xlfn.CONCAT("K",D11),Table2[Label],1,FALSE)),FALSE,TRUE)</f>
        <v>1</v>
      </c>
      <c r="K11" s="1" t="b">
        <f>IF(ISERROR(VLOOKUP(_xlfn.CONCAT("K",D11),Table3[Label],1,FALSE)),FALSE,TRUE)</f>
        <v>1</v>
      </c>
      <c r="L11" s="1" t="b">
        <f>IF(ISERROR(VLOOKUP(_xlfn.CONCAT("K",D11),Table4[Label],1,FALSE)),FALSE,TRUE)</f>
        <v>1</v>
      </c>
      <c r="M11" s="1" t="b">
        <f>IF(ISERROR(VLOOKUP(_xlfn.CONCAT("K",D11),Table5[Label],1,FALSE)),FALSE,TRUE)</f>
        <v>0</v>
      </c>
      <c r="N11" s="1" t="b">
        <f>IF(ISERROR(VLOOKUP(_xlfn.CONCAT("K",D11),Table6[Label],1,FALSE)),FALSE,TRUE)</f>
        <v>0</v>
      </c>
      <c r="O11" s="1" t="b">
        <f>IF(ISERROR(VLOOKUP(_xlfn.CONCAT("K",D11),Table7[Label],1,FALSE)),FALSE,TRUE)</f>
        <v>0</v>
      </c>
    </row>
    <row r="12" spans="1:15" x14ac:dyDescent="0.2">
      <c r="A12" t="s">
        <v>102</v>
      </c>
      <c r="B12" t="s">
        <v>103</v>
      </c>
      <c r="C12" s="1">
        <v>624</v>
      </c>
      <c r="D12" s="1" t="s">
        <v>157</v>
      </c>
      <c r="E12" s="1">
        <v>1</v>
      </c>
      <c r="F12" s="1">
        <v>123</v>
      </c>
      <c r="G12" s="1" t="s">
        <v>1</v>
      </c>
      <c r="H12" s="1" t="b">
        <f>IF(ISERROR(VLOOKUP(_xlfn.CONCAT("K",D12),Table24[Label],1,FALSE)),FALSE,TRUE)</f>
        <v>0</v>
      </c>
      <c r="I12" s="1" t="b">
        <f>IF(ISERROR(VLOOKUP(_xlfn.CONCAT("K",D12),Table1[Label],1,FALSE)),FALSE,TRUE)</f>
        <v>0</v>
      </c>
      <c r="J12" s="1" t="b">
        <f>IF(ISERROR(VLOOKUP(_xlfn.CONCAT("K",D12),Table2[Label],1,FALSE)),FALSE,TRUE)</f>
        <v>1</v>
      </c>
      <c r="K12" s="1" t="b">
        <f>IF(ISERROR(VLOOKUP(_xlfn.CONCAT("K",D12),Table3[Label],1,FALSE)),FALSE,TRUE)</f>
        <v>0</v>
      </c>
      <c r="L12" s="1" t="b">
        <f>IF(ISERROR(VLOOKUP(_xlfn.CONCAT("K",D12),Table4[Label],1,FALSE)),FALSE,TRUE)</f>
        <v>1</v>
      </c>
      <c r="M12" s="1" t="b">
        <f>IF(ISERROR(VLOOKUP(_xlfn.CONCAT("K",D12),Table5[Label],1,FALSE)),FALSE,TRUE)</f>
        <v>0</v>
      </c>
      <c r="N12" s="1" t="b">
        <f>IF(ISERROR(VLOOKUP(_xlfn.CONCAT("K",D12),Table6[Label],1,FALSE)),FALSE,TRUE)</f>
        <v>0</v>
      </c>
      <c r="O12" s="1" t="b">
        <f>IF(ISERROR(VLOOKUP(_xlfn.CONCAT("K",D12),Table7[Label],1,FALSE)),FALSE,TRUE)</f>
        <v>0</v>
      </c>
    </row>
    <row r="13" spans="1:15" x14ac:dyDescent="0.2">
      <c r="A13" t="s">
        <v>104</v>
      </c>
      <c r="B13" t="s">
        <v>105</v>
      </c>
      <c r="C13" s="1">
        <v>519</v>
      </c>
      <c r="D13" s="1" t="s">
        <v>158</v>
      </c>
      <c r="E13" s="1">
        <v>1</v>
      </c>
      <c r="F13" s="1">
        <v>113</v>
      </c>
      <c r="G13" s="1" t="s">
        <v>1</v>
      </c>
      <c r="H13" s="1" t="b">
        <f>IF(ISERROR(VLOOKUP(_xlfn.CONCAT("K",D13),Table24[Label],1,FALSE)),FALSE,TRUE)</f>
        <v>0</v>
      </c>
      <c r="I13" s="1" t="b">
        <f>IF(ISERROR(VLOOKUP(_xlfn.CONCAT("K",D13),Table1[Label],1,FALSE)),FALSE,TRUE)</f>
        <v>0</v>
      </c>
      <c r="J13" s="1" t="b">
        <f>IF(ISERROR(VLOOKUP(_xlfn.CONCAT("K",D13),Table2[Label],1,FALSE)),FALSE,TRUE)</f>
        <v>1</v>
      </c>
      <c r="K13" s="1" t="b">
        <f>IF(ISERROR(VLOOKUP(_xlfn.CONCAT("K",D13),Table3[Label],1,FALSE)),FALSE,TRUE)</f>
        <v>0</v>
      </c>
      <c r="L13" s="1" t="b">
        <f>IF(ISERROR(VLOOKUP(_xlfn.CONCAT("K",D13),Table4[Label],1,FALSE)),FALSE,TRUE)</f>
        <v>1</v>
      </c>
      <c r="M13" s="1" t="b">
        <f>IF(ISERROR(VLOOKUP(_xlfn.CONCAT("K",D13),Table5[Label],1,FALSE)),FALSE,TRUE)</f>
        <v>0</v>
      </c>
      <c r="N13" s="1" t="b">
        <f>IF(ISERROR(VLOOKUP(_xlfn.CONCAT("K",D13),Table6[Label],1,FALSE)),FALSE,TRUE)</f>
        <v>0</v>
      </c>
      <c r="O13" s="1" t="b">
        <f>IF(ISERROR(VLOOKUP(_xlfn.CONCAT("K",D13),Table7[Label],1,FALSE)),FALSE,TRUE)</f>
        <v>0</v>
      </c>
    </row>
    <row r="14" spans="1:15" x14ac:dyDescent="0.2">
      <c r="A14" t="s">
        <v>106</v>
      </c>
      <c r="B14" t="s">
        <v>82</v>
      </c>
      <c r="C14" s="1">
        <v>490</v>
      </c>
      <c r="D14" s="1" t="s">
        <v>159</v>
      </c>
      <c r="E14" s="1">
        <v>1</v>
      </c>
      <c r="F14" s="1">
        <v>109</v>
      </c>
      <c r="G14" s="1" t="s">
        <v>1</v>
      </c>
      <c r="H14" s="1" t="b">
        <f>IF(ISERROR(VLOOKUP(_xlfn.CONCAT("K",D14),Table24[Label],1,FALSE)),FALSE,TRUE)</f>
        <v>0</v>
      </c>
      <c r="I14" s="1" t="b">
        <f>IF(ISERROR(VLOOKUP(_xlfn.CONCAT("K",D14),Table1[Label],1,FALSE)),FALSE,TRUE)</f>
        <v>0</v>
      </c>
      <c r="J14" s="1" t="b">
        <f>IF(ISERROR(VLOOKUP(_xlfn.CONCAT("K",D14),Table2[Label],1,FALSE)),FALSE,TRUE)</f>
        <v>0</v>
      </c>
      <c r="K14" s="1" t="b">
        <f>IF(ISERROR(VLOOKUP(_xlfn.CONCAT("K",D14),Table3[Label],1,FALSE)),FALSE,TRUE)</f>
        <v>0</v>
      </c>
      <c r="L14" s="1" t="b">
        <f>IF(ISERROR(VLOOKUP(_xlfn.CONCAT("K",D14),Table4[Label],1,FALSE)),FALSE,TRUE)</f>
        <v>1</v>
      </c>
      <c r="M14" s="1" t="b">
        <f>IF(ISERROR(VLOOKUP(_xlfn.CONCAT("K",D14),Table5[Label],1,FALSE)),FALSE,TRUE)</f>
        <v>0</v>
      </c>
      <c r="N14" s="1" t="b">
        <f>IF(ISERROR(VLOOKUP(_xlfn.CONCAT("K",D14),Table6[Label],1,FALSE)),FALSE,TRUE)</f>
        <v>0</v>
      </c>
      <c r="O14" s="1" t="b">
        <f>IF(ISERROR(VLOOKUP(_xlfn.CONCAT("K",D14),Table7[Label],1,FALSE)),FALSE,TRUE)</f>
        <v>0</v>
      </c>
    </row>
    <row r="15" spans="1:15" x14ac:dyDescent="0.2">
      <c r="A15" t="s">
        <v>107</v>
      </c>
      <c r="B15" t="s">
        <v>108</v>
      </c>
      <c r="C15" s="1">
        <v>2207</v>
      </c>
      <c r="D15" s="1" t="s">
        <v>160</v>
      </c>
      <c r="E15" s="1">
        <v>1</v>
      </c>
      <c r="F15" s="1">
        <v>103</v>
      </c>
      <c r="G15" s="1" t="s">
        <v>1</v>
      </c>
      <c r="H15" s="1" t="b">
        <f>IF(ISERROR(VLOOKUP(_xlfn.CONCAT("K",D15),Table24[Label],1,FALSE)),FALSE,TRUE)</f>
        <v>0</v>
      </c>
      <c r="I15" s="1" t="b">
        <f>IF(ISERROR(VLOOKUP(_xlfn.CONCAT("K",D15),Table1[Label],1,FALSE)),FALSE,TRUE)</f>
        <v>0</v>
      </c>
      <c r="J15" s="1" t="b">
        <f>IF(ISERROR(VLOOKUP(_xlfn.CONCAT("K",D15),Table2[Label],1,FALSE)),FALSE,TRUE)</f>
        <v>1</v>
      </c>
      <c r="K15" s="1" t="b">
        <f>IF(ISERROR(VLOOKUP(_xlfn.CONCAT("K",D15),Table3[Label],1,FALSE)),FALSE,TRUE)</f>
        <v>0</v>
      </c>
      <c r="L15" s="1" t="b">
        <f>IF(ISERROR(VLOOKUP(_xlfn.CONCAT("K",D15),Table4[Label],1,FALSE)),FALSE,TRUE)</f>
        <v>0</v>
      </c>
      <c r="M15" s="1" t="b">
        <f>IF(ISERROR(VLOOKUP(_xlfn.CONCAT("K",D15),Table5[Label],1,FALSE)),FALSE,TRUE)</f>
        <v>0</v>
      </c>
      <c r="N15" s="1" t="b">
        <f>IF(ISERROR(VLOOKUP(_xlfn.CONCAT("K",D15),Table6[Label],1,FALSE)),FALSE,TRUE)</f>
        <v>0</v>
      </c>
      <c r="O15" s="1" t="b">
        <f>IF(ISERROR(VLOOKUP(_xlfn.CONCAT("K",D15),Table7[Label],1,FALSE)),FALSE,TRUE)</f>
        <v>0</v>
      </c>
    </row>
    <row r="16" spans="1:15" x14ac:dyDescent="0.2">
      <c r="A16" t="s">
        <v>109</v>
      </c>
      <c r="B16" t="s">
        <v>110</v>
      </c>
      <c r="C16" s="1">
        <v>2219</v>
      </c>
      <c r="D16" s="1" t="s">
        <v>161</v>
      </c>
      <c r="E16" s="1">
        <v>1</v>
      </c>
      <c r="F16" s="1">
        <v>97</v>
      </c>
      <c r="G16" s="1" t="s">
        <v>1</v>
      </c>
      <c r="H16" s="1" t="b">
        <f>IF(ISERROR(VLOOKUP(_xlfn.CONCAT("K",D16),Table24[Label],1,FALSE)),FALSE,TRUE)</f>
        <v>0</v>
      </c>
      <c r="I16" s="1" t="b">
        <f>IF(ISERROR(VLOOKUP(_xlfn.CONCAT("K",D16),Table1[Label],1,FALSE)),FALSE,TRUE)</f>
        <v>0</v>
      </c>
      <c r="J16" s="1" t="b">
        <f>IF(ISERROR(VLOOKUP(_xlfn.CONCAT("K",D16),Table2[Label],1,FALSE)),FALSE,TRUE)</f>
        <v>1</v>
      </c>
      <c r="K16" s="1" t="b">
        <f>IF(ISERROR(VLOOKUP(_xlfn.CONCAT("K",D16),Table3[Label],1,FALSE)),FALSE,TRUE)</f>
        <v>0</v>
      </c>
      <c r="L16" s="1" t="b">
        <f>IF(ISERROR(VLOOKUP(_xlfn.CONCAT("K",D16),Table4[Label],1,FALSE)),FALSE,TRUE)</f>
        <v>0</v>
      </c>
      <c r="M16" s="1" t="b">
        <f>IF(ISERROR(VLOOKUP(_xlfn.CONCAT("K",D16),Table5[Label],1,FALSE)),FALSE,TRUE)</f>
        <v>0</v>
      </c>
      <c r="N16" s="1" t="b">
        <f>IF(ISERROR(VLOOKUP(_xlfn.CONCAT("K",D16),Table6[Label],1,FALSE)),FALSE,TRUE)</f>
        <v>0</v>
      </c>
      <c r="O16" s="1" t="b">
        <f>IF(ISERROR(VLOOKUP(_xlfn.CONCAT("K",D16),Table7[Label],1,FALSE)),FALSE,TRUE)</f>
        <v>0</v>
      </c>
    </row>
    <row r="17" spans="1:15" x14ac:dyDescent="0.2">
      <c r="A17" t="s">
        <v>111</v>
      </c>
      <c r="B17" t="s">
        <v>112</v>
      </c>
      <c r="C17" s="1">
        <v>716</v>
      </c>
      <c r="D17" s="1" t="s">
        <v>162</v>
      </c>
      <c r="E17" s="1">
        <v>1</v>
      </c>
      <c r="F17" s="1">
        <v>94</v>
      </c>
      <c r="G17" s="1" t="s">
        <v>1</v>
      </c>
      <c r="H17" s="1" t="b">
        <f>IF(ISERROR(VLOOKUP(_xlfn.CONCAT("K",D17),Table24[Label],1,FALSE)),FALSE,TRUE)</f>
        <v>0</v>
      </c>
      <c r="I17" s="1" t="b">
        <f>IF(ISERROR(VLOOKUP(_xlfn.CONCAT("K",D17),Table1[Label],1,FALSE)),FALSE,TRUE)</f>
        <v>0</v>
      </c>
      <c r="J17" s="1" t="b">
        <f>IF(ISERROR(VLOOKUP(_xlfn.CONCAT("K",D17),Table2[Label],1,FALSE)),FALSE,TRUE)</f>
        <v>1</v>
      </c>
      <c r="K17" s="1" t="b">
        <f>IF(ISERROR(VLOOKUP(_xlfn.CONCAT("K",D17),Table3[Label],1,FALSE)),FALSE,TRUE)</f>
        <v>0</v>
      </c>
      <c r="L17" s="1" t="b">
        <f>IF(ISERROR(VLOOKUP(_xlfn.CONCAT("K",D17),Table4[Label],1,FALSE)),FALSE,TRUE)</f>
        <v>0</v>
      </c>
      <c r="M17" s="1" t="b">
        <f>IF(ISERROR(VLOOKUP(_xlfn.CONCAT("K",D17),Table5[Label],1,FALSE)),FALSE,TRUE)</f>
        <v>0</v>
      </c>
      <c r="N17" s="1" t="b">
        <f>IF(ISERROR(VLOOKUP(_xlfn.CONCAT("K",D17),Table6[Label],1,FALSE)),FALSE,TRUE)</f>
        <v>0</v>
      </c>
      <c r="O17" s="1" t="b">
        <f>IF(ISERROR(VLOOKUP(_xlfn.CONCAT("K",D17),Table7[Label],1,FALSE)),FALSE,TRUE)</f>
        <v>0</v>
      </c>
    </row>
    <row r="18" spans="1:15" x14ac:dyDescent="0.2">
      <c r="A18" t="s">
        <v>113</v>
      </c>
      <c r="B18" t="s">
        <v>114</v>
      </c>
      <c r="C18" s="1">
        <v>635</v>
      </c>
      <c r="D18" s="1" t="s">
        <v>163</v>
      </c>
      <c r="E18" s="1">
        <v>1</v>
      </c>
      <c r="F18" s="1">
        <v>88</v>
      </c>
      <c r="G18" s="1" t="s">
        <v>1</v>
      </c>
      <c r="H18" s="1" t="b">
        <f>IF(ISERROR(VLOOKUP(_xlfn.CONCAT("K",D18),Table24[Label],1,FALSE)),FALSE,TRUE)</f>
        <v>0</v>
      </c>
      <c r="I18" s="1" t="b">
        <f>IF(ISERROR(VLOOKUP(_xlfn.CONCAT("K",D18),Table1[Label],1,FALSE)),FALSE,TRUE)</f>
        <v>0</v>
      </c>
      <c r="J18" s="1" t="b">
        <f>IF(ISERROR(VLOOKUP(_xlfn.CONCAT("K",D18),Table2[Label],1,FALSE)),FALSE,TRUE)</f>
        <v>1</v>
      </c>
      <c r="K18" s="1" t="b">
        <f>IF(ISERROR(VLOOKUP(_xlfn.CONCAT("K",D18),Table3[Label],1,FALSE)),FALSE,TRUE)</f>
        <v>0</v>
      </c>
      <c r="L18" s="1" t="b">
        <f>IF(ISERROR(VLOOKUP(_xlfn.CONCAT("K",D18),Table4[Label],1,FALSE)),FALSE,TRUE)</f>
        <v>0</v>
      </c>
      <c r="M18" s="1" t="b">
        <f>IF(ISERROR(VLOOKUP(_xlfn.CONCAT("K",D18),Table5[Label],1,FALSE)),FALSE,TRUE)</f>
        <v>0</v>
      </c>
      <c r="N18" s="1" t="b">
        <f>IF(ISERROR(VLOOKUP(_xlfn.CONCAT("K",D18),Table6[Label],1,FALSE)),FALSE,TRUE)</f>
        <v>0</v>
      </c>
      <c r="O18" s="1" t="b">
        <f>IF(ISERROR(VLOOKUP(_xlfn.CONCAT("K",D18),Table7[Label],1,FALSE)),FALSE,TRUE)</f>
        <v>0</v>
      </c>
    </row>
    <row r="19" spans="1:15" x14ac:dyDescent="0.2">
      <c r="A19" t="s">
        <v>115</v>
      </c>
      <c r="B19" t="s">
        <v>116</v>
      </c>
      <c r="C19" s="1">
        <v>534</v>
      </c>
      <c r="D19" s="1" t="s">
        <v>164</v>
      </c>
      <c r="E19" s="1">
        <v>1</v>
      </c>
      <c r="F19" s="1">
        <v>55</v>
      </c>
      <c r="G19" s="1" t="s">
        <v>1</v>
      </c>
      <c r="H19" s="1" t="b">
        <f>IF(ISERROR(VLOOKUP(_xlfn.CONCAT("K",D19),Table24[Label],1,FALSE)),FALSE,TRUE)</f>
        <v>0</v>
      </c>
      <c r="I19" s="1" t="b">
        <f>IF(ISERROR(VLOOKUP(_xlfn.CONCAT("K",D19),Table1[Label],1,FALSE)),FALSE,TRUE)</f>
        <v>0</v>
      </c>
      <c r="J19" s="1" t="b">
        <f>IF(ISERROR(VLOOKUP(_xlfn.CONCAT("K",D19),Table2[Label],1,FALSE)),FALSE,TRUE)</f>
        <v>1</v>
      </c>
      <c r="K19" s="1" t="b">
        <f>IF(ISERROR(VLOOKUP(_xlfn.CONCAT("K",D19),Table3[Label],1,FALSE)),FALSE,TRUE)</f>
        <v>0</v>
      </c>
      <c r="L19" s="1" t="b">
        <f>IF(ISERROR(VLOOKUP(_xlfn.CONCAT("K",D19),Table4[Label],1,FALSE)),FALSE,TRUE)</f>
        <v>0</v>
      </c>
      <c r="M19" s="1" t="b">
        <f>IF(ISERROR(VLOOKUP(_xlfn.CONCAT("K",D19),Table5[Label],1,FALSE)),FALSE,TRUE)</f>
        <v>0</v>
      </c>
      <c r="N19" s="1" t="b">
        <f>IF(ISERROR(VLOOKUP(_xlfn.CONCAT("K",D19),Table6[Label],1,FALSE)),FALSE,TRUE)</f>
        <v>0</v>
      </c>
      <c r="O19" s="1" t="b">
        <f>IF(ISERROR(VLOOKUP(_xlfn.CONCAT("K",D19),Table7[Label],1,FALSE)),FALSE,TRUE)</f>
        <v>0</v>
      </c>
    </row>
    <row r="20" spans="1:15" x14ac:dyDescent="0.2">
      <c r="A20" t="s">
        <v>117</v>
      </c>
      <c r="B20" t="s">
        <v>118</v>
      </c>
      <c r="C20" s="1">
        <v>563</v>
      </c>
      <c r="D20" s="1" t="s">
        <v>165</v>
      </c>
      <c r="E20" s="1">
        <v>1</v>
      </c>
      <c r="F20" s="1">
        <v>10</v>
      </c>
      <c r="G20" s="1" t="s">
        <v>1</v>
      </c>
      <c r="H20" s="1" t="b">
        <f>IF(ISERROR(VLOOKUP(_xlfn.CONCAT("K",D20),Table24[Label],1,FALSE)),FALSE,TRUE)</f>
        <v>0</v>
      </c>
      <c r="I20" s="1" t="b">
        <f>IF(ISERROR(VLOOKUP(_xlfn.CONCAT("K",D20),Table1[Label],1,FALSE)),FALSE,TRUE)</f>
        <v>0</v>
      </c>
      <c r="J20" s="1" t="b">
        <f>IF(ISERROR(VLOOKUP(_xlfn.CONCAT("K",D20),Table2[Label],1,FALSE)),FALSE,TRUE)</f>
        <v>1</v>
      </c>
      <c r="K20" s="1" t="b">
        <f>IF(ISERROR(VLOOKUP(_xlfn.CONCAT("K",D20),Table3[Label],1,FALSE)),FALSE,TRUE)</f>
        <v>0</v>
      </c>
      <c r="L20" s="1" t="b">
        <f>IF(ISERROR(VLOOKUP(_xlfn.CONCAT("K",D20),Table4[Label],1,FALSE)),FALSE,TRUE)</f>
        <v>0</v>
      </c>
      <c r="M20" s="1" t="b">
        <f>IF(ISERROR(VLOOKUP(_xlfn.CONCAT("K",D20),Table5[Label],1,FALSE)),FALSE,TRUE)</f>
        <v>0</v>
      </c>
      <c r="N20" s="1" t="b">
        <f>IF(ISERROR(VLOOKUP(_xlfn.CONCAT("K",D20),Table6[Label],1,FALSE)),FALSE,TRUE)</f>
        <v>0</v>
      </c>
      <c r="O20" s="1" t="b">
        <f>IF(ISERROR(VLOOKUP(_xlfn.CONCAT("K",D20),Table7[Label],1,FALSE)),FALSE,TRUE)</f>
        <v>0</v>
      </c>
    </row>
    <row r="21" spans="1:15" x14ac:dyDescent="0.2">
      <c r="A21" t="s">
        <v>119</v>
      </c>
      <c r="B21" t="s">
        <v>120</v>
      </c>
      <c r="C21" s="1">
        <v>567</v>
      </c>
      <c r="D21" s="1" t="s">
        <v>166</v>
      </c>
      <c r="E21" s="1">
        <v>1</v>
      </c>
      <c r="F21" s="1">
        <v>7</v>
      </c>
      <c r="G21" s="1" t="s">
        <v>1</v>
      </c>
      <c r="H21" s="1" t="b">
        <f>IF(ISERROR(VLOOKUP(_xlfn.CONCAT("K",D21),Table24[Label],1,FALSE)),FALSE,TRUE)</f>
        <v>0</v>
      </c>
      <c r="I21" s="1" t="b">
        <f>IF(ISERROR(VLOOKUP(_xlfn.CONCAT("K",D21),Table1[Label],1,FALSE)),FALSE,TRUE)</f>
        <v>0</v>
      </c>
      <c r="J21" s="1" t="b">
        <f>IF(ISERROR(VLOOKUP(_xlfn.CONCAT("K",D21),Table2[Label],1,FALSE)),FALSE,TRUE)</f>
        <v>1</v>
      </c>
      <c r="K21" s="1" t="b">
        <f>IF(ISERROR(VLOOKUP(_xlfn.CONCAT("K",D21),Table3[Label],1,FALSE)),FALSE,TRUE)</f>
        <v>0</v>
      </c>
      <c r="L21" s="1" t="b">
        <f>IF(ISERROR(VLOOKUP(_xlfn.CONCAT("K",D21),Table4[Label],1,FALSE)),FALSE,TRUE)</f>
        <v>0</v>
      </c>
      <c r="M21" s="1" t="b">
        <f>IF(ISERROR(VLOOKUP(_xlfn.CONCAT("K",D21),Table5[Label],1,FALSE)),FALSE,TRUE)</f>
        <v>0</v>
      </c>
      <c r="N21" s="1" t="b">
        <f>IF(ISERROR(VLOOKUP(_xlfn.CONCAT("K",D21),Table6[Label],1,FALSE)),FALSE,TRUE)</f>
        <v>0</v>
      </c>
      <c r="O21" s="1" t="b">
        <f>IF(ISERROR(VLOOKUP(_xlfn.CONCAT("K",D21),Table7[Label],1,FALSE)),FALSE,TRUE)</f>
        <v>0</v>
      </c>
    </row>
    <row r="22" spans="1:15" x14ac:dyDescent="0.2">
      <c r="E22" s="6"/>
    </row>
    <row r="23" spans="1:15" x14ac:dyDescent="0.2">
      <c r="E23" s="6"/>
    </row>
    <row r="24" spans="1:15" x14ac:dyDescent="0.2">
      <c r="E24" s="6"/>
    </row>
    <row r="25" spans="1:15" x14ac:dyDescent="0.2">
      <c r="E25" s="6"/>
    </row>
    <row r="26" spans="1:15" x14ac:dyDescent="0.2">
      <c r="E26" s="6"/>
    </row>
    <row r="27" spans="1:15" x14ac:dyDescent="0.2">
      <c r="A27" t="s">
        <v>234</v>
      </c>
      <c r="B27" t="s">
        <v>235</v>
      </c>
      <c r="C27" s="1" t="s">
        <v>236</v>
      </c>
      <c r="D27" s="1" t="s">
        <v>0</v>
      </c>
      <c r="E27" s="1" t="s">
        <v>7</v>
      </c>
      <c r="F27" s="1" t="s">
        <v>237</v>
      </c>
      <c r="G27" s="1" t="s">
        <v>8</v>
      </c>
      <c r="H27" s="1" t="s">
        <v>238</v>
      </c>
      <c r="I27" s="1" t="s">
        <v>239</v>
      </c>
      <c r="J27" s="1" t="s">
        <v>240</v>
      </c>
    </row>
    <row r="28" spans="1:15" x14ac:dyDescent="0.2">
      <c r="A28">
        <v>730</v>
      </c>
      <c r="B28" t="s">
        <v>256</v>
      </c>
      <c r="C28" s="1" t="s">
        <v>257</v>
      </c>
      <c r="D28" s="1" t="s">
        <v>29</v>
      </c>
      <c r="E28" s="1" t="s">
        <v>30</v>
      </c>
      <c r="F28" s="1" t="s">
        <v>243</v>
      </c>
      <c r="G28" s="1" t="s">
        <v>31</v>
      </c>
      <c r="H28" s="1">
        <v>24</v>
      </c>
      <c r="I28" s="1">
        <v>44350</v>
      </c>
      <c r="J28" s="1">
        <v>1</v>
      </c>
    </row>
    <row r="29" spans="1:15" x14ac:dyDescent="0.2">
      <c r="A29">
        <v>571</v>
      </c>
      <c r="B29" t="s">
        <v>260</v>
      </c>
      <c r="C29" s="1" t="s">
        <v>261</v>
      </c>
      <c r="D29" s="1" t="s">
        <v>35</v>
      </c>
      <c r="E29" s="1" t="s">
        <v>36</v>
      </c>
      <c r="F29" s="1" t="s">
        <v>243</v>
      </c>
      <c r="G29" s="1" t="s">
        <v>37</v>
      </c>
      <c r="H29" s="1">
        <v>27</v>
      </c>
      <c r="I29" s="1">
        <v>39711</v>
      </c>
      <c r="J29" s="1">
        <v>1</v>
      </c>
    </row>
    <row r="30" spans="1:15" x14ac:dyDescent="0.2">
      <c r="A30">
        <v>506</v>
      </c>
      <c r="B30" t="s">
        <v>246</v>
      </c>
      <c r="C30" s="1" t="s">
        <v>247</v>
      </c>
      <c r="D30" s="1" t="s">
        <v>15</v>
      </c>
      <c r="E30" s="1" t="s">
        <v>16</v>
      </c>
      <c r="F30" s="1" t="s">
        <v>243</v>
      </c>
      <c r="G30" s="1" t="s">
        <v>17</v>
      </c>
      <c r="H30" s="1">
        <v>32</v>
      </c>
      <c r="I30" s="1">
        <v>36050</v>
      </c>
      <c r="J30" s="1">
        <v>1</v>
      </c>
    </row>
    <row r="31" spans="1:15" x14ac:dyDescent="0.2">
      <c r="A31">
        <v>702</v>
      </c>
      <c r="B31" t="s">
        <v>268</v>
      </c>
      <c r="C31" s="1" t="s">
        <v>269</v>
      </c>
      <c r="D31" s="1" t="s">
        <v>52</v>
      </c>
      <c r="E31" s="1" t="s">
        <v>53</v>
      </c>
      <c r="F31" s="1" t="s">
        <v>243</v>
      </c>
      <c r="G31" s="1" t="s">
        <v>54</v>
      </c>
      <c r="H31" s="1">
        <v>27</v>
      </c>
      <c r="I31" s="1">
        <v>31784</v>
      </c>
      <c r="J31" s="1">
        <v>1</v>
      </c>
    </row>
    <row r="32" spans="1:15" x14ac:dyDescent="0.2">
      <c r="A32">
        <v>691</v>
      </c>
      <c r="B32" t="s">
        <v>244</v>
      </c>
      <c r="C32" s="1" t="s">
        <v>245</v>
      </c>
      <c r="D32" s="1" t="s">
        <v>12</v>
      </c>
      <c r="E32" s="1" t="s">
        <v>13</v>
      </c>
      <c r="F32" s="1" t="s">
        <v>243</v>
      </c>
      <c r="G32" s="1" t="s">
        <v>14</v>
      </c>
      <c r="H32" s="1">
        <v>32</v>
      </c>
      <c r="I32" s="1">
        <v>29032</v>
      </c>
      <c r="J32" s="1">
        <v>1</v>
      </c>
    </row>
    <row r="33" spans="1:10" x14ac:dyDescent="0.2">
      <c r="A33">
        <v>648</v>
      </c>
      <c r="B33" t="s">
        <v>241</v>
      </c>
      <c r="C33" s="1" t="s">
        <v>242</v>
      </c>
      <c r="D33" s="1" t="s">
        <v>9</v>
      </c>
      <c r="E33" s="1" t="s">
        <v>10</v>
      </c>
      <c r="F33" s="1" t="s">
        <v>243</v>
      </c>
      <c r="G33" s="1" t="s">
        <v>11</v>
      </c>
      <c r="H33" s="1">
        <v>25</v>
      </c>
      <c r="I33" s="1">
        <v>28737</v>
      </c>
      <c r="J33" s="1">
        <v>1</v>
      </c>
    </row>
    <row r="34" spans="1:10" x14ac:dyDescent="0.2">
      <c r="A34">
        <v>733</v>
      </c>
      <c r="B34" t="s">
        <v>254</v>
      </c>
      <c r="C34" s="1" t="s">
        <v>255</v>
      </c>
      <c r="D34" s="1" t="s">
        <v>27</v>
      </c>
      <c r="E34" s="1" t="s">
        <v>2</v>
      </c>
      <c r="F34" s="1" t="s">
        <v>243</v>
      </c>
      <c r="G34" s="1" t="s">
        <v>28</v>
      </c>
      <c r="H34" s="1">
        <v>25</v>
      </c>
      <c r="I34" s="1">
        <v>28057</v>
      </c>
      <c r="J34" s="1">
        <v>1</v>
      </c>
    </row>
    <row r="35" spans="1:10" x14ac:dyDescent="0.2">
      <c r="A35">
        <v>647</v>
      </c>
      <c r="B35" t="s">
        <v>262</v>
      </c>
      <c r="C35" s="1" t="s">
        <v>263</v>
      </c>
      <c r="D35" s="1" t="s">
        <v>39</v>
      </c>
      <c r="E35" s="1" t="s">
        <v>40</v>
      </c>
      <c r="F35" s="1" t="s">
        <v>243</v>
      </c>
      <c r="G35" s="1" t="s">
        <v>41</v>
      </c>
      <c r="H35" s="1">
        <v>28</v>
      </c>
      <c r="I35" s="1">
        <v>26074</v>
      </c>
      <c r="J35" s="1">
        <v>1</v>
      </c>
    </row>
    <row r="36" spans="1:10" x14ac:dyDescent="0.2">
      <c r="A36">
        <v>575</v>
      </c>
      <c r="B36" t="s">
        <v>248</v>
      </c>
      <c r="C36" s="1" t="s">
        <v>249</v>
      </c>
      <c r="D36" s="1" t="s">
        <v>18</v>
      </c>
      <c r="E36" s="1" t="s">
        <v>19</v>
      </c>
      <c r="F36" s="1" t="s">
        <v>243</v>
      </c>
      <c r="G36" s="1" t="s">
        <v>20</v>
      </c>
      <c r="H36" s="1">
        <v>30</v>
      </c>
      <c r="I36" s="1">
        <v>24221</v>
      </c>
      <c r="J36" s="1">
        <v>1</v>
      </c>
    </row>
    <row r="37" spans="1:10" x14ac:dyDescent="0.2">
      <c r="A37">
        <v>554</v>
      </c>
      <c r="B37" t="s">
        <v>258</v>
      </c>
      <c r="C37" s="1" t="s">
        <v>259</v>
      </c>
      <c r="D37" s="1" t="s">
        <v>32</v>
      </c>
      <c r="E37" s="1" t="s">
        <v>33</v>
      </c>
      <c r="F37" s="1" t="s">
        <v>243</v>
      </c>
      <c r="G37" s="1" t="s">
        <v>34</v>
      </c>
      <c r="H37" s="1">
        <v>29</v>
      </c>
      <c r="I37" s="1">
        <v>23813</v>
      </c>
      <c r="J37" s="1">
        <v>1</v>
      </c>
    </row>
    <row r="38" spans="1:10" x14ac:dyDescent="0.2">
      <c r="A38">
        <v>700</v>
      </c>
      <c r="B38" t="s">
        <v>264</v>
      </c>
      <c r="C38" s="1" t="s">
        <v>265</v>
      </c>
      <c r="D38" s="1" t="s">
        <v>42</v>
      </c>
      <c r="E38" s="1" t="s">
        <v>43</v>
      </c>
      <c r="F38" s="1" t="s">
        <v>243</v>
      </c>
      <c r="G38" s="1" t="s">
        <v>44</v>
      </c>
      <c r="H38" s="1">
        <v>29</v>
      </c>
      <c r="I38" s="1">
        <v>23724</v>
      </c>
      <c r="J38" s="1">
        <v>1</v>
      </c>
    </row>
    <row r="39" spans="1:10" x14ac:dyDescent="0.2">
      <c r="A39">
        <v>736</v>
      </c>
      <c r="B39" t="s">
        <v>278</v>
      </c>
      <c r="C39" s="1" t="s">
        <v>279</v>
      </c>
      <c r="D39" s="1" t="s">
        <v>69</v>
      </c>
      <c r="E39" s="1" t="s">
        <v>70</v>
      </c>
      <c r="F39" s="1" t="s">
        <v>243</v>
      </c>
      <c r="G39" s="1" t="s">
        <v>71</v>
      </c>
      <c r="H39" s="1">
        <v>23</v>
      </c>
      <c r="I39" s="1">
        <v>23054</v>
      </c>
      <c r="J39" s="1">
        <v>1</v>
      </c>
    </row>
    <row r="40" spans="1:10" x14ac:dyDescent="0.2">
      <c r="A40">
        <v>597</v>
      </c>
      <c r="B40" t="s">
        <v>280</v>
      </c>
      <c r="C40" s="1" t="s">
        <v>281</v>
      </c>
      <c r="D40" s="1" t="s">
        <v>72</v>
      </c>
      <c r="E40" s="1" t="s">
        <v>73</v>
      </c>
      <c r="F40" s="1" t="s">
        <v>243</v>
      </c>
      <c r="G40" s="1" t="s">
        <v>74</v>
      </c>
      <c r="H40" s="1">
        <v>24</v>
      </c>
      <c r="I40" s="1">
        <v>22882</v>
      </c>
      <c r="J40" s="1">
        <v>1</v>
      </c>
    </row>
    <row r="41" spans="1:10" x14ac:dyDescent="0.2">
      <c r="A41">
        <v>663</v>
      </c>
      <c r="B41" t="s">
        <v>276</v>
      </c>
      <c r="C41" s="1" t="s">
        <v>277</v>
      </c>
      <c r="D41" s="1" t="s">
        <v>66</v>
      </c>
      <c r="E41" s="1" t="s">
        <v>67</v>
      </c>
      <c r="F41" s="1" t="s">
        <v>243</v>
      </c>
      <c r="G41" s="1" t="s">
        <v>68</v>
      </c>
      <c r="H41" s="1">
        <v>25</v>
      </c>
      <c r="I41" s="1">
        <v>22088</v>
      </c>
      <c r="J41" s="1">
        <v>1</v>
      </c>
    </row>
    <row r="42" spans="1:10" x14ac:dyDescent="0.2">
      <c r="A42">
        <v>682</v>
      </c>
      <c r="B42" t="s">
        <v>270</v>
      </c>
      <c r="C42" s="1" t="s">
        <v>271</v>
      </c>
      <c r="D42" s="1" t="s">
        <v>55</v>
      </c>
      <c r="E42" s="1" t="s">
        <v>56</v>
      </c>
      <c r="F42" s="1" t="s">
        <v>243</v>
      </c>
      <c r="G42" s="1" t="s">
        <v>57</v>
      </c>
      <c r="H42" s="1">
        <v>30</v>
      </c>
      <c r="I42" s="1">
        <v>21171</v>
      </c>
      <c r="J42" s="1">
        <v>1</v>
      </c>
    </row>
    <row r="43" spans="1:10" x14ac:dyDescent="0.2">
      <c r="A43">
        <v>574</v>
      </c>
      <c r="B43" t="s">
        <v>266</v>
      </c>
      <c r="C43" s="1" t="s">
        <v>267</v>
      </c>
      <c r="D43" s="1" t="s">
        <v>49</v>
      </c>
      <c r="E43" s="1" t="s">
        <v>50</v>
      </c>
      <c r="F43" s="1" t="s">
        <v>243</v>
      </c>
      <c r="G43" s="1" t="s">
        <v>51</v>
      </c>
      <c r="H43" s="1">
        <v>30</v>
      </c>
      <c r="I43" s="1">
        <v>20047</v>
      </c>
      <c r="J43" s="1">
        <v>1</v>
      </c>
    </row>
    <row r="44" spans="1:10" x14ac:dyDescent="0.2">
      <c r="A44">
        <v>591</v>
      </c>
      <c r="B44" t="s">
        <v>252</v>
      </c>
      <c r="C44" s="1" t="s">
        <v>253</v>
      </c>
      <c r="D44" s="1" t="s">
        <v>24</v>
      </c>
      <c r="E44" s="1" t="s">
        <v>25</v>
      </c>
      <c r="F44" s="1" t="s">
        <v>243</v>
      </c>
      <c r="G44" s="1" t="s">
        <v>26</v>
      </c>
      <c r="H44" s="1">
        <v>28</v>
      </c>
      <c r="I44" s="1">
        <v>18390</v>
      </c>
      <c r="J44" s="1">
        <v>1</v>
      </c>
    </row>
    <row r="45" spans="1:10" x14ac:dyDescent="0.2">
      <c r="A45">
        <v>673</v>
      </c>
      <c r="B45" t="s">
        <v>272</v>
      </c>
      <c r="C45" s="1" t="s">
        <v>273</v>
      </c>
      <c r="D45" s="1" t="s">
        <v>61</v>
      </c>
      <c r="E45" s="1" t="s">
        <v>62</v>
      </c>
      <c r="F45" s="1" t="s">
        <v>243</v>
      </c>
      <c r="G45" s="1" t="s">
        <v>63</v>
      </c>
      <c r="H45" s="1">
        <v>22</v>
      </c>
      <c r="I45" s="1">
        <v>18349</v>
      </c>
      <c r="J45" s="1">
        <v>1</v>
      </c>
    </row>
    <row r="46" spans="1:10" x14ac:dyDescent="0.2">
      <c r="A46">
        <v>529</v>
      </c>
      <c r="B46" t="s">
        <v>304</v>
      </c>
      <c r="C46" s="1" t="s">
        <v>305</v>
      </c>
      <c r="D46" s="1" t="s">
        <v>45</v>
      </c>
      <c r="E46" s="1" t="s">
        <v>46</v>
      </c>
      <c r="F46" s="1" t="s">
        <v>243</v>
      </c>
      <c r="G46" s="1" t="s">
        <v>306</v>
      </c>
      <c r="H46" s="1">
        <v>27</v>
      </c>
      <c r="I46" s="1">
        <v>15952</v>
      </c>
      <c r="J46" s="1">
        <v>1</v>
      </c>
    </row>
    <row r="47" spans="1:10" x14ac:dyDescent="0.2">
      <c r="A47">
        <v>627</v>
      </c>
      <c r="B47" t="s">
        <v>307</v>
      </c>
      <c r="C47" s="1" t="s">
        <v>308</v>
      </c>
      <c r="D47" s="1" t="s">
        <v>47</v>
      </c>
      <c r="E47" s="1" t="s">
        <v>48</v>
      </c>
      <c r="F47" s="1" t="s">
        <v>243</v>
      </c>
      <c r="G47" s="1" t="s">
        <v>309</v>
      </c>
      <c r="H47" s="1">
        <v>29</v>
      </c>
      <c r="I47" s="1">
        <v>15166</v>
      </c>
      <c r="J47" s="1">
        <v>1</v>
      </c>
    </row>
    <row r="48" spans="1:10" x14ac:dyDescent="0.2">
      <c r="A48">
        <v>720</v>
      </c>
      <c r="B48" t="s">
        <v>282</v>
      </c>
      <c r="C48" s="1" t="s">
        <v>283</v>
      </c>
      <c r="D48" s="1" t="s">
        <v>75</v>
      </c>
      <c r="E48" s="1" t="s">
        <v>76</v>
      </c>
      <c r="F48" s="1" t="s">
        <v>243</v>
      </c>
      <c r="G48" s="1" t="s">
        <v>77</v>
      </c>
      <c r="H48" s="1">
        <v>15</v>
      </c>
      <c r="I48" s="1">
        <v>14467</v>
      </c>
      <c r="J48" s="1">
        <v>1</v>
      </c>
    </row>
    <row r="49" spans="1:10" x14ac:dyDescent="0.2">
      <c r="A49">
        <v>645</v>
      </c>
      <c r="B49" t="s">
        <v>250</v>
      </c>
      <c r="C49" s="1" t="s">
        <v>251</v>
      </c>
      <c r="D49" s="1" t="s">
        <v>21</v>
      </c>
      <c r="E49" s="1" t="s">
        <v>22</v>
      </c>
      <c r="F49" s="1" t="s">
        <v>243</v>
      </c>
      <c r="G49" s="1" t="s">
        <v>23</v>
      </c>
      <c r="H49" s="1">
        <v>22</v>
      </c>
      <c r="I49" s="1">
        <v>14416</v>
      </c>
      <c r="J49" s="1">
        <v>1</v>
      </c>
    </row>
    <row r="50" spans="1:10" x14ac:dyDescent="0.2">
      <c r="A50">
        <v>579</v>
      </c>
      <c r="B50" t="s">
        <v>341</v>
      </c>
      <c r="C50" s="1" t="s">
        <v>342</v>
      </c>
      <c r="D50" s="1" t="s">
        <v>58</v>
      </c>
      <c r="E50" s="1" t="s">
        <v>59</v>
      </c>
      <c r="F50" s="1" t="s">
        <v>243</v>
      </c>
      <c r="G50" s="1" t="s">
        <v>343</v>
      </c>
      <c r="H50" s="1">
        <v>30</v>
      </c>
      <c r="I50" s="1">
        <v>11690</v>
      </c>
      <c r="J50" s="1">
        <v>1</v>
      </c>
    </row>
    <row r="51" spans="1:10" x14ac:dyDescent="0.2">
      <c r="A51">
        <v>578</v>
      </c>
      <c r="B51" t="s">
        <v>284</v>
      </c>
      <c r="C51" s="1" t="s">
        <v>285</v>
      </c>
      <c r="D51" s="1" t="s">
        <v>78</v>
      </c>
      <c r="E51" s="1" t="s">
        <v>79</v>
      </c>
      <c r="F51" s="1" t="s">
        <v>243</v>
      </c>
      <c r="G51" s="1" t="s">
        <v>80</v>
      </c>
      <c r="H51" s="1">
        <v>12</v>
      </c>
      <c r="I51" s="1">
        <v>11263</v>
      </c>
      <c r="J51" s="1">
        <v>1</v>
      </c>
    </row>
    <row r="52" spans="1:10" x14ac:dyDescent="0.2">
      <c r="A52">
        <v>625</v>
      </c>
      <c r="B52" t="s">
        <v>274</v>
      </c>
      <c r="C52" s="1" t="s">
        <v>275</v>
      </c>
      <c r="D52" s="1" t="s">
        <v>64</v>
      </c>
      <c r="E52" s="1" t="s">
        <v>36</v>
      </c>
      <c r="F52" s="1" t="s">
        <v>243</v>
      </c>
      <c r="G52" s="1" t="s">
        <v>65</v>
      </c>
      <c r="H52" s="1">
        <v>26</v>
      </c>
      <c r="I52" s="1">
        <v>10697</v>
      </c>
      <c r="J52" s="1">
        <v>1</v>
      </c>
    </row>
    <row r="53" spans="1:10" x14ac:dyDescent="0.2">
      <c r="A53">
        <v>723</v>
      </c>
      <c r="B53" t="s">
        <v>288</v>
      </c>
      <c r="C53" s="1" t="s">
        <v>289</v>
      </c>
      <c r="D53" s="1" t="s">
        <v>84</v>
      </c>
      <c r="E53" s="1" t="s">
        <v>85</v>
      </c>
      <c r="F53" s="1" t="s">
        <v>243</v>
      </c>
      <c r="G53" s="1" t="s">
        <v>86</v>
      </c>
      <c r="H53" s="1">
        <v>12</v>
      </c>
      <c r="I53" s="1">
        <v>10215</v>
      </c>
      <c r="J53" s="1">
        <v>1</v>
      </c>
    </row>
    <row r="54" spans="1:10" x14ac:dyDescent="0.2">
      <c r="A54">
        <v>2190</v>
      </c>
      <c r="B54" t="s">
        <v>290</v>
      </c>
      <c r="C54" s="1" t="s">
        <v>291</v>
      </c>
      <c r="D54" s="1" t="s">
        <v>87</v>
      </c>
      <c r="E54" s="1" t="s">
        <v>88</v>
      </c>
      <c r="F54" s="1" t="s">
        <v>243</v>
      </c>
      <c r="G54" s="1" t="s">
        <v>89</v>
      </c>
      <c r="H54" s="1">
        <v>12</v>
      </c>
      <c r="I54" s="1">
        <v>9869</v>
      </c>
      <c r="J54" s="1">
        <v>1</v>
      </c>
    </row>
    <row r="55" spans="1:10" x14ac:dyDescent="0.2">
      <c r="A55">
        <v>498</v>
      </c>
      <c r="B55" t="s">
        <v>286</v>
      </c>
      <c r="C55" s="1" t="s">
        <v>287</v>
      </c>
      <c r="D55" s="1" t="s">
        <v>81</v>
      </c>
      <c r="E55" s="1" t="s">
        <v>82</v>
      </c>
      <c r="F55" s="1" t="s">
        <v>243</v>
      </c>
      <c r="G55" s="1" t="s">
        <v>83</v>
      </c>
      <c r="H55" s="1">
        <v>13</v>
      </c>
      <c r="I55" s="1">
        <v>9447</v>
      </c>
      <c r="J55" s="1">
        <v>1</v>
      </c>
    </row>
    <row r="56" spans="1:10" x14ac:dyDescent="0.2">
      <c r="A56">
        <v>2191</v>
      </c>
      <c r="B56" t="s">
        <v>292</v>
      </c>
      <c r="C56" s="1" t="s">
        <v>293</v>
      </c>
      <c r="D56" s="1" t="s">
        <v>90</v>
      </c>
      <c r="E56" s="1" t="s">
        <v>91</v>
      </c>
      <c r="F56" s="1" t="s">
        <v>243</v>
      </c>
      <c r="G56" s="1" t="s">
        <v>92</v>
      </c>
      <c r="H56" s="1">
        <v>13</v>
      </c>
      <c r="I56" s="1">
        <v>9094</v>
      </c>
      <c r="J56" s="1">
        <v>1</v>
      </c>
    </row>
    <row r="57" spans="1:10" x14ac:dyDescent="0.2">
      <c r="A57">
        <v>2189</v>
      </c>
      <c r="B57" t="s">
        <v>310</v>
      </c>
      <c r="C57" s="1" t="s">
        <v>311</v>
      </c>
      <c r="D57" s="1" t="s">
        <v>100</v>
      </c>
      <c r="E57" s="1" t="s">
        <v>101</v>
      </c>
      <c r="F57" s="1" t="s">
        <v>243</v>
      </c>
      <c r="G57" s="1" t="s">
        <v>312</v>
      </c>
      <c r="H57" s="1">
        <v>13</v>
      </c>
      <c r="I57" s="1">
        <v>8131</v>
      </c>
      <c r="J57" s="1">
        <v>1</v>
      </c>
    </row>
    <row r="58" spans="1:10" x14ac:dyDescent="0.2">
      <c r="A58">
        <v>712</v>
      </c>
      <c r="B58" t="s">
        <v>300</v>
      </c>
      <c r="C58" s="1" t="s">
        <v>301</v>
      </c>
      <c r="D58" s="1" t="s">
        <v>98</v>
      </c>
      <c r="E58" s="1" t="s">
        <v>99</v>
      </c>
      <c r="F58" s="1" t="s">
        <v>243</v>
      </c>
      <c r="G58" s="1" t="s">
        <v>302</v>
      </c>
      <c r="H58" s="1">
        <v>11</v>
      </c>
      <c r="I58" s="1">
        <v>6688</v>
      </c>
      <c r="J58" s="1">
        <v>1</v>
      </c>
    </row>
    <row r="59" spans="1:10" x14ac:dyDescent="0.2">
      <c r="A59">
        <v>653</v>
      </c>
      <c r="B59" t="s">
        <v>294</v>
      </c>
      <c r="C59" s="1" t="s">
        <v>295</v>
      </c>
      <c r="D59" s="1" t="s">
        <v>94</v>
      </c>
      <c r="E59" s="1" t="s">
        <v>95</v>
      </c>
      <c r="F59" s="1" t="s">
        <v>243</v>
      </c>
      <c r="G59" s="1" t="s">
        <v>296</v>
      </c>
      <c r="H59" s="1">
        <v>10</v>
      </c>
      <c r="I59" s="1">
        <v>6181</v>
      </c>
      <c r="J59" s="1">
        <v>1</v>
      </c>
    </row>
    <row r="60" spans="1:10" x14ac:dyDescent="0.2">
      <c r="A60">
        <v>613</v>
      </c>
      <c r="B60" t="s">
        <v>297</v>
      </c>
      <c r="C60" s="1" t="s">
        <v>298</v>
      </c>
      <c r="D60" s="1" t="s">
        <v>96</v>
      </c>
      <c r="E60" s="1" t="s">
        <v>97</v>
      </c>
      <c r="F60" s="1" t="s">
        <v>243</v>
      </c>
      <c r="G60" s="1" t="s">
        <v>299</v>
      </c>
      <c r="H60" s="1">
        <v>11</v>
      </c>
      <c r="I60" s="1">
        <v>5341</v>
      </c>
      <c r="J60" s="1">
        <v>1</v>
      </c>
    </row>
    <row r="61" spans="1:10" x14ac:dyDescent="0.2">
      <c r="A61">
        <v>624</v>
      </c>
      <c r="B61" t="s">
        <v>313</v>
      </c>
      <c r="C61" s="1" t="s">
        <v>314</v>
      </c>
      <c r="D61" s="1" t="s">
        <v>102</v>
      </c>
      <c r="E61" s="1" t="s">
        <v>103</v>
      </c>
      <c r="F61" s="1" t="s">
        <v>243</v>
      </c>
      <c r="G61" s="1" t="s">
        <v>315</v>
      </c>
      <c r="H61" s="1">
        <v>1</v>
      </c>
      <c r="I61" s="1">
        <v>123</v>
      </c>
      <c r="J61" s="1">
        <v>1</v>
      </c>
    </row>
    <row r="62" spans="1:10" x14ac:dyDescent="0.2">
      <c r="A62">
        <v>519</v>
      </c>
      <c r="B62" t="s">
        <v>316</v>
      </c>
      <c r="C62" s="1" t="s">
        <v>317</v>
      </c>
      <c r="D62" s="1" t="s">
        <v>104</v>
      </c>
      <c r="E62" s="1" t="s">
        <v>105</v>
      </c>
      <c r="F62" s="1" t="s">
        <v>243</v>
      </c>
      <c r="G62" s="1" t="s">
        <v>318</v>
      </c>
      <c r="H62" s="1">
        <v>1</v>
      </c>
      <c r="I62" s="1">
        <v>113</v>
      </c>
      <c r="J62" s="1">
        <v>1</v>
      </c>
    </row>
    <row r="63" spans="1:10" x14ac:dyDescent="0.2">
      <c r="A63">
        <v>490</v>
      </c>
      <c r="B63" t="s">
        <v>345</v>
      </c>
      <c r="C63" s="1" t="s">
        <v>346</v>
      </c>
      <c r="D63" s="1" t="s">
        <v>106</v>
      </c>
      <c r="E63" s="1" t="s">
        <v>82</v>
      </c>
      <c r="F63" s="1" t="s">
        <v>243</v>
      </c>
      <c r="G63" s="1" t="s">
        <v>347</v>
      </c>
      <c r="H63" s="1">
        <v>1</v>
      </c>
      <c r="I63" s="1">
        <v>109</v>
      </c>
      <c r="J63" s="1">
        <v>1</v>
      </c>
    </row>
    <row r="64" spans="1:10" x14ac:dyDescent="0.2">
      <c r="A64">
        <v>2207</v>
      </c>
      <c r="B64" t="s">
        <v>319</v>
      </c>
      <c r="C64" s="1" t="s">
        <v>320</v>
      </c>
      <c r="D64" s="1" t="s">
        <v>107</v>
      </c>
      <c r="E64" s="1" t="s">
        <v>108</v>
      </c>
      <c r="F64" s="1" t="s">
        <v>243</v>
      </c>
      <c r="G64" s="1" t="s">
        <v>321</v>
      </c>
      <c r="H64" s="1">
        <v>1</v>
      </c>
      <c r="I64" s="1">
        <v>103</v>
      </c>
      <c r="J64" s="1">
        <v>1</v>
      </c>
    </row>
    <row r="65" spans="1:10" x14ac:dyDescent="0.2">
      <c r="A65">
        <v>2219</v>
      </c>
      <c r="B65" t="s">
        <v>322</v>
      </c>
      <c r="C65" s="1" t="s">
        <v>323</v>
      </c>
      <c r="D65" s="1" t="s">
        <v>109</v>
      </c>
      <c r="E65" s="1" t="s">
        <v>110</v>
      </c>
      <c r="F65" s="1" t="s">
        <v>243</v>
      </c>
      <c r="G65" s="1" t="s">
        <v>324</v>
      </c>
      <c r="H65" s="1">
        <v>1</v>
      </c>
      <c r="I65" s="1">
        <v>97</v>
      </c>
      <c r="J65" s="1">
        <v>1</v>
      </c>
    </row>
    <row r="66" spans="1:10" x14ac:dyDescent="0.2">
      <c r="A66">
        <v>716</v>
      </c>
      <c r="B66" t="s">
        <v>325</v>
      </c>
      <c r="C66" s="1" t="s">
        <v>326</v>
      </c>
      <c r="D66" s="1" t="s">
        <v>111</v>
      </c>
      <c r="E66" s="1" t="s">
        <v>112</v>
      </c>
      <c r="F66" s="1" t="s">
        <v>243</v>
      </c>
      <c r="G66" s="1" t="s">
        <v>327</v>
      </c>
      <c r="H66" s="1">
        <v>1</v>
      </c>
      <c r="I66" s="1">
        <v>94</v>
      </c>
      <c r="J66" s="1">
        <v>1</v>
      </c>
    </row>
    <row r="67" spans="1:10" x14ac:dyDescent="0.2">
      <c r="A67">
        <v>635</v>
      </c>
      <c r="B67" t="s">
        <v>328</v>
      </c>
      <c r="C67" s="1" t="s">
        <v>329</v>
      </c>
      <c r="D67" s="1" t="s">
        <v>113</v>
      </c>
      <c r="E67" s="1" t="s">
        <v>114</v>
      </c>
      <c r="F67" s="1" t="s">
        <v>243</v>
      </c>
      <c r="G67" s="1" t="s">
        <v>330</v>
      </c>
      <c r="H67" s="1">
        <v>1</v>
      </c>
      <c r="I67" s="1">
        <v>88</v>
      </c>
      <c r="J67" s="1">
        <v>1</v>
      </c>
    </row>
    <row r="68" spans="1:10" x14ac:dyDescent="0.2">
      <c r="A68">
        <v>534</v>
      </c>
      <c r="B68" t="s">
        <v>331</v>
      </c>
      <c r="C68" s="1" t="s">
        <v>332</v>
      </c>
      <c r="D68" s="1" t="s">
        <v>115</v>
      </c>
      <c r="E68" s="1" t="s">
        <v>116</v>
      </c>
      <c r="F68" s="1" t="s">
        <v>243</v>
      </c>
      <c r="G68" s="1" t="s">
        <v>333</v>
      </c>
      <c r="H68" s="1">
        <v>1</v>
      </c>
      <c r="I68" s="1">
        <v>55</v>
      </c>
      <c r="J68" s="1">
        <v>1</v>
      </c>
    </row>
    <row r="69" spans="1:10" x14ac:dyDescent="0.2">
      <c r="A69">
        <v>563</v>
      </c>
      <c r="B69" t="s">
        <v>334</v>
      </c>
      <c r="C69" s="1" t="s">
        <v>335</v>
      </c>
      <c r="D69" s="1" t="s">
        <v>117</v>
      </c>
      <c r="E69" s="1" t="s">
        <v>118</v>
      </c>
      <c r="F69" s="1" t="s">
        <v>243</v>
      </c>
      <c r="G69" s="1" t="s">
        <v>336</v>
      </c>
      <c r="H69" s="1">
        <v>1</v>
      </c>
      <c r="I69" s="1">
        <v>10</v>
      </c>
      <c r="J69" s="1">
        <v>1</v>
      </c>
    </row>
    <row r="70" spans="1:10" x14ac:dyDescent="0.2">
      <c r="A70">
        <v>567</v>
      </c>
      <c r="B70" t="s">
        <v>337</v>
      </c>
      <c r="C70" s="1" t="s">
        <v>338</v>
      </c>
      <c r="D70" s="1" t="s">
        <v>119</v>
      </c>
      <c r="E70" s="1" t="s">
        <v>120</v>
      </c>
      <c r="F70" s="1" t="s">
        <v>243</v>
      </c>
      <c r="G70" s="1" t="s">
        <v>339</v>
      </c>
      <c r="H70" s="1">
        <v>1</v>
      </c>
      <c r="I70" s="1">
        <v>7</v>
      </c>
      <c r="J70" s="1">
        <v>1</v>
      </c>
    </row>
  </sheetData>
  <conditionalFormatting sqref="E22:E1048576 H1:H21">
    <cfRule type="cellIs" dxfId="108" priority="15" operator="equal">
      <formula>FALSE</formula>
    </cfRule>
    <cfRule type="cellIs" dxfId="107" priority="16" operator="equal">
      <formula>TRUE</formula>
    </cfRule>
  </conditionalFormatting>
  <conditionalFormatting sqref="I2:I21">
    <cfRule type="cellIs" dxfId="106" priority="13" operator="equal">
      <formula>FALSE</formula>
    </cfRule>
    <cfRule type="cellIs" dxfId="105" priority="14" operator="equal">
      <formula>TRUE</formula>
    </cfRule>
  </conditionalFormatting>
  <conditionalFormatting sqref="J2:J21">
    <cfRule type="cellIs" dxfId="104" priority="11" operator="equal">
      <formula>FALSE</formula>
    </cfRule>
    <cfRule type="cellIs" dxfId="103" priority="12" operator="equal">
      <formula>TRUE</formula>
    </cfRule>
  </conditionalFormatting>
  <conditionalFormatting sqref="K2:K21">
    <cfRule type="cellIs" dxfId="102" priority="9" operator="equal">
      <formula>FALSE</formula>
    </cfRule>
    <cfRule type="cellIs" dxfId="101" priority="10" operator="equal">
      <formula>TRUE</formula>
    </cfRule>
  </conditionalFormatting>
  <conditionalFormatting sqref="L2:L21">
    <cfRule type="cellIs" dxfId="100" priority="7" operator="equal">
      <formula>FALSE</formula>
    </cfRule>
    <cfRule type="cellIs" dxfId="99" priority="8" operator="equal">
      <formula>TRUE</formula>
    </cfRule>
  </conditionalFormatting>
  <conditionalFormatting sqref="M2:M21">
    <cfRule type="cellIs" dxfId="98" priority="5" operator="equal">
      <formula>FALSE</formula>
    </cfRule>
    <cfRule type="cellIs" dxfId="97" priority="6" operator="equal">
      <formula>TRUE</formula>
    </cfRule>
  </conditionalFormatting>
  <conditionalFormatting sqref="N2:N21">
    <cfRule type="cellIs" dxfId="96" priority="3" operator="equal">
      <formula>FALSE</formula>
    </cfRule>
    <cfRule type="cellIs" dxfId="95" priority="4" operator="equal">
      <formula>TRUE</formula>
    </cfRule>
  </conditionalFormatting>
  <conditionalFormatting sqref="O2:O21">
    <cfRule type="cellIs" dxfId="94" priority="1" operator="equal">
      <formula>FALSE</formula>
    </cfRule>
    <cfRule type="cellIs" dxfId="93" priority="2" operator="equal">
      <formula>TRUE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5E15C-8F66-E347-B58D-D457942E6CC6}">
  <dimension ref="A1:AC417"/>
  <sheetViews>
    <sheetView topLeftCell="A354" workbookViewId="0">
      <selection activeCell="O410" sqref="O410"/>
    </sheetView>
  </sheetViews>
  <sheetFormatPr baseColWidth="10" defaultRowHeight="16" x14ac:dyDescent="0.2"/>
  <cols>
    <col min="1" max="1" width="8.83203125" customWidth="1"/>
    <col min="2" max="2" width="8.5" customWidth="1"/>
    <col min="3" max="3" width="23" hidden="1" customWidth="1"/>
    <col min="4" max="4" width="22" hidden="1" customWidth="1"/>
    <col min="5" max="5" width="23" hidden="1" customWidth="1"/>
    <col min="6" max="6" width="20.5" customWidth="1"/>
    <col min="7" max="7" width="20.83203125" hidden="1" customWidth="1"/>
    <col min="8" max="8" width="8.6640625" hidden="1" customWidth="1"/>
    <col min="9" max="9" width="9.1640625" customWidth="1"/>
    <col min="10" max="10" width="13.83203125" hidden="1" customWidth="1"/>
    <col min="11" max="11" width="13.1640625" style="11" hidden="1" customWidth="1"/>
    <col min="13" max="13" width="10.83203125" style="11"/>
    <col min="16" max="16" width="10.83203125" customWidth="1"/>
    <col min="17" max="17" width="8.33203125" customWidth="1"/>
    <col min="19" max="19" width="15" customWidth="1"/>
    <col min="23" max="23" width="19.83203125" bestFit="1" customWidth="1"/>
    <col min="24" max="24" width="19.83203125" customWidth="1"/>
  </cols>
  <sheetData>
    <row r="1" spans="1:29" x14ac:dyDescent="0.2">
      <c r="A1" t="s">
        <v>355</v>
      </c>
      <c r="B1" t="s">
        <v>356</v>
      </c>
      <c r="C1" t="s">
        <v>729</v>
      </c>
      <c r="D1" t="s">
        <v>730</v>
      </c>
      <c r="E1" t="s">
        <v>731</v>
      </c>
      <c r="F1" t="s">
        <v>732</v>
      </c>
      <c r="G1" t="s">
        <v>733</v>
      </c>
      <c r="H1" t="s">
        <v>734</v>
      </c>
      <c r="I1" t="s">
        <v>357</v>
      </c>
      <c r="J1" t="s">
        <v>735</v>
      </c>
      <c r="K1" s="11" t="s">
        <v>358</v>
      </c>
      <c r="L1" t="s">
        <v>3</v>
      </c>
      <c r="M1" s="11" t="s">
        <v>2362</v>
      </c>
      <c r="N1" t="s">
        <v>2363</v>
      </c>
      <c r="O1" t="s">
        <v>2364</v>
      </c>
      <c r="P1" t="s">
        <v>2374</v>
      </c>
    </row>
    <row r="2" spans="1:29" x14ac:dyDescent="0.2">
      <c r="A2">
        <v>571</v>
      </c>
      <c r="B2">
        <v>723</v>
      </c>
      <c r="C2" t="s">
        <v>801</v>
      </c>
      <c r="D2" t="s">
        <v>1194</v>
      </c>
      <c r="E2" t="s">
        <v>727</v>
      </c>
      <c r="F2" t="s">
        <v>1195</v>
      </c>
      <c r="G2" t="s">
        <v>763</v>
      </c>
      <c r="H2" t="s">
        <v>1196</v>
      </c>
      <c r="I2">
        <v>123</v>
      </c>
      <c r="J2">
        <v>123</v>
      </c>
      <c r="K2" s="11" t="s">
        <v>719</v>
      </c>
    </row>
    <row r="3" spans="1:29" x14ac:dyDescent="0.2">
      <c r="A3">
        <v>554</v>
      </c>
      <c r="B3">
        <v>648</v>
      </c>
      <c r="C3" t="s">
        <v>801</v>
      </c>
      <c r="D3" t="s">
        <v>1713</v>
      </c>
      <c r="E3" t="s">
        <v>727</v>
      </c>
      <c r="F3" t="s">
        <v>1714</v>
      </c>
      <c r="G3" t="s">
        <v>823</v>
      </c>
      <c r="H3" t="s">
        <v>1715</v>
      </c>
      <c r="I3">
        <v>290</v>
      </c>
      <c r="J3">
        <v>290</v>
      </c>
      <c r="K3" s="11" t="s">
        <v>655</v>
      </c>
    </row>
    <row r="4" spans="1:29" x14ac:dyDescent="0.2">
      <c r="A4" s="29">
        <v>645</v>
      </c>
      <c r="B4" s="29">
        <v>723</v>
      </c>
      <c r="C4" s="29" t="s">
        <v>2252</v>
      </c>
      <c r="D4" s="29" t="s">
        <v>2253</v>
      </c>
      <c r="E4" s="29" t="s">
        <v>2254</v>
      </c>
      <c r="F4" s="29" t="s">
        <v>2255</v>
      </c>
      <c r="G4" s="29" t="s">
        <v>904</v>
      </c>
      <c r="H4" s="29" t="s">
        <v>2256</v>
      </c>
      <c r="I4" s="29">
        <v>230</v>
      </c>
      <c r="J4">
        <v>230</v>
      </c>
      <c r="K4" s="11" t="s">
        <v>666</v>
      </c>
    </row>
    <row r="5" spans="1:29" x14ac:dyDescent="0.2">
      <c r="A5" s="29">
        <v>579</v>
      </c>
      <c r="B5" s="29">
        <v>673</v>
      </c>
      <c r="C5" s="29" t="s">
        <v>1319</v>
      </c>
      <c r="D5" s="29" t="s">
        <v>1320</v>
      </c>
      <c r="E5" s="29" t="s">
        <v>1321</v>
      </c>
      <c r="F5" s="29" t="s">
        <v>1322</v>
      </c>
      <c r="G5" s="29" t="s">
        <v>852</v>
      </c>
      <c r="H5" s="29" t="s">
        <v>1323</v>
      </c>
      <c r="I5" s="29">
        <v>265</v>
      </c>
      <c r="J5">
        <v>265</v>
      </c>
      <c r="K5" s="11" t="s">
        <v>556</v>
      </c>
    </row>
    <row r="6" spans="1:29" x14ac:dyDescent="0.2">
      <c r="A6" s="29">
        <v>682</v>
      </c>
      <c r="B6" s="29">
        <v>575</v>
      </c>
      <c r="C6" s="29" t="s">
        <v>1926</v>
      </c>
      <c r="D6" s="29" t="s">
        <v>1927</v>
      </c>
      <c r="E6" s="29" t="s">
        <v>1928</v>
      </c>
      <c r="F6" s="29" t="s">
        <v>1929</v>
      </c>
      <c r="G6" s="29" t="s">
        <v>1344</v>
      </c>
      <c r="H6" s="29" t="s">
        <v>1930</v>
      </c>
      <c r="I6" s="29">
        <v>651</v>
      </c>
      <c r="J6">
        <v>651</v>
      </c>
      <c r="K6" s="11" t="s">
        <v>467</v>
      </c>
    </row>
    <row r="7" spans="1:29" x14ac:dyDescent="0.2">
      <c r="A7" s="29">
        <v>700</v>
      </c>
      <c r="B7" s="29">
        <v>574</v>
      </c>
      <c r="C7" s="29" t="s">
        <v>801</v>
      </c>
      <c r="D7" s="29" t="s">
        <v>921</v>
      </c>
      <c r="E7" s="29" t="s">
        <v>727</v>
      </c>
      <c r="F7" s="29" t="s">
        <v>922</v>
      </c>
      <c r="G7" s="29" t="s">
        <v>923</v>
      </c>
      <c r="H7" s="29" t="s">
        <v>924</v>
      </c>
      <c r="I7" s="29">
        <v>464</v>
      </c>
      <c r="J7">
        <v>464</v>
      </c>
      <c r="K7" s="11" t="s">
        <v>529</v>
      </c>
    </row>
    <row r="8" spans="1:29" ht="29" customHeight="1" x14ac:dyDescent="0.2">
      <c r="A8" s="29">
        <v>700</v>
      </c>
      <c r="B8" s="29">
        <v>663</v>
      </c>
      <c r="C8" s="29" t="s">
        <v>953</v>
      </c>
      <c r="D8" s="29" t="s">
        <v>954</v>
      </c>
      <c r="E8" s="29" t="s">
        <v>955</v>
      </c>
      <c r="F8" s="29" t="s">
        <v>956</v>
      </c>
      <c r="G8" s="29" t="s">
        <v>957</v>
      </c>
      <c r="H8" s="29" t="s">
        <v>958</v>
      </c>
      <c r="I8" s="29">
        <v>809</v>
      </c>
      <c r="J8">
        <v>809</v>
      </c>
      <c r="K8" s="11" t="s">
        <v>495</v>
      </c>
      <c r="S8" s="1"/>
      <c r="T8" s="41" t="s">
        <v>46</v>
      </c>
      <c r="U8" s="1" t="s">
        <v>2376</v>
      </c>
    </row>
    <row r="9" spans="1:29" x14ac:dyDescent="0.2">
      <c r="A9" s="29">
        <v>700</v>
      </c>
      <c r="B9" s="29">
        <v>647</v>
      </c>
      <c r="C9" s="29" t="s">
        <v>801</v>
      </c>
      <c r="D9" s="29" t="s">
        <v>981</v>
      </c>
      <c r="E9" s="29" t="s">
        <v>727</v>
      </c>
      <c r="F9" s="29" t="s">
        <v>982</v>
      </c>
      <c r="G9" s="29" t="s">
        <v>983</v>
      </c>
      <c r="H9" s="29" t="s">
        <v>984</v>
      </c>
      <c r="I9" s="29">
        <v>308</v>
      </c>
      <c r="J9">
        <v>308</v>
      </c>
      <c r="K9" s="11" t="s">
        <v>628</v>
      </c>
      <c r="S9" s="21" t="s">
        <v>355</v>
      </c>
      <c r="T9" s="21" t="s">
        <v>356</v>
      </c>
      <c r="U9" s="21" t="s">
        <v>2368</v>
      </c>
      <c r="V9" s="21" t="s">
        <v>357</v>
      </c>
      <c r="W9" s="21" t="s">
        <v>2375</v>
      </c>
      <c r="X9" s="21" t="s">
        <v>3</v>
      </c>
      <c r="Z9" s="21"/>
      <c r="AA9" s="39" t="s">
        <v>67</v>
      </c>
      <c r="AB9" s="21"/>
      <c r="AC9" s="21"/>
    </row>
    <row r="10" spans="1:29" x14ac:dyDescent="0.2">
      <c r="A10" s="29">
        <v>579</v>
      </c>
      <c r="B10" s="29">
        <v>647</v>
      </c>
      <c r="C10" s="29" t="s">
        <v>1340</v>
      </c>
      <c r="D10" s="29" t="s">
        <v>1341</v>
      </c>
      <c r="E10" s="29" t="s">
        <v>1342</v>
      </c>
      <c r="F10" s="29" t="s">
        <v>1343</v>
      </c>
      <c r="G10" s="29" t="s">
        <v>1344</v>
      </c>
      <c r="H10" s="29" t="s">
        <v>1345</v>
      </c>
      <c r="I10" s="29">
        <v>431</v>
      </c>
      <c r="J10">
        <v>431</v>
      </c>
      <c r="K10" s="11" t="s">
        <v>486</v>
      </c>
      <c r="S10" s="28">
        <v>663</v>
      </c>
      <c r="T10" s="28">
        <v>529</v>
      </c>
      <c r="U10" s="28" t="s">
        <v>2299</v>
      </c>
      <c r="V10" s="28">
        <f>MEDIAN(S10:U10)</f>
        <v>596</v>
      </c>
      <c r="W10" s="40">
        <f>Table23[[#This Row],[weight]]/SUM(Table23[weight])</f>
        <v>3.7268634317158579E-2</v>
      </c>
      <c r="X10" s="40"/>
      <c r="Z10" s="31" t="s">
        <v>355</v>
      </c>
      <c r="AA10" s="32" t="s">
        <v>356</v>
      </c>
      <c r="AB10" s="32" t="s">
        <v>2368</v>
      </c>
      <c r="AC10" s="32" t="s">
        <v>357</v>
      </c>
    </row>
    <row r="11" spans="1:29" x14ac:dyDescent="0.2">
      <c r="A11" s="29">
        <v>700</v>
      </c>
      <c r="B11" s="29">
        <v>736</v>
      </c>
      <c r="C11" s="29" t="s">
        <v>771</v>
      </c>
      <c r="D11" s="29" t="s">
        <v>1013</v>
      </c>
      <c r="E11" s="29" t="s">
        <v>738</v>
      </c>
      <c r="F11" s="29" t="s">
        <v>1014</v>
      </c>
      <c r="G11" s="29" t="s">
        <v>738</v>
      </c>
      <c r="H11" s="29" t="s">
        <v>1015</v>
      </c>
      <c r="I11" s="29">
        <v>4778</v>
      </c>
      <c r="J11">
        <v>4778</v>
      </c>
      <c r="K11" s="11" t="s">
        <v>366</v>
      </c>
      <c r="S11" s="18">
        <v>506</v>
      </c>
      <c r="T11" s="18">
        <v>529</v>
      </c>
      <c r="U11" s="18" t="s">
        <v>1366</v>
      </c>
      <c r="V11" s="18">
        <v>1275</v>
      </c>
      <c r="W11" s="21">
        <f>Table23[[#This Row],[weight]]/SUM(Table23[weight])</f>
        <v>7.9727363681840926E-2</v>
      </c>
      <c r="X11" s="21"/>
      <c r="Z11" s="33">
        <v>700</v>
      </c>
      <c r="AA11" s="34">
        <v>663</v>
      </c>
      <c r="AB11" s="34" t="s">
        <v>956</v>
      </c>
      <c r="AC11" s="34">
        <v>809</v>
      </c>
    </row>
    <row r="12" spans="1:29" x14ac:dyDescent="0.2">
      <c r="A12" s="29">
        <v>648</v>
      </c>
      <c r="B12" s="29">
        <v>663</v>
      </c>
      <c r="C12" s="29" t="s">
        <v>2272</v>
      </c>
      <c r="D12" s="29" t="s">
        <v>2273</v>
      </c>
      <c r="E12" s="29" t="s">
        <v>2274</v>
      </c>
      <c r="F12" s="29" t="s">
        <v>2275</v>
      </c>
      <c r="G12" s="29" t="s">
        <v>1500</v>
      </c>
      <c r="H12" s="29" t="s">
        <v>2276</v>
      </c>
      <c r="I12" s="29">
        <v>816</v>
      </c>
      <c r="J12">
        <v>816</v>
      </c>
      <c r="K12" s="11" t="s">
        <v>538</v>
      </c>
      <c r="S12" s="18">
        <v>700</v>
      </c>
      <c r="T12" s="18">
        <v>529</v>
      </c>
      <c r="U12" s="18" t="s">
        <v>918</v>
      </c>
      <c r="V12" s="18">
        <v>819</v>
      </c>
      <c r="W12" s="21">
        <f>Table23[[#This Row],[weight]]/SUM(Table23[weight])</f>
        <v>5.1213106553276641E-2</v>
      </c>
      <c r="X12" s="21"/>
      <c r="Z12" s="33">
        <v>648</v>
      </c>
      <c r="AA12" s="34">
        <v>663</v>
      </c>
      <c r="AB12" s="34" t="s">
        <v>2275</v>
      </c>
      <c r="AC12" s="34">
        <v>816</v>
      </c>
    </row>
    <row r="13" spans="1:29" x14ac:dyDescent="0.2">
      <c r="A13" s="29">
        <v>682</v>
      </c>
      <c r="B13" s="29">
        <v>498</v>
      </c>
      <c r="C13" s="29" t="s">
        <v>771</v>
      </c>
      <c r="D13" s="29" t="s">
        <v>1910</v>
      </c>
      <c r="E13" s="29" t="s">
        <v>738</v>
      </c>
      <c r="F13" s="29" t="s">
        <v>1911</v>
      </c>
      <c r="G13" s="29" t="s">
        <v>1333</v>
      </c>
      <c r="H13" s="29" t="s">
        <v>1912</v>
      </c>
      <c r="I13" s="29">
        <v>1358</v>
      </c>
      <c r="J13">
        <v>1358</v>
      </c>
      <c r="K13" s="11" t="s">
        <v>403</v>
      </c>
      <c r="S13" s="18">
        <v>627</v>
      </c>
      <c r="T13" s="18">
        <v>529</v>
      </c>
      <c r="U13" s="18" t="s">
        <v>1822</v>
      </c>
      <c r="V13" s="18">
        <v>175</v>
      </c>
      <c r="W13" s="21">
        <f>Table23[[#This Row],[weight]]/SUM(Table23[weight])</f>
        <v>1.0942971485742872E-2</v>
      </c>
      <c r="X13" s="21"/>
      <c r="Z13" s="33">
        <v>663</v>
      </c>
      <c r="AA13" s="34">
        <v>673</v>
      </c>
      <c r="AB13" s="34" t="s">
        <v>2303</v>
      </c>
      <c r="AC13" s="34">
        <v>403</v>
      </c>
    </row>
    <row r="14" spans="1:29" x14ac:dyDescent="0.2">
      <c r="A14" s="29">
        <v>663</v>
      </c>
      <c r="B14" s="29">
        <v>673</v>
      </c>
      <c r="C14" s="29" t="s">
        <v>801</v>
      </c>
      <c r="D14" s="29" t="s">
        <v>2302</v>
      </c>
      <c r="E14" s="29" t="s">
        <v>727</v>
      </c>
      <c r="F14" s="29" t="s">
        <v>2303</v>
      </c>
      <c r="G14" s="29" t="s">
        <v>1228</v>
      </c>
      <c r="H14" s="29" t="s">
        <v>2304</v>
      </c>
      <c r="I14" s="29">
        <v>403</v>
      </c>
      <c r="J14">
        <v>403</v>
      </c>
      <c r="K14" s="11" t="s">
        <v>592</v>
      </c>
      <c r="S14" s="4">
        <v>647</v>
      </c>
      <c r="T14" s="4">
        <v>529</v>
      </c>
      <c r="U14" s="4" t="s">
        <v>2201</v>
      </c>
      <c r="V14" s="4">
        <v>199</v>
      </c>
      <c r="W14" s="21">
        <f>Table23[[#This Row],[weight]]/SUM(Table23[weight])</f>
        <v>1.2443721860930465E-2</v>
      </c>
      <c r="X14" s="21"/>
      <c r="Z14" s="37">
        <v>663</v>
      </c>
      <c r="AA14" s="38">
        <v>529</v>
      </c>
      <c r="AB14" s="38" t="s">
        <v>2299</v>
      </c>
      <c r="AC14" s="38">
        <v>556</v>
      </c>
    </row>
    <row r="15" spans="1:29" x14ac:dyDescent="0.2">
      <c r="A15" s="29">
        <v>2191</v>
      </c>
      <c r="B15" s="29">
        <v>700</v>
      </c>
      <c r="C15" s="29" t="s">
        <v>742</v>
      </c>
      <c r="D15" s="29" t="s">
        <v>743</v>
      </c>
      <c r="E15" s="29" t="s">
        <v>738</v>
      </c>
      <c r="F15" s="29" t="s">
        <v>744</v>
      </c>
      <c r="G15" s="29" t="s">
        <v>745</v>
      </c>
      <c r="H15" s="29" t="s">
        <v>746</v>
      </c>
      <c r="I15" s="29">
        <v>1216</v>
      </c>
      <c r="J15">
        <v>1216</v>
      </c>
      <c r="K15" s="11" t="s">
        <v>426</v>
      </c>
      <c r="S15" s="18">
        <v>554</v>
      </c>
      <c r="T15" s="18">
        <v>529</v>
      </c>
      <c r="U15" s="18" t="s">
        <v>1690</v>
      </c>
      <c r="V15" s="18">
        <v>584</v>
      </c>
      <c r="W15" s="21">
        <f>Table23[[#This Row],[weight]]/SUM(Table23[weight])</f>
        <v>3.651825912956478E-2</v>
      </c>
      <c r="X15" s="21"/>
      <c r="Z15" s="34">
        <v>627</v>
      </c>
      <c r="AA15" s="34">
        <v>663</v>
      </c>
      <c r="AB15" s="34" t="s">
        <v>1773</v>
      </c>
      <c r="AC15" s="36">
        <v>424</v>
      </c>
    </row>
    <row r="16" spans="1:29" x14ac:dyDescent="0.2">
      <c r="A16" s="29">
        <v>579</v>
      </c>
      <c r="B16" s="29">
        <v>648</v>
      </c>
      <c r="C16" s="29" t="s">
        <v>1291</v>
      </c>
      <c r="D16" s="29" t="s">
        <v>1292</v>
      </c>
      <c r="E16" s="29" t="s">
        <v>1293</v>
      </c>
      <c r="F16" s="29" t="s">
        <v>1294</v>
      </c>
      <c r="G16" s="29" t="s">
        <v>1295</v>
      </c>
      <c r="H16" s="29" t="s">
        <v>1296</v>
      </c>
      <c r="I16" s="29">
        <v>382</v>
      </c>
      <c r="J16">
        <v>382</v>
      </c>
      <c r="K16" s="11" t="s">
        <v>534</v>
      </c>
      <c r="S16" s="18">
        <v>591</v>
      </c>
      <c r="T16" s="18">
        <v>529</v>
      </c>
      <c r="U16" s="18" t="s">
        <v>1837</v>
      </c>
      <c r="V16" s="18">
        <v>665</v>
      </c>
      <c r="W16" s="21">
        <f>Table23[[#This Row],[weight]]/SUM(Table23[weight])</f>
        <v>4.158329164582291E-2</v>
      </c>
      <c r="X16" s="21"/>
      <c r="Z16" s="34">
        <v>733</v>
      </c>
      <c r="AA16" s="34">
        <v>663</v>
      </c>
      <c r="AB16" s="34" t="s">
        <v>2104</v>
      </c>
      <c r="AC16" s="36">
        <v>195</v>
      </c>
    </row>
    <row r="17" spans="1:29" x14ac:dyDescent="0.2">
      <c r="A17" s="29">
        <v>647</v>
      </c>
      <c r="B17" s="29">
        <v>2190</v>
      </c>
      <c r="C17" s="29" t="s">
        <v>801</v>
      </c>
      <c r="D17" s="29" t="s">
        <v>2234</v>
      </c>
      <c r="E17" s="29" t="s">
        <v>727</v>
      </c>
      <c r="F17" s="29" t="s">
        <v>2235</v>
      </c>
      <c r="G17" s="29" t="s">
        <v>884</v>
      </c>
      <c r="H17" s="29" t="s">
        <v>2236</v>
      </c>
      <c r="I17" s="29">
        <v>145</v>
      </c>
      <c r="J17">
        <v>145</v>
      </c>
      <c r="K17" s="11" t="s">
        <v>705</v>
      </c>
      <c r="S17" s="18">
        <v>498</v>
      </c>
      <c r="T17" s="18">
        <v>529</v>
      </c>
      <c r="U17" s="18" t="s">
        <v>2140</v>
      </c>
      <c r="V17" s="18">
        <v>110</v>
      </c>
      <c r="W17" s="21">
        <f>Table23[[#This Row],[weight]]/SUM(Table23[weight])</f>
        <v>6.8784392196098052E-3</v>
      </c>
      <c r="X17" s="21"/>
      <c r="Z17" s="34">
        <v>597</v>
      </c>
      <c r="AA17" s="34">
        <v>663</v>
      </c>
      <c r="AB17" s="34" t="s">
        <v>891</v>
      </c>
      <c r="AC17" s="36">
        <v>449</v>
      </c>
    </row>
    <row r="18" spans="1:29" x14ac:dyDescent="0.2">
      <c r="A18" s="29">
        <v>645</v>
      </c>
      <c r="B18" s="29">
        <v>736</v>
      </c>
      <c r="C18" s="29" t="s">
        <v>801</v>
      </c>
      <c r="D18" s="29" t="s">
        <v>2262</v>
      </c>
      <c r="E18" s="29" t="s">
        <v>727</v>
      </c>
      <c r="F18" s="29" t="s">
        <v>2263</v>
      </c>
      <c r="G18" s="29" t="s">
        <v>1599</v>
      </c>
      <c r="H18" s="29" t="s">
        <v>2264</v>
      </c>
      <c r="I18" s="29">
        <v>254</v>
      </c>
      <c r="J18">
        <v>254</v>
      </c>
      <c r="K18" s="11" t="s">
        <v>636</v>
      </c>
      <c r="S18" s="18">
        <v>529</v>
      </c>
      <c r="T18" s="18">
        <v>736</v>
      </c>
      <c r="U18" s="18" t="s">
        <v>2324</v>
      </c>
      <c r="V18" s="18">
        <v>137</v>
      </c>
      <c r="W18" s="21">
        <f>Table23[[#This Row],[weight]]/SUM(Table23[weight])</f>
        <v>8.5667833916958473E-3</v>
      </c>
      <c r="X18" s="21"/>
      <c r="Z18" s="34">
        <v>498</v>
      </c>
      <c r="AA18" s="34">
        <v>663</v>
      </c>
      <c r="AB18" s="34" t="s">
        <v>2143</v>
      </c>
      <c r="AC18" s="36">
        <v>118</v>
      </c>
    </row>
    <row r="19" spans="1:29" x14ac:dyDescent="0.2">
      <c r="A19" s="29">
        <v>554</v>
      </c>
      <c r="B19" s="29">
        <v>730</v>
      </c>
      <c r="C19" s="29" t="s">
        <v>771</v>
      </c>
      <c r="D19" s="29" t="s">
        <v>1731</v>
      </c>
      <c r="E19" s="29" t="s">
        <v>738</v>
      </c>
      <c r="F19" s="29" t="s">
        <v>1732</v>
      </c>
      <c r="G19" s="29" t="s">
        <v>738</v>
      </c>
      <c r="H19" s="29" t="s">
        <v>1733</v>
      </c>
      <c r="I19" s="29">
        <v>5468</v>
      </c>
      <c r="J19">
        <v>5468</v>
      </c>
      <c r="K19" s="11" t="s">
        <v>431</v>
      </c>
      <c r="S19" s="18">
        <v>579</v>
      </c>
      <c r="T19" s="18">
        <v>529</v>
      </c>
      <c r="U19" s="18" t="s">
        <v>1245</v>
      </c>
      <c r="V19" s="18">
        <v>422</v>
      </c>
      <c r="W19" s="21">
        <f>Table23[[#This Row],[weight]]/SUM(Table23[weight])</f>
        <v>2.6388194097048526E-2</v>
      </c>
      <c r="X19" s="21"/>
      <c r="Z19" s="34">
        <v>554</v>
      </c>
      <c r="AA19" s="34">
        <v>663</v>
      </c>
      <c r="AB19" s="34" t="s">
        <v>1707</v>
      </c>
      <c r="AC19" s="36">
        <v>564</v>
      </c>
    </row>
    <row r="20" spans="1:29" x14ac:dyDescent="0.2">
      <c r="A20" s="29">
        <v>733</v>
      </c>
      <c r="B20" s="29">
        <v>712</v>
      </c>
      <c r="C20" s="29" t="s">
        <v>2098</v>
      </c>
      <c r="D20" s="29" t="s">
        <v>2099</v>
      </c>
      <c r="E20" s="29" t="s">
        <v>2100</v>
      </c>
      <c r="F20" s="29" t="s">
        <v>2101</v>
      </c>
      <c r="G20" s="29" t="s">
        <v>1848</v>
      </c>
      <c r="H20" s="29" t="s">
        <v>2102</v>
      </c>
      <c r="I20" s="29">
        <v>362</v>
      </c>
      <c r="J20">
        <v>362</v>
      </c>
      <c r="K20" s="11" t="s">
        <v>611</v>
      </c>
      <c r="S20" s="18">
        <v>730</v>
      </c>
      <c r="T20" s="18">
        <v>529</v>
      </c>
      <c r="U20" s="18" t="s">
        <v>2149</v>
      </c>
      <c r="V20" s="18">
        <v>384</v>
      </c>
      <c r="W20" s="21">
        <f>Table23[[#This Row],[weight]]/SUM(Table23[weight])</f>
        <v>2.4012006003001501E-2</v>
      </c>
      <c r="X20" s="21"/>
      <c r="Z20" s="34">
        <v>691</v>
      </c>
      <c r="AA20" s="34">
        <v>663</v>
      </c>
      <c r="AB20" s="34" t="s">
        <v>879</v>
      </c>
      <c r="AC20" s="36">
        <v>748</v>
      </c>
    </row>
    <row r="21" spans="1:29" x14ac:dyDescent="0.2">
      <c r="A21" s="29">
        <v>2189</v>
      </c>
      <c r="B21" s="29">
        <v>736</v>
      </c>
      <c r="C21" s="29" t="s">
        <v>2338</v>
      </c>
      <c r="D21" s="29" t="s">
        <v>2339</v>
      </c>
      <c r="E21" s="29" t="s">
        <v>738</v>
      </c>
      <c r="F21" s="29" t="s">
        <v>2340</v>
      </c>
      <c r="G21" s="29" t="s">
        <v>2341</v>
      </c>
      <c r="H21" s="29" t="s">
        <v>2342</v>
      </c>
      <c r="I21" s="29">
        <v>730</v>
      </c>
      <c r="J21">
        <v>730</v>
      </c>
      <c r="K21" s="11" t="s">
        <v>488</v>
      </c>
      <c r="S21" s="18">
        <v>645</v>
      </c>
      <c r="T21" s="18">
        <v>529</v>
      </c>
      <c r="U21" s="18" t="s">
        <v>2243</v>
      </c>
      <c r="V21" s="18">
        <v>1004</v>
      </c>
      <c r="W21" s="21">
        <f>Table23[[#This Row],[weight]]/SUM(Table23[weight])</f>
        <v>6.2781390695347675E-2</v>
      </c>
      <c r="X21" s="21"/>
      <c r="Z21" s="34">
        <v>645</v>
      </c>
      <c r="AA21" s="34">
        <v>663</v>
      </c>
      <c r="AB21" s="34" t="s">
        <v>2247</v>
      </c>
      <c r="AC21" s="36">
        <v>813</v>
      </c>
    </row>
    <row r="22" spans="1:29" x14ac:dyDescent="0.2">
      <c r="A22" s="29">
        <v>571</v>
      </c>
      <c r="B22" s="29">
        <v>673</v>
      </c>
      <c r="C22" s="29" t="s">
        <v>801</v>
      </c>
      <c r="D22" s="29" t="s">
        <v>1214</v>
      </c>
      <c r="E22" s="29" t="s">
        <v>727</v>
      </c>
      <c r="F22" s="29" t="s">
        <v>1215</v>
      </c>
      <c r="G22" s="29" t="s">
        <v>1216</v>
      </c>
      <c r="H22" s="29" t="s">
        <v>1217</v>
      </c>
      <c r="I22" s="29">
        <v>447</v>
      </c>
      <c r="J22">
        <v>447</v>
      </c>
      <c r="K22" s="11" t="s">
        <v>617</v>
      </c>
      <c r="S22" s="18">
        <v>702</v>
      </c>
      <c r="T22" s="18">
        <v>529</v>
      </c>
      <c r="U22" s="18" t="s">
        <v>2086</v>
      </c>
      <c r="V22" s="18">
        <v>300</v>
      </c>
      <c r="W22" s="21">
        <f>Table23[[#This Row],[weight]]/SUM(Table23[weight])</f>
        <v>1.8759379689844924E-2</v>
      </c>
      <c r="X22" s="21"/>
      <c r="Z22" s="34">
        <v>625</v>
      </c>
      <c r="AA22" s="34">
        <v>663</v>
      </c>
      <c r="AB22" s="34" t="s">
        <v>1062</v>
      </c>
      <c r="AC22" s="36">
        <v>183</v>
      </c>
    </row>
    <row r="23" spans="1:29" x14ac:dyDescent="0.2">
      <c r="A23" s="29">
        <v>648</v>
      </c>
      <c r="B23" s="29">
        <v>673</v>
      </c>
      <c r="C23" s="29" t="s">
        <v>801</v>
      </c>
      <c r="D23" s="29" t="s">
        <v>2283</v>
      </c>
      <c r="E23" s="29" t="s">
        <v>727</v>
      </c>
      <c r="F23" s="29" t="s">
        <v>2284</v>
      </c>
      <c r="G23" s="29" t="s">
        <v>1169</v>
      </c>
      <c r="H23" s="29" t="s">
        <v>2285</v>
      </c>
      <c r="I23" s="29">
        <v>594</v>
      </c>
      <c r="J23">
        <v>594</v>
      </c>
      <c r="K23" s="11" t="s">
        <v>567</v>
      </c>
      <c r="S23" s="18">
        <v>648</v>
      </c>
      <c r="T23" s="18">
        <v>529</v>
      </c>
      <c r="U23" s="18" t="s">
        <v>2267</v>
      </c>
      <c r="V23" s="18">
        <v>1378</v>
      </c>
      <c r="W23" s="21">
        <f>Table23[[#This Row],[weight]]/SUM(Table23[weight])</f>
        <v>8.6168084042021004E-2</v>
      </c>
      <c r="X23" s="21"/>
      <c r="Z23" s="34">
        <v>682</v>
      </c>
      <c r="AA23" s="34">
        <v>663</v>
      </c>
      <c r="AB23" s="34" t="s">
        <v>1917</v>
      </c>
      <c r="AC23" s="36">
        <v>293</v>
      </c>
    </row>
    <row r="24" spans="1:29" x14ac:dyDescent="0.2">
      <c r="A24" s="29">
        <v>700</v>
      </c>
      <c r="B24" s="29">
        <v>648</v>
      </c>
      <c r="C24" s="29" t="s">
        <v>801</v>
      </c>
      <c r="D24" s="29" t="s">
        <v>966</v>
      </c>
      <c r="E24" s="29" t="s">
        <v>727</v>
      </c>
      <c r="F24" s="29" t="s">
        <v>967</v>
      </c>
      <c r="G24" s="29" t="s">
        <v>968</v>
      </c>
      <c r="H24" s="29" t="s">
        <v>969</v>
      </c>
      <c r="I24" s="29">
        <v>450</v>
      </c>
      <c r="J24">
        <v>450</v>
      </c>
      <c r="K24" s="11" t="s">
        <v>590</v>
      </c>
      <c r="L24" t="s">
        <v>43</v>
      </c>
      <c r="M24" s="11" t="s">
        <v>2369</v>
      </c>
      <c r="S24" s="18">
        <v>529</v>
      </c>
      <c r="T24" s="18">
        <v>519</v>
      </c>
      <c r="U24" s="18" t="s">
        <v>2333</v>
      </c>
      <c r="V24" s="18">
        <v>113</v>
      </c>
      <c r="W24" s="21">
        <f>Table23[[#This Row],[weight]]/SUM(Table23[weight])</f>
        <v>7.0660330165082542E-3</v>
      </c>
      <c r="X24" s="21"/>
      <c r="Z24" s="34">
        <v>574</v>
      </c>
      <c r="AA24" s="34">
        <v>663</v>
      </c>
      <c r="AB24" s="34" t="s">
        <v>1521</v>
      </c>
      <c r="AC24" s="36">
        <v>462</v>
      </c>
    </row>
    <row r="25" spans="1:29" x14ac:dyDescent="0.2">
      <c r="A25" s="30">
        <v>627</v>
      </c>
      <c r="B25" s="30">
        <v>682</v>
      </c>
      <c r="C25" s="30" t="s">
        <v>1811</v>
      </c>
      <c r="D25" s="30" t="s">
        <v>1812</v>
      </c>
      <c r="E25" s="30" t="s">
        <v>1813</v>
      </c>
      <c r="F25" s="30" t="s">
        <v>1814</v>
      </c>
      <c r="G25" s="30" t="s">
        <v>923</v>
      </c>
      <c r="H25" s="30" t="s">
        <v>1815</v>
      </c>
      <c r="I25" s="30">
        <v>508</v>
      </c>
      <c r="J25">
        <v>508</v>
      </c>
      <c r="K25" s="11" t="s">
        <v>472</v>
      </c>
      <c r="S25" s="18">
        <v>529</v>
      </c>
      <c r="T25" s="18">
        <v>2207</v>
      </c>
      <c r="U25" s="18" t="s">
        <v>2315</v>
      </c>
      <c r="V25" s="18">
        <v>103</v>
      </c>
      <c r="W25" s="21">
        <f>Table23[[#This Row],[weight]]/SUM(Table23[weight])</f>
        <v>6.4407203601800902E-3</v>
      </c>
      <c r="X25" s="21"/>
      <c r="Z25" s="34">
        <v>575</v>
      </c>
      <c r="AA25" s="34">
        <v>663</v>
      </c>
      <c r="AB25" s="34" t="s">
        <v>1983</v>
      </c>
      <c r="AC25" s="36">
        <v>658</v>
      </c>
    </row>
    <row r="26" spans="1:29" x14ac:dyDescent="0.2">
      <c r="A26" s="30">
        <v>625</v>
      </c>
      <c r="B26" s="30">
        <v>574</v>
      </c>
      <c r="C26" s="30" t="s">
        <v>1039</v>
      </c>
      <c r="D26" s="30" t="s">
        <v>1040</v>
      </c>
      <c r="E26" s="30" t="s">
        <v>1041</v>
      </c>
      <c r="F26" s="30" t="s">
        <v>1042</v>
      </c>
      <c r="G26" s="30" t="s">
        <v>1043</v>
      </c>
      <c r="H26" s="30" t="s">
        <v>1044</v>
      </c>
      <c r="I26" s="30">
        <v>478</v>
      </c>
      <c r="J26">
        <v>478</v>
      </c>
      <c r="K26" s="11" t="s">
        <v>444</v>
      </c>
      <c r="S26" s="18">
        <v>625</v>
      </c>
      <c r="T26" s="18">
        <v>529</v>
      </c>
      <c r="U26" s="18" t="s">
        <v>1036</v>
      </c>
      <c r="V26" s="18">
        <v>329</v>
      </c>
      <c r="W26" s="21">
        <f>Table23[[#This Row],[weight]]/SUM(Table23[weight])</f>
        <v>2.0572786393196599E-2</v>
      </c>
      <c r="X26" s="21"/>
      <c r="Z26" s="34">
        <v>506</v>
      </c>
      <c r="AA26" s="34">
        <v>663</v>
      </c>
      <c r="AB26" s="34" t="s">
        <v>1400</v>
      </c>
      <c r="AC26" s="36">
        <v>1473</v>
      </c>
    </row>
    <row r="27" spans="1:29" x14ac:dyDescent="0.2">
      <c r="A27" s="30">
        <v>574</v>
      </c>
      <c r="B27" s="30">
        <v>691</v>
      </c>
      <c r="C27" s="30" t="s">
        <v>1507</v>
      </c>
      <c r="D27" s="30" t="s">
        <v>1508</v>
      </c>
      <c r="E27" s="30" t="s">
        <v>1509</v>
      </c>
      <c r="F27" s="30" t="s">
        <v>1510</v>
      </c>
      <c r="G27" s="30" t="s">
        <v>874</v>
      </c>
      <c r="H27" s="30" t="s">
        <v>1511</v>
      </c>
      <c r="I27" s="30">
        <v>1141</v>
      </c>
      <c r="J27">
        <v>1141</v>
      </c>
      <c r="K27" s="11" t="s">
        <v>384</v>
      </c>
      <c r="S27" s="18">
        <v>691</v>
      </c>
      <c r="T27" s="18">
        <v>529</v>
      </c>
      <c r="U27" s="18" t="s">
        <v>1584</v>
      </c>
      <c r="V27" s="18">
        <v>1387</v>
      </c>
      <c r="W27" s="21">
        <f>Table23[[#This Row],[weight]]/SUM(Table23[weight])</f>
        <v>8.6730865432716353E-2</v>
      </c>
      <c r="X27" s="21"/>
      <c r="Z27" s="34">
        <v>591</v>
      </c>
      <c r="AA27" s="34">
        <v>663</v>
      </c>
      <c r="AB27" s="34" t="s">
        <v>1875</v>
      </c>
      <c r="AC27" s="36">
        <v>898</v>
      </c>
    </row>
    <row r="28" spans="1:29" x14ac:dyDescent="0.2">
      <c r="A28" s="30">
        <v>597</v>
      </c>
      <c r="B28" s="30">
        <v>554</v>
      </c>
      <c r="C28" s="30" t="s">
        <v>801</v>
      </c>
      <c r="D28" s="30" t="s">
        <v>850</v>
      </c>
      <c r="E28" s="30" t="s">
        <v>727</v>
      </c>
      <c r="F28" s="30" t="s">
        <v>851</v>
      </c>
      <c r="G28" s="30" t="s">
        <v>852</v>
      </c>
      <c r="H28" s="30" t="s">
        <v>853</v>
      </c>
      <c r="I28" s="30">
        <v>352</v>
      </c>
      <c r="J28">
        <v>352</v>
      </c>
      <c r="K28" s="11" t="s">
        <v>613</v>
      </c>
      <c r="S28" s="18">
        <v>720</v>
      </c>
      <c r="T28" s="18">
        <v>529</v>
      </c>
      <c r="U28" s="18" t="s">
        <v>2185</v>
      </c>
      <c r="V28" s="18">
        <v>319</v>
      </c>
      <c r="W28" s="21">
        <f>Table23[[#This Row],[weight]]/SUM(Table23[weight])</f>
        <v>1.9947473736868435E-2</v>
      </c>
      <c r="X28" s="21"/>
      <c r="Z28" s="34">
        <v>647</v>
      </c>
      <c r="AA28" s="34">
        <v>663</v>
      </c>
      <c r="AB28" s="34" t="s">
        <v>2208</v>
      </c>
      <c r="AC28" s="36">
        <v>158</v>
      </c>
    </row>
    <row r="29" spans="1:29" x14ac:dyDescent="0.2">
      <c r="A29" s="30">
        <v>627</v>
      </c>
      <c r="B29" s="30">
        <v>712</v>
      </c>
      <c r="C29" s="30" t="s">
        <v>1779</v>
      </c>
      <c r="D29" s="30" t="s">
        <v>1780</v>
      </c>
      <c r="E29" s="30" t="s">
        <v>738</v>
      </c>
      <c r="F29" s="30" t="s">
        <v>1781</v>
      </c>
      <c r="G29" s="30" t="s">
        <v>947</v>
      </c>
      <c r="H29" s="30" t="s">
        <v>1782</v>
      </c>
      <c r="I29" s="30">
        <v>701</v>
      </c>
      <c r="J29">
        <v>701</v>
      </c>
      <c r="K29" s="11" t="s">
        <v>445</v>
      </c>
      <c r="S29" s="18">
        <v>575</v>
      </c>
      <c r="T29" s="18">
        <v>529</v>
      </c>
      <c r="U29" s="18" t="s">
        <v>1972</v>
      </c>
      <c r="V29" s="18">
        <v>634</v>
      </c>
      <c r="W29" s="21">
        <f>Table23[[#This Row],[weight]]/SUM(Table23[weight])</f>
        <v>3.9644822411205601E-2</v>
      </c>
      <c r="X29" s="21"/>
      <c r="Z29" s="34">
        <v>720</v>
      </c>
      <c r="AA29" s="34">
        <v>663</v>
      </c>
      <c r="AB29" s="34" t="s">
        <v>2189</v>
      </c>
      <c r="AC29" s="36">
        <v>940</v>
      </c>
    </row>
    <row r="30" spans="1:29" x14ac:dyDescent="0.2">
      <c r="A30" s="30">
        <v>506</v>
      </c>
      <c r="B30" s="30">
        <v>2190</v>
      </c>
      <c r="C30" s="30" t="s">
        <v>771</v>
      </c>
      <c r="D30" s="30" t="s">
        <v>1452</v>
      </c>
      <c r="E30" s="30" t="s">
        <v>738</v>
      </c>
      <c r="F30" s="30" t="s">
        <v>1453</v>
      </c>
      <c r="G30" s="30" t="s">
        <v>738</v>
      </c>
      <c r="H30" s="30" t="s">
        <v>1454</v>
      </c>
      <c r="I30" s="30">
        <v>2637</v>
      </c>
      <c r="J30">
        <v>2637</v>
      </c>
      <c r="K30" s="11" t="s">
        <v>399</v>
      </c>
      <c r="S30" s="18">
        <v>574</v>
      </c>
      <c r="T30" s="18">
        <v>529</v>
      </c>
      <c r="U30" s="18" t="s">
        <v>1484</v>
      </c>
      <c r="V30" s="18">
        <v>467</v>
      </c>
      <c r="W30" s="21">
        <f>Table23[[#This Row],[weight]]/SUM(Table23[weight])</f>
        <v>2.9202101050525262E-2</v>
      </c>
      <c r="X30" s="21"/>
      <c r="Z30" s="34">
        <v>702</v>
      </c>
      <c r="AA30" s="34">
        <v>663</v>
      </c>
      <c r="AB30" s="34" t="s">
        <v>2078</v>
      </c>
      <c r="AC30" s="36">
        <v>312</v>
      </c>
    </row>
    <row r="31" spans="1:29" x14ac:dyDescent="0.2">
      <c r="A31" s="30">
        <v>579</v>
      </c>
      <c r="B31" s="30">
        <v>736</v>
      </c>
      <c r="C31" s="30" t="s">
        <v>801</v>
      </c>
      <c r="D31" s="30" t="s">
        <v>1324</v>
      </c>
      <c r="E31" s="30" t="s">
        <v>727</v>
      </c>
      <c r="F31" s="30" t="s">
        <v>1325</v>
      </c>
      <c r="G31" s="30" t="s">
        <v>823</v>
      </c>
      <c r="H31" s="30" t="s">
        <v>1326</v>
      </c>
      <c r="I31" s="30">
        <v>113</v>
      </c>
      <c r="J31">
        <v>113</v>
      </c>
      <c r="K31" s="11" t="s">
        <v>692</v>
      </c>
      <c r="S31" s="18">
        <v>529</v>
      </c>
      <c r="T31" s="18">
        <v>673</v>
      </c>
      <c r="U31" s="18" t="s">
        <v>2320</v>
      </c>
      <c r="V31" s="18">
        <v>353</v>
      </c>
      <c r="W31" s="21">
        <f>Table23[[#This Row],[weight]]/SUM(Table23[weight])</f>
        <v>2.2073536768384191E-2</v>
      </c>
      <c r="X31" s="21"/>
      <c r="Z31" s="34">
        <v>579</v>
      </c>
      <c r="AA31" s="34">
        <v>663</v>
      </c>
      <c r="AB31" s="34" t="s">
        <v>1282</v>
      </c>
      <c r="AC31" s="36">
        <v>370</v>
      </c>
    </row>
    <row r="32" spans="1:29" x14ac:dyDescent="0.2">
      <c r="A32" s="30">
        <v>625</v>
      </c>
      <c r="B32" s="30">
        <v>506</v>
      </c>
      <c r="C32" s="30" t="s">
        <v>1081</v>
      </c>
      <c r="D32" s="30" t="s">
        <v>1082</v>
      </c>
      <c r="E32" s="30" t="s">
        <v>1083</v>
      </c>
      <c r="F32" s="30" t="s">
        <v>1084</v>
      </c>
      <c r="G32" s="30" t="s">
        <v>1085</v>
      </c>
      <c r="H32" s="30" t="s">
        <v>1086</v>
      </c>
      <c r="I32" s="30">
        <v>702</v>
      </c>
      <c r="J32">
        <v>702</v>
      </c>
      <c r="K32" s="11" t="s">
        <v>416</v>
      </c>
      <c r="S32" s="18">
        <v>597</v>
      </c>
      <c r="T32" s="18">
        <v>529</v>
      </c>
      <c r="U32" s="18" t="s">
        <v>903</v>
      </c>
      <c r="V32" s="18">
        <v>430</v>
      </c>
      <c r="W32" s="21">
        <f>Table23[[#This Row],[weight]]/SUM(Table23[weight])</f>
        <v>2.6888444222111056E-2</v>
      </c>
      <c r="X32" s="21"/>
      <c r="Z32" s="34">
        <v>730</v>
      </c>
      <c r="AA32" s="34">
        <v>663</v>
      </c>
      <c r="AB32" s="34" t="s">
        <v>2158</v>
      </c>
      <c r="AC32" s="36">
        <v>6626</v>
      </c>
    </row>
    <row r="33" spans="1:29" x14ac:dyDescent="0.2">
      <c r="A33" s="27">
        <v>663</v>
      </c>
      <c r="B33" s="27">
        <v>529</v>
      </c>
      <c r="C33" t="s">
        <v>2296</v>
      </c>
      <c r="D33" t="s">
        <v>2297</v>
      </c>
      <c r="E33" t="s">
        <v>2298</v>
      </c>
      <c r="F33" s="27" t="s">
        <v>2299</v>
      </c>
      <c r="G33" t="s">
        <v>2300</v>
      </c>
      <c r="H33" t="s">
        <v>2301</v>
      </c>
      <c r="I33" s="27">
        <v>556</v>
      </c>
      <c r="J33">
        <v>556</v>
      </c>
      <c r="K33" s="11" t="s">
        <v>494</v>
      </c>
      <c r="S33" s="18">
        <v>571</v>
      </c>
      <c r="T33" s="18">
        <v>529</v>
      </c>
      <c r="U33" s="18" t="s">
        <v>1153</v>
      </c>
      <c r="V33" s="18">
        <v>1227</v>
      </c>
      <c r="W33" s="21">
        <f>Table23[[#This Row],[weight]]/SUM(Table23[weight])</f>
        <v>7.672586293146573E-2</v>
      </c>
      <c r="X33" s="21"/>
      <c r="Z33" s="34">
        <v>663</v>
      </c>
      <c r="AA33" s="34">
        <v>723</v>
      </c>
      <c r="AB33" s="34" t="s">
        <v>2310</v>
      </c>
      <c r="AC33" s="36">
        <v>3164</v>
      </c>
    </row>
    <row r="34" spans="1:29" x14ac:dyDescent="0.2">
      <c r="A34">
        <v>571</v>
      </c>
      <c r="B34">
        <v>653</v>
      </c>
      <c r="C34" t="s">
        <v>771</v>
      </c>
      <c r="D34" t="s">
        <v>1197</v>
      </c>
      <c r="E34" t="s">
        <v>738</v>
      </c>
      <c r="F34" t="s">
        <v>1198</v>
      </c>
      <c r="G34" t="s">
        <v>738</v>
      </c>
      <c r="H34" t="s">
        <v>1199</v>
      </c>
      <c r="I34">
        <v>1691</v>
      </c>
      <c r="J34">
        <v>1691</v>
      </c>
      <c r="K34" s="11" t="s">
        <v>386</v>
      </c>
      <c r="S34" s="18">
        <v>529</v>
      </c>
      <c r="T34" s="18">
        <v>723</v>
      </c>
      <c r="U34" s="18" t="s">
        <v>2328</v>
      </c>
      <c r="V34" s="18">
        <v>1115</v>
      </c>
      <c r="W34" s="21">
        <f>Table23[[#This Row],[weight]]/SUM(Table23[weight])</f>
        <v>6.9722361180590289E-2</v>
      </c>
      <c r="X34" s="21"/>
      <c r="Z34" s="34">
        <v>663</v>
      </c>
      <c r="AA34" s="34">
        <v>736</v>
      </c>
      <c r="AB34" s="34" t="s">
        <v>2306</v>
      </c>
      <c r="AC34" s="36">
        <v>135</v>
      </c>
    </row>
    <row r="35" spans="1:29" x14ac:dyDescent="0.2">
      <c r="A35">
        <v>597</v>
      </c>
      <c r="B35">
        <v>647</v>
      </c>
      <c r="C35" t="s">
        <v>801</v>
      </c>
      <c r="D35" t="s">
        <v>866</v>
      </c>
      <c r="E35" t="s">
        <v>727</v>
      </c>
      <c r="F35" t="s">
        <v>867</v>
      </c>
      <c r="G35" t="s">
        <v>868</v>
      </c>
      <c r="H35" t="s">
        <v>869</v>
      </c>
      <c r="I35">
        <v>170</v>
      </c>
      <c r="J35">
        <v>170</v>
      </c>
      <c r="K35" s="11" t="s">
        <v>701</v>
      </c>
      <c r="S35" s="18">
        <v>733</v>
      </c>
      <c r="T35" s="18">
        <v>529</v>
      </c>
      <c r="U35" s="18" t="s">
        <v>2096</v>
      </c>
      <c r="V35" s="18">
        <v>995</v>
      </c>
      <c r="W35" s="21">
        <f>Table23[[#This Row],[weight]]/SUM(Table23[weight])</f>
        <v>6.2218609304652325E-2</v>
      </c>
      <c r="X35" s="21"/>
      <c r="Z35" s="34">
        <v>571</v>
      </c>
      <c r="AA35" s="34">
        <v>663</v>
      </c>
      <c r="AB35" s="34" t="s">
        <v>1179</v>
      </c>
      <c r="AC35" s="36">
        <v>521</v>
      </c>
    </row>
    <row r="36" spans="1:29" x14ac:dyDescent="0.2">
      <c r="A36">
        <v>575</v>
      </c>
      <c r="B36">
        <v>613</v>
      </c>
      <c r="C36" t="s">
        <v>771</v>
      </c>
      <c r="D36" t="s">
        <v>1974</v>
      </c>
      <c r="E36" t="s">
        <v>738</v>
      </c>
      <c r="F36" t="s">
        <v>1975</v>
      </c>
      <c r="G36" t="s">
        <v>738</v>
      </c>
      <c r="H36" t="s">
        <v>1976</v>
      </c>
      <c r="I36">
        <v>1390</v>
      </c>
      <c r="J36">
        <v>1390</v>
      </c>
      <c r="K36" s="11" t="s">
        <v>365</v>
      </c>
      <c r="S36" s="18">
        <v>682</v>
      </c>
      <c r="T36" s="18">
        <v>529</v>
      </c>
      <c r="U36" s="18" t="s">
        <v>1908</v>
      </c>
      <c r="V36" s="18">
        <v>472</v>
      </c>
      <c r="W36" s="21">
        <f>Table23[[#This Row],[weight]]/SUM(Table23[weight])</f>
        <v>2.9514757378689346E-2</v>
      </c>
      <c r="X36" s="21"/>
      <c r="Z36" s="34"/>
      <c r="AA36" s="34"/>
      <c r="AB36" s="34" t="s">
        <v>2370</v>
      </c>
      <c r="AC36" s="36">
        <f>SUBTOTAL(101,Table26[weight])</f>
        <v>883.52</v>
      </c>
    </row>
    <row r="37" spans="1:29" x14ac:dyDescent="0.2">
      <c r="A37">
        <v>506</v>
      </c>
      <c r="B37">
        <v>613</v>
      </c>
      <c r="C37" t="s">
        <v>1383</v>
      </c>
      <c r="D37" t="s">
        <v>1384</v>
      </c>
      <c r="E37" t="s">
        <v>1385</v>
      </c>
      <c r="F37" t="s">
        <v>1386</v>
      </c>
      <c r="G37" t="s">
        <v>1387</v>
      </c>
      <c r="H37" t="s">
        <v>1388</v>
      </c>
      <c r="I37">
        <v>437</v>
      </c>
      <c r="J37">
        <v>437</v>
      </c>
      <c r="K37" s="11" t="s">
        <v>525</v>
      </c>
      <c r="S37" s="18"/>
      <c r="T37" s="18"/>
      <c r="U37" s="18" t="s">
        <v>2370</v>
      </c>
      <c r="V37" s="18">
        <f>SUBTOTAL(101,Table23[weight])</f>
        <v>592.2962962962963</v>
      </c>
      <c r="W37" s="18">
        <f>SUBTOTAL(109,Table23[Normalized Weight])</f>
        <v>0.99999999999999978</v>
      </c>
      <c r="X37" s="18">
        <f>Table23[[#Totals],[weight]]/SUM(Table23[weight])</f>
        <v>3.7037037037037035E-2</v>
      </c>
      <c r="AB37" t="s">
        <v>2371</v>
      </c>
      <c r="AC37">
        <f>MAX(Table26[weight])</f>
        <v>6626</v>
      </c>
    </row>
    <row r="38" spans="1:29" x14ac:dyDescent="0.2">
      <c r="A38">
        <v>506</v>
      </c>
      <c r="B38">
        <v>529</v>
      </c>
      <c r="C38" t="s">
        <v>1364</v>
      </c>
      <c r="D38" t="s">
        <v>1365</v>
      </c>
      <c r="E38" t="s">
        <v>738</v>
      </c>
      <c r="F38" t="s">
        <v>1366</v>
      </c>
      <c r="G38" t="s">
        <v>1367</v>
      </c>
      <c r="H38" t="s">
        <v>1368</v>
      </c>
      <c r="I38">
        <v>1275</v>
      </c>
      <c r="J38">
        <v>1275</v>
      </c>
      <c r="K38" s="11" t="s">
        <v>393</v>
      </c>
      <c r="U38" t="s">
        <v>2371</v>
      </c>
      <c r="V38">
        <f>MAX(V10:V36)</f>
        <v>1387</v>
      </c>
      <c r="AB38" t="s">
        <v>2372</v>
      </c>
      <c r="AC38">
        <f>MIN(AC11:AC35)</f>
        <v>118</v>
      </c>
    </row>
    <row r="39" spans="1:29" x14ac:dyDescent="0.2">
      <c r="A39">
        <v>627</v>
      </c>
      <c r="B39">
        <v>663</v>
      </c>
      <c r="C39" t="s">
        <v>1770</v>
      </c>
      <c r="D39" t="s">
        <v>1771</v>
      </c>
      <c r="E39" t="s">
        <v>1772</v>
      </c>
      <c r="F39" t="s">
        <v>1773</v>
      </c>
      <c r="G39" t="s">
        <v>910</v>
      </c>
      <c r="H39" t="s">
        <v>1774</v>
      </c>
      <c r="I39">
        <v>424</v>
      </c>
      <c r="J39">
        <v>424</v>
      </c>
      <c r="K39" s="11" t="s">
        <v>519</v>
      </c>
      <c r="U39" t="s">
        <v>2372</v>
      </c>
      <c r="V39">
        <f>MIN(V10:V36)</f>
        <v>103</v>
      </c>
      <c r="AB39" t="s">
        <v>2373</v>
      </c>
      <c r="AC39">
        <f>MEDIAN(Table26[weight])</f>
        <v>521</v>
      </c>
    </row>
    <row r="40" spans="1:29" x14ac:dyDescent="0.2">
      <c r="A40">
        <v>730</v>
      </c>
      <c r="B40">
        <v>712</v>
      </c>
      <c r="C40" t="s">
        <v>2152</v>
      </c>
      <c r="D40" t="s">
        <v>2153</v>
      </c>
      <c r="E40" t="s">
        <v>2154</v>
      </c>
      <c r="F40" t="s">
        <v>2155</v>
      </c>
      <c r="G40" t="s">
        <v>1387</v>
      </c>
      <c r="H40" t="s">
        <v>2156</v>
      </c>
      <c r="I40">
        <v>590</v>
      </c>
      <c r="J40">
        <v>590</v>
      </c>
      <c r="K40" s="11" t="s">
        <v>544</v>
      </c>
      <c r="U40" t="s">
        <v>2373</v>
      </c>
      <c r="V40">
        <f>MEDIAN(Table23[weight])</f>
        <v>467</v>
      </c>
    </row>
    <row r="41" spans="1:29" x14ac:dyDescent="0.2">
      <c r="A41">
        <v>2191</v>
      </c>
      <c r="B41">
        <v>571</v>
      </c>
      <c r="C41" t="s">
        <v>753</v>
      </c>
      <c r="D41" t="s">
        <v>754</v>
      </c>
      <c r="E41" t="s">
        <v>755</v>
      </c>
      <c r="F41" t="s">
        <v>756</v>
      </c>
      <c r="G41" t="s">
        <v>757</v>
      </c>
      <c r="H41" t="s">
        <v>758</v>
      </c>
      <c r="I41">
        <v>661</v>
      </c>
      <c r="J41">
        <v>661</v>
      </c>
      <c r="K41" s="11" t="s">
        <v>531</v>
      </c>
    </row>
    <row r="42" spans="1:29" x14ac:dyDescent="0.2">
      <c r="A42">
        <v>574</v>
      </c>
      <c r="B42">
        <v>712</v>
      </c>
      <c r="C42" t="s">
        <v>1524</v>
      </c>
      <c r="D42" t="s">
        <v>1525</v>
      </c>
      <c r="E42" t="s">
        <v>1526</v>
      </c>
      <c r="F42" t="s">
        <v>1527</v>
      </c>
      <c r="G42" t="s">
        <v>939</v>
      </c>
      <c r="H42" t="s">
        <v>1528</v>
      </c>
      <c r="I42">
        <v>132</v>
      </c>
      <c r="J42">
        <v>132</v>
      </c>
      <c r="K42" s="11" t="s">
        <v>703</v>
      </c>
    </row>
    <row r="43" spans="1:29" x14ac:dyDescent="0.2">
      <c r="A43">
        <v>2191</v>
      </c>
      <c r="B43">
        <v>591</v>
      </c>
      <c r="C43" t="s">
        <v>771</v>
      </c>
      <c r="D43" t="s">
        <v>793</v>
      </c>
      <c r="E43" t="s">
        <v>738</v>
      </c>
      <c r="F43" t="s">
        <v>794</v>
      </c>
      <c r="G43" t="s">
        <v>795</v>
      </c>
      <c r="H43" t="s">
        <v>796</v>
      </c>
      <c r="I43">
        <v>1266</v>
      </c>
      <c r="J43">
        <v>1266</v>
      </c>
      <c r="K43" s="11" t="s">
        <v>396</v>
      </c>
    </row>
    <row r="44" spans="1:29" x14ac:dyDescent="0.2">
      <c r="A44">
        <v>700</v>
      </c>
      <c r="B44">
        <v>529</v>
      </c>
      <c r="C44" t="s">
        <v>916</v>
      </c>
      <c r="D44" t="s">
        <v>917</v>
      </c>
      <c r="E44" t="s">
        <v>738</v>
      </c>
      <c r="F44" t="s">
        <v>918</v>
      </c>
      <c r="G44" t="s">
        <v>919</v>
      </c>
      <c r="H44" t="s">
        <v>920</v>
      </c>
      <c r="I44">
        <v>819</v>
      </c>
      <c r="J44">
        <v>819</v>
      </c>
      <c r="K44" s="11" t="s">
        <v>441</v>
      </c>
    </row>
    <row r="45" spans="1:29" x14ac:dyDescent="0.2">
      <c r="A45">
        <v>506</v>
      </c>
      <c r="B45">
        <v>736</v>
      </c>
      <c r="C45" t="s">
        <v>801</v>
      </c>
      <c r="D45" t="s">
        <v>1439</v>
      </c>
      <c r="E45" t="s">
        <v>727</v>
      </c>
      <c r="F45" t="s">
        <v>1440</v>
      </c>
      <c r="G45" t="s">
        <v>1441</v>
      </c>
      <c r="H45" t="s">
        <v>1442</v>
      </c>
      <c r="I45">
        <v>458</v>
      </c>
      <c r="J45">
        <v>458</v>
      </c>
      <c r="K45" s="11" t="s">
        <v>629</v>
      </c>
    </row>
    <row r="46" spans="1:29" x14ac:dyDescent="0.2">
      <c r="A46">
        <v>647</v>
      </c>
      <c r="B46">
        <v>645</v>
      </c>
      <c r="C46" t="s">
        <v>2226</v>
      </c>
      <c r="D46" t="s">
        <v>2227</v>
      </c>
      <c r="E46" t="s">
        <v>738</v>
      </c>
      <c r="F46" t="s">
        <v>2228</v>
      </c>
      <c r="G46" t="s">
        <v>888</v>
      </c>
      <c r="H46" t="s">
        <v>2229</v>
      </c>
      <c r="I46">
        <v>1034</v>
      </c>
      <c r="J46">
        <v>1034</v>
      </c>
      <c r="K46" s="11" t="s">
        <v>438</v>
      </c>
    </row>
    <row r="47" spans="1:29" x14ac:dyDescent="0.2">
      <c r="A47">
        <v>554</v>
      </c>
      <c r="B47">
        <v>645</v>
      </c>
      <c r="C47" t="s">
        <v>1744</v>
      </c>
      <c r="D47" t="s">
        <v>1745</v>
      </c>
      <c r="E47" t="s">
        <v>1746</v>
      </c>
      <c r="F47" t="s">
        <v>1747</v>
      </c>
      <c r="G47" t="s">
        <v>987</v>
      </c>
      <c r="H47" t="s">
        <v>1748</v>
      </c>
      <c r="I47">
        <v>635</v>
      </c>
      <c r="J47">
        <v>635</v>
      </c>
      <c r="K47" s="11" t="s">
        <v>490</v>
      </c>
    </row>
    <row r="48" spans="1:29" x14ac:dyDescent="0.2">
      <c r="A48">
        <v>574</v>
      </c>
      <c r="B48">
        <v>2190</v>
      </c>
      <c r="C48" t="s">
        <v>1502</v>
      </c>
      <c r="D48" t="s">
        <v>1503</v>
      </c>
      <c r="E48" t="s">
        <v>1504</v>
      </c>
      <c r="F48" t="s">
        <v>1505</v>
      </c>
      <c r="G48" t="s">
        <v>852</v>
      </c>
      <c r="H48" t="s">
        <v>1506</v>
      </c>
      <c r="I48">
        <v>249</v>
      </c>
      <c r="J48">
        <v>249</v>
      </c>
      <c r="K48" s="11" t="s">
        <v>641</v>
      </c>
    </row>
    <row r="49" spans="1:11" x14ac:dyDescent="0.2">
      <c r="A49">
        <v>506</v>
      </c>
      <c r="B49">
        <v>490</v>
      </c>
      <c r="C49" t="s">
        <v>1435</v>
      </c>
      <c r="D49" t="s">
        <v>1436</v>
      </c>
      <c r="E49" t="s">
        <v>738</v>
      </c>
      <c r="F49" t="s">
        <v>1437</v>
      </c>
      <c r="G49" t="s">
        <v>738</v>
      </c>
      <c r="H49" t="s">
        <v>1438</v>
      </c>
      <c r="I49">
        <v>109</v>
      </c>
      <c r="J49">
        <v>109</v>
      </c>
      <c r="K49" s="11" t="s">
        <v>727</v>
      </c>
    </row>
    <row r="50" spans="1:11" x14ac:dyDescent="0.2">
      <c r="A50">
        <v>625</v>
      </c>
      <c r="B50">
        <v>648</v>
      </c>
      <c r="C50" t="s">
        <v>1122</v>
      </c>
      <c r="D50" t="s">
        <v>1123</v>
      </c>
      <c r="E50" t="s">
        <v>738</v>
      </c>
      <c r="F50" t="s">
        <v>1124</v>
      </c>
      <c r="G50" t="s">
        <v>799</v>
      </c>
      <c r="H50" t="s">
        <v>1125</v>
      </c>
      <c r="I50">
        <v>737</v>
      </c>
      <c r="J50">
        <v>737</v>
      </c>
      <c r="K50" s="11" t="s">
        <v>411</v>
      </c>
    </row>
    <row r="51" spans="1:11" x14ac:dyDescent="0.2">
      <c r="A51">
        <v>625</v>
      </c>
      <c r="B51">
        <v>575</v>
      </c>
      <c r="C51" t="s">
        <v>1110</v>
      </c>
      <c r="D51" t="s">
        <v>1111</v>
      </c>
      <c r="E51" t="s">
        <v>1112</v>
      </c>
      <c r="F51" t="s">
        <v>1113</v>
      </c>
      <c r="G51" t="s">
        <v>1114</v>
      </c>
      <c r="H51" t="s">
        <v>1115</v>
      </c>
      <c r="I51">
        <v>365</v>
      </c>
      <c r="J51">
        <v>365</v>
      </c>
      <c r="K51" s="11" t="s">
        <v>499</v>
      </c>
    </row>
    <row r="52" spans="1:11" x14ac:dyDescent="0.2">
      <c r="A52">
        <v>597</v>
      </c>
      <c r="B52">
        <v>733</v>
      </c>
      <c r="C52" t="s">
        <v>801</v>
      </c>
      <c r="D52" t="s">
        <v>821</v>
      </c>
      <c r="E52" t="s">
        <v>727</v>
      </c>
      <c r="F52" t="s">
        <v>822</v>
      </c>
      <c r="G52" t="s">
        <v>823</v>
      </c>
      <c r="H52" t="s">
        <v>824</v>
      </c>
      <c r="I52">
        <v>240</v>
      </c>
      <c r="J52">
        <v>240</v>
      </c>
      <c r="K52" s="11" t="s">
        <v>686</v>
      </c>
    </row>
    <row r="53" spans="1:11" x14ac:dyDescent="0.2">
      <c r="A53">
        <v>575</v>
      </c>
      <c r="B53">
        <v>2189</v>
      </c>
      <c r="C53" t="s">
        <v>2015</v>
      </c>
      <c r="D53" t="s">
        <v>2016</v>
      </c>
      <c r="E53" t="s">
        <v>2017</v>
      </c>
      <c r="F53" t="s">
        <v>2018</v>
      </c>
      <c r="G53" t="s">
        <v>779</v>
      </c>
      <c r="H53" t="s">
        <v>2019</v>
      </c>
      <c r="I53">
        <v>372</v>
      </c>
      <c r="J53">
        <v>372</v>
      </c>
      <c r="K53" s="11" t="s">
        <v>580</v>
      </c>
    </row>
    <row r="54" spans="1:11" x14ac:dyDescent="0.2">
      <c r="A54">
        <v>506</v>
      </c>
      <c r="B54">
        <v>591</v>
      </c>
      <c r="C54" t="s">
        <v>1374</v>
      </c>
      <c r="D54" t="s">
        <v>1375</v>
      </c>
      <c r="E54" t="s">
        <v>1376</v>
      </c>
      <c r="F54" t="s">
        <v>1377</v>
      </c>
      <c r="G54" t="s">
        <v>1378</v>
      </c>
      <c r="H54" t="s">
        <v>1379</v>
      </c>
      <c r="I54">
        <v>1072</v>
      </c>
      <c r="J54">
        <v>1072</v>
      </c>
      <c r="K54" s="11" t="s">
        <v>420</v>
      </c>
    </row>
    <row r="55" spans="1:11" x14ac:dyDescent="0.2">
      <c r="A55">
        <v>627</v>
      </c>
      <c r="B55">
        <v>529</v>
      </c>
      <c r="C55" t="s">
        <v>801</v>
      </c>
      <c r="D55" t="s">
        <v>1821</v>
      </c>
      <c r="E55" t="s">
        <v>727</v>
      </c>
      <c r="F55" t="s">
        <v>1822</v>
      </c>
      <c r="G55" t="s">
        <v>1823</v>
      </c>
      <c r="H55" t="s">
        <v>1824</v>
      </c>
      <c r="I55">
        <v>175</v>
      </c>
      <c r="J55">
        <v>175</v>
      </c>
      <c r="K55" s="11" t="s">
        <v>633</v>
      </c>
    </row>
    <row r="56" spans="1:11" x14ac:dyDescent="0.2">
      <c r="A56">
        <v>700</v>
      </c>
      <c r="B56">
        <v>575</v>
      </c>
      <c r="C56" t="s">
        <v>801</v>
      </c>
      <c r="D56" t="s">
        <v>985</v>
      </c>
      <c r="E56" t="s">
        <v>727</v>
      </c>
      <c r="F56" t="s">
        <v>986</v>
      </c>
      <c r="G56" t="s">
        <v>987</v>
      </c>
      <c r="H56" t="s">
        <v>988</v>
      </c>
      <c r="I56">
        <v>583</v>
      </c>
      <c r="J56">
        <v>583</v>
      </c>
      <c r="K56" s="11" t="s">
        <v>517</v>
      </c>
    </row>
    <row r="57" spans="1:11" x14ac:dyDescent="0.2">
      <c r="A57">
        <v>700</v>
      </c>
      <c r="B57">
        <v>645</v>
      </c>
      <c r="C57" t="s">
        <v>801</v>
      </c>
      <c r="D57" t="s">
        <v>963</v>
      </c>
      <c r="E57" t="s">
        <v>727</v>
      </c>
      <c r="F57" t="s">
        <v>964</v>
      </c>
      <c r="G57" t="s">
        <v>827</v>
      </c>
      <c r="H57" t="s">
        <v>965</v>
      </c>
      <c r="I57">
        <v>221</v>
      </c>
      <c r="J57">
        <v>221</v>
      </c>
      <c r="K57" s="11" t="s">
        <v>645</v>
      </c>
    </row>
    <row r="58" spans="1:11" x14ac:dyDescent="0.2">
      <c r="A58">
        <v>647</v>
      </c>
      <c r="B58">
        <v>529</v>
      </c>
      <c r="C58" t="s">
        <v>801</v>
      </c>
      <c r="D58" t="s">
        <v>2200</v>
      </c>
      <c r="E58" t="s">
        <v>727</v>
      </c>
      <c r="F58" t="s">
        <v>2201</v>
      </c>
      <c r="G58" t="s">
        <v>2202</v>
      </c>
      <c r="H58" t="s">
        <v>2203</v>
      </c>
      <c r="I58">
        <v>199</v>
      </c>
      <c r="J58">
        <v>199</v>
      </c>
      <c r="K58" s="11" t="s">
        <v>647</v>
      </c>
    </row>
    <row r="59" spans="1:11" x14ac:dyDescent="0.2">
      <c r="A59">
        <v>702</v>
      </c>
      <c r="B59">
        <v>647</v>
      </c>
      <c r="C59" t="s">
        <v>801</v>
      </c>
      <c r="D59" t="s">
        <v>2054</v>
      </c>
      <c r="E59" t="s">
        <v>727</v>
      </c>
      <c r="F59" t="s">
        <v>2055</v>
      </c>
      <c r="G59" t="s">
        <v>2056</v>
      </c>
      <c r="H59" t="s">
        <v>2057</v>
      </c>
      <c r="I59">
        <v>880</v>
      </c>
      <c r="J59">
        <v>880</v>
      </c>
      <c r="K59" s="11" t="s">
        <v>548</v>
      </c>
    </row>
    <row r="60" spans="1:11" x14ac:dyDescent="0.2">
      <c r="A60">
        <v>597</v>
      </c>
      <c r="B60">
        <v>730</v>
      </c>
      <c r="C60" t="s">
        <v>845</v>
      </c>
      <c r="D60" t="s">
        <v>846</v>
      </c>
      <c r="E60" t="s">
        <v>738</v>
      </c>
      <c r="F60" t="s">
        <v>847</v>
      </c>
      <c r="G60" t="s">
        <v>848</v>
      </c>
      <c r="H60" t="s">
        <v>849</v>
      </c>
      <c r="I60">
        <v>2933</v>
      </c>
      <c r="J60">
        <v>2933</v>
      </c>
      <c r="K60" s="11" t="s">
        <v>553</v>
      </c>
    </row>
    <row r="61" spans="1:11" x14ac:dyDescent="0.2">
      <c r="A61">
        <v>2191</v>
      </c>
      <c r="B61">
        <v>575</v>
      </c>
      <c r="C61" t="s">
        <v>801</v>
      </c>
      <c r="D61" t="s">
        <v>802</v>
      </c>
      <c r="E61" t="s">
        <v>727</v>
      </c>
      <c r="F61" t="s">
        <v>803</v>
      </c>
      <c r="G61" t="s">
        <v>804</v>
      </c>
      <c r="H61" t="s">
        <v>805</v>
      </c>
      <c r="I61">
        <v>184</v>
      </c>
      <c r="J61">
        <v>184</v>
      </c>
      <c r="K61" s="11" t="s">
        <v>678</v>
      </c>
    </row>
    <row r="62" spans="1:11" x14ac:dyDescent="0.2">
      <c r="A62">
        <v>506</v>
      </c>
      <c r="B62">
        <v>702</v>
      </c>
      <c r="C62" t="s">
        <v>801</v>
      </c>
      <c r="D62" t="s">
        <v>1361</v>
      </c>
      <c r="E62" t="s">
        <v>727</v>
      </c>
      <c r="F62" t="s">
        <v>1362</v>
      </c>
      <c r="G62" t="s">
        <v>1216</v>
      </c>
      <c r="H62" t="s">
        <v>1363</v>
      </c>
      <c r="I62">
        <v>737</v>
      </c>
      <c r="J62">
        <v>737</v>
      </c>
      <c r="K62" s="11" t="s">
        <v>622</v>
      </c>
    </row>
    <row r="63" spans="1:11" x14ac:dyDescent="0.2">
      <c r="A63">
        <v>733</v>
      </c>
      <c r="B63">
        <v>2190</v>
      </c>
      <c r="C63" t="s">
        <v>801</v>
      </c>
      <c r="D63" t="s">
        <v>2132</v>
      </c>
      <c r="E63" t="s">
        <v>727</v>
      </c>
      <c r="F63" t="s">
        <v>2133</v>
      </c>
      <c r="G63" t="s">
        <v>763</v>
      </c>
      <c r="H63" t="s">
        <v>2134</v>
      </c>
      <c r="I63">
        <v>128</v>
      </c>
      <c r="J63">
        <v>128</v>
      </c>
      <c r="K63" s="11" t="s">
        <v>717</v>
      </c>
    </row>
    <row r="64" spans="1:11" x14ac:dyDescent="0.2">
      <c r="A64">
        <v>574</v>
      </c>
      <c r="B64">
        <v>575</v>
      </c>
      <c r="C64" t="s">
        <v>1497</v>
      </c>
      <c r="D64" t="s">
        <v>1498</v>
      </c>
      <c r="E64" t="s">
        <v>738</v>
      </c>
      <c r="F64" t="s">
        <v>1499</v>
      </c>
      <c r="G64" t="s">
        <v>1500</v>
      </c>
      <c r="H64" t="s">
        <v>1501</v>
      </c>
      <c r="I64">
        <v>1051</v>
      </c>
      <c r="J64">
        <v>1051</v>
      </c>
      <c r="K64" s="11" t="s">
        <v>414</v>
      </c>
    </row>
    <row r="65" spans="1:11" x14ac:dyDescent="0.2">
      <c r="A65">
        <v>554</v>
      </c>
      <c r="B65">
        <v>529</v>
      </c>
      <c r="C65" t="s">
        <v>1687</v>
      </c>
      <c r="D65" t="s">
        <v>1688</v>
      </c>
      <c r="E65" t="s">
        <v>1689</v>
      </c>
      <c r="F65" t="s">
        <v>1690</v>
      </c>
      <c r="G65" t="s">
        <v>1237</v>
      </c>
      <c r="H65" t="s">
        <v>1691</v>
      </c>
      <c r="I65">
        <v>584</v>
      </c>
      <c r="J65">
        <v>584</v>
      </c>
      <c r="K65" s="11" t="s">
        <v>474</v>
      </c>
    </row>
    <row r="66" spans="1:11" x14ac:dyDescent="0.2">
      <c r="A66">
        <v>700</v>
      </c>
      <c r="B66">
        <v>625</v>
      </c>
      <c r="C66" t="s">
        <v>801</v>
      </c>
      <c r="D66" t="s">
        <v>941</v>
      </c>
      <c r="E66" t="s">
        <v>727</v>
      </c>
      <c r="F66" t="s">
        <v>942</v>
      </c>
      <c r="G66" t="s">
        <v>943</v>
      </c>
      <c r="H66" t="s">
        <v>944</v>
      </c>
      <c r="I66">
        <v>138</v>
      </c>
      <c r="J66">
        <v>138</v>
      </c>
      <c r="K66" s="11" t="s">
        <v>653</v>
      </c>
    </row>
    <row r="67" spans="1:11" x14ac:dyDescent="0.2">
      <c r="A67">
        <v>575</v>
      </c>
      <c r="B67">
        <v>733</v>
      </c>
      <c r="C67" t="s">
        <v>2028</v>
      </c>
      <c r="D67" t="s">
        <v>2029</v>
      </c>
      <c r="E67" t="s">
        <v>2030</v>
      </c>
      <c r="F67" t="s">
        <v>2031</v>
      </c>
      <c r="G67" t="s">
        <v>1300</v>
      </c>
      <c r="H67" t="s">
        <v>2032</v>
      </c>
      <c r="I67">
        <v>851</v>
      </c>
      <c r="J67">
        <v>851</v>
      </c>
      <c r="K67" s="11" t="s">
        <v>509</v>
      </c>
    </row>
    <row r="68" spans="1:11" x14ac:dyDescent="0.2">
      <c r="A68">
        <v>625</v>
      </c>
      <c r="B68">
        <v>647</v>
      </c>
      <c r="C68" t="s">
        <v>1070</v>
      </c>
      <c r="D68" t="s">
        <v>1071</v>
      </c>
      <c r="E68" t="s">
        <v>1072</v>
      </c>
      <c r="F68" t="s">
        <v>1073</v>
      </c>
      <c r="G68" t="s">
        <v>1074</v>
      </c>
      <c r="H68" t="s">
        <v>1075</v>
      </c>
      <c r="I68">
        <v>460</v>
      </c>
      <c r="J68">
        <v>460</v>
      </c>
      <c r="K68" s="11" t="s">
        <v>459</v>
      </c>
    </row>
    <row r="69" spans="1:11" x14ac:dyDescent="0.2">
      <c r="A69">
        <v>700</v>
      </c>
      <c r="B69">
        <v>627</v>
      </c>
      <c r="C69" t="s">
        <v>906</v>
      </c>
      <c r="D69" t="s">
        <v>907</v>
      </c>
      <c r="E69" t="s">
        <v>908</v>
      </c>
      <c r="F69" t="s">
        <v>909</v>
      </c>
      <c r="G69" t="s">
        <v>910</v>
      </c>
      <c r="H69" t="s">
        <v>911</v>
      </c>
      <c r="I69">
        <v>414</v>
      </c>
      <c r="J69">
        <v>414</v>
      </c>
      <c r="K69" s="11" t="s">
        <v>518</v>
      </c>
    </row>
    <row r="70" spans="1:11" x14ac:dyDescent="0.2">
      <c r="A70">
        <v>733</v>
      </c>
      <c r="B70">
        <v>663</v>
      </c>
      <c r="C70" t="s">
        <v>801</v>
      </c>
      <c r="D70" t="s">
        <v>2103</v>
      </c>
      <c r="E70" t="s">
        <v>727</v>
      </c>
      <c r="F70" t="s">
        <v>2104</v>
      </c>
      <c r="G70" t="s">
        <v>823</v>
      </c>
      <c r="H70" t="s">
        <v>2105</v>
      </c>
      <c r="I70">
        <v>195</v>
      </c>
      <c r="J70">
        <v>195</v>
      </c>
      <c r="K70" s="11" t="s">
        <v>691</v>
      </c>
    </row>
    <row r="71" spans="1:11" x14ac:dyDescent="0.2">
      <c r="A71">
        <v>702</v>
      </c>
      <c r="B71">
        <v>673</v>
      </c>
      <c r="C71" t="s">
        <v>771</v>
      </c>
      <c r="D71" t="s">
        <v>2081</v>
      </c>
      <c r="E71" t="s">
        <v>738</v>
      </c>
      <c r="F71" t="s">
        <v>2082</v>
      </c>
      <c r="G71" t="s">
        <v>2083</v>
      </c>
      <c r="H71" t="s">
        <v>2084</v>
      </c>
      <c r="I71">
        <v>2758</v>
      </c>
      <c r="J71">
        <v>2758</v>
      </c>
      <c r="K71" s="11" t="s">
        <v>418</v>
      </c>
    </row>
    <row r="72" spans="1:11" x14ac:dyDescent="0.2">
      <c r="A72">
        <v>571</v>
      </c>
      <c r="B72">
        <v>575</v>
      </c>
      <c r="C72" t="s">
        <v>801</v>
      </c>
      <c r="D72" t="s">
        <v>1200</v>
      </c>
      <c r="E72" t="s">
        <v>727</v>
      </c>
      <c r="F72" t="s">
        <v>1201</v>
      </c>
      <c r="G72" t="s">
        <v>1202</v>
      </c>
      <c r="H72" t="s">
        <v>1203</v>
      </c>
      <c r="I72">
        <v>443</v>
      </c>
      <c r="J72">
        <v>443</v>
      </c>
      <c r="K72" s="11" t="s">
        <v>612</v>
      </c>
    </row>
    <row r="73" spans="1:11" x14ac:dyDescent="0.2">
      <c r="A73">
        <v>702</v>
      </c>
      <c r="B73">
        <v>730</v>
      </c>
      <c r="C73" t="s">
        <v>801</v>
      </c>
      <c r="D73" t="s">
        <v>2073</v>
      </c>
      <c r="E73" t="s">
        <v>727</v>
      </c>
      <c r="F73" t="s">
        <v>2074</v>
      </c>
      <c r="G73" t="s">
        <v>2075</v>
      </c>
      <c r="H73" t="s">
        <v>2076</v>
      </c>
      <c r="I73">
        <v>1012</v>
      </c>
      <c r="J73">
        <v>1012</v>
      </c>
      <c r="K73" s="11" t="s">
        <v>721</v>
      </c>
    </row>
    <row r="74" spans="1:11" x14ac:dyDescent="0.2">
      <c r="A74">
        <v>579</v>
      </c>
      <c r="B74">
        <v>682</v>
      </c>
      <c r="C74" t="s">
        <v>1285</v>
      </c>
      <c r="D74" t="s">
        <v>1286</v>
      </c>
      <c r="E74" t="s">
        <v>1287</v>
      </c>
      <c r="F74" t="s">
        <v>1288</v>
      </c>
      <c r="G74" t="s">
        <v>1289</v>
      </c>
      <c r="H74" t="s">
        <v>1290</v>
      </c>
      <c r="I74">
        <v>266</v>
      </c>
      <c r="J74">
        <v>266</v>
      </c>
      <c r="K74" s="11" t="s">
        <v>524</v>
      </c>
    </row>
    <row r="75" spans="1:11" x14ac:dyDescent="0.2">
      <c r="A75">
        <v>574</v>
      </c>
      <c r="B75">
        <v>736</v>
      </c>
      <c r="C75" t="s">
        <v>1532</v>
      </c>
      <c r="D75" t="s">
        <v>1533</v>
      </c>
      <c r="E75" t="s">
        <v>738</v>
      </c>
      <c r="F75" t="s">
        <v>1534</v>
      </c>
      <c r="G75" t="s">
        <v>1535</v>
      </c>
      <c r="H75" t="s">
        <v>1536</v>
      </c>
      <c r="I75">
        <v>1085</v>
      </c>
      <c r="J75">
        <v>1085</v>
      </c>
      <c r="K75" s="11" t="s">
        <v>436</v>
      </c>
    </row>
    <row r="76" spans="1:11" x14ac:dyDescent="0.2">
      <c r="A76">
        <v>691</v>
      </c>
      <c r="B76">
        <v>712</v>
      </c>
      <c r="C76" t="s">
        <v>771</v>
      </c>
      <c r="D76" t="s">
        <v>1601</v>
      </c>
      <c r="E76" t="s">
        <v>738</v>
      </c>
      <c r="F76" t="s">
        <v>1602</v>
      </c>
      <c r="G76" t="s">
        <v>738</v>
      </c>
      <c r="H76" t="s">
        <v>1603</v>
      </c>
      <c r="I76">
        <v>2113</v>
      </c>
      <c r="J76">
        <v>2113</v>
      </c>
      <c r="K76" s="11" t="s">
        <v>361</v>
      </c>
    </row>
    <row r="77" spans="1:11" x14ac:dyDescent="0.2">
      <c r="A77">
        <v>627</v>
      </c>
      <c r="B77">
        <v>702</v>
      </c>
      <c r="C77" t="s">
        <v>801</v>
      </c>
      <c r="D77" t="s">
        <v>1752</v>
      </c>
      <c r="E77" t="s">
        <v>727</v>
      </c>
      <c r="F77" t="s">
        <v>1753</v>
      </c>
      <c r="G77" t="s">
        <v>968</v>
      </c>
      <c r="H77" t="s">
        <v>1754</v>
      </c>
      <c r="I77">
        <v>497</v>
      </c>
      <c r="J77">
        <v>497</v>
      </c>
      <c r="K77" s="11" t="s">
        <v>503</v>
      </c>
    </row>
    <row r="78" spans="1:11" x14ac:dyDescent="0.2">
      <c r="A78">
        <v>579</v>
      </c>
      <c r="B78">
        <v>645</v>
      </c>
      <c r="C78" t="s">
        <v>801</v>
      </c>
      <c r="D78" t="s">
        <v>1327</v>
      </c>
      <c r="E78" t="s">
        <v>727</v>
      </c>
      <c r="F78" t="s">
        <v>1328</v>
      </c>
      <c r="G78" t="s">
        <v>1329</v>
      </c>
      <c r="H78" t="s">
        <v>1330</v>
      </c>
      <c r="I78">
        <v>118</v>
      </c>
      <c r="J78">
        <v>118</v>
      </c>
      <c r="K78" s="11" t="s">
        <v>674</v>
      </c>
    </row>
    <row r="79" spans="1:11" x14ac:dyDescent="0.2">
      <c r="A79">
        <v>597</v>
      </c>
      <c r="B79">
        <v>663</v>
      </c>
      <c r="C79" t="s">
        <v>801</v>
      </c>
      <c r="D79" t="s">
        <v>890</v>
      </c>
      <c r="E79" t="s">
        <v>727</v>
      </c>
      <c r="F79" t="s">
        <v>891</v>
      </c>
      <c r="G79" t="s">
        <v>892</v>
      </c>
      <c r="H79" t="s">
        <v>893</v>
      </c>
      <c r="I79">
        <v>449</v>
      </c>
      <c r="J79">
        <v>449</v>
      </c>
      <c r="K79" s="11" t="s">
        <v>582</v>
      </c>
    </row>
    <row r="80" spans="1:11" x14ac:dyDescent="0.2">
      <c r="A80">
        <v>691</v>
      </c>
      <c r="B80">
        <v>554</v>
      </c>
      <c r="C80" t="s">
        <v>801</v>
      </c>
      <c r="D80" t="s">
        <v>1610</v>
      </c>
      <c r="E80" t="s">
        <v>727</v>
      </c>
      <c r="F80" t="s">
        <v>1611</v>
      </c>
      <c r="G80" t="s">
        <v>957</v>
      </c>
      <c r="H80" t="s">
        <v>1612</v>
      </c>
      <c r="I80">
        <v>693</v>
      </c>
      <c r="J80">
        <v>693</v>
      </c>
      <c r="K80" s="11" t="s">
        <v>461</v>
      </c>
    </row>
    <row r="81" spans="1:11" x14ac:dyDescent="0.2">
      <c r="A81">
        <v>591</v>
      </c>
      <c r="B81">
        <v>529</v>
      </c>
      <c r="C81" t="s">
        <v>1835</v>
      </c>
      <c r="D81" t="s">
        <v>1836</v>
      </c>
      <c r="E81" t="s">
        <v>738</v>
      </c>
      <c r="F81" t="s">
        <v>1837</v>
      </c>
      <c r="G81" t="s">
        <v>1224</v>
      </c>
      <c r="H81" t="s">
        <v>1838</v>
      </c>
      <c r="I81">
        <v>665</v>
      </c>
      <c r="J81">
        <v>665</v>
      </c>
      <c r="K81" s="11" t="s">
        <v>449</v>
      </c>
    </row>
    <row r="82" spans="1:11" x14ac:dyDescent="0.2">
      <c r="A82">
        <v>597</v>
      </c>
      <c r="B82">
        <v>682</v>
      </c>
      <c r="C82" t="s">
        <v>771</v>
      </c>
      <c r="D82" t="s">
        <v>838</v>
      </c>
      <c r="E82" t="s">
        <v>738</v>
      </c>
      <c r="F82" t="s">
        <v>839</v>
      </c>
      <c r="G82" t="s">
        <v>738</v>
      </c>
      <c r="H82" t="s">
        <v>840</v>
      </c>
      <c r="I82">
        <v>2645</v>
      </c>
      <c r="J82">
        <v>2645</v>
      </c>
      <c r="K82" s="11" t="s">
        <v>371</v>
      </c>
    </row>
    <row r="83" spans="1:11" x14ac:dyDescent="0.2">
      <c r="A83">
        <v>498</v>
      </c>
      <c r="B83">
        <v>663</v>
      </c>
      <c r="C83" t="s">
        <v>801</v>
      </c>
      <c r="D83" t="s">
        <v>2142</v>
      </c>
      <c r="E83" t="s">
        <v>727</v>
      </c>
      <c r="F83" t="s">
        <v>2143</v>
      </c>
      <c r="G83" t="s">
        <v>804</v>
      </c>
      <c r="H83" t="s">
        <v>2144</v>
      </c>
      <c r="I83">
        <v>118</v>
      </c>
      <c r="J83">
        <v>118</v>
      </c>
      <c r="K83" s="11" t="s">
        <v>716</v>
      </c>
    </row>
    <row r="84" spans="1:11" x14ac:dyDescent="0.2">
      <c r="A84">
        <v>554</v>
      </c>
      <c r="B84">
        <v>663</v>
      </c>
      <c r="C84" t="s">
        <v>801</v>
      </c>
      <c r="D84" t="s">
        <v>1706</v>
      </c>
      <c r="E84" t="s">
        <v>727</v>
      </c>
      <c r="F84" t="s">
        <v>1707</v>
      </c>
      <c r="G84" t="s">
        <v>951</v>
      </c>
      <c r="H84" t="s">
        <v>1708</v>
      </c>
      <c r="I84">
        <v>564</v>
      </c>
      <c r="J84">
        <v>564</v>
      </c>
      <c r="K84" s="11" t="s">
        <v>533</v>
      </c>
    </row>
    <row r="85" spans="1:11" x14ac:dyDescent="0.2">
      <c r="A85">
        <v>682</v>
      </c>
      <c r="B85">
        <v>648</v>
      </c>
      <c r="C85" t="s">
        <v>801</v>
      </c>
      <c r="D85" t="s">
        <v>1919</v>
      </c>
      <c r="E85" t="s">
        <v>727</v>
      </c>
      <c r="F85" t="s">
        <v>1920</v>
      </c>
      <c r="G85" t="s">
        <v>1246</v>
      </c>
      <c r="H85" t="s">
        <v>1921</v>
      </c>
      <c r="I85">
        <v>602</v>
      </c>
      <c r="J85">
        <v>602</v>
      </c>
      <c r="K85" s="11" t="s">
        <v>521</v>
      </c>
    </row>
    <row r="86" spans="1:11" x14ac:dyDescent="0.2">
      <c r="A86">
        <v>648</v>
      </c>
      <c r="B86">
        <v>563</v>
      </c>
      <c r="C86" t="s">
        <v>2291</v>
      </c>
      <c r="D86" t="s">
        <v>2292</v>
      </c>
      <c r="E86" t="s">
        <v>2293</v>
      </c>
      <c r="F86" t="s">
        <v>2294</v>
      </c>
      <c r="G86" t="s">
        <v>738</v>
      </c>
      <c r="H86" t="s">
        <v>2295</v>
      </c>
      <c r="I86">
        <v>10</v>
      </c>
      <c r="J86">
        <v>10</v>
      </c>
      <c r="K86" s="11" t="s">
        <v>727</v>
      </c>
    </row>
    <row r="87" spans="1:11" x14ac:dyDescent="0.2">
      <c r="A87">
        <v>591</v>
      </c>
      <c r="B87">
        <v>733</v>
      </c>
      <c r="C87" t="s">
        <v>1860</v>
      </c>
      <c r="D87" t="s">
        <v>1861</v>
      </c>
      <c r="E87" t="s">
        <v>1862</v>
      </c>
      <c r="F87" t="s">
        <v>1863</v>
      </c>
      <c r="G87" t="s">
        <v>1864</v>
      </c>
      <c r="H87" t="s">
        <v>1865</v>
      </c>
      <c r="I87">
        <v>956</v>
      </c>
      <c r="J87">
        <v>956</v>
      </c>
      <c r="K87" s="11" t="s">
        <v>454</v>
      </c>
    </row>
    <row r="88" spans="1:11" x14ac:dyDescent="0.2">
      <c r="A88">
        <v>554</v>
      </c>
      <c r="B88">
        <v>627</v>
      </c>
      <c r="C88" t="s">
        <v>1679</v>
      </c>
      <c r="D88" t="s">
        <v>1680</v>
      </c>
      <c r="E88" t="s">
        <v>1681</v>
      </c>
      <c r="F88" t="s">
        <v>1682</v>
      </c>
      <c r="G88" t="s">
        <v>1018</v>
      </c>
      <c r="H88" t="s">
        <v>1683</v>
      </c>
      <c r="I88">
        <v>512</v>
      </c>
      <c r="J88">
        <v>512</v>
      </c>
      <c r="K88" s="11" t="s">
        <v>482</v>
      </c>
    </row>
    <row r="89" spans="1:11" x14ac:dyDescent="0.2">
      <c r="A89">
        <v>506</v>
      </c>
      <c r="B89">
        <v>647</v>
      </c>
      <c r="C89" t="s">
        <v>801</v>
      </c>
      <c r="D89" t="s">
        <v>1463</v>
      </c>
      <c r="E89" t="s">
        <v>727</v>
      </c>
      <c r="F89" t="s">
        <v>1464</v>
      </c>
      <c r="G89" t="s">
        <v>1415</v>
      </c>
      <c r="H89" t="s">
        <v>1465</v>
      </c>
      <c r="I89">
        <v>931</v>
      </c>
      <c r="J89">
        <v>931</v>
      </c>
      <c r="K89" s="11" t="s">
        <v>520</v>
      </c>
    </row>
    <row r="90" spans="1:11" x14ac:dyDescent="0.2">
      <c r="A90">
        <v>571</v>
      </c>
      <c r="B90">
        <v>554</v>
      </c>
      <c r="C90" t="s">
        <v>801</v>
      </c>
      <c r="D90" t="s">
        <v>1175</v>
      </c>
      <c r="E90" t="s">
        <v>727</v>
      </c>
      <c r="F90" t="s">
        <v>1176</v>
      </c>
      <c r="G90" t="s">
        <v>1022</v>
      </c>
      <c r="H90" t="s">
        <v>1177</v>
      </c>
      <c r="I90">
        <v>414</v>
      </c>
      <c r="J90">
        <v>414</v>
      </c>
      <c r="K90" s="11" t="s">
        <v>632</v>
      </c>
    </row>
    <row r="91" spans="1:11" x14ac:dyDescent="0.2">
      <c r="A91">
        <v>574</v>
      </c>
      <c r="B91">
        <v>578</v>
      </c>
      <c r="C91" t="s">
        <v>801</v>
      </c>
      <c r="D91" t="s">
        <v>1529</v>
      </c>
      <c r="E91" t="s">
        <v>727</v>
      </c>
      <c r="F91" t="s">
        <v>1530</v>
      </c>
      <c r="G91" t="s">
        <v>884</v>
      </c>
      <c r="H91" t="s">
        <v>1531</v>
      </c>
      <c r="I91">
        <v>191</v>
      </c>
      <c r="J91">
        <v>191</v>
      </c>
      <c r="K91" s="11" t="s">
        <v>676</v>
      </c>
    </row>
    <row r="92" spans="1:11" x14ac:dyDescent="0.2">
      <c r="A92">
        <v>506</v>
      </c>
      <c r="B92">
        <v>648</v>
      </c>
      <c r="C92" t="s">
        <v>1406</v>
      </c>
      <c r="D92" t="s">
        <v>1407</v>
      </c>
      <c r="E92" t="s">
        <v>1408</v>
      </c>
      <c r="F92" t="s">
        <v>1409</v>
      </c>
      <c r="G92" t="s">
        <v>1410</v>
      </c>
      <c r="H92" t="s">
        <v>1411</v>
      </c>
      <c r="I92">
        <v>1457</v>
      </c>
      <c r="J92">
        <v>1457</v>
      </c>
      <c r="K92" s="11" t="s">
        <v>566</v>
      </c>
    </row>
    <row r="93" spans="1:11" x14ac:dyDescent="0.2">
      <c r="A93">
        <v>597</v>
      </c>
      <c r="B93">
        <v>613</v>
      </c>
      <c r="C93" t="s">
        <v>771</v>
      </c>
      <c r="D93" t="s">
        <v>886</v>
      </c>
      <c r="E93" t="s">
        <v>738</v>
      </c>
      <c r="F93" t="s">
        <v>887</v>
      </c>
      <c r="G93" t="s">
        <v>888</v>
      </c>
      <c r="H93" t="s">
        <v>889</v>
      </c>
      <c r="I93">
        <v>926</v>
      </c>
      <c r="J93">
        <v>926</v>
      </c>
      <c r="K93" s="11" t="s">
        <v>427</v>
      </c>
    </row>
    <row r="94" spans="1:11" x14ac:dyDescent="0.2">
      <c r="A94">
        <v>579</v>
      </c>
      <c r="B94">
        <v>720</v>
      </c>
      <c r="C94" t="s">
        <v>801</v>
      </c>
      <c r="D94" t="s">
        <v>1302</v>
      </c>
      <c r="E94" t="s">
        <v>727</v>
      </c>
      <c r="F94" t="s">
        <v>1303</v>
      </c>
      <c r="G94" t="s">
        <v>1304</v>
      </c>
      <c r="H94" t="s">
        <v>1305</v>
      </c>
      <c r="I94">
        <v>80</v>
      </c>
      <c r="J94">
        <v>80</v>
      </c>
      <c r="K94" s="11" t="s">
        <v>715</v>
      </c>
    </row>
    <row r="95" spans="1:11" x14ac:dyDescent="0.2">
      <c r="A95">
        <v>682</v>
      </c>
      <c r="B95">
        <v>645</v>
      </c>
      <c r="C95" t="s">
        <v>801</v>
      </c>
      <c r="D95" t="s">
        <v>1954</v>
      </c>
      <c r="E95" t="s">
        <v>727</v>
      </c>
      <c r="F95" t="s">
        <v>1955</v>
      </c>
      <c r="G95" t="s">
        <v>1956</v>
      </c>
      <c r="H95" t="s">
        <v>1957</v>
      </c>
      <c r="I95">
        <v>245</v>
      </c>
      <c r="J95">
        <v>245</v>
      </c>
      <c r="K95" s="11" t="s">
        <v>620</v>
      </c>
    </row>
    <row r="96" spans="1:11" x14ac:dyDescent="0.2">
      <c r="A96">
        <v>691</v>
      </c>
      <c r="B96">
        <v>663</v>
      </c>
      <c r="C96" t="s">
        <v>801</v>
      </c>
      <c r="D96" t="s">
        <v>1630</v>
      </c>
      <c r="E96" t="s">
        <v>727</v>
      </c>
      <c r="F96" t="s">
        <v>879</v>
      </c>
      <c r="G96" t="s">
        <v>1554</v>
      </c>
      <c r="H96" t="s">
        <v>1631</v>
      </c>
      <c r="I96">
        <v>748</v>
      </c>
      <c r="J96">
        <v>748</v>
      </c>
      <c r="K96" s="11" t="s">
        <v>512</v>
      </c>
    </row>
    <row r="97" spans="1:11" x14ac:dyDescent="0.2">
      <c r="A97">
        <v>597</v>
      </c>
      <c r="B97">
        <v>645</v>
      </c>
      <c r="C97" t="s">
        <v>876</v>
      </c>
      <c r="D97" t="s">
        <v>877</v>
      </c>
      <c r="E97" t="s">
        <v>878</v>
      </c>
      <c r="F97" t="s">
        <v>879</v>
      </c>
      <c r="G97" t="s">
        <v>880</v>
      </c>
      <c r="H97" t="s">
        <v>881</v>
      </c>
      <c r="I97">
        <v>445</v>
      </c>
      <c r="J97">
        <v>445</v>
      </c>
      <c r="K97" s="11" t="s">
        <v>552</v>
      </c>
    </row>
    <row r="98" spans="1:11" x14ac:dyDescent="0.2">
      <c r="A98">
        <v>2190</v>
      </c>
      <c r="B98">
        <v>736</v>
      </c>
      <c r="C98" t="s">
        <v>2343</v>
      </c>
      <c r="D98" t="s">
        <v>2344</v>
      </c>
      <c r="E98" t="s">
        <v>2345</v>
      </c>
      <c r="F98" t="s">
        <v>2346</v>
      </c>
      <c r="G98" t="s">
        <v>892</v>
      </c>
      <c r="H98" t="s">
        <v>2347</v>
      </c>
      <c r="I98">
        <v>348</v>
      </c>
      <c r="J98">
        <v>348</v>
      </c>
      <c r="K98" s="11" t="s">
        <v>642</v>
      </c>
    </row>
    <row r="99" spans="1:11" x14ac:dyDescent="0.2">
      <c r="A99">
        <v>691</v>
      </c>
      <c r="B99">
        <v>2189</v>
      </c>
      <c r="C99" t="s">
        <v>1613</v>
      </c>
      <c r="D99" t="s">
        <v>1614</v>
      </c>
      <c r="E99" t="s">
        <v>1615</v>
      </c>
      <c r="F99" t="s">
        <v>1616</v>
      </c>
      <c r="G99" t="s">
        <v>804</v>
      </c>
      <c r="H99" t="s">
        <v>1617</v>
      </c>
      <c r="I99">
        <v>248</v>
      </c>
      <c r="J99">
        <v>248</v>
      </c>
      <c r="K99" s="11" t="s">
        <v>644</v>
      </c>
    </row>
    <row r="100" spans="1:11" x14ac:dyDescent="0.2">
      <c r="A100">
        <v>597</v>
      </c>
      <c r="B100">
        <v>575</v>
      </c>
      <c r="C100" t="s">
        <v>801</v>
      </c>
      <c r="D100" t="s">
        <v>841</v>
      </c>
      <c r="E100" t="s">
        <v>727</v>
      </c>
      <c r="F100" t="s">
        <v>842</v>
      </c>
      <c r="G100" t="s">
        <v>843</v>
      </c>
      <c r="H100" t="s">
        <v>844</v>
      </c>
      <c r="I100">
        <v>411</v>
      </c>
      <c r="J100">
        <v>411</v>
      </c>
      <c r="K100" s="11" t="s">
        <v>593</v>
      </c>
    </row>
    <row r="101" spans="1:11" x14ac:dyDescent="0.2">
      <c r="A101">
        <v>733</v>
      </c>
      <c r="B101">
        <v>648</v>
      </c>
      <c r="C101" t="s">
        <v>771</v>
      </c>
      <c r="D101" t="s">
        <v>2106</v>
      </c>
      <c r="E101" t="s">
        <v>738</v>
      </c>
      <c r="F101" t="s">
        <v>2107</v>
      </c>
      <c r="G101" t="s">
        <v>738</v>
      </c>
      <c r="H101" t="s">
        <v>2108</v>
      </c>
      <c r="I101">
        <v>3959</v>
      </c>
      <c r="J101">
        <v>3959</v>
      </c>
      <c r="K101" s="11" t="s">
        <v>478</v>
      </c>
    </row>
    <row r="102" spans="1:11" x14ac:dyDescent="0.2">
      <c r="A102">
        <v>574</v>
      </c>
      <c r="B102">
        <v>730</v>
      </c>
      <c r="C102" t="s">
        <v>1565</v>
      </c>
      <c r="D102" t="s">
        <v>1566</v>
      </c>
      <c r="E102" t="s">
        <v>1567</v>
      </c>
      <c r="F102" t="s">
        <v>1568</v>
      </c>
      <c r="G102" t="s">
        <v>1500</v>
      </c>
      <c r="H102" t="s">
        <v>1569</v>
      </c>
      <c r="I102">
        <v>1131</v>
      </c>
      <c r="J102">
        <v>1131</v>
      </c>
      <c r="K102" s="11" t="s">
        <v>479</v>
      </c>
    </row>
    <row r="103" spans="1:11" x14ac:dyDescent="0.2">
      <c r="A103">
        <v>506</v>
      </c>
      <c r="B103">
        <v>733</v>
      </c>
      <c r="C103" t="s">
        <v>801</v>
      </c>
      <c r="D103" t="s">
        <v>1431</v>
      </c>
      <c r="E103" t="s">
        <v>727</v>
      </c>
      <c r="F103" t="s">
        <v>1432</v>
      </c>
      <c r="G103" t="s">
        <v>1433</v>
      </c>
      <c r="H103" t="s">
        <v>1434</v>
      </c>
      <c r="I103">
        <v>755</v>
      </c>
      <c r="J103">
        <v>755</v>
      </c>
      <c r="K103" s="11" t="s">
        <v>603</v>
      </c>
    </row>
    <row r="104" spans="1:11" x14ac:dyDescent="0.2">
      <c r="A104">
        <v>648</v>
      </c>
      <c r="B104">
        <v>2190</v>
      </c>
      <c r="C104" t="s">
        <v>2286</v>
      </c>
      <c r="D104" t="s">
        <v>2287</v>
      </c>
      <c r="E104" t="s">
        <v>2288</v>
      </c>
      <c r="F104" t="s">
        <v>2289</v>
      </c>
      <c r="G104" t="s">
        <v>1608</v>
      </c>
      <c r="H104" t="s">
        <v>2290</v>
      </c>
      <c r="I104">
        <v>535</v>
      </c>
      <c r="J104">
        <v>535</v>
      </c>
      <c r="K104" s="11" t="s">
        <v>578</v>
      </c>
    </row>
    <row r="105" spans="1:11" x14ac:dyDescent="0.2">
      <c r="A105">
        <v>597</v>
      </c>
      <c r="B105">
        <v>591</v>
      </c>
      <c r="C105" t="s">
        <v>894</v>
      </c>
      <c r="D105" t="s">
        <v>895</v>
      </c>
      <c r="E105" t="s">
        <v>896</v>
      </c>
      <c r="F105" t="s">
        <v>897</v>
      </c>
      <c r="G105" t="s">
        <v>898</v>
      </c>
      <c r="H105" t="s">
        <v>899</v>
      </c>
      <c r="I105">
        <v>714</v>
      </c>
      <c r="J105">
        <v>714</v>
      </c>
      <c r="K105" s="11" t="s">
        <v>481</v>
      </c>
    </row>
    <row r="106" spans="1:11" x14ac:dyDescent="0.2">
      <c r="A106">
        <v>554</v>
      </c>
      <c r="B106">
        <v>578</v>
      </c>
      <c r="C106" t="s">
        <v>771</v>
      </c>
      <c r="D106" t="s">
        <v>1749</v>
      </c>
      <c r="E106" t="s">
        <v>738</v>
      </c>
      <c r="F106" t="s">
        <v>1750</v>
      </c>
      <c r="G106" t="s">
        <v>979</v>
      </c>
      <c r="H106" t="s">
        <v>1751</v>
      </c>
      <c r="I106">
        <v>1501</v>
      </c>
      <c r="J106">
        <v>1501</v>
      </c>
      <c r="K106" s="11" t="s">
        <v>429</v>
      </c>
    </row>
    <row r="107" spans="1:11" x14ac:dyDescent="0.2">
      <c r="A107">
        <v>702</v>
      </c>
      <c r="B107">
        <v>2189</v>
      </c>
      <c r="C107" t="s">
        <v>2063</v>
      </c>
      <c r="D107" t="s">
        <v>2064</v>
      </c>
      <c r="E107" t="s">
        <v>738</v>
      </c>
      <c r="F107" t="s">
        <v>1776</v>
      </c>
      <c r="G107" t="s">
        <v>1134</v>
      </c>
      <c r="H107" t="s">
        <v>2065</v>
      </c>
      <c r="I107">
        <v>957</v>
      </c>
      <c r="J107">
        <v>957</v>
      </c>
      <c r="K107" s="11" t="s">
        <v>447</v>
      </c>
    </row>
    <row r="108" spans="1:11" x14ac:dyDescent="0.2">
      <c r="A108">
        <v>627</v>
      </c>
      <c r="B108">
        <v>2190</v>
      </c>
      <c r="C108" t="s">
        <v>801</v>
      </c>
      <c r="D108" t="s">
        <v>1775</v>
      </c>
      <c r="E108" t="s">
        <v>727</v>
      </c>
      <c r="F108" t="s">
        <v>1776</v>
      </c>
      <c r="G108" t="s">
        <v>1777</v>
      </c>
      <c r="H108" t="s">
        <v>1778</v>
      </c>
      <c r="I108">
        <v>93</v>
      </c>
      <c r="J108">
        <v>93</v>
      </c>
      <c r="K108" s="11" t="s">
        <v>718</v>
      </c>
    </row>
    <row r="109" spans="1:11" x14ac:dyDescent="0.2">
      <c r="A109">
        <v>498</v>
      </c>
      <c r="B109">
        <v>529</v>
      </c>
      <c r="C109" t="s">
        <v>801</v>
      </c>
      <c r="D109" t="s">
        <v>2139</v>
      </c>
      <c r="E109" t="s">
        <v>727</v>
      </c>
      <c r="F109" t="s">
        <v>2140</v>
      </c>
      <c r="G109" t="s">
        <v>1108</v>
      </c>
      <c r="H109" t="s">
        <v>2141</v>
      </c>
      <c r="I109">
        <v>110</v>
      </c>
      <c r="J109">
        <v>110</v>
      </c>
      <c r="K109" s="11" t="s">
        <v>714</v>
      </c>
    </row>
    <row r="110" spans="1:11" x14ac:dyDescent="0.2">
      <c r="A110">
        <v>529</v>
      </c>
      <c r="B110">
        <v>736</v>
      </c>
      <c r="C110" t="s">
        <v>801</v>
      </c>
      <c r="D110" t="s">
        <v>2323</v>
      </c>
      <c r="E110" t="s">
        <v>727</v>
      </c>
      <c r="F110" t="s">
        <v>2324</v>
      </c>
      <c r="G110" t="s">
        <v>2325</v>
      </c>
      <c r="H110" t="s">
        <v>2326</v>
      </c>
      <c r="I110">
        <v>137</v>
      </c>
      <c r="J110">
        <v>137</v>
      </c>
      <c r="K110" s="11" t="s">
        <v>694</v>
      </c>
    </row>
    <row r="111" spans="1:11" x14ac:dyDescent="0.2">
      <c r="A111">
        <v>625</v>
      </c>
      <c r="B111">
        <v>645</v>
      </c>
      <c r="C111" t="s">
        <v>1064</v>
      </c>
      <c r="D111" t="s">
        <v>1065</v>
      </c>
      <c r="E111" t="s">
        <v>1066</v>
      </c>
      <c r="F111" t="s">
        <v>1067</v>
      </c>
      <c r="G111" t="s">
        <v>1068</v>
      </c>
      <c r="H111" t="s">
        <v>1069</v>
      </c>
      <c r="I111">
        <v>264</v>
      </c>
      <c r="J111">
        <v>264</v>
      </c>
      <c r="K111" s="11" t="s">
        <v>546</v>
      </c>
    </row>
    <row r="112" spans="1:11" x14ac:dyDescent="0.2">
      <c r="A112">
        <v>2191</v>
      </c>
      <c r="B112">
        <v>574</v>
      </c>
      <c r="C112" t="s">
        <v>771</v>
      </c>
      <c r="D112" t="s">
        <v>772</v>
      </c>
      <c r="E112" t="s">
        <v>738</v>
      </c>
      <c r="F112" t="s">
        <v>773</v>
      </c>
      <c r="G112" t="s">
        <v>738</v>
      </c>
      <c r="H112" t="s">
        <v>774</v>
      </c>
      <c r="I112">
        <v>2252</v>
      </c>
      <c r="J112">
        <v>2252</v>
      </c>
      <c r="K112" s="11" t="s">
        <v>364</v>
      </c>
    </row>
    <row r="113" spans="1:11" x14ac:dyDescent="0.2">
      <c r="A113">
        <v>554</v>
      </c>
      <c r="B113">
        <v>682</v>
      </c>
      <c r="C113" t="s">
        <v>801</v>
      </c>
      <c r="D113" t="s">
        <v>1725</v>
      </c>
      <c r="E113" t="s">
        <v>727</v>
      </c>
      <c r="F113" t="s">
        <v>1726</v>
      </c>
      <c r="G113" t="s">
        <v>1308</v>
      </c>
      <c r="H113" t="s">
        <v>1727</v>
      </c>
      <c r="I113">
        <v>334</v>
      </c>
      <c r="J113">
        <v>334</v>
      </c>
      <c r="K113" s="11" t="s">
        <v>588</v>
      </c>
    </row>
    <row r="114" spans="1:11" x14ac:dyDescent="0.2">
      <c r="A114">
        <v>591</v>
      </c>
      <c r="B114">
        <v>673</v>
      </c>
      <c r="C114" t="s">
        <v>1844</v>
      </c>
      <c r="D114" t="s">
        <v>1845</v>
      </c>
      <c r="E114" t="s">
        <v>1846</v>
      </c>
      <c r="F114" t="s">
        <v>1847</v>
      </c>
      <c r="G114" t="s">
        <v>1848</v>
      </c>
      <c r="H114" t="s">
        <v>1849</v>
      </c>
      <c r="I114">
        <v>461</v>
      </c>
      <c r="J114">
        <v>461</v>
      </c>
      <c r="K114" s="11" t="s">
        <v>532</v>
      </c>
    </row>
    <row r="115" spans="1:11" x14ac:dyDescent="0.2">
      <c r="A115">
        <v>574</v>
      </c>
      <c r="B115">
        <v>554</v>
      </c>
      <c r="C115" t="s">
        <v>801</v>
      </c>
      <c r="D115" t="s">
        <v>1491</v>
      </c>
      <c r="E115" t="s">
        <v>727</v>
      </c>
      <c r="F115" t="s">
        <v>1492</v>
      </c>
      <c r="G115" t="s">
        <v>1450</v>
      </c>
      <c r="H115" t="s">
        <v>1493</v>
      </c>
      <c r="I115">
        <v>407</v>
      </c>
      <c r="J115">
        <v>407</v>
      </c>
      <c r="K115" s="11" t="s">
        <v>558</v>
      </c>
    </row>
    <row r="116" spans="1:11" x14ac:dyDescent="0.2">
      <c r="A116">
        <v>574</v>
      </c>
      <c r="B116">
        <v>702</v>
      </c>
      <c r="C116" t="s">
        <v>1477</v>
      </c>
      <c r="D116" t="s">
        <v>1478</v>
      </c>
      <c r="E116" t="s">
        <v>738</v>
      </c>
      <c r="F116" t="s">
        <v>1479</v>
      </c>
      <c r="G116" t="s">
        <v>1333</v>
      </c>
      <c r="H116" t="s">
        <v>1480</v>
      </c>
      <c r="I116">
        <v>1479</v>
      </c>
      <c r="J116">
        <v>1479</v>
      </c>
      <c r="K116" s="11" t="s">
        <v>410</v>
      </c>
    </row>
    <row r="117" spans="1:11" x14ac:dyDescent="0.2">
      <c r="A117">
        <v>625</v>
      </c>
      <c r="B117">
        <v>723</v>
      </c>
      <c r="C117" t="s">
        <v>1087</v>
      </c>
      <c r="D117" t="s">
        <v>1088</v>
      </c>
      <c r="E117" t="s">
        <v>1089</v>
      </c>
      <c r="F117" t="s">
        <v>1090</v>
      </c>
      <c r="G117" t="s">
        <v>1091</v>
      </c>
      <c r="H117" t="s">
        <v>1092</v>
      </c>
      <c r="I117">
        <v>191</v>
      </c>
      <c r="J117">
        <v>191</v>
      </c>
      <c r="K117" s="11" t="s">
        <v>609</v>
      </c>
    </row>
    <row r="118" spans="1:11" x14ac:dyDescent="0.2">
      <c r="A118">
        <v>682</v>
      </c>
      <c r="B118">
        <v>702</v>
      </c>
      <c r="C118" t="s">
        <v>801</v>
      </c>
      <c r="D118" t="s">
        <v>1902</v>
      </c>
      <c r="E118" t="s">
        <v>727</v>
      </c>
      <c r="F118" t="s">
        <v>1903</v>
      </c>
      <c r="G118" t="s">
        <v>1608</v>
      </c>
      <c r="H118" t="s">
        <v>1904</v>
      </c>
      <c r="I118">
        <v>732</v>
      </c>
      <c r="J118">
        <v>732</v>
      </c>
      <c r="K118" s="11" t="s">
        <v>501</v>
      </c>
    </row>
    <row r="119" spans="1:11" x14ac:dyDescent="0.2">
      <c r="A119">
        <v>591</v>
      </c>
      <c r="B119">
        <v>2189</v>
      </c>
      <c r="C119" t="s">
        <v>771</v>
      </c>
      <c r="D119" t="s">
        <v>1899</v>
      </c>
      <c r="E119" t="s">
        <v>738</v>
      </c>
      <c r="F119" t="s">
        <v>1900</v>
      </c>
      <c r="G119" t="s">
        <v>799</v>
      </c>
      <c r="H119" t="s">
        <v>1901</v>
      </c>
      <c r="I119">
        <v>1236</v>
      </c>
      <c r="J119">
        <v>1236</v>
      </c>
      <c r="K119" s="11" t="s">
        <v>381</v>
      </c>
    </row>
    <row r="120" spans="1:11" x14ac:dyDescent="0.2">
      <c r="A120">
        <v>625</v>
      </c>
      <c r="B120">
        <v>702</v>
      </c>
      <c r="C120" t="s">
        <v>771</v>
      </c>
      <c r="D120" t="s">
        <v>1030</v>
      </c>
      <c r="E120" t="s">
        <v>738</v>
      </c>
      <c r="F120" t="s">
        <v>1031</v>
      </c>
      <c r="G120" t="s">
        <v>738</v>
      </c>
      <c r="H120" t="s">
        <v>1032</v>
      </c>
      <c r="I120">
        <v>3011</v>
      </c>
      <c r="J120">
        <v>3011</v>
      </c>
      <c r="K120" s="11" t="s">
        <v>359</v>
      </c>
    </row>
    <row r="121" spans="1:11" x14ac:dyDescent="0.2">
      <c r="A121">
        <v>730</v>
      </c>
      <c r="B121">
        <v>2190</v>
      </c>
      <c r="C121" t="s">
        <v>2178</v>
      </c>
      <c r="D121" t="s">
        <v>2179</v>
      </c>
      <c r="E121" t="s">
        <v>738</v>
      </c>
      <c r="F121" t="s">
        <v>2180</v>
      </c>
      <c r="G121" t="s">
        <v>874</v>
      </c>
      <c r="H121" t="s">
        <v>2181</v>
      </c>
      <c r="I121">
        <v>1651</v>
      </c>
      <c r="J121">
        <v>1651</v>
      </c>
      <c r="K121" s="11" t="s">
        <v>471</v>
      </c>
    </row>
    <row r="122" spans="1:11" x14ac:dyDescent="0.2">
      <c r="A122">
        <v>682</v>
      </c>
      <c r="B122">
        <v>736</v>
      </c>
      <c r="C122" t="s">
        <v>801</v>
      </c>
      <c r="D122" t="s">
        <v>1934</v>
      </c>
      <c r="E122" t="s">
        <v>727</v>
      </c>
      <c r="F122" t="s">
        <v>1935</v>
      </c>
      <c r="G122" t="s">
        <v>1936</v>
      </c>
      <c r="H122" t="s">
        <v>1937</v>
      </c>
      <c r="I122">
        <v>184</v>
      </c>
      <c r="J122">
        <v>184</v>
      </c>
      <c r="K122" s="11" t="s">
        <v>677</v>
      </c>
    </row>
    <row r="123" spans="1:11" x14ac:dyDescent="0.2">
      <c r="A123">
        <v>506</v>
      </c>
      <c r="B123">
        <v>645</v>
      </c>
      <c r="C123" t="s">
        <v>1466</v>
      </c>
      <c r="D123" t="s">
        <v>1467</v>
      </c>
      <c r="E123" t="s">
        <v>1468</v>
      </c>
      <c r="F123" t="s">
        <v>1469</v>
      </c>
      <c r="G123" t="s">
        <v>1470</v>
      </c>
      <c r="H123" t="s">
        <v>1471</v>
      </c>
      <c r="I123">
        <v>663</v>
      </c>
      <c r="J123">
        <v>663</v>
      </c>
      <c r="K123" s="11" t="s">
        <v>504</v>
      </c>
    </row>
    <row r="124" spans="1:11" x14ac:dyDescent="0.2">
      <c r="A124">
        <v>571</v>
      </c>
      <c r="B124">
        <v>627</v>
      </c>
      <c r="C124" t="s">
        <v>801</v>
      </c>
      <c r="D124" t="s">
        <v>1142</v>
      </c>
      <c r="E124" t="s">
        <v>727</v>
      </c>
      <c r="F124" t="s">
        <v>1143</v>
      </c>
      <c r="G124" t="s">
        <v>1144</v>
      </c>
      <c r="H124" t="s">
        <v>1145</v>
      </c>
      <c r="I124">
        <v>236</v>
      </c>
      <c r="J124">
        <v>236</v>
      </c>
      <c r="K124" s="11" t="s">
        <v>619</v>
      </c>
    </row>
    <row r="125" spans="1:11" x14ac:dyDescent="0.2">
      <c r="A125">
        <v>579</v>
      </c>
      <c r="B125">
        <v>529</v>
      </c>
      <c r="C125" t="s">
        <v>1242</v>
      </c>
      <c r="D125" t="s">
        <v>1243</v>
      </c>
      <c r="E125" t="s">
        <v>1244</v>
      </c>
      <c r="F125" t="s">
        <v>1245</v>
      </c>
      <c r="G125" t="s">
        <v>1246</v>
      </c>
      <c r="H125" t="s">
        <v>1247</v>
      </c>
      <c r="I125">
        <v>422</v>
      </c>
      <c r="J125">
        <v>422</v>
      </c>
      <c r="K125" s="11" t="s">
        <v>456</v>
      </c>
    </row>
    <row r="126" spans="1:11" x14ac:dyDescent="0.2">
      <c r="A126">
        <v>730</v>
      </c>
      <c r="B126">
        <v>529</v>
      </c>
      <c r="C126" t="s">
        <v>801</v>
      </c>
      <c r="D126" t="s">
        <v>2148</v>
      </c>
      <c r="E126" t="s">
        <v>727</v>
      </c>
      <c r="F126" t="s">
        <v>2149</v>
      </c>
      <c r="G126" t="s">
        <v>2150</v>
      </c>
      <c r="H126" t="s">
        <v>2151</v>
      </c>
      <c r="I126">
        <v>384</v>
      </c>
      <c r="J126">
        <v>384</v>
      </c>
      <c r="K126" s="11" t="s">
        <v>579</v>
      </c>
    </row>
    <row r="127" spans="1:11" x14ac:dyDescent="0.2">
      <c r="A127">
        <v>2191</v>
      </c>
      <c r="B127">
        <v>506</v>
      </c>
      <c r="C127" t="s">
        <v>765</v>
      </c>
      <c r="D127" t="s">
        <v>766</v>
      </c>
      <c r="E127" t="s">
        <v>767</v>
      </c>
      <c r="F127" t="s">
        <v>768</v>
      </c>
      <c r="G127" t="s">
        <v>769</v>
      </c>
      <c r="H127" t="s">
        <v>770</v>
      </c>
      <c r="I127">
        <v>361</v>
      </c>
      <c r="J127">
        <v>361</v>
      </c>
      <c r="K127" s="11" t="s">
        <v>616</v>
      </c>
    </row>
    <row r="128" spans="1:11" x14ac:dyDescent="0.2">
      <c r="A128">
        <v>645</v>
      </c>
      <c r="B128">
        <v>663</v>
      </c>
      <c r="C128" t="s">
        <v>2245</v>
      </c>
      <c r="D128" t="s">
        <v>2246</v>
      </c>
      <c r="E128" t="s">
        <v>738</v>
      </c>
      <c r="F128" t="s">
        <v>2247</v>
      </c>
      <c r="G128" t="s">
        <v>1429</v>
      </c>
      <c r="H128" t="s">
        <v>2248</v>
      </c>
      <c r="I128">
        <v>813</v>
      </c>
      <c r="J128">
        <v>813</v>
      </c>
      <c r="K128" s="11" t="s">
        <v>462</v>
      </c>
    </row>
    <row r="129" spans="1:11" x14ac:dyDescent="0.2">
      <c r="A129">
        <v>506</v>
      </c>
      <c r="B129">
        <v>627</v>
      </c>
      <c r="C129" t="s">
        <v>1356</v>
      </c>
      <c r="D129" t="s">
        <v>1357</v>
      </c>
      <c r="E129" t="s">
        <v>1358</v>
      </c>
      <c r="F129" t="s">
        <v>1359</v>
      </c>
      <c r="G129" t="s">
        <v>919</v>
      </c>
      <c r="H129" t="s">
        <v>1360</v>
      </c>
      <c r="I129">
        <v>949</v>
      </c>
      <c r="J129">
        <v>949</v>
      </c>
      <c r="K129" s="11" t="s">
        <v>394</v>
      </c>
    </row>
    <row r="130" spans="1:11" x14ac:dyDescent="0.2">
      <c r="A130">
        <v>597</v>
      </c>
      <c r="B130">
        <v>506</v>
      </c>
      <c r="C130" t="s">
        <v>870</v>
      </c>
      <c r="D130" t="s">
        <v>871</v>
      </c>
      <c r="E130" t="s">
        <v>872</v>
      </c>
      <c r="F130" t="s">
        <v>873</v>
      </c>
      <c r="G130" t="s">
        <v>874</v>
      </c>
      <c r="H130" t="s">
        <v>875</v>
      </c>
      <c r="I130">
        <v>1452</v>
      </c>
      <c r="J130">
        <v>1452</v>
      </c>
      <c r="K130" s="11" t="s">
        <v>491</v>
      </c>
    </row>
    <row r="131" spans="1:11" x14ac:dyDescent="0.2">
      <c r="A131">
        <v>574</v>
      </c>
      <c r="B131">
        <v>627</v>
      </c>
      <c r="C131" t="s">
        <v>1472</v>
      </c>
      <c r="D131" t="s">
        <v>1473</v>
      </c>
      <c r="E131" t="s">
        <v>1474</v>
      </c>
      <c r="F131" t="s">
        <v>1475</v>
      </c>
      <c r="G131" t="s">
        <v>987</v>
      </c>
      <c r="H131" t="s">
        <v>1476</v>
      </c>
      <c r="I131">
        <v>627</v>
      </c>
      <c r="J131">
        <v>627</v>
      </c>
      <c r="K131" s="11" t="s">
        <v>442</v>
      </c>
    </row>
    <row r="132" spans="1:11" x14ac:dyDescent="0.2">
      <c r="A132">
        <v>597</v>
      </c>
      <c r="B132">
        <v>627</v>
      </c>
      <c r="C132" t="s">
        <v>801</v>
      </c>
      <c r="D132" t="s">
        <v>825</v>
      </c>
      <c r="E132" t="s">
        <v>727</v>
      </c>
      <c r="F132" t="s">
        <v>826</v>
      </c>
      <c r="G132" t="s">
        <v>827</v>
      </c>
      <c r="H132" t="s">
        <v>828</v>
      </c>
      <c r="I132">
        <v>201</v>
      </c>
      <c r="J132">
        <v>201</v>
      </c>
      <c r="K132" s="11" t="s">
        <v>630</v>
      </c>
    </row>
    <row r="133" spans="1:11" x14ac:dyDescent="0.2">
      <c r="A133">
        <v>700</v>
      </c>
      <c r="B133">
        <v>733</v>
      </c>
      <c r="C133" t="s">
        <v>801</v>
      </c>
      <c r="D133" t="s">
        <v>1016</v>
      </c>
      <c r="E133" t="s">
        <v>727</v>
      </c>
      <c r="F133" t="s">
        <v>1017</v>
      </c>
      <c r="G133" t="s">
        <v>1018</v>
      </c>
      <c r="H133" t="s">
        <v>1019</v>
      </c>
      <c r="I133">
        <v>540</v>
      </c>
      <c r="J133">
        <v>540</v>
      </c>
      <c r="K133" s="11" t="s">
        <v>570</v>
      </c>
    </row>
    <row r="134" spans="1:11" x14ac:dyDescent="0.2">
      <c r="A134">
        <v>700</v>
      </c>
      <c r="B134">
        <v>720</v>
      </c>
      <c r="C134" t="s">
        <v>801</v>
      </c>
      <c r="D134" t="s">
        <v>959</v>
      </c>
      <c r="E134" t="s">
        <v>727</v>
      </c>
      <c r="F134" t="s">
        <v>960</v>
      </c>
      <c r="G134" t="s">
        <v>961</v>
      </c>
      <c r="H134" t="s">
        <v>962</v>
      </c>
      <c r="I134">
        <v>283</v>
      </c>
      <c r="J134">
        <v>283</v>
      </c>
      <c r="K134" s="11" t="s">
        <v>650</v>
      </c>
    </row>
    <row r="135" spans="1:11" x14ac:dyDescent="0.2">
      <c r="A135">
        <v>682</v>
      </c>
      <c r="B135">
        <v>2190</v>
      </c>
      <c r="C135" t="s">
        <v>1958</v>
      </c>
      <c r="D135" t="s">
        <v>1959</v>
      </c>
      <c r="E135" t="s">
        <v>738</v>
      </c>
      <c r="F135" t="s">
        <v>1960</v>
      </c>
      <c r="G135" t="s">
        <v>1338</v>
      </c>
      <c r="H135" t="s">
        <v>1961</v>
      </c>
      <c r="I135">
        <v>977</v>
      </c>
      <c r="J135">
        <v>977</v>
      </c>
      <c r="K135" s="11" t="s">
        <v>451</v>
      </c>
    </row>
    <row r="136" spans="1:11" x14ac:dyDescent="0.2">
      <c r="A136">
        <v>575</v>
      </c>
      <c r="B136">
        <v>720</v>
      </c>
      <c r="C136" t="s">
        <v>771</v>
      </c>
      <c r="D136" t="s">
        <v>1993</v>
      </c>
      <c r="E136" t="s">
        <v>738</v>
      </c>
      <c r="F136" t="s">
        <v>1994</v>
      </c>
      <c r="G136" t="s">
        <v>738</v>
      </c>
      <c r="H136" t="s">
        <v>1995</v>
      </c>
      <c r="I136">
        <v>4081</v>
      </c>
      <c r="J136">
        <v>4081</v>
      </c>
      <c r="K136" s="11" t="s">
        <v>369</v>
      </c>
    </row>
    <row r="137" spans="1:11" x14ac:dyDescent="0.2">
      <c r="A137">
        <v>2191</v>
      </c>
      <c r="B137">
        <v>627</v>
      </c>
      <c r="C137" t="s">
        <v>787</v>
      </c>
      <c r="D137" t="s">
        <v>788</v>
      </c>
      <c r="E137" t="s">
        <v>789</v>
      </c>
      <c r="F137" t="s">
        <v>790</v>
      </c>
      <c r="G137" t="s">
        <v>791</v>
      </c>
      <c r="H137" t="s">
        <v>792</v>
      </c>
      <c r="I137">
        <v>185</v>
      </c>
      <c r="J137">
        <v>185</v>
      </c>
      <c r="K137" s="11" t="s">
        <v>651</v>
      </c>
    </row>
    <row r="138" spans="1:11" x14ac:dyDescent="0.2">
      <c r="A138">
        <v>554</v>
      </c>
      <c r="B138">
        <v>575</v>
      </c>
      <c r="C138" t="s">
        <v>801</v>
      </c>
      <c r="D138" t="s">
        <v>1734</v>
      </c>
      <c r="E138" t="s">
        <v>727</v>
      </c>
      <c r="F138" t="s">
        <v>1735</v>
      </c>
      <c r="G138" t="s">
        <v>861</v>
      </c>
      <c r="H138" t="s">
        <v>1736</v>
      </c>
      <c r="I138">
        <v>490</v>
      </c>
      <c r="J138">
        <v>490</v>
      </c>
      <c r="K138" s="11" t="s">
        <v>549</v>
      </c>
    </row>
    <row r="139" spans="1:11" x14ac:dyDescent="0.2">
      <c r="A139">
        <v>627</v>
      </c>
      <c r="B139">
        <v>648</v>
      </c>
      <c r="C139" t="s">
        <v>1755</v>
      </c>
      <c r="D139" t="s">
        <v>1756</v>
      </c>
      <c r="E139" t="s">
        <v>738</v>
      </c>
      <c r="F139" t="s">
        <v>1757</v>
      </c>
      <c r="G139" t="s">
        <v>1742</v>
      </c>
      <c r="H139" t="s">
        <v>1758</v>
      </c>
      <c r="I139">
        <v>1035</v>
      </c>
      <c r="J139">
        <v>1035</v>
      </c>
      <c r="K139" s="11" t="s">
        <v>409</v>
      </c>
    </row>
    <row r="140" spans="1:11" x14ac:dyDescent="0.2">
      <c r="A140">
        <v>691</v>
      </c>
      <c r="B140">
        <v>702</v>
      </c>
      <c r="C140" t="s">
        <v>801</v>
      </c>
      <c r="D140" t="s">
        <v>1578</v>
      </c>
      <c r="E140" t="s">
        <v>727</v>
      </c>
      <c r="F140" t="s">
        <v>1579</v>
      </c>
      <c r="G140" t="s">
        <v>1580</v>
      </c>
      <c r="H140" t="s">
        <v>1581</v>
      </c>
      <c r="I140">
        <v>830</v>
      </c>
      <c r="J140">
        <v>830</v>
      </c>
      <c r="K140" s="11" t="s">
        <v>543</v>
      </c>
    </row>
    <row r="141" spans="1:11" x14ac:dyDescent="0.2">
      <c r="A141">
        <v>645</v>
      </c>
      <c r="B141">
        <v>529</v>
      </c>
      <c r="C141" t="s">
        <v>2241</v>
      </c>
      <c r="D141" t="s">
        <v>2242</v>
      </c>
      <c r="E141" t="s">
        <v>738</v>
      </c>
      <c r="F141" t="s">
        <v>2243</v>
      </c>
      <c r="G141" t="s">
        <v>2193</v>
      </c>
      <c r="H141" t="s">
        <v>2244</v>
      </c>
      <c r="I141">
        <v>1004</v>
      </c>
      <c r="J141">
        <v>1004</v>
      </c>
      <c r="K141" s="11" t="s">
        <v>407</v>
      </c>
    </row>
    <row r="142" spans="1:11" x14ac:dyDescent="0.2">
      <c r="A142">
        <v>691</v>
      </c>
      <c r="B142">
        <v>575</v>
      </c>
      <c r="C142" t="s">
        <v>1665</v>
      </c>
      <c r="D142" t="s">
        <v>1666</v>
      </c>
      <c r="E142" t="s">
        <v>738</v>
      </c>
      <c r="F142" t="s">
        <v>1667</v>
      </c>
      <c r="G142" t="s">
        <v>1313</v>
      </c>
      <c r="H142" t="s">
        <v>1668</v>
      </c>
      <c r="I142">
        <v>1423</v>
      </c>
      <c r="J142">
        <v>1423</v>
      </c>
      <c r="K142" s="11" t="s">
        <v>377</v>
      </c>
    </row>
    <row r="143" spans="1:11" x14ac:dyDescent="0.2">
      <c r="A143">
        <v>597</v>
      </c>
      <c r="B143">
        <v>648</v>
      </c>
      <c r="C143" t="s">
        <v>801</v>
      </c>
      <c r="D143" t="s">
        <v>882</v>
      </c>
      <c r="E143" t="s">
        <v>727</v>
      </c>
      <c r="F143" t="s">
        <v>883</v>
      </c>
      <c r="G143" t="s">
        <v>884</v>
      </c>
      <c r="H143" t="s">
        <v>885</v>
      </c>
      <c r="I143">
        <v>270</v>
      </c>
      <c r="J143">
        <v>270</v>
      </c>
      <c r="K143" s="11" t="s">
        <v>679</v>
      </c>
    </row>
    <row r="144" spans="1:11" x14ac:dyDescent="0.2">
      <c r="A144">
        <v>2191</v>
      </c>
      <c r="B144">
        <v>691</v>
      </c>
      <c r="C144" t="s">
        <v>775</v>
      </c>
      <c r="D144" t="s">
        <v>776</v>
      </c>
      <c r="E144" t="s">
        <v>777</v>
      </c>
      <c r="F144" t="s">
        <v>778</v>
      </c>
      <c r="G144" t="s">
        <v>779</v>
      </c>
      <c r="H144" t="s">
        <v>780</v>
      </c>
      <c r="I144">
        <v>308</v>
      </c>
      <c r="J144">
        <v>308</v>
      </c>
      <c r="K144" s="11" t="s">
        <v>626</v>
      </c>
    </row>
    <row r="145" spans="1:11" x14ac:dyDescent="0.2">
      <c r="A145">
        <v>571</v>
      </c>
      <c r="B145">
        <v>579</v>
      </c>
      <c r="C145" t="s">
        <v>801</v>
      </c>
      <c r="D145" t="s">
        <v>1230</v>
      </c>
      <c r="E145" t="s">
        <v>727</v>
      </c>
      <c r="F145" t="s">
        <v>1231</v>
      </c>
      <c r="G145" t="s">
        <v>1232</v>
      </c>
      <c r="H145" t="s">
        <v>1233</v>
      </c>
      <c r="I145">
        <v>385</v>
      </c>
      <c r="J145">
        <v>385</v>
      </c>
      <c r="K145" s="11" t="s">
        <v>584</v>
      </c>
    </row>
    <row r="146" spans="1:11" x14ac:dyDescent="0.2">
      <c r="A146">
        <v>574</v>
      </c>
      <c r="B146">
        <v>591</v>
      </c>
      <c r="C146" t="s">
        <v>1486</v>
      </c>
      <c r="D146" t="s">
        <v>1487</v>
      </c>
      <c r="E146" t="s">
        <v>1488</v>
      </c>
      <c r="F146" t="s">
        <v>1489</v>
      </c>
      <c r="G146" t="s">
        <v>833</v>
      </c>
      <c r="H146" t="s">
        <v>1490</v>
      </c>
      <c r="I146">
        <v>432</v>
      </c>
      <c r="J146">
        <v>432</v>
      </c>
      <c r="K146" s="11" t="s">
        <v>523</v>
      </c>
    </row>
    <row r="147" spans="1:11" x14ac:dyDescent="0.2">
      <c r="A147">
        <v>554</v>
      </c>
      <c r="B147">
        <v>702</v>
      </c>
      <c r="C147" t="s">
        <v>801</v>
      </c>
      <c r="D147" t="s">
        <v>1684</v>
      </c>
      <c r="E147" t="s">
        <v>727</v>
      </c>
      <c r="F147" t="s">
        <v>1685</v>
      </c>
      <c r="G147" t="s">
        <v>1011</v>
      </c>
      <c r="H147" t="s">
        <v>1686</v>
      </c>
      <c r="I147">
        <v>411</v>
      </c>
      <c r="J147">
        <v>411</v>
      </c>
      <c r="K147" s="11" t="s">
        <v>605</v>
      </c>
    </row>
    <row r="148" spans="1:11" x14ac:dyDescent="0.2">
      <c r="A148">
        <v>700</v>
      </c>
      <c r="B148">
        <v>591</v>
      </c>
      <c r="C148" t="s">
        <v>801</v>
      </c>
      <c r="D148" t="s">
        <v>925</v>
      </c>
      <c r="E148" t="s">
        <v>727</v>
      </c>
      <c r="F148" t="s">
        <v>926</v>
      </c>
      <c r="G148" t="s">
        <v>927</v>
      </c>
      <c r="H148" t="s">
        <v>928</v>
      </c>
      <c r="I148">
        <v>8</v>
      </c>
      <c r="J148">
        <v>8</v>
      </c>
      <c r="K148" s="11" t="s">
        <v>724</v>
      </c>
    </row>
    <row r="149" spans="1:11" x14ac:dyDescent="0.2">
      <c r="A149">
        <v>498</v>
      </c>
      <c r="B149">
        <v>647</v>
      </c>
      <c r="C149" t="s">
        <v>771</v>
      </c>
      <c r="D149" t="s">
        <v>2145</v>
      </c>
      <c r="E149" t="s">
        <v>738</v>
      </c>
      <c r="F149" t="s">
        <v>2146</v>
      </c>
      <c r="G149" t="s">
        <v>795</v>
      </c>
      <c r="H149" t="s">
        <v>2147</v>
      </c>
      <c r="I149">
        <v>1501</v>
      </c>
      <c r="J149">
        <v>1501</v>
      </c>
      <c r="K149" s="11" t="s">
        <v>413</v>
      </c>
    </row>
    <row r="150" spans="1:11" x14ac:dyDescent="0.2">
      <c r="A150">
        <v>700</v>
      </c>
      <c r="B150">
        <v>554</v>
      </c>
      <c r="C150" t="s">
        <v>801</v>
      </c>
      <c r="D150" t="s">
        <v>949</v>
      </c>
      <c r="E150" t="s">
        <v>727</v>
      </c>
      <c r="F150" t="s">
        <v>950</v>
      </c>
      <c r="G150" t="s">
        <v>951</v>
      </c>
      <c r="H150" t="s">
        <v>952</v>
      </c>
      <c r="I150">
        <v>471</v>
      </c>
      <c r="J150">
        <v>471</v>
      </c>
      <c r="K150" s="11" t="s">
        <v>557</v>
      </c>
    </row>
    <row r="151" spans="1:11" x14ac:dyDescent="0.2">
      <c r="A151">
        <v>702</v>
      </c>
      <c r="B151">
        <v>529</v>
      </c>
      <c r="C151" t="s">
        <v>801</v>
      </c>
      <c r="D151" t="s">
        <v>2085</v>
      </c>
      <c r="E151" t="s">
        <v>727</v>
      </c>
      <c r="F151" t="s">
        <v>2086</v>
      </c>
      <c r="G151" t="s">
        <v>1212</v>
      </c>
      <c r="H151" t="s">
        <v>2087</v>
      </c>
      <c r="I151">
        <v>300</v>
      </c>
      <c r="J151">
        <v>300</v>
      </c>
      <c r="K151" s="11" t="s">
        <v>598</v>
      </c>
    </row>
    <row r="152" spans="1:11" x14ac:dyDescent="0.2">
      <c r="A152">
        <v>648</v>
      </c>
      <c r="B152">
        <v>712</v>
      </c>
      <c r="C152" t="s">
        <v>801</v>
      </c>
      <c r="D152" t="s">
        <v>2269</v>
      </c>
      <c r="E152" t="s">
        <v>727</v>
      </c>
      <c r="F152" t="s">
        <v>2270</v>
      </c>
      <c r="G152" t="s">
        <v>1268</v>
      </c>
      <c r="H152" t="s">
        <v>2271</v>
      </c>
      <c r="I152">
        <v>36</v>
      </c>
      <c r="J152">
        <v>36</v>
      </c>
      <c r="K152" s="11" t="s">
        <v>723</v>
      </c>
    </row>
    <row r="153" spans="1:11" x14ac:dyDescent="0.2">
      <c r="A153">
        <v>554</v>
      </c>
      <c r="B153">
        <v>647</v>
      </c>
      <c r="C153" t="s">
        <v>801</v>
      </c>
      <c r="D153" t="s">
        <v>1719</v>
      </c>
      <c r="E153" t="s">
        <v>727</v>
      </c>
      <c r="F153" t="s">
        <v>1223</v>
      </c>
      <c r="G153" t="s">
        <v>884</v>
      </c>
      <c r="H153" t="s">
        <v>1720</v>
      </c>
      <c r="I153">
        <v>240</v>
      </c>
      <c r="J153">
        <v>240</v>
      </c>
      <c r="K153" s="11" t="s">
        <v>660</v>
      </c>
    </row>
    <row r="154" spans="1:11" x14ac:dyDescent="0.2">
      <c r="A154">
        <v>571</v>
      </c>
      <c r="B154">
        <v>506</v>
      </c>
      <c r="C154" t="s">
        <v>801</v>
      </c>
      <c r="D154" t="s">
        <v>1222</v>
      </c>
      <c r="E154" t="s">
        <v>727</v>
      </c>
      <c r="F154" t="s">
        <v>1223</v>
      </c>
      <c r="G154" t="s">
        <v>1224</v>
      </c>
      <c r="H154" t="s">
        <v>1225</v>
      </c>
      <c r="I154">
        <v>1172</v>
      </c>
      <c r="J154">
        <v>1172</v>
      </c>
      <c r="K154" s="11" t="s">
        <v>689</v>
      </c>
    </row>
    <row r="155" spans="1:11" x14ac:dyDescent="0.2">
      <c r="A155">
        <v>574</v>
      </c>
      <c r="B155">
        <v>2219</v>
      </c>
      <c r="C155" t="s">
        <v>1561</v>
      </c>
      <c r="D155" t="s">
        <v>1562</v>
      </c>
      <c r="E155" t="s">
        <v>738</v>
      </c>
      <c r="F155" t="s">
        <v>1563</v>
      </c>
      <c r="G155" t="s">
        <v>738</v>
      </c>
      <c r="H155" t="s">
        <v>1564</v>
      </c>
      <c r="I155">
        <v>97</v>
      </c>
      <c r="J155">
        <v>97</v>
      </c>
      <c r="K155" s="11" t="s">
        <v>727</v>
      </c>
    </row>
    <row r="156" spans="1:11" x14ac:dyDescent="0.2">
      <c r="A156">
        <v>648</v>
      </c>
      <c r="B156">
        <v>529</v>
      </c>
      <c r="C156" t="s">
        <v>2265</v>
      </c>
      <c r="D156" t="s">
        <v>2266</v>
      </c>
      <c r="E156" t="s">
        <v>738</v>
      </c>
      <c r="F156" t="s">
        <v>2267</v>
      </c>
      <c r="G156" t="s">
        <v>1148</v>
      </c>
      <c r="H156" t="s">
        <v>2268</v>
      </c>
      <c r="I156">
        <v>1378</v>
      </c>
      <c r="J156">
        <v>1378</v>
      </c>
      <c r="K156" s="11" t="s">
        <v>392</v>
      </c>
    </row>
    <row r="157" spans="1:11" x14ac:dyDescent="0.2">
      <c r="A157">
        <v>506</v>
      </c>
      <c r="B157">
        <v>554</v>
      </c>
      <c r="C157" t="s">
        <v>801</v>
      </c>
      <c r="D157" t="s">
        <v>1394</v>
      </c>
      <c r="E157" t="s">
        <v>727</v>
      </c>
      <c r="F157" t="s">
        <v>1395</v>
      </c>
      <c r="G157" t="s">
        <v>745</v>
      </c>
      <c r="H157" t="s">
        <v>1396</v>
      </c>
      <c r="I157">
        <v>1023</v>
      </c>
      <c r="J157">
        <v>1023</v>
      </c>
      <c r="K157" s="11" t="s">
        <v>439</v>
      </c>
    </row>
    <row r="158" spans="1:11" x14ac:dyDescent="0.2">
      <c r="A158">
        <v>574</v>
      </c>
      <c r="B158">
        <v>648</v>
      </c>
      <c r="C158" t="s">
        <v>1537</v>
      </c>
      <c r="D158" t="s">
        <v>1538</v>
      </c>
      <c r="E158" t="s">
        <v>738</v>
      </c>
      <c r="F158" t="s">
        <v>1539</v>
      </c>
      <c r="G158" t="s">
        <v>1354</v>
      </c>
      <c r="H158" t="s">
        <v>1540</v>
      </c>
      <c r="I158">
        <v>1706</v>
      </c>
      <c r="J158">
        <v>1706</v>
      </c>
      <c r="K158" s="11" t="s">
        <v>395</v>
      </c>
    </row>
    <row r="159" spans="1:11" x14ac:dyDescent="0.2">
      <c r="A159">
        <v>682</v>
      </c>
      <c r="B159">
        <v>730</v>
      </c>
      <c r="C159" t="s">
        <v>801</v>
      </c>
      <c r="D159" t="s">
        <v>1941</v>
      </c>
      <c r="E159" t="s">
        <v>727</v>
      </c>
      <c r="F159" t="s">
        <v>1942</v>
      </c>
      <c r="G159" t="s">
        <v>1232</v>
      </c>
      <c r="H159" t="s">
        <v>1943</v>
      </c>
      <c r="I159">
        <v>539</v>
      </c>
      <c r="J159">
        <v>539</v>
      </c>
      <c r="K159" s="11" t="s">
        <v>581</v>
      </c>
    </row>
    <row r="160" spans="1:11" x14ac:dyDescent="0.2">
      <c r="A160">
        <v>625</v>
      </c>
      <c r="B160">
        <v>730</v>
      </c>
      <c r="C160" t="s">
        <v>801</v>
      </c>
      <c r="D160" t="s">
        <v>1116</v>
      </c>
      <c r="E160" t="s">
        <v>727</v>
      </c>
      <c r="F160" t="s">
        <v>1117</v>
      </c>
      <c r="G160" t="s">
        <v>1028</v>
      </c>
      <c r="H160" t="s">
        <v>1118</v>
      </c>
      <c r="I160">
        <v>141</v>
      </c>
      <c r="J160">
        <v>141</v>
      </c>
      <c r="K160" s="11" t="s">
        <v>670</v>
      </c>
    </row>
    <row r="161" spans="1:11" x14ac:dyDescent="0.2">
      <c r="A161">
        <v>554</v>
      </c>
      <c r="B161">
        <v>498</v>
      </c>
      <c r="C161" t="s">
        <v>1697</v>
      </c>
      <c r="D161" t="s">
        <v>1698</v>
      </c>
      <c r="E161" t="s">
        <v>738</v>
      </c>
      <c r="F161" t="s">
        <v>1699</v>
      </c>
      <c r="G161" t="s">
        <v>919</v>
      </c>
      <c r="H161" t="s">
        <v>1700</v>
      </c>
      <c r="I161">
        <v>822</v>
      </c>
      <c r="J161">
        <v>822</v>
      </c>
      <c r="K161" s="11" t="s">
        <v>476</v>
      </c>
    </row>
    <row r="162" spans="1:11" x14ac:dyDescent="0.2">
      <c r="A162">
        <v>591</v>
      </c>
      <c r="B162">
        <v>575</v>
      </c>
      <c r="C162" t="s">
        <v>1854</v>
      </c>
      <c r="D162" t="s">
        <v>1855</v>
      </c>
      <c r="E162" t="s">
        <v>1856</v>
      </c>
      <c r="F162" t="s">
        <v>1857</v>
      </c>
      <c r="G162" t="s">
        <v>1858</v>
      </c>
      <c r="H162" t="s">
        <v>1859</v>
      </c>
      <c r="I162">
        <v>576</v>
      </c>
      <c r="J162">
        <v>576</v>
      </c>
      <c r="K162" s="11" t="s">
        <v>496</v>
      </c>
    </row>
    <row r="163" spans="1:11" x14ac:dyDescent="0.2">
      <c r="A163">
        <v>575</v>
      </c>
      <c r="B163">
        <v>647</v>
      </c>
      <c r="C163" t="s">
        <v>2010</v>
      </c>
      <c r="D163" t="s">
        <v>2011</v>
      </c>
      <c r="E163" t="s">
        <v>2012</v>
      </c>
      <c r="F163" t="s">
        <v>2013</v>
      </c>
      <c r="G163" t="s">
        <v>1256</v>
      </c>
      <c r="H163" t="s">
        <v>2014</v>
      </c>
      <c r="I163">
        <v>762</v>
      </c>
      <c r="J163">
        <v>762</v>
      </c>
      <c r="K163" s="11" t="s">
        <v>498</v>
      </c>
    </row>
    <row r="164" spans="1:11" x14ac:dyDescent="0.2">
      <c r="A164">
        <v>579</v>
      </c>
      <c r="B164">
        <v>554</v>
      </c>
      <c r="C164" t="s">
        <v>1274</v>
      </c>
      <c r="D164" t="s">
        <v>1275</v>
      </c>
      <c r="E164" t="s">
        <v>1276</v>
      </c>
      <c r="F164" t="s">
        <v>1277</v>
      </c>
      <c r="G164" t="s">
        <v>874</v>
      </c>
      <c r="H164" t="s">
        <v>1278</v>
      </c>
      <c r="I164">
        <v>546</v>
      </c>
      <c r="J164">
        <v>546</v>
      </c>
      <c r="K164" s="11" t="s">
        <v>434</v>
      </c>
    </row>
    <row r="165" spans="1:11" x14ac:dyDescent="0.2">
      <c r="A165">
        <v>571</v>
      </c>
      <c r="B165">
        <v>733</v>
      </c>
      <c r="C165" t="s">
        <v>771</v>
      </c>
      <c r="D165" t="s">
        <v>1204</v>
      </c>
      <c r="E165" t="s">
        <v>738</v>
      </c>
      <c r="F165" t="s">
        <v>1205</v>
      </c>
      <c r="G165" t="s">
        <v>738</v>
      </c>
      <c r="H165" t="s">
        <v>1206</v>
      </c>
      <c r="I165">
        <v>8269</v>
      </c>
      <c r="J165">
        <v>8269</v>
      </c>
      <c r="K165" s="11" t="s">
        <v>510</v>
      </c>
    </row>
    <row r="166" spans="1:11" x14ac:dyDescent="0.2">
      <c r="A166">
        <v>571</v>
      </c>
      <c r="B166">
        <v>645</v>
      </c>
      <c r="C166" t="s">
        <v>801</v>
      </c>
      <c r="D166" t="s">
        <v>1226</v>
      </c>
      <c r="E166" t="s">
        <v>727</v>
      </c>
      <c r="F166" t="s">
        <v>1227</v>
      </c>
      <c r="G166" t="s">
        <v>1228</v>
      </c>
      <c r="H166" t="s">
        <v>1229</v>
      </c>
      <c r="I166">
        <v>395</v>
      </c>
      <c r="J166">
        <v>395</v>
      </c>
      <c r="K166" s="11" t="s">
        <v>587</v>
      </c>
    </row>
    <row r="167" spans="1:11" x14ac:dyDescent="0.2">
      <c r="A167">
        <v>574</v>
      </c>
      <c r="B167">
        <v>653</v>
      </c>
      <c r="C167" t="s">
        <v>1512</v>
      </c>
      <c r="D167" t="s">
        <v>1513</v>
      </c>
      <c r="E167" t="s">
        <v>1514</v>
      </c>
      <c r="F167" t="s">
        <v>1515</v>
      </c>
      <c r="G167" t="s">
        <v>823</v>
      </c>
      <c r="H167" t="s">
        <v>1516</v>
      </c>
      <c r="I167">
        <v>144</v>
      </c>
      <c r="J167">
        <v>144</v>
      </c>
      <c r="K167" s="11" t="s">
        <v>695</v>
      </c>
    </row>
    <row r="168" spans="1:11" x14ac:dyDescent="0.2">
      <c r="A168">
        <v>571</v>
      </c>
      <c r="B168">
        <v>702</v>
      </c>
      <c r="C168" t="s">
        <v>771</v>
      </c>
      <c r="D168" t="s">
        <v>1146</v>
      </c>
      <c r="E168" t="s">
        <v>738</v>
      </c>
      <c r="F168" t="s">
        <v>1147</v>
      </c>
      <c r="G168" t="s">
        <v>1148</v>
      </c>
      <c r="H168" t="s">
        <v>1149</v>
      </c>
      <c r="I168">
        <v>3906</v>
      </c>
      <c r="J168">
        <v>3906</v>
      </c>
      <c r="K168" s="11" t="s">
        <v>657</v>
      </c>
    </row>
    <row r="169" spans="1:11" x14ac:dyDescent="0.2">
      <c r="A169">
        <v>579</v>
      </c>
      <c r="B169">
        <v>627</v>
      </c>
      <c r="C169" t="s">
        <v>1234</v>
      </c>
      <c r="D169" t="s">
        <v>1235</v>
      </c>
      <c r="E169" t="s">
        <v>738</v>
      </c>
      <c r="F169" t="s">
        <v>1236</v>
      </c>
      <c r="G169" t="s">
        <v>1237</v>
      </c>
      <c r="H169" t="s">
        <v>1238</v>
      </c>
      <c r="I169">
        <v>516</v>
      </c>
      <c r="J169">
        <v>516</v>
      </c>
      <c r="K169" s="11" t="s">
        <v>421</v>
      </c>
    </row>
    <row r="170" spans="1:11" x14ac:dyDescent="0.2">
      <c r="A170">
        <v>627</v>
      </c>
      <c r="B170">
        <v>613</v>
      </c>
      <c r="C170" t="s">
        <v>771</v>
      </c>
      <c r="D170" t="s">
        <v>1804</v>
      </c>
      <c r="E170" t="s">
        <v>738</v>
      </c>
      <c r="F170" t="s">
        <v>1805</v>
      </c>
      <c r="G170" t="s">
        <v>957</v>
      </c>
      <c r="H170" t="s">
        <v>1806</v>
      </c>
      <c r="I170">
        <v>827</v>
      </c>
      <c r="J170">
        <v>827</v>
      </c>
      <c r="K170" s="11" t="s">
        <v>402</v>
      </c>
    </row>
    <row r="171" spans="1:11" x14ac:dyDescent="0.2">
      <c r="A171">
        <v>625</v>
      </c>
      <c r="B171">
        <v>691</v>
      </c>
      <c r="C171" t="s">
        <v>801</v>
      </c>
      <c r="D171" t="s">
        <v>1119</v>
      </c>
      <c r="E171" t="s">
        <v>727</v>
      </c>
      <c r="F171" t="s">
        <v>1120</v>
      </c>
      <c r="G171" t="s">
        <v>769</v>
      </c>
      <c r="H171" t="s">
        <v>1121</v>
      </c>
      <c r="I171">
        <v>192</v>
      </c>
      <c r="J171">
        <v>192</v>
      </c>
      <c r="K171" s="11" t="s">
        <v>586</v>
      </c>
    </row>
    <row r="172" spans="1:11" x14ac:dyDescent="0.2">
      <c r="A172">
        <v>682</v>
      </c>
      <c r="B172">
        <v>647</v>
      </c>
      <c r="C172" t="s">
        <v>801</v>
      </c>
      <c r="D172" t="s">
        <v>1938</v>
      </c>
      <c r="E172" t="s">
        <v>727</v>
      </c>
      <c r="F172" t="s">
        <v>1939</v>
      </c>
      <c r="G172" t="s">
        <v>833</v>
      </c>
      <c r="H172" t="s">
        <v>1940</v>
      </c>
      <c r="I172">
        <v>442</v>
      </c>
      <c r="J172">
        <v>442</v>
      </c>
      <c r="K172" s="11" t="s">
        <v>562</v>
      </c>
    </row>
    <row r="173" spans="1:11" x14ac:dyDescent="0.2">
      <c r="A173">
        <v>554</v>
      </c>
      <c r="B173">
        <v>613</v>
      </c>
      <c r="C173" t="s">
        <v>1701</v>
      </c>
      <c r="D173" t="s">
        <v>1702</v>
      </c>
      <c r="E173" t="s">
        <v>1703</v>
      </c>
      <c r="F173" t="s">
        <v>1704</v>
      </c>
      <c r="G173" t="s">
        <v>1228</v>
      </c>
      <c r="H173" t="s">
        <v>1705</v>
      </c>
      <c r="I173">
        <v>317</v>
      </c>
      <c r="J173">
        <v>317</v>
      </c>
      <c r="K173" s="11" t="s">
        <v>577</v>
      </c>
    </row>
    <row r="174" spans="1:11" x14ac:dyDescent="0.2">
      <c r="A174">
        <v>625</v>
      </c>
      <c r="B174">
        <v>663</v>
      </c>
      <c r="C174" t="s">
        <v>801</v>
      </c>
      <c r="D174" t="s">
        <v>1061</v>
      </c>
      <c r="E174" t="s">
        <v>727</v>
      </c>
      <c r="F174" t="s">
        <v>1062</v>
      </c>
      <c r="G174" t="s">
        <v>779</v>
      </c>
      <c r="H174" t="s">
        <v>1063</v>
      </c>
      <c r="I174">
        <v>183</v>
      </c>
      <c r="J174">
        <v>183</v>
      </c>
      <c r="K174" s="11" t="s">
        <v>600</v>
      </c>
    </row>
    <row r="175" spans="1:11" x14ac:dyDescent="0.2">
      <c r="A175">
        <v>625</v>
      </c>
      <c r="B175">
        <v>733</v>
      </c>
      <c r="C175" t="s">
        <v>1130</v>
      </c>
      <c r="D175" t="s">
        <v>1131</v>
      </c>
      <c r="E175" t="s">
        <v>1132</v>
      </c>
      <c r="F175" t="s">
        <v>1133</v>
      </c>
      <c r="G175" t="s">
        <v>1134</v>
      </c>
      <c r="H175" t="s">
        <v>1135</v>
      </c>
      <c r="I175">
        <v>566</v>
      </c>
      <c r="J175">
        <v>566</v>
      </c>
      <c r="K175" s="11" t="s">
        <v>440</v>
      </c>
    </row>
    <row r="176" spans="1:11" x14ac:dyDescent="0.2">
      <c r="A176">
        <v>625</v>
      </c>
      <c r="B176">
        <v>554</v>
      </c>
      <c r="C176" t="s">
        <v>1136</v>
      </c>
      <c r="D176" t="s">
        <v>1137</v>
      </c>
      <c r="E176" t="s">
        <v>1138</v>
      </c>
      <c r="F176" t="s">
        <v>1139</v>
      </c>
      <c r="G176" t="s">
        <v>1140</v>
      </c>
      <c r="H176" t="s">
        <v>1141</v>
      </c>
      <c r="I176">
        <v>493</v>
      </c>
      <c r="J176">
        <v>493</v>
      </c>
      <c r="K176" s="11" t="s">
        <v>450</v>
      </c>
    </row>
    <row r="177" spans="1:20" x14ac:dyDescent="0.2">
      <c r="A177">
        <v>529</v>
      </c>
      <c r="B177">
        <v>519</v>
      </c>
      <c r="C177" t="s">
        <v>2331</v>
      </c>
      <c r="D177" t="s">
        <v>2332</v>
      </c>
      <c r="E177" t="s">
        <v>738</v>
      </c>
      <c r="F177" t="s">
        <v>2333</v>
      </c>
      <c r="G177" t="s">
        <v>738</v>
      </c>
      <c r="H177" t="s">
        <v>2334</v>
      </c>
      <c r="I177">
        <v>113</v>
      </c>
      <c r="J177">
        <v>113</v>
      </c>
      <c r="K177" s="11" t="s">
        <v>727</v>
      </c>
    </row>
    <row r="178" spans="1:20" x14ac:dyDescent="0.2">
      <c r="A178">
        <v>682</v>
      </c>
      <c r="B178">
        <v>712</v>
      </c>
      <c r="C178" t="s">
        <v>771</v>
      </c>
      <c r="D178" t="s">
        <v>1913</v>
      </c>
      <c r="E178" t="s">
        <v>738</v>
      </c>
      <c r="F178" t="s">
        <v>1914</v>
      </c>
      <c r="G178" t="s">
        <v>1429</v>
      </c>
      <c r="H178" t="s">
        <v>1915</v>
      </c>
      <c r="I178">
        <v>1044</v>
      </c>
      <c r="J178">
        <v>1044</v>
      </c>
      <c r="K178" s="11" t="s">
        <v>424</v>
      </c>
    </row>
    <row r="179" spans="1:20" x14ac:dyDescent="0.2">
      <c r="A179">
        <v>691</v>
      </c>
      <c r="B179">
        <v>591</v>
      </c>
      <c r="C179" t="s">
        <v>1586</v>
      </c>
      <c r="D179" t="s">
        <v>1587</v>
      </c>
      <c r="E179" t="s">
        <v>1588</v>
      </c>
      <c r="F179" t="s">
        <v>1589</v>
      </c>
      <c r="G179" t="s">
        <v>1590</v>
      </c>
      <c r="H179" t="s">
        <v>1591</v>
      </c>
      <c r="I179">
        <v>787</v>
      </c>
      <c r="J179">
        <v>787</v>
      </c>
      <c r="K179" s="11" t="s">
        <v>455</v>
      </c>
    </row>
    <row r="180" spans="1:20" x14ac:dyDescent="0.2">
      <c r="A180">
        <v>574</v>
      </c>
      <c r="B180">
        <v>567</v>
      </c>
      <c r="C180" t="s">
        <v>1556</v>
      </c>
      <c r="D180" t="s">
        <v>1557</v>
      </c>
      <c r="E180" t="s">
        <v>1558</v>
      </c>
      <c r="F180" t="s">
        <v>1559</v>
      </c>
      <c r="G180" t="s">
        <v>738</v>
      </c>
      <c r="H180" t="s">
        <v>1560</v>
      </c>
      <c r="I180">
        <v>7</v>
      </c>
      <c r="J180">
        <v>7</v>
      </c>
      <c r="K180" s="11" t="s">
        <v>727</v>
      </c>
    </row>
    <row r="181" spans="1:20" x14ac:dyDescent="0.2">
      <c r="A181">
        <v>625</v>
      </c>
      <c r="B181">
        <v>591</v>
      </c>
      <c r="C181" t="s">
        <v>1045</v>
      </c>
      <c r="D181" t="s">
        <v>1046</v>
      </c>
      <c r="E181" t="s">
        <v>1047</v>
      </c>
      <c r="F181" t="s">
        <v>1048</v>
      </c>
      <c r="G181" t="s">
        <v>904</v>
      </c>
      <c r="H181" t="s">
        <v>1049</v>
      </c>
      <c r="I181">
        <v>214</v>
      </c>
      <c r="J181">
        <v>214</v>
      </c>
      <c r="K181" s="11" t="s">
        <v>571</v>
      </c>
    </row>
    <row r="182" spans="1:20" x14ac:dyDescent="0.2">
      <c r="A182">
        <v>506</v>
      </c>
      <c r="B182">
        <v>653</v>
      </c>
      <c r="C182" t="s">
        <v>1446</v>
      </c>
      <c r="D182" t="s">
        <v>1447</v>
      </c>
      <c r="E182" t="s">
        <v>1448</v>
      </c>
      <c r="F182" t="s">
        <v>1449</v>
      </c>
      <c r="G182" t="s">
        <v>1450</v>
      </c>
      <c r="H182" t="s">
        <v>1451</v>
      </c>
      <c r="I182">
        <v>309</v>
      </c>
      <c r="J182">
        <v>309</v>
      </c>
      <c r="K182" s="11" t="s">
        <v>664</v>
      </c>
    </row>
    <row r="183" spans="1:20" x14ac:dyDescent="0.2">
      <c r="A183">
        <v>554</v>
      </c>
      <c r="B183">
        <v>733</v>
      </c>
      <c r="C183" t="s">
        <v>801</v>
      </c>
      <c r="D183" t="s">
        <v>1709</v>
      </c>
      <c r="E183" t="s">
        <v>727</v>
      </c>
      <c r="F183" t="s">
        <v>1710</v>
      </c>
      <c r="G183" t="s">
        <v>1711</v>
      </c>
      <c r="H183" t="s">
        <v>1712</v>
      </c>
      <c r="I183">
        <v>284</v>
      </c>
      <c r="J183">
        <v>284</v>
      </c>
      <c r="K183" s="11" t="s">
        <v>659</v>
      </c>
    </row>
    <row r="184" spans="1:20" x14ac:dyDescent="0.2">
      <c r="A184">
        <v>571</v>
      </c>
      <c r="B184">
        <v>591</v>
      </c>
      <c r="C184" t="s">
        <v>801</v>
      </c>
      <c r="D184" t="s">
        <v>1159</v>
      </c>
      <c r="E184" t="s">
        <v>727</v>
      </c>
      <c r="F184" t="s">
        <v>1160</v>
      </c>
      <c r="G184" t="s">
        <v>1161</v>
      </c>
      <c r="H184" t="s">
        <v>1162</v>
      </c>
      <c r="I184">
        <v>228</v>
      </c>
      <c r="J184">
        <v>228</v>
      </c>
      <c r="K184" s="11" t="s">
        <v>662</v>
      </c>
      <c r="R184" s="25" t="s">
        <v>48</v>
      </c>
      <c r="T184">
        <f>MIN(V10:V36)</f>
        <v>103</v>
      </c>
    </row>
    <row r="185" spans="1:20" x14ac:dyDescent="0.2">
      <c r="A185">
        <v>627</v>
      </c>
      <c r="B185">
        <v>733</v>
      </c>
      <c r="C185" t="s">
        <v>801</v>
      </c>
      <c r="D185" t="s">
        <v>1828</v>
      </c>
      <c r="E185" t="s">
        <v>727</v>
      </c>
      <c r="F185" t="s">
        <v>1829</v>
      </c>
      <c r="G185" t="s">
        <v>1011</v>
      </c>
      <c r="H185" t="s">
        <v>1830</v>
      </c>
      <c r="I185">
        <v>387</v>
      </c>
      <c r="J185">
        <v>387</v>
      </c>
      <c r="K185" s="11" t="s">
        <v>539</v>
      </c>
      <c r="Q185" s="21" t="s">
        <v>2366</v>
      </c>
      <c r="R185" s="21" t="s">
        <v>2367</v>
      </c>
      <c r="S185" s="21" t="s">
        <v>2365</v>
      </c>
      <c r="T185" s="21" t="s">
        <v>357</v>
      </c>
    </row>
    <row r="186" spans="1:20" x14ac:dyDescent="0.2">
      <c r="A186">
        <v>691</v>
      </c>
      <c r="B186">
        <v>736</v>
      </c>
      <c r="C186" t="s">
        <v>801</v>
      </c>
      <c r="D186" t="s">
        <v>1651</v>
      </c>
      <c r="E186" t="s">
        <v>727</v>
      </c>
      <c r="F186" t="s">
        <v>1652</v>
      </c>
      <c r="G186" t="s">
        <v>1653</v>
      </c>
      <c r="H186" t="s">
        <v>1654</v>
      </c>
      <c r="I186">
        <v>603</v>
      </c>
      <c r="J186">
        <v>603</v>
      </c>
      <c r="K186" s="11" t="s">
        <v>564</v>
      </c>
      <c r="Q186" s="18">
        <v>627</v>
      </c>
      <c r="R186" s="18">
        <v>682</v>
      </c>
      <c r="S186" s="18" t="s">
        <v>1814</v>
      </c>
      <c r="T186" s="18">
        <v>508</v>
      </c>
    </row>
    <row r="187" spans="1:20" x14ac:dyDescent="0.2">
      <c r="A187">
        <v>597</v>
      </c>
      <c r="B187">
        <v>691</v>
      </c>
      <c r="C187" t="s">
        <v>801</v>
      </c>
      <c r="D187" t="s">
        <v>806</v>
      </c>
      <c r="E187" t="s">
        <v>727</v>
      </c>
      <c r="F187" t="s">
        <v>807</v>
      </c>
      <c r="G187" t="s">
        <v>808</v>
      </c>
      <c r="H187" t="s">
        <v>809</v>
      </c>
      <c r="I187">
        <v>526</v>
      </c>
      <c r="J187">
        <v>526</v>
      </c>
      <c r="K187" s="11" t="s">
        <v>573</v>
      </c>
      <c r="Q187" s="18">
        <v>627</v>
      </c>
      <c r="R187" s="18">
        <v>712</v>
      </c>
      <c r="S187" s="18" t="s">
        <v>1781</v>
      </c>
      <c r="T187" s="18">
        <v>701</v>
      </c>
    </row>
    <row r="188" spans="1:20" x14ac:dyDescent="0.2">
      <c r="A188">
        <v>682</v>
      </c>
      <c r="B188">
        <v>578</v>
      </c>
      <c r="C188" t="s">
        <v>801</v>
      </c>
      <c r="D188" t="s">
        <v>1931</v>
      </c>
      <c r="E188" t="s">
        <v>727</v>
      </c>
      <c r="F188" t="s">
        <v>1932</v>
      </c>
      <c r="G188" t="s">
        <v>1777</v>
      </c>
      <c r="H188" t="s">
        <v>1933</v>
      </c>
      <c r="I188">
        <v>140</v>
      </c>
      <c r="J188">
        <v>140</v>
      </c>
      <c r="K188" s="11" t="s">
        <v>702</v>
      </c>
      <c r="Q188" s="18">
        <v>627</v>
      </c>
      <c r="R188" s="18">
        <v>663</v>
      </c>
      <c r="S188" s="18" t="s">
        <v>1773</v>
      </c>
      <c r="T188" s="18">
        <v>424</v>
      </c>
    </row>
    <row r="189" spans="1:20" x14ac:dyDescent="0.2">
      <c r="A189">
        <v>554</v>
      </c>
      <c r="B189">
        <v>653</v>
      </c>
      <c r="C189" t="s">
        <v>1721</v>
      </c>
      <c r="D189" t="s">
        <v>1722</v>
      </c>
      <c r="E189" t="s">
        <v>738</v>
      </c>
      <c r="F189" t="s">
        <v>1723</v>
      </c>
      <c r="G189" t="s">
        <v>1018</v>
      </c>
      <c r="H189" t="s">
        <v>1724</v>
      </c>
      <c r="I189">
        <v>577</v>
      </c>
      <c r="J189">
        <v>577</v>
      </c>
      <c r="K189" s="11" t="s">
        <v>542</v>
      </c>
      <c r="Q189" s="18">
        <v>627</v>
      </c>
      <c r="R189" s="18">
        <v>529</v>
      </c>
      <c r="S189" s="18" t="s">
        <v>1822</v>
      </c>
      <c r="T189" s="18">
        <v>175</v>
      </c>
    </row>
    <row r="190" spans="1:20" x14ac:dyDescent="0.2">
      <c r="A190">
        <v>575</v>
      </c>
      <c r="B190">
        <v>578</v>
      </c>
      <c r="C190" t="s">
        <v>801</v>
      </c>
      <c r="D190" t="s">
        <v>1990</v>
      </c>
      <c r="E190" t="s">
        <v>727</v>
      </c>
      <c r="F190" t="s">
        <v>1991</v>
      </c>
      <c r="G190" t="s">
        <v>763</v>
      </c>
      <c r="H190" t="s">
        <v>1992</v>
      </c>
      <c r="I190">
        <v>146</v>
      </c>
      <c r="J190">
        <v>146</v>
      </c>
      <c r="K190" s="11" t="s">
        <v>704</v>
      </c>
      <c r="Q190" s="18">
        <v>700</v>
      </c>
      <c r="R190" s="18">
        <v>627</v>
      </c>
      <c r="S190" s="18" t="s">
        <v>909</v>
      </c>
      <c r="T190" s="18">
        <v>414</v>
      </c>
    </row>
    <row r="191" spans="1:20" x14ac:dyDescent="0.2">
      <c r="A191">
        <v>648</v>
      </c>
      <c r="B191">
        <v>736</v>
      </c>
      <c r="C191" t="s">
        <v>2277</v>
      </c>
      <c r="D191" t="s">
        <v>2278</v>
      </c>
      <c r="E191" t="s">
        <v>2279</v>
      </c>
      <c r="F191" t="s">
        <v>2280</v>
      </c>
      <c r="G191" t="s">
        <v>2281</v>
      </c>
      <c r="H191" t="s">
        <v>2282</v>
      </c>
      <c r="I191">
        <v>1062</v>
      </c>
      <c r="J191">
        <v>1062</v>
      </c>
      <c r="K191" s="11" t="s">
        <v>537</v>
      </c>
      <c r="Q191" s="18">
        <v>627</v>
      </c>
      <c r="R191" s="18">
        <v>702</v>
      </c>
      <c r="S191" s="18" t="s">
        <v>1753</v>
      </c>
      <c r="T191" s="18">
        <v>497</v>
      </c>
    </row>
    <row r="192" spans="1:20" x14ac:dyDescent="0.2">
      <c r="A192">
        <v>627</v>
      </c>
      <c r="B192">
        <v>673</v>
      </c>
      <c r="C192" t="s">
        <v>1799</v>
      </c>
      <c r="D192" t="s">
        <v>1800</v>
      </c>
      <c r="E192" t="s">
        <v>1801</v>
      </c>
      <c r="F192" t="s">
        <v>1802</v>
      </c>
      <c r="G192" t="s">
        <v>951</v>
      </c>
      <c r="H192" t="s">
        <v>1803</v>
      </c>
      <c r="I192">
        <v>509</v>
      </c>
      <c r="J192">
        <v>509</v>
      </c>
      <c r="K192" s="11" t="s">
        <v>483</v>
      </c>
      <c r="Q192" s="18">
        <v>554</v>
      </c>
      <c r="R192" s="18">
        <v>627</v>
      </c>
      <c r="S192" s="18" t="s">
        <v>1682</v>
      </c>
      <c r="T192" s="18">
        <v>512</v>
      </c>
    </row>
    <row r="193" spans="1:20" x14ac:dyDescent="0.2">
      <c r="A193">
        <v>627</v>
      </c>
      <c r="B193">
        <v>575</v>
      </c>
      <c r="C193" t="s">
        <v>1783</v>
      </c>
      <c r="D193" t="s">
        <v>1784</v>
      </c>
      <c r="E193" t="s">
        <v>738</v>
      </c>
      <c r="F193" t="s">
        <v>1785</v>
      </c>
      <c r="G193" t="s">
        <v>745</v>
      </c>
      <c r="H193" t="s">
        <v>1786</v>
      </c>
      <c r="I193">
        <v>962</v>
      </c>
      <c r="J193">
        <v>962</v>
      </c>
      <c r="K193" s="11" t="s">
        <v>400</v>
      </c>
      <c r="Q193" s="18">
        <v>627</v>
      </c>
      <c r="R193" s="18">
        <v>2190</v>
      </c>
      <c r="S193" s="18" t="s">
        <v>1776</v>
      </c>
      <c r="T193" s="18">
        <v>93</v>
      </c>
    </row>
    <row r="194" spans="1:20" x14ac:dyDescent="0.2">
      <c r="A194">
        <v>579</v>
      </c>
      <c r="B194">
        <v>691</v>
      </c>
      <c r="C194" t="s">
        <v>1270</v>
      </c>
      <c r="D194" t="s">
        <v>1271</v>
      </c>
      <c r="E194" t="s">
        <v>738</v>
      </c>
      <c r="F194" t="s">
        <v>1272</v>
      </c>
      <c r="G194" t="s">
        <v>738</v>
      </c>
      <c r="H194" t="s">
        <v>1273</v>
      </c>
      <c r="I194">
        <v>1005</v>
      </c>
      <c r="J194">
        <v>1005</v>
      </c>
      <c r="K194" s="11" t="s">
        <v>363</v>
      </c>
      <c r="Q194" s="18">
        <v>571</v>
      </c>
      <c r="R194" s="18">
        <v>627</v>
      </c>
      <c r="S194" s="18" t="s">
        <v>1143</v>
      </c>
      <c r="T194" s="18">
        <v>236</v>
      </c>
    </row>
    <row r="195" spans="1:20" x14ac:dyDescent="0.2">
      <c r="A195">
        <v>627</v>
      </c>
      <c r="B195">
        <v>647</v>
      </c>
      <c r="C195" t="s">
        <v>1816</v>
      </c>
      <c r="D195" t="s">
        <v>1817</v>
      </c>
      <c r="E195" t="s">
        <v>1818</v>
      </c>
      <c r="F195" t="s">
        <v>1819</v>
      </c>
      <c r="G195" t="s">
        <v>861</v>
      </c>
      <c r="H195" t="s">
        <v>1820</v>
      </c>
      <c r="I195">
        <v>437</v>
      </c>
      <c r="J195">
        <v>437</v>
      </c>
      <c r="K195" s="11" t="s">
        <v>514</v>
      </c>
      <c r="Q195" s="18">
        <v>506</v>
      </c>
      <c r="R195" s="18">
        <v>627</v>
      </c>
      <c r="S195" s="18" t="s">
        <v>1359</v>
      </c>
      <c r="T195" s="18">
        <v>949</v>
      </c>
    </row>
    <row r="196" spans="1:20" x14ac:dyDescent="0.2">
      <c r="A196">
        <v>591</v>
      </c>
      <c r="B196">
        <v>730</v>
      </c>
      <c r="C196" t="s">
        <v>801</v>
      </c>
      <c r="D196" t="s">
        <v>1896</v>
      </c>
      <c r="E196" t="s">
        <v>727</v>
      </c>
      <c r="F196" t="s">
        <v>1897</v>
      </c>
      <c r="G196" t="s">
        <v>1882</v>
      </c>
      <c r="H196" t="s">
        <v>1898</v>
      </c>
      <c r="I196">
        <v>351</v>
      </c>
      <c r="J196">
        <v>351</v>
      </c>
      <c r="K196" s="11" t="s">
        <v>624</v>
      </c>
      <c r="Q196" s="18">
        <v>574</v>
      </c>
      <c r="R196" s="18">
        <v>627</v>
      </c>
      <c r="S196" s="18" t="s">
        <v>1475</v>
      </c>
      <c r="T196" s="18">
        <v>627</v>
      </c>
    </row>
    <row r="197" spans="1:20" x14ac:dyDescent="0.2">
      <c r="A197">
        <v>591</v>
      </c>
      <c r="B197">
        <v>723</v>
      </c>
      <c r="C197" t="s">
        <v>801</v>
      </c>
      <c r="D197" t="s">
        <v>1889</v>
      </c>
      <c r="E197" t="s">
        <v>727</v>
      </c>
      <c r="F197" t="s">
        <v>1890</v>
      </c>
      <c r="G197" t="s">
        <v>884</v>
      </c>
      <c r="H197" t="s">
        <v>1891</v>
      </c>
      <c r="I197">
        <v>153</v>
      </c>
      <c r="J197">
        <v>153</v>
      </c>
      <c r="K197" s="11" t="s">
        <v>690</v>
      </c>
      <c r="Q197" s="18">
        <v>597</v>
      </c>
      <c r="R197" s="18">
        <v>627</v>
      </c>
      <c r="S197" s="18" t="s">
        <v>826</v>
      </c>
      <c r="T197" s="18">
        <v>201</v>
      </c>
    </row>
    <row r="198" spans="1:20" x14ac:dyDescent="0.2">
      <c r="A198">
        <v>682</v>
      </c>
      <c r="B198">
        <v>663</v>
      </c>
      <c r="C198" t="s">
        <v>801</v>
      </c>
      <c r="D198" t="s">
        <v>1916</v>
      </c>
      <c r="E198" t="s">
        <v>727</v>
      </c>
      <c r="F198" t="s">
        <v>1917</v>
      </c>
      <c r="G198" t="s">
        <v>1711</v>
      </c>
      <c r="H198" t="s">
        <v>1918</v>
      </c>
      <c r="I198">
        <v>293</v>
      </c>
      <c r="J198">
        <v>293</v>
      </c>
      <c r="K198" s="11" t="s">
        <v>608</v>
      </c>
      <c r="Q198" s="18">
        <v>2191</v>
      </c>
      <c r="R198" s="18">
        <v>627</v>
      </c>
      <c r="S198" s="18" t="s">
        <v>790</v>
      </c>
      <c r="T198" s="18">
        <v>185</v>
      </c>
    </row>
    <row r="199" spans="1:20" x14ac:dyDescent="0.2">
      <c r="A199">
        <v>645</v>
      </c>
      <c r="B199">
        <v>648</v>
      </c>
      <c r="C199" t="s">
        <v>771</v>
      </c>
      <c r="D199" t="s">
        <v>2249</v>
      </c>
      <c r="E199" t="s">
        <v>738</v>
      </c>
      <c r="F199" t="s">
        <v>2250</v>
      </c>
      <c r="G199" t="s">
        <v>738</v>
      </c>
      <c r="H199" t="s">
        <v>2251</v>
      </c>
      <c r="I199">
        <v>3288</v>
      </c>
      <c r="J199">
        <v>3288</v>
      </c>
      <c r="K199" s="11" t="s">
        <v>362</v>
      </c>
      <c r="Q199" s="18">
        <v>627</v>
      </c>
      <c r="R199" s="18">
        <v>648</v>
      </c>
      <c r="S199" s="18" t="s">
        <v>1757</v>
      </c>
      <c r="T199" s="18">
        <v>1035</v>
      </c>
    </row>
    <row r="200" spans="1:20" x14ac:dyDescent="0.2">
      <c r="A200">
        <v>702</v>
      </c>
      <c r="B200">
        <v>712</v>
      </c>
      <c r="C200" t="s">
        <v>2038</v>
      </c>
      <c r="D200" t="s">
        <v>2039</v>
      </c>
      <c r="E200" t="s">
        <v>2040</v>
      </c>
      <c r="F200" t="s">
        <v>2041</v>
      </c>
      <c r="G200" t="s">
        <v>1599</v>
      </c>
      <c r="H200" t="s">
        <v>2042</v>
      </c>
      <c r="I200">
        <v>219</v>
      </c>
      <c r="J200">
        <v>219</v>
      </c>
      <c r="K200" s="11" t="s">
        <v>667</v>
      </c>
      <c r="Q200" s="18">
        <v>579</v>
      </c>
      <c r="R200" s="18">
        <v>627</v>
      </c>
      <c r="S200" s="18" t="s">
        <v>1236</v>
      </c>
      <c r="T200" s="18">
        <v>516</v>
      </c>
    </row>
    <row r="201" spans="1:20" x14ac:dyDescent="0.2">
      <c r="A201">
        <v>733</v>
      </c>
      <c r="B201">
        <v>673</v>
      </c>
      <c r="C201" t="s">
        <v>801</v>
      </c>
      <c r="D201" t="s">
        <v>2109</v>
      </c>
      <c r="E201" t="s">
        <v>727</v>
      </c>
      <c r="F201" t="s">
        <v>2110</v>
      </c>
      <c r="G201" t="s">
        <v>2111</v>
      </c>
      <c r="H201" t="s">
        <v>2112</v>
      </c>
      <c r="I201">
        <v>354</v>
      </c>
      <c r="J201">
        <v>354</v>
      </c>
      <c r="K201" s="11" t="s">
        <v>635</v>
      </c>
      <c r="Q201" s="18">
        <v>627</v>
      </c>
      <c r="R201" s="18">
        <v>613</v>
      </c>
      <c r="S201" s="18" t="s">
        <v>1805</v>
      </c>
      <c r="T201" s="18">
        <v>827</v>
      </c>
    </row>
    <row r="202" spans="1:20" x14ac:dyDescent="0.2">
      <c r="A202">
        <v>702</v>
      </c>
      <c r="B202">
        <v>736</v>
      </c>
      <c r="C202" t="s">
        <v>801</v>
      </c>
      <c r="D202" t="s">
        <v>2066</v>
      </c>
      <c r="E202" t="s">
        <v>727</v>
      </c>
      <c r="F202" t="s">
        <v>2067</v>
      </c>
      <c r="G202" t="s">
        <v>2068</v>
      </c>
      <c r="H202" t="s">
        <v>2069</v>
      </c>
      <c r="I202">
        <v>706</v>
      </c>
      <c r="J202">
        <v>706</v>
      </c>
      <c r="K202" s="11" t="s">
        <v>585</v>
      </c>
      <c r="Q202" s="18">
        <v>627</v>
      </c>
      <c r="R202" s="18">
        <v>733</v>
      </c>
      <c r="S202" s="18" t="s">
        <v>1829</v>
      </c>
      <c r="T202" s="18">
        <v>387</v>
      </c>
    </row>
    <row r="203" spans="1:20" x14ac:dyDescent="0.2">
      <c r="A203">
        <v>691</v>
      </c>
      <c r="B203">
        <v>2190</v>
      </c>
      <c r="C203" t="s">
        <v>771</v>
      </c>
      <c r="D203" t="s">
        <v>1627</v>
      </c>
      <c r="E203" t="s">
        <v>738</v>
      </c>
      <c r="F203" t="s">
        <v>1628</v>
      </c>
      <c r="G203" t="s">
        <v>738</v>
      </c>
      <c r="H203" t="s">
        <v>1629</v>
      </c>
      <c r="I203">
        <v>2470</v>
      </c>
      <c r="J203">
        <v>2470</v>
      </c>
      <c r="K203" s="11" t="s">
        <v>388</v>
      </c>
      <c r="Q203" s="18">
        <v>627</v>
      </c>
      <c r="R203" s="18">
        <v>673</v>
      </c>
      <c r="S203" s="18" t="s">
        <v>1802</v>
      </c>
      <c r="T203" s="18">
        <v>509</v>
      </c>
    </row>
    <row r="204" spans="1:20" x14ac:dyDescent="0.2">
      <c r="A204">
        <v>574</v>
      </c>
      <c r="B204">
        <v>733</v>
      </c>
      <c r="C204" t="s">
        <v>1550</v>
      </c>
      <c r="D204" t="s">
        <v>1551</v>
      </c>
      <c r="E204" t="s">
        <v>1552</v>
      </c>
      <c r="F204" t="s">
        <v>1553</v>
      </c>
      <c r="G204" t="s">
        <v>1554</v>
      </c>
      <c r="H204" t="s">
        <v>1555</v>
      </c>
      <c r="I204">
        <v>950</v>
      </c>
      <c r="J204">
        <v>950</v>
      </c>
      <c r="K204" s="11" t="s">
        <v>457</v>
      </c>
      <c r="Q204" s="4">
        <v>627</v>
      </c>
      <c r="R204" s="4">
        <v>575</v>
      </c>
      <c r="S204" s="4" t="s">
        <v>1785</v>
      </c>
      <c r="T204" s="4">
        <v>962</v>
      </c>
    </row>
    <row r="205" spans="1:20" x14ac:dyDescent="0.2">
      <c r="A205">
        <v>574</v>
      </c>
      <c r="B205">
        <v>2189</v>
      </c>
      <c r="C205" t="s">
        <v>1541</v>
      </c>
      <c r="D205" t="s">
        <v>1542</v>
      </c>
      <c r="E205" t="s">
        <v>1543</v>
      </c>
      <c r="F205" t="s">
        <v>1544</v>
      </c>
      <c r="G205" t="s">
        <v>1289</v>
      </c>
      <c r="H205" t="s">
        <v>1545</v>
      </c>
      <c r="I205">
        <v>263</v>
      </c>
      <c r="J205">
        <v>263</v>
      </c>
      <c r="K205" s="11" t="s">
        <v>618</v>
      </c>
      <c r="Q205" s="18">
        <v>627</v>
      </c>
      <c r="R205" s="18">
        <v>647</v>
      </c>
      <c r="S205" s="18" t="s">
        <v>1819</v>
      </c>
      <c r="T205" s="18">
        <v>437</v>
      </c>
    </row>
    <row r="206" spans="1:20" x14ac:dyDescent="0.2">
      <c r="A206">
        <v>691</v>
      </c>
      <c r="B206">
        <v>498</v>
      </c>
      <c r="C206" t="s">
        <v>801</v>
      </c>
      <c r="D206" t="s">
        <v>1592</v>
      </c>
      <c r="E206" t="s">
        <v>727</v>
      </c>
      <c r="F206" t="s">
        <v>1593</v>
      </c>
      <c r="G206" t="s">
        <v>785</v>
      </c>
      <c r="H206" t="s">
        <v>1594</v>
      </c>
      <c r="I206">
        <v>211</v>
      </c>
      <c r="J206">
        <v>211</v>
      </c>
      <c r="K206" s="11" t="s">
        <v>673</v>
      </c>
      <c r="Q206" s="18">
        <v>627</v>
      </c>
      <c r="R206" s="18">
        <v>2189</v>
      </c>
      <c r="S206" s="18" t="s">
        <v>1767</v>
      </c>
      <c r="T206" s="18">
        <v>178</v>
      </c>
    </row>
    <row r="207" spans="1:20" x14ac:dyDescent="0.2">
      <c r="A207">
        <v>591</v>
      </c>
      <c r="B207">
        <v>648</v>
      </c>
      <c r="C207" t="s">
        <v>1884</v>
      </c>
      <c r="D207" t="s">
        <v>1885</v>
      </c>
      <c r="E207" t="s">
        <v>1886</v>
      </c>
      <c r="F207" t="s">
        <v>1887</v>
      </c>
      <c r="G207" t="s">
        <v>1415</v>
      </c>
      <c r="H207" t="s">
        <v>1888</v>
      </c>
      <c r="I207">
        <v>795</v>
      </c>
      <c r="J207">
        <v>795</v>
      </c>
      <c r="K207" s="11" t="s">
        <v>477</v>
      </c>
      <c r="Q207" s="18">
        <v>627</v>
      </c>
      <c r="R207" s="18">
        <v>736</v>
      </c>
      <c r="S207" s="18" t="s">
        <v>1808</v>
      </c>
      <c r="T207" s="18">
        <v>295</v>
      </c>
    </row>
    <row r="208" spans="1:20" x14ac:dyDescent="0.2">
      <c r="A208">
        <v>529</v>
      </c>
      <c r="B208">
        <v>2207</v>
      </c>
      <c r="C208" t="s">
        <v>2313</v>
      </c>
      <c r="D208" t="s">
        <v>2314</v>
      </c>
      <c r="E208" t="s">
        <v>738</v>
      </c>
      <c r="F208" t="s">
        <v>2315</v>
      </c>
      <c r="G208" t="s">
        <v>738</v>
      </c>
      <c r="H208" t="s">
        <v>2316</v>
      </c>
      <c r="I208">
        <v>103</v>
      </c>
      <c r="J208">
        <v>103</v>
      </c>
      <c r="K208" s="11" t="s">
        <v>727</v>
      </c>
      <c r="Q208" s="18">
        <v>627</v>
      </c>
      <c r="R208" s="18">
        <v>730</v>
      </c>
      <c r="S208" s="18" t="s">
        <v>1797</v>
      </c>
      <c r="T208" s="18">
        <v>497</v>
      </c>
    </row>
    <row r="209" spans="1:20" x14ac:dyDescent="0.2">
      <c r="A209">
        <v>682</v>
      </c>
      <c r="B209">
        <v>720</v>
      </c>
      <c r="C209" t="s">
        <v>771</v>
      </c>
      <c r="D209" t="s">
        <v>1944</v>
      </c>
      <c r="E209" t="s">
        <v>738</v>
      </c>
      <c r="F209" t="s">
        <v>1945</v>
      </c>
      <c r="G209" t="s">
        <v>1354</v>
      </c>
      <c r="H209" t="s">
        <v>1946</v>
      </c>
      <c r="I209">
        <v>2139</v>
      </c>
      <c r="J209">
        <v>2139</v>
      </c>
      <c r="K209" s="11" t="s">
        <v>382</v>
      </c>
      <c r="Q209" s="18">
        <v>627</v>
      </c>
      <c r="R209" s="18">
        <v>653</v>
      </c>
      <c r="S209" s="18" t="s">
        <v>1789</v>
      </c>
      <c r="T209" s="18">
        <v>144</v>
      </c>
    </row>
    <row r="210" spans="1:20" x14ac:dyDescent="0.2">
      <c r="A210">
        <v>506</v>
      </c>
      <c r="B210">
        <v>723</v>
      </c>
      <c r="C210" t="s">
        <v>771</v>
      </c>
      <c r="D210" t="s">
        <v>1422</v>
      </c>
      <c r="E210" t="s">
        <v>738</v>
      </c>
      <c r="F210" t="s">
        <v>1423</v>
      </c>
      <c r="G210" t="s">
        <v>738</v>
      </c>
      <c r="H210" t="s">
        <v>1424</v>
      </c>
      <c r="I210">
        <v>3563</v>
      </c>
      <c r="J210">
        <v>3563</v>
      </c>
      <c r="K210" s="11" t="s">
        <v>376</v>
      </c>
      <c r="Q210" s="18">
        <v>627</v>
      </c>
      <c r="R210" s="18">
        <v>720</v>
      </c>
      <c r="S210" s="18" t="s">
        <v>1826</v>
      </c>
      <c r="T210" s="18">
        <v>2039</v>
      </c>
    </row>
    <row r="211" spans="1:20" x14ac:dyDescent="0.2">
      <c r="A211">
        <v>579</v>
      </c>
      <c r="B211">
        <v>653</v>
      </c>
      <c r="C211" t="s">
        <v>771</v>
      </c>
      <c r="D211" t="s">
        <v>1331</v>
      </c>
      <c r="E211" t="s">
        <v>738</v>
      </c>
      <c r="F211" t="s">
        <v>1332</v>
      </c>
      <c r="G211" t="s">
        <v>1333</v>
      </c>
      <c r="H211" t="s">
        <v>1334</v>
      </c>
      <c r="I211">
        <v>829</v>
      </c>
      <c r="J211">
        <v>829</v>
      </c>
      <c r="K211" s="11" t="s">
        <v>404</v>
      </c>
      <c r="Q211" s="18">
        <v>691</v>
      </c>
      <c r="R211" s="18">
        <v>627</v>
      </c>
      <c r="S211" s="18" t="s">
        <v>1576</v>
      </c>
      <c r="T211" s="18">
        <v>1024</v>
      </c>
    </row>
    <row r="212" spans="1:20" x14ac:dyDescent="0.2">
      <c r="A212">
        <v>506</v>
      </c>
      <c r="B212">
        <v>575</v>
      </c>
      <c r="C212" t="s">
        <v>1455</v>
      </c>
      <c r="D212" t="s">
        <v>1456</v>
      </c>
      <c r="E212" t="s">
        <v>1457</v>
      </c>
      <c r="F212" t="s">
        <v>1458</v>
      </c>
      <c r="G212" t="s">
        <v>1354</v>
      </c>
      <c r="H212" t="s">
        <v>1459</v>
      </c>
      <c r="I212">
        <v>1564</v>
      </c>
      <c r="J212">
        <v>1564</v>
      </c>
      <c r="K212" s="11" t="s">
        <v>390</v>
      </c>
      <c r="Q212" s="18">
        <v>627</v>
      </c>
      <c r="R212" s="18">
        <v>591</v>
      </c>
      <c r="S212" s="18" t="s">
        <v>1794</v>
      </c>
      <c r="T212" s="18">
        <v>365</v>
      </c>
    </row>
    <row r="213" spans="1:20" x14ac:dyDescent="0.2">
      <c r="A213">
        <v>506</v>
      </c>
      <c r="B213">
        <v>578</v>
      </c>
      <c r="C213" t="s">
        <v>1412</v>
      </c>
      <c r="D213" t="s">
        <v>1413</v>
      </c>
      <c r="E213" t="s">
        <v>738</v>
      </c>
      <c r="F213" t="s">
        <v>1414</v>
      </c>
      <c r="G213" t="s">
        <v>1415</v>
      </c>
      <c r="H213" t="s">
        <v>1416</v>
      </c>
      <c r="I213">
        <v>1316</v>
      </c>
      <c r="J213">
        <v>1316</v>
      </c>
      <c r="K213" s="11" t="s">
        <v>470</v>
      </c>
      <c r="Q213" s="18">
        <v>627</v>
      </c>
      <c r="R213" s="18">
        <v>578</v>
      </c>
      <c r="S213" s="18" t="s">
        <v>1762</v>
      </c>
      <c r="T213" s="18">
        <v>288</v>
      </c>
    </row>
    <row r="214" spans="1:20" x14ac:dyDescent="0.2">
      <c r="A214">
        <v>627</v>
      </c>
      <c r="B214">
        <v>2189</v>
      </c>
      <c r="C214" t="s">
        <v>1764</v>
      </c>
      <c r="D214" t="s">
        <v>1765</v>
      </c>
      <c r="E214" t="s">
        <v>1766</v>
      </c>
      <c r="F214" t="s">
        <v>1767</v>
      </c>
      <c r="G214" t="s">
        <v>1768</v>
      </c>
      <c r="H214" t="s">
        <v>1769</v>
      </c>
      <c r="I214">
        <v>178</v>
      </c>
      <c r="J214">
        <v>178</v>
      </c>
      <c r="K214" s="11" t="s">
        <v>654</v>
      </c>
      <c r="Q214" s="18">
        <v>625</v>
      </c>
      <c r="R214" s="18">
        <v>627</v>
      </c>
      <c r="S214" s="18" t="s">
        <v>1027</v>
      </c>
      <c r="T214" s="18">
        <v>141</v>
      </c>
    </row>
    <row r="215" spans="1:20" x14ac:dyDescent="0.2">
      <c r="A215">
        <v>575</v>
      </c>
      <c r="B215">
        <v>712</v>
      </c>
      <c r="C215" t="s">
        <v>771</v>
      </c>
      <c r="D215" t="s">
        <v>1977</v>
      </c>
      <c r="E215" t="s">
        <v>738</v>
      </c>
      <c r="F215" t="s">
        <v>1978</v>
      </c>
      <c r="G215" t="s">
        <v>888</v>
      </c>
      <c r="H215" t="s">
        <v>1979</v>
      </c>
      <c r="I215">
        <v>1205</v>
      </c>
      <c r="J215">
        <v>1205</v>
      </c>
      <c r="K215" s="11" t="s">
        <v>406</v>
      </c>
    </row>
    <row r="216" spans="1:20" x14ac:dyDescent="0.2">
      <c r="A216">
        <v>571</v>
      </c>
      <c r="B216">
        <v>730</v>
      </c>
      <c r="C216" t="s">
        <v>1190</v>
      </c>
      <c r="D216" t="s">
        <v>1191</v>
      </c>
      <c r="E216" t="s">
        <v>738</v>
      </c>
      <c r="F216" t="s">
        <v>1192</v>
      </c>
      <c r="G216" t="s">
        <v>1154</v>
      </c>
      <c r="H216" t="s">
        <v>1193</v>
      </c>
      <c r="I216">
        <v>3664</v>
      </c>
      <c r="J216">
        <v>3664</v>
      </c>
      <c r="K216" s="11" t="s">
        <v>725</v>
      </c>
      <c r="Q216" s="21" t="s">
        <v>355</v>
      </c>
      <c r="R216" s="21" t="s">
        <v>356</v>
      </c>
      <c r="S216" s="21" t="s">
        <v>2368</v>
      </c>
      <c r="T216" s="21" t="s">
        <v>357</v>
      </c>
    </row>
    <row r="217" spans="1:20" x14ac:dyDescent="0.2">
      <c r="A217">
        <v>625</v>
      </c>
      <c r="B217">
        <v>529</v>
      </c>
      <c r="C217" t="s">
        <v>1033</v>
      </c>
      <c r="D217" t="s">
        <v>1034</v>
      </c>
      <c r="E217" t="s">
        <v>1035</v>
      </c>
      <c r="F217" t="s">
        <v>1036</v>
      </c>
      <c r="G217" t="s">
        <v>1037</v>
      </c>
      <c r="H217" t="s">
        <v>1038</v>
      </c>
      <c r="I217">
        <v>329</v>
      </c>
      <c r="J217">
        <v>329</v>
      </c>
      <c r="K217" s="11" t="s">
        <v>507</v>
      </c>
      <c r="Q217" s="18">
        <v>506</v>
      </c>
      <c r="R217" s="18">
        <v>723</v>
      </c>
      <c r="S217" s="18" t="s">
        <v>1423</v>
      </c>
      <c r="T217" s="18">
        <v>3563</v>
      </c>
    </row>
    <row r="218" spans="1:20" x14ac:dyDescent="0.2">
      <c r="A218">
        <v>571</v>
      </c>
      <c r="B218">
        <v>647</v>
      </c>
      <c r="C218" t="s">
        <v>771</v>
      </c>
      <c r="D218" t="s">
        <v>1207</v>
      </c>
      <c r="E218" t="s">
        <v>738</v>
      </c>
      <c r="F218" t="s">
        <v>1208</v>
      </c>
      <c r="G218" t="s">
        <v>738</v>
      </c>
      <c r="H218" t="s">
        <v>1209</v>
      </c>
      <c r="I218">
        <v>7566</v>
      </c>
      <c r="J218">
        <v>7566</v>
      </c>
      <c r="K218" s="11" t="s">
        <v>415</v>
      </c>
      <c r="Q218" s="18">
        <v>506</v>
      </c>
      <c r="R218" s="18">
        <v>2190</v>
      </c>
      <c r="S218" s="18" t="s">
        <v>1453</v>
      </c>
      <c r="T218" s="18">
        <v>2637</v>
      </c>
    </row>
    <row r="219" spans="1:20" x14ac:dyDescent="0.2">
      <c r="A219">
        <v>591</v>
      </c>
      <c r="B219">
        <v>647</v>
      </c>
      <c r="C219" t="s">
        <v>801</v>
      </c>
      <c r="D219" t="s">
        <v>1880</v>
      </c>
      <c r="E219" t="s">
        <v>727</v>
      </c>
      <c r="F219" t="s">
        <v>1881</v>
      </c>
      <c r="G219" t="s">
        <v>1882</v>
      </c>
      <c r="H219" t="s">
        <v>1883</v>
      </c>
      <c r="I219">
        <v>292</v>
      </c>
      <c r="J219">
        <v>292</v>
      </c>
      <c r="K219" s="11" t="s">
        <v>601</v>
      </c>
      <c r="Q219" s="18">
        <v>506</v>
      </c>
      <c r="R219" s="18">
        <v>498</v>
      </c>
      <c r="S219" s="18" t="s">
        <v>1381</v>
      </c>
      <c r="T219" s="18">
        <v>2532</v>
      </c>
    </row>
    <row r="220" spans="1:20" x14ac:dyDescent="0.2">
      <c r="A220">
        <v>691</v>
      </c>
      <c r="B220">
        <v>613</v>
      </c>
      <c r="C220" t="s">
        <v>1595</v>
      </c>
      <c r="D220" t="s">
        <v>1596</v>
      </c>
      <c r="E220" t="s">
        <v>1597</v>
      </c>
      <c r="F220" t="s">
        <v>1598</v>
      </c>
      <c r="G220" t="s">
        <v>1599</v>
      </c>
      <c r="H220" t="s">
        <v>1600</v>
      </c>
      <c r="I220">
        <v>212</v>
      </c>
      <c r="J220">
        <v>212</v>
      </c>
      <c r="K220" s="11" t="s">
        <v>634</v>
      </c>
      <c r="Q220" s="18">
        <v>506</v>
      </c>
      <c r="R220" s="18">
        <v>691</v>
      </c>
      <c r="S220" s="18" t="s">
        <v>1391</v>
      </c>
      <c r="T220" s="18">
        <v>2130</v>
      </c>
    </row>
    <row r="221" spans="1:20" x14ac:dyDescent="0.2">
      <c r="A221">
        <v>730</v>
      </c>
      <c r="B221">
        <v>736</v>
      </c>
      <c r="C221" t="s">
        <v>801</v>
      </c>
      <c r="D221" t="s">
        <v>2168</v>
      </c>
      <c r="E221" t="s">
        <v>727</v>
      </c>
      <c r="F221" t="s">
        <v>2169</v>
      </c>
      <c r="G221" t="s">
        <v>2170</v>
      </c>
      <c r="H221" t="s">
        <v>2171</v>
      </c>
      <c r="I221">
        <v>549</v>
      </c>
      <c r="J221">
        <v>549</v>
      </c>
      <c r="K221" s="11" t="s">
        <v>687</v>
      </c>
      <c r="Q221" s="18">
        <v>506</v>
      </c>
      <c r="R221" s="18">
        <v>575</v>
      </c>
      <c r="S221" s="18" t="s">
        <v>1458</v>
      </c>
      <c r="T221" s="18">
        <v>1564</v>
      </c>
    </row>
    <row r="222" spans="1:20" x14ac:dyDescent="0.2">
      <c r="A222">
        <v>627</v>
      </c>
      <c r="B222">
        <v>736</v>
      </c>
      <c r="C222" t="s">
        <v>801</v>
      </c>
      <c r="D222" t="s">
        <v>1807</v>
      </c>
      <c r="E222" t="s">
        <v>727</v>
      </c>
      <c r="F222" t="s">
        <v>1808</v>
      </c>
      <c r="G222" t="s">
        <v>1809</v>
      </c>
      <c r="H222" t="s">
        <v>1810</v>
      </c>
      <c r="I222">
        <v>295</v>
      </c>
      <c r="J222">
        <v>295</v>
      </c>
      <c r="K222" s="11" t="s">
        <v>575</v>
      </c>
      <c r="Q222" s="18">
        <v>506</v>
      </c>
      <c r="R222" s="18">
        <v>663</v>
      </c>
      <c r="S222" s="18" t="s">
        <v>1400</v>
      </c>
      <c r="T222" s="18">
        <v>1473</v>
      </c>
    </row>
    <row r="223" spans="1:20" x14ac:dyDescent="0.2">
      <c r="A223">
        <v>597</v>
      </c>
      <c r="B223">
        <v>571</v>
      </c>
      <c r="C223" t="s">
        <v>801</v>
      </c>
      <c r="D223" t="s">
        <v>810</v>
      </c>
      <c r="E223" t="s">
        <v>727</v>
      </c>
      <c r="F223" t="s">
        <v>811</v>
      </c>
      <c r="G223" t="s">
        <v>812</v>
      </c>
      <c r="H223" t="s">
        <v>813</v>
      </c>
      <c r="I223">
        <v>359</v>
      </c>
      <c r="J223">
        <v>359</v>
      </c>
      <c r="K223" s="11" t="s">
        <v>683</v>
      </c>
      <c r="Q223" s="18">
        <v>506</v>
      </c>
      <c r="R223" s="18">
        <v>648</v>
      </c>
      <c r="S223" s="18" t="s">
        <v>1409</v>
      </c>
      <c r="T223" s="18">
        <v>1457</v>
      </c>
    </row>
    <row r="224" spans="1:20" x14ac:dyDescent="0.2">
      <c r="A224">
        <v>597</v>
      </c>
      <c r="B224">
        <v>579</v>
      </c>
      <c r="C224" t="s">
        <v>829</v>
      </c>
      <c r="D224" t="s">
        <v>830</v>
      </c>
      <c r="E224" t="s">
        <v>831</v>
      </c>
      <c r="F224" t="s">
        <v>832</v>
      </c>
      <c r="G224" t="s">
        <v>833</v>
      </c>
      <c r="H224" t="s">
        <v>834</v>
      </c>
      <c r="I224">
        <v>287</v>
      </c>
      <c r="J224">
        <v>287</v>
      </c>
      <c r="K224" s="11" t="s">
        <v>555</v>
      </c>
      <c r="Q224" s="18">
        <v>597</v>
      </c>
      <c r="R224" s="18">
        <v>506</v>
      </c>
      <c r="S224" s="18" t="s">
        <v>873</v>
      </c>
      <c r="T224" s="18">
        <v>1452</v>
      </c>
    </row>
    <row r="225" spans="1:20" x14ac:dyDescent="0.2">
      <c r="A225">
        <v>702</v>
      </c>
      <c r="B225">
        <v>648</v>
      </c>
      <c r="C225" t="s">
        <v>2088</v>
      </c>
      <c r="D225" t="s">
        <v>2089</v>
      </c>
      <c r="E225" t="s">
        <v>2090</v>
      </c>
      <c r="F225" t="s">
        <v>2091</v>
      </c>
      <c r="G225" t="s">
        <v>2092</v>
      </c>
      <c r="H225" t="s">
        <v>2093</v>
      </c>
      <c r="I225">
        <v>1431</v>
      </c>
      <c r="J225">
        <v>1431</v>
      </c>
      <c r="K225" s="11" t="s">
        <v>576</v>
      </c>
      <c r="Q225" s="18">
        <v>506</v>
      </c>
      <c r="R225" s="18">
        <v>578</v>
      </c>
      <c r="S225" s="18" t="s">
        <v>1414</v>
      </c>
      <c r="T225" s="18">
        <v>1316</v>
      </c>
    </row>
    <row r="226" spans="1:20" x14ac:dyDescent="0.2">
      <c r="A226">
        <v>591</v>
      </c>
      <c r="B226">
        <v>720</v>
      </c>
      <c r="C226" t="s">
        <v>801</v>
      </c>
      <c r="D226" t="s">
        <v>1866</v>
      </c>
      <c r="E226" t="s">
        <v>727</v>
      </c>
      <c r="F226" t="s">
        <v>1867</v>
      </c>
      <c r="G226" t="s">
        <v>823</v>
      </c>
      <c r="H226" t="s">
        <v>1868</v>
      </c>
      <c r="I226">
        <v>148</v>
      </c>
      <c r="J226">
        <v>148</v>
      </c>
      <c r="K226" s="11" t="s">
        <v>693</v>
      </c>
      <c r="Q226" s="18">
        <v>700</v>
      </c>
      <c r="R226" s="18">
        <v>506</v>
      </c>
      <c r="S226" s="18" t="s">
        <v>978</v>
      </c>
      <c r="T226" s="18">
        <v>1312</v>
      </c>
    </row>
    <row r="227" spans="1:20" x14ac:dyDescent="0.2">
      <c r="A227">
        <v>625</v>
      </c>
      <c r="B227">
        <v>498</v>
      </c>
      <c r="C227" t="s">
        <v>1050</v>
      </c>
      <c r="D227" t="s">
        <v>1051</v>
      </c>
      <c r="E227" t="s">
        <v>1052</v>
      </c>
      <c r="F227" t="s">
        <v>1053</v>
      </c>
      <c r="G227" t="s">
        <v>791</v>
      </c>
      <c r="H227" t="s">
        <v>1054</v>
      </c>
      <c r="I227">
        <v>177</v>
      </c>
      <c r="J227">
        <v>177</v>
      </c>
      <c r="K227" s="11" t="s">
        <v>625</v>
      </c>
      <c r="Q227" s="18">
        <v>506</v>
      </c>
      <c r="R227" s="18">
        <v>529</v>
      </c>
      <c r="S227" s="18" t="s">
        <v>1366</v>
      </c>
      <c r="T227" s="18">
        <v>1275</v>
      </c>
    </row>
    <row r="228" spans="1:20" x14ac:dyDescent="0.2">
      <c r="A228">
        <v>571</v>
      </c>
      <c r="B228">
        <v>498</v>
      </c>
      <c r="C228" t="s">
        <v>801</v>
      </c>
      <c r="D228" t="s">
        <v>1163</v>
      </c>
      <c r="E228" t="s">
        <v>727</v>
      </c>
      <c r="F228" t="s">
        <v>1164</v>
      </c>
      <c r="G228" t="s">
        <v>779</v>
      </c>
      <c r="H228" t="s">
        <v>1165</v>
      </c>
      <c r="I228">
        <v>179</v>
      </c>
      <c r="J228">
        <v>179</v>
      </c>
      <c r="K228" s="11" t="s">
        <v>697</v>
      </c>
      <c r="Q228" s="18">
        <v>506</v>
      </c>
      <c r="R228" s="18">
        <v>673</v>
      </c>
      <c r="S228" s="18" t="s">
        <v>1428</v>
      </c>
      <c r="T228" s="18">
        <v>1273</v>
      </c>
    </row>
    <row r="229" spans="1:20" x14ac:dyDescent="0.2">
      <c r="A229">
        <v>625</v>
      </c>
      <c r="B229">
        <v>579</v>
      </c>
      <c r="C229" t="s">
        <v>1076</v>
      </c>
      <c r="D229" t="s">
        <v>1077</v>
      </c>
      <c r="E229" t="s">
        <v>1078</v>
      </c>
      <c r="F229" t="s">
        <v>1079</v>
      </c>
      <c r="G229" t="s">
        <v>933</v>
      </c>
      <c r="H229" t="s">
        <v>1080</v>
      </c>
      <c r="I229">
        <v>272</v>
      </c>
      <c r="J229">
        <v>272</v>
      </c>
      <c r="K229" s="11" t="s">
        <v>484</v>
      </c>
      <c r="Q229" s="18">
        <v>506</v>
      </c>
      <c r="R229" s="18">
        <v>574</v>
      </c>
      <c r="S229" s="18" t="s">
        <v>1372</v>
      </c>
      <c r="T229" s="18">
        <v>1218</v>
      </c>
    </row>
    <row r="230" spans="1:20" x14ac:dyDescent="0.2">
      <c r="A230">
        <v>574</v>
      </c>
      <c r="B230">
        <v>647</v>
      </c>
      <c r="C230" t="s">
        <v>1546</v>
      </c>
      <c r="D230" t="s">
        <v>1547</v>
      </c>
      <c r="E230" t="s">
        <v>738</v>
      </c>
      <c r="F230" t="s">
        <v>1548</v>
      </c>
      <c r="G230" t="s">
        <v>1251</v>
      </c>
      <c r="H230" t="s">
        <v>1549</v>
      </c>
      <c r="I230">
        <v>1192</v>
      </c>
      <c r="J230">
        <v>1192</v>
      </c>
      <c r="K230" s="11" t="s">
        <v>419</v>
      </c>
      <c r="Q230" s="18">
        <v>571</v>
      </c>
      <c r="R230" s="18">
        <v>506</v>
      </c>
      <c r="S230" s="18" t="s">
        <v>1223</v>
      </c>
      <c r="T230" s="18">
        <v>1172</v>
      </c>
    </row>
    <row r="231" spans="1:20" x14ac:dyDescent="0.2">
      <c r="A231">
        <v>625</v>
      </c>
      <c r="B231">
        <v>673</v>
      </c>
      <c r="C231" t="s">
        <v>1093</v>
      </c>
      <c r="D231" t="s">
        <v>1094</v>
      </c>
      <c r="E231" t="s">
        <v>1095</v>
      </c>
      <c r="F231" t="s">
        <v>1096</v>
      </c>
      <c r="G231" t="s">
        <v>1097</v>
      </c>
      <c r="H231" t="s">
        <v>1098</v>
      </c>
      <c r="I231">
        <v>178</v>
      </c>
      <c r="J231">
        <v>178</v>
      </c>
      <c r="K231" s="11" t="s">
        <v>614</v>
      </c>
      <c r="Q231" s="18">
        <v>506</v>
      </c>
      <c r="R231" s="18">
        <v>591</v>
      </c>
      <c r="S231" s="18" t="s">
        <v>1377</v>
      </c>
      <c r="T231" s="18">
        <v>1072</v>
      </c>
    </row>
    <row r="232" spans="1:20" x14ac:dyDescent="0.2">
      <c r="A232">
        <v>691</v>
      </c>
      <c r="B232">
        <v>645</v>
      </c>
      <c r="C232" t="s">
        <v>1618</v>
      </c>
      <c r="D232" t="s">
        <v>1619</v>
      </c>
      <c r="E232" t="s">
        <v>1620</v>
      </c>
      <c r="F232" t="s">
        <v>1621</v>
      </c>
      <c r="G232" t="s">
        <v>1622</v>
      </c>
      <c r="H232" t="s">
        <v>1623</v>
      </c>
      <c r="I232">
        <v>610</v>
      </c>
      <c r="J232">
        <v>610</v>
      </c>
      <c r="K232" s="11" t="s">
        <v>497</v>
      </c>
      <c r="Q232" s="18">
        <v>506</v>
      </c>
      <c r="R232" s="18">
        <v>554</v>
      </c>
      <c r="S232" s="18" t="s">
        <v>1395</v>
      </c>
      <c r="T232" s="18">
        <v>1023</v>
      </c>
    </row>
    <row r="233" spans="1:20" x14ac:dyDescent="0.2">
      <c r="A233">
        <v>506</v>
      </c>
      <c r="B233">
        <v>673</v>
      </c>
      <c r="C233" t="s">
        <v>1425</v>
      </c>
      <c r="D233" t="s">
        <v>1426</v>
      </c>
      <c r="E233" t="s">
        <v>1427</v>
      </c>
      <c r="F233" t="s">
        <v>1428</v>
      </c>
      <c r="G233" t="s">
        <v>1429</v>
      </c>
      <c r="H233" t="s">
        <v>1430</v>
      </c>
      <c r="I233">
        <v>1273</v>
      </c>
      <c r="J233">
        <v>1273</v>
      </c>
      <c r="K233" s="11" t="s">
        <v>466</v>
      </c>
      <c r="Q233" s="18">
        <v>506</v>
      </c>
      <c r="R233" s="18">
        <v>627</v>
      </c>
      <c r="S233" s="18" t="s">
        <v>1359</v>
      </c>
      <c r="T233" s="18">
        <v>949</v>
      </c>
    </row>
    <row r="234" spans="1:20" x14ac:dyDescent="0.2">
      <c r="A234">
        <v>579</v>
      </c>
      <c r="B234">
        <v>723</v>
      </c>
      <c r="C234" t="s">
        <v>1346</v>
      </c>
      <c r="D234" t="s">
        <v>1347</v>
      </c>
      <c r="E234" t="s">
        <v>1348</v>
      </c>
      <c r="F234" t="s">
        <v>1349</v>
      </c>
      <c r="G234" t="s">
        <v>1262</v>
      </c>
      <c r="H234" t="s">
        <v>1350</v>
      </c>
      <c r="I234">
        <v>95</v>
      </c>
      <c r="J234">
        <v>95</v>
      </c>
      <c r="K234" s="11" t="s">
        <v>707</v>
      </c>
      <c r="Q234" s="18">
        <v>506</v>
      </c>
      <c r="R234" s="18">
        <v>647</v>
      </c>
      <c r="S234" s="18" t="s">
        <v>1464</v>
      </c>
      <c r="T234" s="18">
        <v>931</v>
      </c>
    </row>
    <row r="235" spans="1:20" x14ac:dyDescent="0.2">
      <c r="A235">
        <v>579</v>
      </c>
      <c r="B235">
        <v>578</v>
      </c>
      <c r="C235" t="s">
        <v>1297</v>
      </c>
      <c r="D235" t="s">
        <v>1298</v>
      </c>
      <c r="E235" t="s">
        <v>738</v>
      </c>
      <c r="F235" t="s">
        <v>1299</v>
      </c>
      <c r="G235" t="s">
        <v>1300</v>
      </c>
      <c r="H235" t="s">
        <v>1301</v>
      </c>
      <c r="I235">
        <v>523</v>
      </c>
      <c r="J235">
        <v>523</v>
      </c>
      <c r="K235" s="11" t="s">
        <v>458</v>
      </c>
      <c r="Q235" s="18">
        <v>579</v>
      </c>
      <c r="R235" s="18">
        <v>506</v>
      </c>
      <c r="S235" s="18" t="s">
        <v>1353</v>
      </c>
      <c r="T235" s="18">
        <v>927</v>
      </c>
    </row>
    <row r="236" spans="1:20" x14ac:dyDescent="0.2">
      <c r="A236">
        <v>506</v>
      </c>
      <c r="B236">
        <v>498</v>
      </c>
      <c r="C236" t="s">
        <v>771</v>
      </c>
      <c r="D236" t="s">
        <v>1380</v>
      </c>
      <c r="E236" t="s">
        <v>738</v>
      </c>
      <c r="F236" t="s">
        <v>1381</v>
      </c>
      <c r="G236" t="s">
        <v>738</v>
      </c>
      <c r="H236" t="s">
        <v>1382</v>
      </c>
      <c r="I236">
        <v>2532</v>
      </c>
      <c r="J236">
        <v>2532</v>
      </c>
      <c r="K236" s="11" t="s">
        <v>374</v>
      </c>
      <c r="Q236" s="18">
        <v>506</v>
      </c>
      <c r="R236" s="18">
        <v>682</v>
      </c>
      <c r="S236" s="18" t="s">
        <v>1404</v>
      </c>
      <c r="T236" s="18">
        <v>828</v>
      </c>
    </row>
    <row r="237" spans="1:20" x14ac:dyDescent="0.2">
      <c r="A237">
        <v>574</v>
      </c>
      <c r="B237">
        <v>663</v>
      </c>
      <c r="C237" t="s">
        <v>801</v>
      </c>
      <c r="D237" t="s">
        <v>1520</v>
      </c>
      <c r="E237" t="s">
        <v>727</v>
      </c>
      <c r="F237" t="s">
        <v>1521</v>
      </c>
      <c r="G237" t="s">
        <v>1522</v>
      </c>
      <c r="H237" t="s">
        <v>1523</v>
      </c>
      <c r="I237">
        <v>462</v>
      </c>
      <c r="J237">
        <v>462</v>
      </c>
      <c r="K237" s="11" t="s">
        <v>536</v>
      </c>
      <c r="Q237" s="18">
        <v>506</v>
      </c>
      <c r="R237" s="18">
        <v>733</v>
      </c>
      <c r="S237" s="18" t="s">
        <v>1432</v>
      </c>
      <c r="T237" s="18">
        <v>755</v>
      </c>
    </row>
    <row r="238" spans="1:20" x14ac:dyDescent="0.2">
      <c r="A238">
        <v>702</v>
      </c>
      <c r="B238">
        <v>2190</v>
      </c>
      <c r="C238" t="s">
        <v>2058</v>
      </c>
      <c r="D238" t="s">
        <v>2059</v>
      </c>
      <c r="E238" t="s">
        <v>2060</v>
      </c>
      <c r="F238" t="s">
        <v>2061</v>
      </c>
      <c r="G238" t="s">
        <v>904</v>
      </c>
      <c r="H238" t="s">
        <v>2062</v>
      </c>
      <c r="I238">
        <v>344</v>
      </c>
      <c r="J238">
        <v>344</v>
      </c>
      <c r="K238" s="11" t="s">
        <v>648</v>
      </c>
      <c r="Q238" s="18">
        <v>506</v>
      </c>
      <c r="R238" s="18">
        <v>702</v>
      </c>
      <c r="S238" s="18" t="s">
        <v>1362</v>
      </c>
      <c r="T238" s="18">
        <v>737</v>
      </c>
    </row>
    <row r="239" spans="1:20" x14ac:dyDescent="0.2">
      <c r="A239">
        <v>691</v>
      </c>
      <c r="B239">
        <v>653</v>
      </c>
      <c r="C239" t="s">
        <v>1660</v>
      </c>
      <c r="D239" t="s">
        <v>1661</v>
      </c>
      <c r="E239" t="s">
        <v>1662</v>
      </c>
      <c r="F239" t="s">
        <v>1663</v>
      </c>
      <c r="G239" t="s">
        <v>1317</v>
      </c>
      <c r="H239" t="s">
        <v>1664</v>
      </c>
      <c r="I239">
        <v>265</v>
      </c>
      <c r="J239">
        <v>265</v>
      </c>
      <c r="K239" s="11" t="s">
        <v>665</v>
      </c>
      <c r="Q239" s="18">
        <v>625</v>
      </c>
      <c r="R239" s="18">
        <v>506</v>
      </c>
      <c r="S239" s="18" t="s">
        <v>1084</v>
      </c>
      <c r="T239" s="18">
        <v>702</v>
      </c>
    </row>
    <row r="240" spans="1:20" x14ac:dyDescent="0.2">
      <c r="A240">
        <v>597</v>
      </c>
      <c r="B240">
        <v>498</v>
      </c>
      <c r="C240" t="s">
        <v>771</v>
      </c>
      <c r="D240" t="s">
        <v>835</v>
      </c>
      <c r="E240" t="s">
        <v>738</v>
      </c>
      <c r="F240" t="s">
        <v>836</v>
      </c>
      <c r="G240" t="s">
        <v>799</v>
      </c>
      <c r="H240" t="s">
        <v>837</v>
      </c>
      <c r="I240">
        <v>1896</v>
      </c>
      <c r="J240">
        <v>1896</v>
      </c>
      <c r="K240" s="11" t="s">
        <v>389</v>
      </c>
      <c r="Q240" s="18">
        <v>506</v>
      </c>
      <c r="R240" s="18">
        <v>720</v>
      </c>
      <c r="S240" s="18" t="s">
        <v>1420</v>
      </c>
      <c r="T240" s="18">
        <v>695</v>
      </c>
    </row>
    <row r="241" spans="1:20" x14ac:dyDescent="0.2">
      <c r="A241">
        <v>554</v>
      </c>
      <c r="B241">
        <v>720</v>
      </c>
      <c r="C241" t="s">
        <v>801</v>
      </c>
      <c r="D241" t="s">
        <v>1737</v>
      </c>
      <c r="E241" t="s">
        <v>727</v>
      </c>
      <c r="F241" t="s">
        <v>1738</v>
      </c>
      <c r="G241" t="s">
        <v>1283</v>
      </c>
      <c r="H241" t="s">
        <v>1739</v>
      </c>
      <c r="I241">
        <v>345</v>
      </c>
      <c r="J241">
        <v>345</v>
      </c>
      <c r="K241" s="11" t="s">
        <v>627</v>
      </c>
      <c r="Q241" s="18">
        <v>506</v>
      </c>
      <c r="R241" s="18">
        <v>645</v>
      </c>
      <c r="S241" s="18" t="s">
        <v>1469</v>
      </c>
      <c r="T241" s="18">
        <v>663</v>
      </c>
    </row>
    <row r="242" spans="1:20" x14ac:dyDescent="0.2">
      <c r="A242">
        <v>2189</v>
      </c>
      <c r="B242">
        <v>673</v>
      </c>
      <c r="C242" t="s">
        <v>771</v>
      </c>
      <c r="D242" t="s">
        <v>2335</v>
      </c>
      <c r="E242" t="s">
        <v>738</v>
      </c>
      <c r="F242" t="s">
        <v>2336</v>
      </c>
      <c r="G242" t="s">
        <v>738</v>
      </c>
      <c r="H242" t="s">
        <v>2337</v>
      </c>
      <c r="I242">
        <v>1628</v>
      </c>
      <c r="J242">
        <v>1628</v>
      </c>
      <c r="K242" s="11" t="s">
        <v>372</v>
      </c>
      <c r="Q242" s="4">
        <v>506</v>
      </c>
      <c r="R242" s="4">
        <v>730</v>
      </c>
      <c r="S242" s="4" t="s">
        <v>1444</v>
      </c>
      <c r="T242" s="4">
        <v>517</v>
      </c>
    </row>
    <row r="243" spans="1:20" x14ac:dyDescent="0.2">
      <c r="A243">
        <v>506</v>
      </c>
      <c r="B243">
        <v>720</v>
      </c>
      <c r="C243" t="s">
        <v>1417</v>
      </c>
      <c r="D243" t="s">
        <v>1418</v>
      </c>
      <c r="E243" t="s">
        <v>1419</v>
      </c>
      <c r="F243" t="s">
        <v>1420</v>
      </c>
      <c r="G243" t="s">
        <v>1246</v>
      </c>
      <c r="H243" t="s">
        <v>1421</v>
      </c>
      <c r="I243">
        <v>695</v>
      </c>
      <c r="J243">
        <v>695</v>
      </c>
      <c r="K243" s="11" t="s">
        <v>569</v>
      </c>
      <c r="Q243" s="18">
        <v>506</v>
      </c>
      <c r="R243" s="18">
        <v>736</v>
      </c>
      <c r="S243" s="18" t="s">
        <v>1440</v>
      </c>
      <c r="T243" s="18">
        <v>458</v>
      </c>
    </row>
    <row r="244" spans="1:20" x14ac:dyDescent="0.2">
      <c r="A244">
        <v>575</v>
      </c>
      <c r="B244">
        <v>663</v>
      </c>
      <c r="C244" t="s">
        <v>1980</v>
      </c>
      <c r="D244" t="s">
        <v>1981</v>
      </c>
      <c r="E244" t="s">
        <v>1982</v>
      </c>
      <c r="F244" t="s">
        <v>1983</v>
      </c>
      <c r="G244" t="s">
        <v>1984</v>
      </c>
      <c r="H244" t="s">
        <v>1985</v>
      </c>
      <c r="I244">
        <v>658</v>
      </c>
      <c r="J244">
        <v>658</v>
      </c>
      <c r="K244" s="11" t="s">
        <v>516</v>
      </c>
      <c r="Q244" s="18">
        <v>506</v>
      </c>
      <c r="R244" s="18">
        <v>613</v>
      </c>
      <c r="S244" s="18" t="s">
        <v>1386</v>
      </c>
      <c r="T244" s="18">
        <v>437</v>
      </c>
    </row>
    <row r="245" spans="1:20" x14ac:dyDescent="0.2">
      <c r="A245">
        <v>691</v>
      </c>
      <c r="B245">
        <v>578</v>
      </c>
      <c r="C245" t="s">
        <v>1674</v>
      </c>
      <c r="D245" t="s">
        <v>1675</v>
      </c>
      <c r="E245" t="s">
        <v>1676</v>
      </c>
      <c r="F245" t="s">
        <v>1677</v>
      </c>
      <c r="G245" t="s">
        <v>904</v>
      </c>
      <c r="H245" t="s">
        <v>1678</v>
      </c>
      <c r="I245">
        <v>535</v>
      </c>
      <c r="J245">
        <v>535</v>
      </c>
      <c r="K245" s="11" t="s">
        <v>568</v>
      </c>
      <c r="Q245" s="18">
        <v>2191</v>
      </c>
      <c r="R245" s="18">
        <v>506</v>
      </c>
      <c r="S245" s="18" t="s">
        <v>768</v>
      </c>
      <c r="T245" s="18">
        <v>361</v>
      </c>
    </row>
    <row r="246" spans="1:20" x14ac:dyDescent="0.2">
      <c r="A246">
        <v>571</v>
      </c>
      <c r="B246">
        <v>648</v>
      </c>
      <c r="C246" t="s">
        <v>801</v>
      </c>
      <c r="D246" t="s">
        <v>1210</v>
      </c>
      <c r="E246" t="s">
        <v>727</v>
      </c>
      <c r="F246" t="s">
        <v>1211</v>
      </c>
      <c r="G246" t="s">
        <v>1212</v>
      </c>
      <c r="H246" t="s">
        <v>1213</v>
      </c>
      <c r="I246">
        <v>252</v>
      </c>
      <c r="J246">
        <v>252</v>
      </c>
      <c r="K246" s="11" t="s">
        <v>720</v>
      </c>
      <c r="Q246" s="18">
        <v>506</v>
      </c>
      <c r="R246" s="18">
        <v>653</v>
      </c>
      <c r="S246" s="18" t="s">
        <v>1449</v>
      </c>
      <c r="T246" s="18">
        <v>309</v>
      </c>
    </row>
    <row r="247" spans="1:20" x14ac:dyDescent="0.2">
      <c r="A247">
        <v>506</v>
      </c>
      <c r="B247">
        <v>663</v>
      </c>
      <c r="C247" t="s">
        <v>1397</v>
      </c>
      <c r="D247" t="s">
        <v>1398</v>
      </c>
      <c r="E247" t="s">
        <v>1399</v>
      </c>
      <c r="F247" t="s">
        <v>1400</v>
      </c>
      <c r="G247" t="s">
        <v>1401</v>
      </c>
      <c r="H247" t="s">
        <v>1402</v>
      </c>
      <c r="I247">
        <v>1473</v>
      </c>
      <c r="J247">
        <v>1473</v>
      </c>
      <c r="K247" s="11" t="s">
        <v>460</v>
      </c>
      <c r="Q247" s="18">
        <v>506</v>
      </c>
      <c r="R247" s="18">
        <v>2189</v>
      </c>
      <c r="S247" s="18" t="s">
        <v>1461</v>
      </c>
      <c r="T247" s="18">
        <v>203</v>
      </c>
    </row>
    <row r="248" spans="1:20" x14ac:dyDescent="0.2">
      <c r="A248">
        <v>591</v>
      </c>
      <c r="B248">
        <v>663</v>
      </c>
      <c r="C248" t="s">
        <v>1873</v>
      </c>
      <c r="D248" t="s">
        <v>1874</v>
      </c>
      <c r="E248" t="s">
        <v>738</v>
      </c>
      <c r="F248" t="s">
        <v>1875</v>
      </c>
      <c r="G248" t="s">
        <v>1649</v>
      </c>
      <c r="H248" t="s">
        <v>1876</v>
      </c>
      <c r="I248">
        <v>898</v>
      </c>
      <c r="J248">
        <v>898</v>
      </c>
      <c r="K248" s="11" t="s">
        <v>448</v>
      </c>
      <c r="Q248" s="18">
        <v>506</v>
      </c>
      <c r="R248" s="18">
        <v>490</v>
      </c>
      <c r="S248" s="18" t="s">
        <v>1437</v>
      </c>
      <c r="T248" s="18">
        <v>109</v>
      </c>
    </row>
    <row r="249" spans="1:20" x14ac:dyDescent="0.2">
      <c r="A249">
        <v>700</v>
      </c>
      <c r="B249">
        <v>702</v>
      </c>
      <c r="C249" t="s">
        <v>801</v>
      </c>
      <c r="D249" t="s">
        <v>912</v>
      </c>
      <c r="E249" t="s">
        <v>727</v>
      </c>
      <c r="F249" t="s">
        <v>913</v>
      </c>
      <c r="G249" t="s">
        <v>914</v>
      </c>
      <c r="H249" t="s">
        <v>915</v>
      </c>
      <c r="I249">
        <v>444</v>
      </c>
      <c r="J249">
        <v>444</v>
      </c>
      <c r="K249" s="11" t="s">
        <v>595</v>
      </c>
    </row>
    <row r="250" spans="1:20" x14ac:dyDescent="0.2">
      <c r="A250">
        <v>700</v>
      </c>
      <c r="B250">
        <v>691</v>
      </c>
      <c r="C250" t="s">
        <v>801</v>
      </c>
      <c r="D250" t="s">
        <v>945</v>
      </c>
      <c r="E250" t="s">
        <v>727</v>
      </c>
      <c r="F250" t="s">
        <v>946</v>
      </c>
      <c r="G250" t="s">
        <v>947</v>
      </c>
      <c r="H250" t="s">
        <v>948</v>
      </c>
      <c r="I250">
        <v>781</v>
      </c>
      <c r="J250">
        <v>781</v>
      </c>
      <c r="K250" s="11" t="s">
        <v>469</v>
      </c>
    </row>
    <row r="251" spans="1:20" x14ac:dyDescent="0.2">
      <c r="A251">
        <v>627</v>
      </c>
      <c r="B251">
        <v>730</v>
      </c>
      <c r="C251" t="s">
        <v>801</v>
      </c>
      <c r="D251" t="s">
        <v>1796</v>
      </c>
      <c r="E251" t="s">
        <v>727</v>
      </c>
      <c r="F251" t="s">
        <v>1797</v>
      </c>
      <c r="G251" t="s">
        <v>968</v>
      </c>
      <c r="H251" t="s">
        <v>1798</v>
      </c>
      <c r="I251">
        <v>497</v>
      </c>
      <c r="J251">
        <v>497</v>
      </c>
      <c r="K251" s="11" t="s">
        <v>522</v>
      </c>
    </row>
    <row r="252" spans="1:20" x14ac:dyDescent="0.2">
      <c r="A252">
        <v>647</v>
      </c>
      <c r="B252">
        <v>712</v>
      </c>
      <c r="C252" t="s">
        <v>801</v>
      </c>
      <c r="D252" t="s">
        <v>2204</v>
      </c>
      <c r="E252" t="s">
        <v>727</v>
      </c>
      <c r="F252" t="s">
        <v>2205</v>
      </c>
      <c r="G252" t="s">
        <v>1059</v>
      </c>
      <c r="H252" t="s">
        <v>2206</v>
      </c>
      <c r="I252">
        <v>8</v>
      </c>
      <c r="J252">
        <v>8</v>
      </c>
      <c r="K252" s="11" t="s">
        <v>726</v>
      </c>
      <c r="Q252" s="21" t="s">
        <v>355</v>
      </c>
      <c r="R252" s="21" t="s">
        <v>356</v>
      </c>
      <c r="S252" s="21" t="s">
        <v>2368</v>
      </c>
      <c r="T252" s="26" t="s">
        <v>357</v>
      </c>
    </row>
    <row r="253" spans="1:20" x14ac:dyDescent="0.2">
      <c r="A253">
        <v>574</v>
      </c>
      <c r="B253">
        <v>682</v>
      </c>
      <c r="C253" t="s">
        <v>1570</v>
      </c>
      <c r="D253" t="s">
        <v>1571</v>
      </c>
      <c r="E253" t="s">
        <v>738</v>
      </c>
      <c r="F253" t="s">
        <v>1572</v>
      </c>
      <c r="G253" t="s">
        <v>874</v>
      </c>
      <c r="H253" t="s">
        <v>1573</v>
      </c>
      <c r="I253">
        <v>1050</v>
      </c>
      <c r="J253">
        <v>1050</v>
      </c>
      <c r="K253" s="11" t="s">
        <v>380</v>
      </c>
      <c r="Q253" s="18">
        <v>597</v>
      </c>
      <c r="R253" s="18">
        <v>682</v>
      </c>
      <c r="S253" s="18" t="s">
        <v>839</v>
      </c>
      <c r="T253" s="20">
        <v>2645</v>
      </c>
    </row>
    <row r="254" spans="1:20" x14ac:dyDescent="0.2">
      <c r="A254">
        <v>2191</v>
      </c>
      <c r="B254">
        <v>682</v>
      </c>
      <c r="C254" t="s">
        <v>771</v>
      </c>
      <c r="D254" t="s">
        <v>797</v>
      </c>
      <c r="E254" t="s">
        <v>738</v>
      </c>
      <c r="F254" t="s">
        <v>798</v>
      </c>
      <c r="G254" t="s">
        <v>799</v>
      </c>
      <c r="H254" t="s">
        <v>800</v>
      </c>
      <c r="I254">
        <v>1268</v>
      </c>
      <c r="J254">
        <v>1268</v>
      </c>
      <c r="K254" s="11" t="s">
        <v>408</v>
      </c>
      <c r="Q254" s="18">
        <v>682</v>
      </c>
      <c r="R254" s="18">
        <v>720</v>
      </c>
      <c r="S254" s="18" t="s">
        <v>1945</v>
      </c>
      <c r="T254" s="20">
        <v>2139</v>
      </c>
    </row>
    <row r="255" spans="1:20" x14ac:dyDescent="0.2">
      <c r="A255">
        <v>730</v>
      </c>
      <c r="B255">
        <v>647</v>
      </c>
      <c r="C255" t="s">
        <v>801</v>
      </c>
      <c r="D255" t="s">
        <v>2175</v>
      </c>
      <c r="E255" t="s">
        <v>727</v>
      </c>
      <c r="F255" t="s">
        <v>2176</v>
      </c>
      <c r="G255" t="s">
        <v>898</v>
      </c>
      <c r="H255" t="s">
        <v>2177</v>
      </c>
      <c r="I255">
        <v>919</v>
      </c>
      <c r="J255">
        <v>919</v>
      </c>
      <c r="K255" s="11" t="s">
        <v>639</v>
      </c>
      <c r="Q255" s="18">
        <v>682</v>
      </c>
      <c r="R255" s="18">
        <v>498</v>
      </c>
      <c r="S255" s="18" t="s">
        <v>1911</v>
      </c>
      <c r="T255" s="20">
        <v>1358</v>
      </c>
    </row>
    <row r="256" spans="1:20" x14ac:dyDescent="0.2">
      <c r="A256">
        <v>712</v>
      </c>
      <c r="B256">
        <v>736</v>
      </c>
      <c r="C256" t="s">
        <v>2348</v>
      </c>
      <c r="D256" t="s">
        <v>2349</v>
      </c>
      <c r="E256" t="s">
        <v>2350</v>
      </c>
      <c r="F256" t="s">
        <v>2351</v>
      </c>
      <c r="G256" t="s">
        <v>1228</v>
      </c>
      <c r="H256" t="s">
        <v>2352</v>
      </c>
      <c r="I256">
        <v>278</v>
      </c>
      <c r="J256">
        <v>278</v>
      </c>
      <c r="K256" s="11" t="s">
        <v>643</v>
      </c>
      <c r="Q256" s="18">
        <v>2191</v>
      </c>
      <c r="R256" s="18">
        <v>682</v>
      </c>
      <c r="S256" s="18" t="s">
        <v>798</v>
      </c>
      <c r="T256" s="20">
        <v>1268</v>
      </c>
    </row>
    <row r="257" spans="1:20" x14ac:dyDescent="0.2">
      <c r="A257">
        <v>647</v>
      </c>
      <c r="B257">
        <v>2189</v>
      </c>
      <c r="C257" t="s">
        <v>2230</v>
      </c>
      <c r="D257" t="s">
        <v>2231</v>
      </c>
      <c r="E257" t="s">
        <v>738</v>
      </c>
      <c r="F257" t="s">
        <v>2232</v>
      </c>
      <c r="G257" t="s">
        <v>785</v>
      </c>
      <c r="H257" t="s">
        <v>2233</v>
      </c>
      <c r="I257">
        <v>524</v>
      </c>
      <c r="J257">
        <v>524</v>
      </c>
      <c r="K257" s="11" t="s">
        <v>528</v>
      </c>
      <c r="Q257" s="18">
        <v>691</v>
      </c>
      <c r="R257" s="18">
        <v>682</v>
      </c>
      <c r="S257" s="18" t="s">
        <v>1658</v>
      </c>
      <c r="T257" s="20">
        <v>1153</v>
      </c>
    </row>
    <row r="258" spans="1:20" x14ac:dyDescent="0.2">
      <c r="A258">
        <v>554</v>
      </c>
      <c r="B258">
        <v>591</v>
      </c>
      <c r="C258" t="s">
        <v>1692</v>
      </c>
      <c r="D258" t="s">
        <v>1693</v>
      </c>
      <c r="E258" t="s">
        <v>1694</v>
      </c>
      <c r="F258" t="s">
        <v>1695</v>
      </c>
      <c r="G258" t="s">
        <v>947</v>
      </c>
      <c r="H258" t="s">
        <v>1696</v>
      </c>
      <c r="I258">
        <v>669</v>
      </c>
      <c r="J258">
        <v>669</v>
      </c>
      <c r="K258" s="11" t="s">
        <v>473</v>
      </c>
      <c r="Q258" s="18">
        <v>574</v>
      </c>
      <c r="R258" s="18">
        <v>682</v>
      </c>
      <c r="S258" s="18" t="s">
        <v>1572</v>
      </c>
      <c r="T258" s="20">
        <v>1050</v>
      </c>
    </row>
    <row r="259" spans="1:20" x14ac:dyDescent="0.2">
      <c r="A259">
        <v>700</v>
      </c>
      <c r="B259">
        <v>498</v>
      </c>
      <c r="C259" t="s">
        <v>929</v>
      </c>
      <c r="D259" t="s">
        <v>930</v>
      </c>
      <c r="E259" t="s">
        <v>931</v>
      </c>
      <c r="F259" t="s">
        <v>932</v>
      </c>
      <c r="G259" t="s">
        <v>933</v>
      </c>
      <c r="H259" t="s">
        <v>934</v>
      </c>
      <c r="I259">
        <v>260</v>
      </c>
      <c r="J259">
        <v>260</v>
      </c>
      <c r="K259" s="11" t="s">
        <v>649</v>
      </c>
      <c r="Q259" s="18">
        <v>682</v>
      </c>
      <c r="R259" s="18">
        <v>712</v>
      </c>
      <c r="S259" s="18" t="s">
        <v>1914</v>
      </c>
      <c r="T259" s="20">
        <v>1044</v>
      </c>
    </row>
    <row r="260" spans="1:20" x14ac:dyDescent="0.2">
      <c r="A260">
        <v>625</v>
      </c>
      <c r="B260">
        <v>720</v>
      </c>
      <c r="C260" t="s">
        <v>1104</v>
      </c>
      <c r="D260" t="s">
        <v>1105</v>
      </c>
      <c r="E260" t="s">
        <v>1106</v>
      </c>
      <c r="F260" t="s">
        <v>1107</v>
      </c>
      <c r="G260" t="s">
        <v>1108</v>
      </c>
      <c r="H260" t="s">
        <v>1109</v>
      </c>
      <c r="I260">
        <v>127</v>
      </c>
      <c r="J260">
        <v>127</v>
      </c>
      <c r="K260" s="11" t="s">
        <v>681</v>
      </c>
      <c r="Q260" s="18">
        <v>682</v>
      </c>
      <c r="R260" s="18">
        <v>2190</v>
      </c>
      <c r="S260" s="18" t="s">
        <v>1960</v>
      </c>
      <c r="T260" s="20">
        <v>977</v>
      </c>
    </row>
    <row r="261" spans="1:20" x14ac:dyDescent="0.2">
      <c r="A261">
        <v>700</v>
      </c>
      <c r="B261">
        <v>635</v>
      </c>
      <c r="C261" t="s">
        <v>1005</v>
      </c>
      <c r="D261" t="s">
        <v>1006</v>
      </c>
      <c r="E261" t="s">
        <v>738</v>
      </c>
      <c r="F261" t="s">
        <v>1007</v>
      </c>
      <c r="G261" t="s">
        <v>738</v>
      </c>
      <c r="H261" t="s">
        <v>1008</v>
      </c>
      <c r="I261">
        <v>88</v>
      </c>
      <c r="J261">
        <v>88</v>
      </c>
      <c r="K261" s="11" t="s">
        <v>727</v>
      </c>
      <c r="Q261" s="18">
        <v>506</v>
      </c>
      <c r="R261" s="18">
        <v>682</v>
      </c>
      <c r="S261" s="18" t="s">
        <v>1404</v>
      </c>
      <c r="T261" s="20">
        <v>828</v>
      </c>
    </row>
    <row r="262" spans="1:20" x14ac:dyDescent="0.2">
      <c r="A262">
        <v>700</v>
      </c>
      <c r="B262">
        <v>579</v>
      </c>
      <c r="C262" t="s">
        <v>970</v>
      </c>
      <c r="D262" t="s">
        <v>971</v>
      </c>
      <c r="E262" t="s">
        <v>972</v>
      </c>
      <c r="F262" t="s">
        <v>973</v>
      </c>
      <c r="G262" t="s">
        <v>874</v>
      </c>
      <c r="H262" t="s">
        <v>974</v>
      </c>
      <c r="I262">
        <v>546</v>
      </c>
      <c r="J262">
        <v>546</v>
      </c>
      <c r="K262" s="11" t="s">
        <v>437</v>
      </c>
      <c r="Q262" s="18">
        <v>682</v>
      </c>
      <c r="R262" s="18">
        <v>723</v>
      </c>
      <c r="S262" s="18" t="s">
        <v>1924</v>
      </c>
      <c r="T262" s="20">
        <v>748</v>
      </c>
    </row>
    <row r="263" spans="1:20" x14ac:dyDescent="0.2">
      <c r="A263">
        <v>571</v>
      </c>
      <c r="B263">
        <v>736</v>
      </c>
      <c r="C263" t="s">
        <v>1185</v>
      </c>
      <c r="D263" t="s">
        <v>1186</v>
      </c>
      <c r="E263" t="s">
        <v>738</v>
      </c>
      <c r="F263" t="s">
        <v>1187</v>
      </c>
      <c r="G263" t="s">
        <v>1188</v>
      </c>
      <c r="H263" t="s">
        <v>1189</v>
      </c>
      <c r="I263">
        <v>2642</v>
      </c>
      <c r="J263">
        <v>2642</v>
      </c>
      <c r="K263" s="11" t="s">
        <v>527</v>
      </c>
      <c r="Q263" s="18">
        <v>682</v>
      </c>
      <c r="R263" s="18">
        <v>702</v>
      </c>
      <c r="S263" s="18" t="s">
        <v>1903</v>
      </c>
      <c r="T263" s="20">
        <v>732</v>
      </c>
    </row>
    <row r="264" spans="1:20" x14ac:dyDescent="0.2">
      <c r="A264">
        <v>579</v>
      </c>
      <c r="B264">
        <v>574</v>
      </c>
      <c r="C264" t="s">
        <v>1248</v>
      </c>
      <c r="D264" t="s">
        <v>1249</v>
      </c>
      <c r="E264" t="s">
        <v>738</v>
      </c>
      <c r="F264" t="s">
        <v>1250</v>
      </c>
      <c r="G264" t="s">
        <v>1251</v>
      </c>
      <c r="H264" t="s">
        <v>1252</v>
      </c>
      <c r="I264">
        <v>557</v>
      </c>
      <c r="J264">
        <v>557</v>
      </c>
      <c r="K264" s="11" t="s">
        <v>401</v>
      </c>
      <c r="Q264" s="18">
        <v>682</v>
      </c>
      <c r="R264" s="18">
        <v>575</v>
      </c>
      <c r="S264" s="18" t="s">
        <v>1929</v>
      </c>
      <c r="T264" s="20">
        <v>651</v>
      </c>
    </row>
    <row r="265" spans="1:20" x14ac:dyDescent="0.2">
      <c r="A265">
        <v>579</v>
      </c>
      <c r="B265">
        <v>733</v>
      </c>
      <c r="C265" t="s">
        <v>801</v>
      </c>
      <c r="D265" t="s">
        <v>1306</v>
      </c>
      <c r="E265" t="s">
        <v>727</v>
      </c>
      <c r="F265" t="s">
        <v>1307</v>
      </c>
      <c r="G265" t="s">
        <v>1308</v>
      </c>
      <c r="H265" t="s">
        <v>1309</v>
      </c>
      <c r="I265">
        <v>164</v>
      </c>
      <c r="J265">
        <v>164</v>
      </c>
      <c r="K265" s="11" t="s">
        <v>656</v>
      </c>
      <c r="Q265" s="18">
        <v>682</v>
      </c>
      <c r="R265" s="18">
        <v>648</v>
      </c>
      <c r="S265" s="18" t="s">
        <v>1920</v>
      </c>
      <c r="T265" s="20">
        <v>602</v>
      </c>
    </row>
    <row r="266" spans="1:20" x14ac:dyDescent="0.2">
      <c r="A266">
        <v>702</v>
      </c>
      <c r="B266">
        <v>653</v>
      </c>
      <c r="C266" t="s">
        <v>2050</v>
      </c>
      <c r="D266" t="s">
        <v>2051</v>
      </c>
      <c r="E266" t="s">
        <v>738</v>
      </c>
      <c r="F266" t="s">
        <v>2052</v>
      </c>
      <c r="G266" t="s">
        <v>1313</v>
      </c>
      <c r="H266" t="s">
        <v>2053</v>
      </c>
      <c r="I266">
        <v>930</v>
      </c>
      <c r="J266">
        <v>930</v>
      </c>
      <c r="K266" s="11" t="s">
        <v>487</v>
      </c>
      <c r="Q266" s="18">
        <v>682</v>
      </c>
      <c r="R266" s="18">
        <v>730</v>
      </c>
      <c r="S266" s="18" t="s">
        <v>1942</v>
      </c>
      <c r="T266" s="20">
        <v>539</v>
      </c>
    </row>
    <row r="267" spans="1:20" x14ac:dyDescent="0.2">
      <c r="A267">
        <v>700</v>
      </c>
      <c r="B267">
        <v>682</v>
      </c>
      <c r="C267" t="s">
        <v>801</v>
      </c>
      <c r="D267" t="s">
        <v>1020</v>
      </c>
      <c r="E267" t="s">
        <v>727</v>
      </c>
      <c r="F267" t="s">
        <v>1021</v>
      </c>
      <c r="G267" t="s">
        <v>1022</v>
      </c>
      <c r="H267" t="s">
        <v>1023</v>
      </c>
      <c r="I267">
        <v>379</v>
      </c>
      <c r="J267">
        <v>379</v>
      </c>
      <c r="K267" s="11" t="s">
        <v>574</v>
      </c>
      <c r="Q267" s="18">
        <v>627</v>
      </c>
      <c r="R267" s="18">
        <v>682</v>
      </c>
      <c r="S267" s="18" t="s">
        <v>1814</v>
      </c>
      <c r="T267" s="20">
        <v>508</v>
      </c>
    </row>
    <row r="268" spans="1:20" x14ac:dyDescent="0.2">
      <c r="A268">
        <v>691</v>
      </c>
      <c r="B268">
        <v>529</v>
      </c>
      <c r="C268" t="s">
        <v>1582</v>
      </c>
      <c r="D268" t="s">
        <v>1583</v>
      </c>
      <c r="E268" t="s">
        <v>738</v>
      </c>
      <c r="F268" t="s">
        <v>1584</v>
      </c>
      <c r="G268" t="s">
        <v>738</v>
      </c>
      <c r="H268" t="s">
        <v>1585</v>
      </c>
      <c r="I268">
        <v>1387</v>
      </c>
      <c r="J268">
        <v>1387</v>
      </c>
      <c r="K268" s="11" t="s">
        <v>375</v>
      </c>
      <c r="Q268" s="18">
        <v>682</v>
      </c>
      <c r="R268" s="18">
        <v>733</v>
      </c>
      <c r="S268" s="18" t="s">
        <v>1948</v>
      </c>
      <c r="T268" s="20">
        <v>493</v>
      </c>
    </row>
    <row r="269" spans="1:20" x14ac:dyDescent="0.2">
      <c r="A269">
        <v>591</v>
      </c>
      <c r="B269">
        <v>498</v>
      </c>
      <c r="C269" t="s">
        <v>1839</v>
      </c>
      <c r="D269" t="s">
        <v>1840</v>
      </c>
      <c r="E269" t="s">
        <v>1841</v>
      </c>
      <c r="F269" t="s">
        <v>1842</v>
      </c>
      <c r="G269" t="s">
        <v>769</v>
      </c>
      <c r="H269" t="s">
        <v>1843</v>
      </c>
      <c r="I269">
        <v>188</v>
      </c>
      <c r="J269">
        <v>188</v>
      </c>
      <c r="K269" s="11" t="s">
        <v>671</v>
      </c>
      <c r="Q269" s="18">
        <v>682</v>
      </c>
      <c r="R269" s="18">
        <v>529</v>
      </c>
      <c r="S269" s="18" t="s">
        <v>1908</v>
      </c>
      <c r="T269" s="20">
        <v>472</v>
      </c>
    </row>
    <row r="270" spans="1:20" x14ac:dyDescent="0.2">
      <c r="A270">
        <v>575</v>
      </c>
      <c r="B270">
        <v>673</v>
      </c>
      <c r="C270" t="s">
        <v>1996</v>
      </c>
      <c r="D270" t="s">
        <v>1997</v>
      </c>
      <c r="E270" t="s">
        <v>1998</v>
      </c>
      <c r="F270" t="s">
        <v>1999</v>
      </c>
      <c r="G270" t="s">
        <v>2000</v>
      </c>
      <c r="H270" t="s">
        <v>2001</v>
      </c>
      <c r="I270">
        <v>508</v>
      </c>
      <c r="J270">
        <v>508</v>
      </c>
      <c r="K270" s="11" t="s">
        <v>551</v>
      </c>
      <c r="Q270" s="18">
        <v>682</v>
      </c>
      <c r="R270" s="18">
        <v>647</v>
      </c>
      <c r="S270" s="18" t="s">
        <v>1939</v>
      </c>
      <c r="T270" s="18">
        <v>442</v>
      </c>
    </row>
    <row r="271" spans="1:20" x14ac:dyDescent="0.2">
      <c r="A271">
        <v>591</v>
      </c>
      <c r="B271">
        <v>682</v>
      </c>
      <c r="C271" t="s">
        <v>801</v>
      </c>
      <c r="D271" t="s">
        <v>1892</v>
      </c>
      <c r="E271" t="s">
        <v>727</v>
      </c>
      <c r="F271" t="s">
        <v>1893</v>
      </c>
      <c r="G271" t="s">
        <v>1894</v>
      </c>
      <c r="H271" t="s">
        <v>1895</v>
      </c>
      <c r="I271">
        <v>390</v>
      </c>
      <c r="J271">
        <v>390</v>
      </c>
      <c r="K271" s="11" t="s">
        <v>554</v>
      </c>
      <c r="Q271" s="18">
        <v>682</v>
      </c>
      <c r="R271" s="18">
        <v>2189</v>
      </c>
      <c r="S271" s="18" t="s">
        <v>1964</v>
      </c>
      <c r="T271" s="20">
        <v>431</v>
      </c>
    </row>
    <row r="272" spans="1:20" x14ac:dyDescent="0.2">
      <c r="A272">
        <v>627</v>
      </c>
      <c r="B272">
        <v>653</v>
      </c>
      <c r="C272" t="s">
        <v>1787</v>
      </c>
      <c r="D272" t="s">
        <v>1513</v>
      </c>
      <c r="E272" t="s">
        <v>1788</v>
      </c>
      <c r="F272" t="s">
        <v>1789</v>
      </c>
      <c r="G272" t="s">
        <v>823</v>
      </c>
      <c r="H272" t="s">
        <v>1790</v>
      </c>
      <c r="I272">
        <v>144</v>
      </c>
      <c r="J272">
        <v>144</v>
      </c>
      <c r="K272" s="11" t="s">
        <v>685</v>
      </c>
      <c r="Q272" s="18">
        <v>571</v>
      </c>
      <c r="R272" s="18">
        <v>682</v>
      </c>
      <c r="S272" s="18" t="s">
        <v>1219</v>
      </c>
      <c r="T272" s="20">
        <v>420</v>
      </c>
    </row>
    <row r="273" spans="1:20" x14ac:dyDescent="0.2">
      <c r="A273">
        <v>627</v>
      </c>
      <c r="B273">
        <v>720</v>
      </c>
      <c r="C273" t="s">
        <v>771</v>
      </c>
      <c r="D273" t="s">
        <v>1825</v>
      </c>
      <c r="E273" t="s">
        <v>738</v>
      </c>
      <c r="F273" t="s">
        <v>1826</v>
      </c>
      <c r="G273" t="s">
        <v>738</v>
      </c>
      <c r="H273" t="s">
        <v>1827</v>
      </c>
      <c r="I273">
        <v>2039</v>
      </c>
      <c r="J273">
        <v>2039</v>
      </c>
      <c r="K273" s="11" t="s">
        <v>360</v>
      </c>
      <c r="Q273" s="18">
        <v>591</v>
      </c>
      <c r="R273" s="18">
        <v>682</v>
      </c>
      <c r="S273" s="18" t="s">
        <v>1893</v>
      </c>
      <c r="T273" s="20">
        <v>390</v>
      </c>
    </row>
    <row r="274" spans="1:20" x14ac:dyDescent="0.2">
      <c r="A274">
        <v>645</v>
      </c>
      <c r="B274">
        <v>673</v>
      </c>
      <c r="C274" t="s">
        <v>2257</v>
      </c>
      <c r="D274" t="s">
        <v>2258</v>
      </c>
      <c r="E274" t="s">
        <v>2259</v>
      </c>
      <c r="F274" t="s">
        <v>2260</v>
      </c>
      <c r="G274" t="s">
        <v>1622</v>
      </c>
      <c r="H274" t="s">
        <v>2261</v>
      </c>
      <c r="I274">
        <v>545</v>
      </c>
      <c r="J274">
        <v>545</v>
      </c>
      <c r="K274" s="11" t="s">
        <v>511</v>
      </c>
      <c r="Q274" s="18">
        <v>700</v>
      </c>
      <c r="R274" s="18">
        <v>682</v>
      </c>
      <c r="S274" s="18" t="s">
        <v>1021</v>
      </c>
      <c r="T274" s="20">
        <v>379</v>
      </c>
    </row>
    <row r="275" spans="1:20" x14ac:dyDescent="0.2">
      <c r="A275">
        <v>682</v>
      </c>
      <c r="B275">
        <v>2189</v>
      </c>
      <c r="C275" t="s">
        <v>1962</v>
      </c>
      <c r="D275" t="s">
        <v>1963</v>
      </c>
      <c r="E275" t="s">
        <v>738</v>
      </c>
      <c r="F275" t="s">
        <v>1964</v>
      </c>
      <c r="G275" t="s">
        <v>769</v>
      </c>
      <c r="H275" t="s">
        <v>1965</v>
      </c>
      <c r="I275">
        <v>431</v>
      </c>
      <c r="J275">
        <v>431</v>
      </c>
      <c r="K275" s="11" t="s">
        <v>550</v>
      </c>
      <c r="Q275" s="18">
        <v>554</v>
      </c>
      <c r="R275" s="18">
        <v>682</v>
      </c>
      <c r="S275" s="18" t="s">
        <v>1726</v>
      </c>
      <c r="T275" s="20">
        <v>334</v>
      </c>
    </row>
    <row r="276" spans="1:20" x14ac:dyDescent="0.2">
      <c r="A276">
        <v>647</v>
      </c>
      <c r="B276">
        <v>663</v>
      </c>
      <c r="C276" t="s">
        <v>801</v>
      </c>
      <c r="D276" t="s">
        <v>2207</v>
      </c>
      <c r="E276" t="s">
        <v>727</v>
      </c>
      <c r="F276" t="s">
        <v>2208</v>
      </c>
      <c r="G276" t="s">
        <v>2209</v>
      </c>
      <c r="H276" t="s">
        <v>2210</v>
      </c>
      <c r="I276">
        <v>158</v>
      </c>
      <c r="J276">
        <v>158</v>
      </c>
      <c r="K276" s="11" t="s">
        <v>698</v>
      </c>
      <c r="Q276" s="18">
        <v>682</v>
      </c>
      <c r="R276" s="18">
        <v>663</v>
      </c>
      <c r="S276" s="18" t="s">
        <v>1917</v>
      </c>
      <c r="T276" s="20">
        <v>293</v>
      </c>
    </row>
    <row r="277" spans="1:20" x14ac:dyDescent="0.2">
      <c r="A277">
        <v>691</v>
      </c>
      <c r="B277">
        <v>648</v>
      </c>
      <c r="C277" t="s">
        <v>1669</v>
      </c>
      <c r="D277" t="s">
        <v>1670</v>
      </c>
      <c r="E277" t="s">
        <v>738</v>
      </c>
      <c r="F277" t="s">
        <v>1671</v>
      </c>
      <c r="G277" t="s">
        <v>1672</v>
      </c>
      <c r="H277" t="s">
        <v>1673</v>
      </c>
      <c r="I277">
        <v>1777</v>
      </c>
      <c r="J277">
        <v>1777</v>
      </c>
      <c r="K277" s="11" t="s">
        <v>463</v>
      </c>
      <c r="Q277" s="18">
        <v>579</v>
      </c>
      <c r="R277" s="18">
        <v>682</v>
      </c>
      <c r="S277" s="18" t="s">
        <v>1288</v>
      </c>
      <c r="T277" s="20">
        <v>266</v>
      </c>
    </row>
    <row r="278" spans="1:20" x14ac:dyDescent="0.2">
      <c r="A278">
        <v>647</v>
      </c>
      <c r="B278">
        <v>648</v>
      </c>
      <c r="C278" t="s">
        <v>2211</v>
      </c>
      <c r="D278" t="s">
        <v>2212</v>
      </c>
      <c r="E278" t="s">
        <v>738</v>
      </c>
      <c r="F278" t="s">
        <v>2213</v>
      </c>
      <c r="G278" t="s">
        <v>1852</v>
      </c>
      <c r="H278" t="s">
        <v>2214</v>
      </c>
      <c r="I278">
        <v>2605</v>
      </c>
      <c r="J278">
        <v>2605</v>
      </c>
      <c r="K278" s="11" t="s">
        <v>453</v>
      </c>
      <c r="Q278" s="18">
        <v>682</v>
      </c>
      <c r="R278" s="18">
        <v>645</v>
      </c>
      <c r="S278" s="18" t="s">
        <v>1955</v>
      </c>
      <c r="T278" s="20">
        <v>245</v>
      </c>
    </row>
    <row r="279" spans="1:20" x14ac:dyDescent="0.2">
      <c r="A279">
        <v>579</v>
      </c>
      <c r="B279">
        <v>613</v>
      </c>
      <c r="C279" t="s">
        <v>1264</v>
      </c>
      <c r="D279" t="s">
        <v>1265</v>
      </c>
      <c r="E279" t="s">
        <v>1266</v>
      </c>
      <c r="F279" t="s">
        <v>1267</v>
      </c>
      <c r="G279" t="s">
        <v>1268</v>
      </c>
      <c r="H279" t="s">
        <v>1269</v>
      </c>
      <c r="I279">
        <v>86</v>
      </c>
      <c r="J279">
        <v>86</v>
      </c>
      <c r="K279" s="11" t="s">
        <v>706</v>
      </c>
      <c r="Q279" s="18">
        <v>625</v>
      </c>
      <c r="R279" s="18">
        <v>682</v>
      </c>
      <c r="S279" s="18" t="s">
        <v>1102</v>
      </c>
      <c r="T279" s="20">
        <v>230</v>
      </c>
    </row>
    <row r="280" spans="1:20" x14ac:dyDescent="0.2">
      <c r="A280">
        <v>575</v>
      </c>
      <c r="B280">
        <v>2190</v>
      </c>
      <c r="C280" t="s">
        <v>2023</v>
      </c>
      <c r="D280" t="s">
        <v>2024</v>
      </c>
      <c r="E280" t="s">
        <v>2025</v>
      </c>
      <c r="F280" t="s">
        <v>2026</v>
      </c>
      <c r="G280" t="s">
        <v>843</v>
      </c>
      <c r="H280" t="s">
        <v>2027</v>
      </c>
      <c r="I280">
        <v>292</v>
      </c>
      <c r="J280">
        <v>292</v>
      </c>
      <c r="K280" s="11" t="s">
        <v>638</v>
      </c>
      <c r="Q280" s="18">
        <v>682</v>
      </c>
      <c r="R280" s="18">
        <v>673</v>
      </c>
      <c r="S280" s="18" t="s">
        <v>1951</v>
      </c>
      <c r="T280" s="20">
        <v>210</v>
      </c>
    </row>
    <row r="281" spans="1:20" x14ac:dyDescent="0.2">
      <c r="A281">
        <v>579</v>
      </c>
      <c r="B281">
        <v>730</v>
      </c>
      <c r="C281" t="s">
        <v>801</v>
      </c>
      <c r="D281" t="s">
        <v>1315</v>
      </c>
      <c r="E281" t="s">
        <v>727</v>
      </c>
      <c r="F281" t="s">
        <v>1316</v>
      </c>
      <c r="G281" t="s">
        <v>1317</v>
      </c>
      <c r="H281" t="s">
        <v>1318</v>
      </c>
      <c r="I281">
        <v>247</v>
      </c>
      <c r="J281">
        <v>247</v>
      </c>
      <c r="K281" s="11" t="s">
        <v>684</v>
      </c>
      <c r="Q281" s="18">
        <v>682</v>
      </c>
      <c r="R281" s="18">
        <v>736</v>
      </c>
      <c r="S281" s="18" t="s">
        <v>1935</v>
      </c>
      <c r="T281" s="20">
        <v>184</v>
      </c>
    </row>
    <row r="282" spans="1:20" x14ac:dyDescent="0.2">
      <c r="A282">
        <v>591</v>
      </c>
      <c r="B282">
        <v>613</v>
      </c>
      <c r="C282" t="s">
        <v>1869</v>
      </c>
      <c r="D282" t="s">
        <v>1870</v>
      </c>
      <c r="E282" t="s">
        <v>738</v>
      </c>
      <c r="F282" t="s">
        <v>1871</v>
      </c>
      <c r="G282" t="s">
        <v>1848</v>
      </c>
      <c r="H282" t="s">
        <v>1872</v>
      </c>
      <c r="I282">
        <v>366</v>
      </c>
      <c r="J282">
        <v>366</v>
      </c>
      <c r="K282" s="11" t="s">
        <v>563</v>
      </c>
      <c r="Q282" s="18">
        <v>682</v>
      </c>
      <c r="R282" s="18">
        <v>578</v>
      </c>
      <c r="S282" s="18" t="s">
        <v>1932</v>
      </c>
      <c r="T282" s="20">
        <v>140</v>
      </c>
    </row>
    <row r="283" spans="1:20" x14ac:dyDescent="0.2">
      <c r="A283">
        <v>625</v>
      </c>
      <c r="B283">
        <v>682</v>
      </c>
      <c r="C283" t="s">
        <v>1099</v>
      </c>
      <c r="D283" t="s">
        <v>1100</v>
      </c>
      <c r="E283" t="s">
        <v>1101</v>
      </c>
      <c r="F283" t="s">
        <v>1102</v>
      </c>
      <c r="G283" t="s">
        <v>785</v>
      </c>
      <c r="H283" t="s">
        <v>1103</v>
      </c>
      <c r="I283">
        <v>230</v>
      </c>
      <c r="J283">
        <v>230</v>
      </c>
      <c r="K283" s="11" t="s">
        <v>565</v>
      </c>
      <c r="Q283" s="18"/>
      <c r="R283" s="18"/>
      <c r="S283" s="18"/>
      <c r="T283" s="20">
        <f>SUBTOTAL(109,Table20[weight])</f>
        <v>21171</v>
      </c>
    </row>
    <row r="284" spans="1:20" x14ac:dyDescent="0.2">
      <c r="A284">
        <v>647</v>
      </c>
      <c r="B284">
        <v>673</v>
      </c>
      <c r="C284" t="s">
        <v>801</v>
      </c>
      <c r="D284" t="s">
        <v>2219</v>
      </c>
      <c r="E284" t="s">
        <v>727</v>
      </c>
      <c r="F284" t="s">
        <v>2220</v>
      </c>
      <c r="G284" t="s">
        <v>1161</v>
      </c>
      <c r="H284" t="s">
        <v>2221</v>
      </c>
      <c r="I284">
        <v>225</v>
      </c>
      <c r="J284">
        <v>225</v>
      </c>
      <c r="K284" s="11" t="s">
        <v>668</v>
      </c>
    </row>
    <row r="285" spans="1:20" x14ac:dyDescent="0.2">
      <c r="A285">
        <v>575</v>
      </c>
      <c r="B285">
        <v>645</v>
      </c>
      <c r="C285" t="s">
        <v>801</v>
      </c>
      <c r="D285" t="s">
        <v>2006</v>
      </c>
      <c r="E285" t="s">
        <v>727</v>
      </c>
      <c r="F285" t="s">
        <v>2007</v>
      </c>
      <c r="G285" t="s">
        <v>2008</v>
      </c>
      <c r="H285" t="s">
        <v>2009</v>
      </c>
      <c r="I285">
        <v>168</v>
      </c>
      <c r="J285">
        <v>168</v>
      </c>
      <c r="K285" s="11" t="s">
        <v>680</v>
      </c>
    </row>
    <row r="286" spans="1:20" x14ac:dyDescent="0.2">
      <c r="A286">
        <v>733</v>
      </c>
      <c r="B286">
        <v>645</v>
      </c>
      <c r="C286" t="s">
        <v>771</v>
      </c>
      <c r="D286" t="s">
        <v>2117</v>
      </c>
      <c r="E286" t="s">
        <v>738</v>
      </c>
      <c r="F286" t="s">
        <v>2118</v>
      </c>
      <c r="G286" t="s">
        <v>2083</v>
      </c>
      <c r="H286" t="s">
        <v>2119</v>
      </c>
      <c r="I286">
        <v>2004</v>
      </c>
      <c r="J286">
        <v>2004</v>
      </c>
      <c r="K286" s="11" t="s">
        <v>379</v>
      </c>
    </row>
    <row r="287" spans="1:20" x14ac:dyDescent="0.2">
      <c r="A287">
        <v>625</v>
      </c>
      <c r="B287">
        <v>2189</v>
      </c>
      <c r="C287" t="s">
        <v>771</v>
      </c>
      <c r="D287" t="s">
        <v>1126</v>
      </c>
      <c r="E287" t="s">
        <v>738</v>
      </c>
      <c r="F287" t="s">
        <v>1127</v>
      </c>
      <c r="G287" t="s">
        <v>1128</v>
      </c>
      <c r="H287" t="s">
        <v>1129</v>
      </c>
      <c r="I287">
        <v>829</v>
      </c>
      <c r="J287">
        <v>829</v>
      </c>
      <c r="K287" s="11" t="s">
        <v>378</v>
      </c>
    </row>
    <row r="288" spans="1:20" x14ac:dyDescent="0.2">
      <c r="A288">
        <v>702</v>
      </c>
      <c r="B288">
        <v>733</v>
      </c>
      <c r="C288" t="s">
        <v>801</v>
      </c>
      <c r="D288" t="s">
        <v>2070</v>
      </c>
      <c r="E288" t="s">
        <v>727</v>
      </c>
      <c r="F288" t="s">
        <v>2071</v>
      </c>
      <c r="G288" t="s">
        <v>1246</v>
      </c>
      <c r="H288" t="s">
        <v>2072</v>
      </c>
      <c r="I288">
        <v>842</v>
      </c>
      <c r="J288">
        <v>842</v>
      </c>
      <c r="K288" s="11" t="s">
        <v>606</v>
      </c>
    </row>
    <row r="289" spans="1:11" x14ac:dyDescent="0.2">
      <c r="A289">
        <v>579</v>
      </c>
      <c r="B289">
        <v>506</v>
      </c>
      <c r="C289" t="s">
        <v>1351</v>
      </c>
      <c r="D289" t="s">
        <v>1352</v>
      </c>
      <c r="E289" t="s">
        <v>738</v>
      </c>
      <c r="F289" t="s">
        <v>1353</v>
      </c>
      <c r="G289" t="s">
        <v>1354</v>
      </c>
      <c r="H289" t="s">
        <v>1355</v>
      </c>
      <c r="I289">
        <v>927</v>
      </c>
      <c r="J289">
        <v>927</v>
      </c>
      <c r="K289" s="11" t="s">
        <v>370</v>
      </c>
    </row>
    <row r="290" spans="1:11" x14ac:dyDescent="0.2">
      <c r="A290">
        <v>691</v>
      </c>
      <c r="B290">
        <v>682</v>
      </c>
      <c r="C290" t="s">
        <v>1655</v>
      </c>
      <c r="D290" t="s">
        <v>1656</v>
      </c>
      <c r="E290" t="s">
        <v>1657</v>
      </c>
      <c r="F290" t="s">
        <v>1658</v>
      </c>
      <c r="G290" t="s">
        <v>1251</v>
      </c>
      <c r="H290" t="s">
        <v>1659</v>
      </c>
      <c r="I290">
        <v>1153</v>
      </c>
      <c r="J290">
        <v>1153</v>
      </c>
      <c r="K290" s="11" t="s">
        <v>391</v>
      </c>
    </row>
    <row r="291" spans="1:11" x14ac:dyDescent="0.2">
      <c r="A291">
        <v>691</v>
      </c>
      <c r="B291">
        <v>627</v>
      </c>
      <c r="C291" t="s">
        <v>1574</v>
      </c>
      <c r="D291" t="s">
        <v>1575</v>
      </c>
      <c r="E291" t="s">
        <v>738</v>
      </c>
      <c r="F291" t="s">
        <v>1576</v>
      </c>
      <c r="G291" t="s">
        <v>979</v>
      </c>
      <c r="H291" t="s">
        <v>1577</v>
      </c>
      <c r="I291">
        <v>1024</v>
      </c>
      <c r="J291">
        <v>1024</v>
      </c>
      <c r="K291" s="11" t="s">
        <v>383</v>
      </c>
    </row>
    <row r="292" spans="1:11" x14ac:dyDescent="0.2">
      <c r="A292">
        <v>647</v>
      </c>
      <c r="B292">
        <v>736</v>
      </c>
      <c r="C292" t="s">
        <v>801</v>
      </c>
      <c r="D292" t="s">
        <v>2222</v>
      </c>
      <c r="E292" t="s">
        <v>727</v>
      </c>
      <c r="F292" t="s">
        <v>2223</v>
      </c>
      <c r="G292" t="s">
        <v>2224</v>
      </c>
      <c r="H292" t="s">
        <v>2225</v>
      </c>
      <c r="I292">
        <v>504</v>
      </c>
      <c r="J292">
        <v>504</v>
      </c>
      <c r="K292" s="11" t="s">
        <v>583</v>
      </c>
    </row>
    <row r="293" spans="1:11" x14ac:dyDescent="0.2">
      <c r="A293">
        <v>627</v>
      </c>
      <c r="B293">
        <v>591</v>
      </c>
      <c r="C293" t="s">
        <v>1791</v>
      </c>
      <c r="D293" t="s">
        <v>1792</v>
      </c>
      <c r="E293" t="s">
        <v>1793</v>
      </c>
      <c r="F293" t="s">
        <v>1794</v>
      </c>
      <c r="G293" t="s">
        <v>983</v>
      </c>
      <c r="H293" t="s">
        <v>1795</v>
      </c>
      <c r="I293">
        <v>365</v>
      </c>
      <c r="J293">
        <v>365</v>
      </c>
      <c r="K293" s="11" t="s">
        <v>526</v>
      </c>
    </row>
    <row r="294" spans="1:11" x14ac:dyDescent="0.2">
      <c r="A294">
        <v>506</v>
      </c>
      <c r="B294">
        <v>2189</v>
      </c>
      <c r="C294" t="s">
        <v>801</v>
      </c>
      <c r="D294" t="s">
        <v>1460</v>
      </c>
      <c r="E294" t="s">
        <v>727</v>
      </c>
      <c r="F294" t="s">
        <v>1461</v>
      </c>
      <c r="G294" t="s">
        <v>1108</v>
      </c>
      <c r="H294" t="s">
        <v>1462</v>
      </c>
      <c r="I294">
        <v>203</v>
      </c>
      <c r="J294">
        <v>203</v>
      </c>
      <c r="K294" s="11" t="s">
        <v>672</v>
      </c>
    </row>
    <row r="295" spans="1:11" x14ac:dyDescent="0.2">
      <c r="A295">
        <v>625</v>
      </c>
      <c r="B295">
        <v>613</v>
      </c>
      <c r="C295" t="s">
        <v>1055</v>
      </c>
      <c r="D295" t="s">
        <v>1056</v>
      </c>
      <c r="E295" t="s">
        <v>1057</v>
      </c>
      <c r="F295" t="s">
        <v>1058</v>
      </c>
      <c r="G295" t="s">
        <v>1059</v>
      </c>
      <c r="H295" t="s">
        <v>1060</v>
      </c>
      <c r="I295">
        <v>75</v>
      </c>
      <c r="J295">
        <v>75</v>
      </c>
      <c r="K295" s="11" t="s">
        <v>710</v>
      </c>
    </row>
    <row r="296" spans="1:11" x14ac:dyDescent="0.2">
      <c r="A296">
        <v>736</v>
      </c>
      <c r="B296">
        <v>534</v>
      </c>
      <c r="C296" t="s">
        <v>2353</v>
      </c>
      <c r="D296" t="s">
        <v>2354</v>
      </c>
      <c r="E296" t="s">
        <v>738</v>
      </c>
      <c r="F296" t="s">
        <v>2355</v>
      </c>
      <c r="G296" t="s">
        <v>738</v>
      </c>
      <c r="H296" t="s">
        <v>2356</v>
      </c>
      <c r="I296">
        <v>55</v>
      </c>
      <c r="J296">
        <v>55</v>
      </c>
      <c r="K296" s="11" t="s">
        <v>727</v>
      </c>
    </row>
    <row r="297" spans="1:11" x14ac:dyDescent="0.2">
      <c r="A297">
        <v>575</v>
      </c>
      <c r="B297">
        <v>730</v>
      </c>
      <c r="C297" t="s">
        <v>801</v>
      </c>
      <c r="D297" t="s">
        <v>2020</v>
      </c>
      <c r="E297" t="s">
        <v>727</v>
      </c>
      <c r="F297" t="s">
        <v>2021</v>
      </c>
      <c r="G297" t="s">
        <v>1608</v>
      </c>
      <c r="H297" t="s">
        <v>2022</v>
      </c>
      <c r="I297">
        <v>735</v>
      </c>
      <c r="J297">
        <v>735</v>
      </c>
      <c r="K297" s="11" t="s">
        <v>597</v>
      </c>
    </row>
    <row r="298" spans="1:11" x14ac:dyDescent="0.2">
      <c r="A298">
        <v>720</v>
      </c>
      <c r="B298">
        <v>529</v>
      </c>
      <c r="C298" t="s">
        <v>2182</v>
      </c>
      <c r="D298" t="s">
        <v>2183</v>
      </c>
      <c r="E298" t="s">
        <v>2184</v>
      </c>
      <c r="F298" t="s">
        <v>2185</v>
      </c>
      <c r="G298" t="s">
        <v>1450</v>
      </c>
      <c r="H298" t="s">
        <v>2186</v>
      </c>
      <c r="I298">
        <v>319</v>
      </c>
      <c r="J298">
        <v>319</v>
      </c>
      <c r="K298" s="11" t="s">
        <v>591</v>
      </c>
    </row>
    <row r="299" spans="1:11" x14ac:dyDescent="0.2">
      <c r="A299">
        <v>554</v>
      </c>
      <c r="B299">
        <v>673</v>
      </c>
      <c r="C299" t="s">
        <v>801</v>
      </c>
      <c r="D299" t="s">
        <v>1728</v>
      </c>
      <c r="E299" t="s">
        <v>727</v>
      </c>
      <c r="F299" t="s">
        <v>1729</v>
      </c>
      <c r="G299" t="s">
        <v>939</v>
      </c>
      <c r="H299" t="s">
        <v>1730</v>
      </c>
      <c r="I299">
        <v>338</v>
      </c>
      <c r="J299">
        <v>338</v>
      </c>
      <c r="K299" s="11" t="s">
        <v>610</v>
      </c>
    </row>
    <row r="300" spans="1:11" x14ac:dyDescent="0.2">
      <c r="A300">
        <v>720</v>
      </c>
      <c r="B300">
        <v>663</v>
      </c>
      <c r="C300" t="s">
        <v>2187</v>
      </c>
      <c r="D300" t="s">
        <v>2188</v>
      </c>
      <c r="E300" t="s">
        <v>738</v>
      </c>
      <c r="F300" t="s">
        <v>2189</v>
      </c>
      <c r="G300" t="s">
        <v>2130</v>
      </c>
      <c r="H300" t="s">
        <v>2190</v>
      </c>
      <c r="I300">
        <v>940</v>
      </c>
      <c r="J300">
        <v>940</v>
      </c>
      <c r="K300" s="11" t="s">
        <v>493</v>
      </c>
    </row>
    <row r="301" spans="1:11" x14ac:dyDescent="0.2">
      <c r="A301">
        <v>627</v>
      </c>
      <c r="B301">
        <v>578</v>
      </c>
      <c r="C301" t="s">
        <v>1759</v>
      </c>
      <c r="D301" t="s">
        <v>1760</v>
      </c>
      <c r="E301" t="s">
        <v>1761</v>
      </c>
      <c r="F301" t="s">
        <v>1762</v>
      </c>
      <c r="G301" t="s">
        <v>852</v>
      </c>
      <c r="H301" t="s">
        <v>1763</v>
      </c>
      <c r="I301">
        <v>288</v>
      </c>
      <c r="J301">
        <v>288</v>
      </c>
      <c r="K301" s="11" t="s">
        <v>596</v>
      </c>
    </row>
    <row r="302" spans="1:11" x14ac:dyDescent="0.2">
      <c r="A302">
        <v>700</v>
      </c>
      <c r="B302">
        <v>506</v>
      </c>
      <c r="C302" t="s">
        <v>975</v>
      </c>
      <c r="D302" t="s">
        <v>976</v>
      </c>
      <c r="E302" t="s">
        <v>977</v>
      </c>
      <c r="F302" t="s">
        <v>978</v>
      </c>
      <c r="G302" t="s">
        <v>979</v>
      </c>
      <c r="H302" t="s">
        <v>980</v>
      </c>
      <c r="I302">
        <v>1312</v>
      </c>
      <c r="J302">
        <v>1312</v>
      </c>
      <c r="K302" s="11" t="s">
        <v>422</v>
      </c>
    </row>
    <row r="303" spans="1:11" x14ac:dyDescent="0.2">
      <c r="A303">
        <v>682</v>
      </c>
      <c r="B303">
        <v>733</v>
      </c>
      <c r="C303" t="s">
        <v>801</v>
      </c>
      <c r="D303" t="s">
        <v>1947</v>
      </c>
      <c r="E303" t="s">
        <v>727</v>
      </c>
      <c r="F303" t="s">
        <v>1948</v>
      </c>
      <c r="G303" t="s">
        <v>904</v>
      </c>
      <c r="H303" t="s">
        <v>1949</v>
      </c>
      <c r="I303">
        <v>493</v>
      </c>
      <c r="J303">
        <v>493</v>
      </c>
      <c r="K303" s="11" t="s">
        <v>559</v>
      </c>
    </row>
    <row r="304" spans="1:11" x14ac:dyDescent="0.2">
      <c r="A304">
        <v>700</v>
      </c>
      <c r="B304">
        <v>673</v>
      </c>
      <c r="C304" t="s">
        <v>801</v>
      </c>
      <c r="D304" t="s">
        <v>1009</v>
      </c>
      <c r="E304" t="s">
        <v>727</v>
      </c>
      <c r="F304" t="s">
        <v>1010</v>
      </c>
      <c r="G304" t="s">
        <v>1011</v>
      </c>
      <c r="H304" t="s">
        <v>1012</v>
      </c>
      <c r="I304">
        <v>343</v>
      </c>
      <c r="J304">
        <v>343</v>
      </c>
      <c r="K304" s="11" t="s">
        <v>607</v>
      </c>
    </row>
    <row r="305" spans="1:11" x14ac:dyDescent="0.2">
      <c r="A305">
        <v>571</v>
      </c>
      <c r="B305">
        <v>682</v>
      </c>
      <c r="C305" t="s">
        <v>801</v>
      </c>
      <c r="D305" t="s">
        <v>1218</v>
      </c>
      <c r="E305" t="s">
        <v>727</v>
      </c>
      <c r="F305" t="s">
        <v>1219</v>
      </c>
      <c r="G305" t="s">
        <v>1220</v>
      </c>
      <c r="H305" t="s">
        <v>1221</v>
      </c>
      <c r="I305">
        <v>420</v>
      </c>
      <c r="J305">
        <v>420</v>
      </c>
      <c r="K305" s="11" t="s">
        <v>594</v>
      </c>
    </row>
    <row r="306" spans="1:11" x14ac:dyDescent="0.2">
      <c r="A306">
        <v>506</v>
      </c>
      <c r="B306">
        <v>730</v>
      </c>
      <c r="C306" t="s">
        <v>801</v>
      </c>
      <c r="D306" t="s">
        <v>1443</v>
      </c>
      <c r="E306" t="s">
        <v>727</v>
      </c>
      <c r="F306" t="s">
        <v>1444</v>
      </c>
      <c r="G306" t="s">
        <v>884</v>
      </c>
      <c r="H306" t="s">
        <v>1445</v>
      </c>
      <c r="I306">
        <v>517</v>
      </c>
      <c r="J306">
        <v>517</v>
      </c>
      <c r="K306" s="11" t="s">
        <v>722</v>
      </c>
    </row>
    <row r="307" spans="1:11" x14ac:dyDescent="0.2">
      <c r="A307">
        <v>702</v>
      </c>
      <c r="B307">
        <v>663</v>
      </c>
      <c r="C307" t="s">
        <v>801</v>
      </c>
      <c r="D307" t="s">
        <v>2077</v>
      </c>
      <c r="E307" t="s">
        <v>727</v>
      </c>
      <c r="F307" t="s">
        <v>2078</v>
      </c>
      <c r="G307" t="s">
        <v>2079</v>
      </c>
      <c r="H307" t="s">
        <v>2080</v>
      </c>
      <c r="I307">
        <v>312</v>
      </c>
      <c r="J307">
        <v>312</v>
      </c>
      <c r="K307" s="11" t="s">
        <v>663</v>
      </c>
    </row>
    <row r="308" spans="1:11" x14ac:dyDescent="0.2">
      <c r="A308">
        <v>575</v>
      </c>
      <c r="B308">
        <v>529</v>
      </c>
      <c r="C308" t="s">
        <v>1969</v>
      </c>
      <c r="D308" t="s">
        <v>1970</v>
      </c>
      <c r="E308" t="s">
        <v>1971</v>
      </c>
      <c r="F308" t="s">
        <v>1972</v>
      </c>
      <c r="G308" t="s">
        <v>1608</v>
      </c>
      <c r="H308" t="s">
        <v>1973</v>
      </c>
      <c r="I308">
        <v>634</v>
      </c>
      <c r="J308">
        <v>634</v>
      </c>
      <c r="K308" s="11" t="s">
        <v>465</v>
      </c>
    </row>
    <row r="309" spans="1:11" x14ac:dyDescent="0.2">
      <c r="A309">
        <v>579</v>
      </c>
      <c r="B309">
        <v>702</v>
      </c>
      <c r="C309" t="s">
        <v>801</v>
      </c>
      <c r="D309" t="s">
        <v>1239</v>
      </c>
      <c r="E309" t="s">
        <v>727</v>
      </c>
      <c r="F309" t="s">
        <v>1240</v>
      </c>
      <c r="G309" t="s">
        <v>904</v>
      </c>
      <c r="H309" t="s">
        <v>1241</v>
      </c>
      <c r="I309">
        <v>377</v>
      </c>
      <c r="J309">
        <v>377</v>
      </c>
      <c r="K309" s="11" t="s">
        <v>545</v>
      </c>
    </row>
    <row r="310" spans="1:11" x14ac:dyDescent="0.2">
      <c r="A310">
        <v>591</v>
      </c>
      <c r="B310">
        <v>736</v>
      </c>
      <c r="C310" t="s">
        <v>771</v>
      </c>
      <c r="D310" t="s">
        <v>1877</v>
      </c>
      <c r="E310" t="s">
        <v>738</v>
      </c>
      <c r="F310" t="s">
        <v>1878</v>
      </c>
      <c r="G310" t="s">
        <v>738</v>
      </c>
      <c r="H310" t="s">
        <v>1879</v>
      </c>
      <c r="I310">
        <v>2659</v>
      </c>
      <c r="J310">
        <v>2659</v>
      </c>
      <c r="K310" s="11" t="s">
        <v>368</v>
      </c>
    </row>
    <row r="311" spans="1:11" x14ac:dyDescent="0.2">
      <c r="A311">
        <v>691</v>
      </c>
      <c r="B311">
        <v>733</v>
      </c>
      <c r="C311" t="s">
        <v>1645</v>
      </c>
      <c r="D311" t="s">
        <v>1646</v>
      </c>
      <c r="E311" t="s">
        <v>1647</v>
      </c>
      <c r="F311" t="s">
        <v>1648</v>
      </c>
      <c r="G311" t="s">
        <v>1649</v>
      </c>
      <c r="H311" t="s">
        <v>1650</v>
      </c>
      <c r="I311">
        <v>1380</v>
      </c>
      <c r="J311">
        <v>1380</v>
      </c>
      <c r="K311" s="11" t="s">
        <v>480</v>
      </c>
    </row>
    <row r="312" spans="1:11" x14ac:dyDescent="0.2">
      <c r="A312">
        <v>691</v>
      </c>
      <c r="B312">
        <v>723</v>
      </c>
      <c r="C312" t="s">
        <v>1604</v>
      </c>
      <c r="D312" t="s">
        <v>1605</v>
      </c>
      <c r="E312" t="s">
        <v>1606</v>
      </c>
      <c r="F312" t="s">
        <v>1607</v>
      </c>
      <c r="G312" t="s">
        <v>1608</v>
      </c>
      <c r="H312" t="s">
        <v>1609</v>
      </c>
      <c r="I312">
        <v>407</v>
      </c>
      <c r="J312">
        <v>407</v>
      </c>
      <c r="K312" s="11" t="s">
        <v>602</v>
      </c>
    </row>
    <row r="313" spans="1:11" x14ac:dyDescent="0.2">
      <c r="A313">
        <v>506</v>
      </c>
      <c r="B313">
        <v>691</v>
      </c>
      <c r="C313" t="s">
        <v>1389</v>
      </c>
      <c r="D313" t="s">
        <v>1390</v>
      </c>
      <c r="E313" t="s">
        <v>738</v>
      </c>
      <c r="F313" t="s">
        <v>1391</v>
      </c>
      <c r="G313" t="s">
        <v>1392</v>
      </c>
      <c r="H313" t="s">
        <v>1393</v>
      </c>
      <c r="I313">
        <v>2130</v>
      </c>
      <c r="J313">
        <v>2130</v>
      </c>
      <c r="K313" s="11" t="s">
        <v>387</v>
      </c>
    </row>
    <row r="314" spans="1:11" x14ac:dyDescent="0.2">
      <c r="A314">
        <v>571</v>
      </c>
      <c r="B314">
        <v>578</v>
      </c>
      <c r="C314" t="s">
        <v>771</v>
      </c>
      <c r="D314" t="s">
        <v>1182</v>
      </c>
      <c r="E314" t="s">
        <v>738</v>
      </c>
      <c r="F314" t="s">
        <v>1183</v>
      </c>
      <c r="G314" t="s">
        <v>738</v>
      </c>
      <c r="H314" t="s">
        <v>1184</v>
      </c>
      <c r="I314">
        <v>2523</v>
      </c>
      <c r="J314">
        <v>2523</v>
      </c>
      <c r="K314" s="11" t="s">
        <v>452</v>
      </c>
    </row>
    <row r="315" spans="1:11" x14ac:dyDescent="0.2">
      <c r="A315">
        <v>579</v>
      </c>
      <c r="B315">
        <v>663</v>
      </c>
      <c r="C315" t="s">
        <v>1279</v>
      </c>
      <c r="D315" t="s">
        <v>1280</v>
      </c>
      <c r="E315" t="s">
        <v>1281</v>
      </c>
      <c r="F315" t="s">
        <v>1282</v>
      </c>
      <c r="G315" t="s">
        <v>1283</v>
      </c>
      <c r="H315" t="s">
        <v>1284</v>
      </c>
      <c r="I315">
        <v>370</v>
      </c>
      <c r="J315">
        <v>370</v>
      </c>
      <c r="K315" s="11" t="s">
        <v>505</v>
      </c>
    </row>
    <row r="316" spans="1:11" x14ac:dyDescent="0.2">
      <c r="A316">
        <v>700</v>
      </c>
      <c r="B316">
        <v>571</v>
      </c>
      <c r="C316" t="s">
        <v>801</v>
      </c>
      <c r="D316" t="s">
        <v>993</v>
      </c>
      <c r="E316" t="s">
        <v>727</v>
      </c>
      <c r="F316" t="s">
        <v>994</v>
      </c>
      <c r="G316" t="s">
        <v>995</v>
      </c>
      <c r="H316" t="s">
        <v>996</v>
      </c>
      <c r="I316">
        <v>137</v>
      </c>
      <c r="J316">
        <v>137</v>
      </c>
      <c r="K316" s="11" t="s">
        <v>713</v>
      </c>
    </row>
    <row r="317" spans="1:11" x14ac:dyDescent="0.2">
      <c r="A317">
        <v>647</v>
      </c>
      <c r="B317">
        <v>578</v>
      </c>
      <c r="C317" t="s">
        <v>2215</v>
      </c>
      <c r="D317" t="s">
        <v>2216</v>
      </c>
      <c r="E317" t="s">
        <v>738</v>
      </c>
      <c r="F317" t="s">
        <v>2217</v>
      </c>
      <c r="G317" t="s">
        <v>1864</v>
      </c>
      <c r="H317" t="s">
        <v>2218</v>
      </c>
      <c r="I317">
        <v>1185</v>
      </c>
      <c r="J317">
        <v>1185</v>
      </c>
      <c r="K317" s="11" t="s">
        <v>468</v>
      </c>
    </row>
    <row r="318" spans="1:11" x14ac:dyDescent="0.2">
      <c r="A318">
        <v>730</v>
      </c>
      <c r="B318">
        <v>663</v>
      </c>
      <c r="C318" t="s">
        <v>771</v>
      </c>
      <c r="D318" t="s">
        <v>2157</v>
      </c>
      <c r="E318" t="s">
        <v>738</v>
      </c>
      <c r="F318" t="s">
        <v>2158</v>
      </c>
      <c r="G318" t="s">
        <v>738</v>
      </c>
      <c r="H318" t="s">
        <v>2159</v>
      </c>
      <c r="I318">
        <v>6626</v>
      </c>
      <c r="J318">
        <v>6626</v>
      </c>
      <c r="K318" s="11" t="s">
        <v>428</v>
      </c>
    </row>
    <row r="319" spans="1:11" x14ac:dyDescent="0.2">
      <c r="A319">
        <v>663</v>
      </c>
      <c r="B319">
        <v>723</v>
      </c>
      <c r="C319" t="s">
        <v>771</v>
      </c>
      <c r="D319" t="s">
        <v>2309</v>
      </c>
      <c r="E319" t="s">
        <v>738</v>
      </c>
      <c r="F319" t="s">
        <v>2310</v>
      </c>
      <c r="G319" t="s">
        <v>2311</v>
      </c>
      <c r="H319" t="s">
        <v>2312</v>
      </c>
      <c r="I319">
        <v>3164</v>
      </c>
      <c r="J319">
        <v>3164</v>
      </c>
      <c r="K319" s="11" t="s">
        <v>373</v>
      </c>
    </row>
    <row r="320" spans="1:11" x14ac:dyDescent="0.2">
      <c r="A320">
        <v>574</v>
      </c>
      <c r="B320">
        <v>529</v>
      </c>
      <c r="C320" t="s">
        <v>1481</v>
      </c>
      <c r="D320" t="s">
        <v>1482</v>
      </c>
      <c r="E320" t="s">
        <v>1483</v>
      </c>
      <c r="F320" t="s">
        <v>1484</v>
      </c>
      <c r="G320" t="s">
        <v>1295</v>
      </c>
      <c r="H320" t="s">
        <v>1485</v>
      </c>
      <c r="I320">
        <v>467</v>
      </c>
      <c r="J320">
        <v>467</v>
      </c>
      <c r="K320" s="11" t="s">
        <v>502</v>
      </c>
    </row>
    <row r="321" spans="1:11" x14ac:dyDescent="0.2">
      <c r="A321">
        <v>691</v>
      </c>
      <c r="B321">
        <v>647</v>
      </c>
      <c r="C321" t="s">
        <v>801</v>
      </c>
      <c r="D321" t="s">
        <v>1636</v>
      </c>
      <c r="E321" t="s">
        <v>727</v>
      </c>
      <c r="F321" t="s">
        <v>1637</v>
      </c>
      <c r="G321" t="s">
        <v>1638</v>
      </c>
      <c r="H321" t="s">
        <v>1639</v>
      </c>
      <c r="I321">
        <v>778</v>
      </c>
      <c r="J321">
        <v>778</v>
      </c>
      <c r="K321" s="11" t="s">
        <v>513</v>
      </c>
    </row>
    <row r="322" spans="1:11" x14ac:dyDescent="0.2">
      <c r="A322">
        <v>691</v>
      </c>
      <c r="B322">
        <v>720</v>
      </c>
      <c r="C322" t="s">
        <v>801</v>
      </c>
      <c r="D322" t="s">
        <v>1624</v>
      </c>
      <c r="E322" t="s">
        <v>727</v>
      </c>
      <c r="F322" t="s">
        <v>1625</v>
      </c>
      <c r="G322" t="s">
        <v>1295</v>
      </c>
      <c r="H322" t="s">
        <v>1626</v>
      </c>
      <c r="I322">
        <v>417</v>
      </c>
      <c r="J322">
        <v>417</v>
      </c>
      <c r="K322" s="11" t="s">
        <v>604</v>
      </c>
    </row>
    <row r="323" spans="1:11" x14ac:dyDescent="0.2">
      <c r="A323">
        <v>700</v>
      </c>
      <c r="B323">
        <v>613</v>
      </c>
      <c r="C323" t="s">
        <v>935</v>
      </c>
      <c r="D323" t="s">
        <v>936</v>
      </c>
      <c r="E323" t="s">
        <v>937</v>
      </c>
      <c r="F323" t="s">
        <v>938</v>
      </c>
      <c r="G323" t="s">
        <v>939</v>
      </c>
      <c r="H323" t="s">
        <v>940</v>
      </c>
      <c r="I323">
        <v>165</v>
      </c>
      <c r="J323">
        <v>165</v>
      </c>
      <c r="K323" s="11" t="s">
        <v>669</v>
      </c>
    </row>
    <row r="324" spans="1:11" x14ac:dyDescent="0.2">
      <c r="A324">
        <v>730</v>
      </c>
      <c r="B324">
        <v>673</v>
      </c>
      <c r="C324" t="s">
        <v>771</v>
      </c>
      <c r="D324" t="s">
        <v>2165</v>
      </c>
      <c r="E324" t="s">
        <v>738</v>
      </c>
      <c r="F324" t="s">
        <v>2166</v>
      </c>
      <c r="G324" t="s">
        <v>738</v>
      </c>
      <c r="H324" t="s">
        <v>2167</v>
      </c>
      <c r="I324">
        <v>4457</v>
      </c>
      <c r="J324">
        <v>4457</v>
      </c>
      <c r="K324" s="11" t="s">
        <v>423</v>
      </c>
    </row>
    <row r="325" spans="1:11" x14ac:dyDescent="0.2">
      <c r="A325">
        <v>2191</v>
      </c>
      <c r="B325">
        <v>597</v>
      </c>
      <c r="C325" t="s">
        <v>736</v>
      </c>
      <c r="D325" t="s">
        <v>737</v>
      </c>
      <c r="E325" t="s">
        <v>738</v>
      </c>
      <c r="F325" t="s">
        <v>739</v>
      </c>
      <c r="G325" t="s">
        <v>740</v>
      </c>
      <c r="H325" t="s">
        <v>741</v>
      </c>
      <c r="I325">
        <v>826</v>
      </c>
      <c r="J325">
        <v>826</v>
      </c>
      <c r="K325" s="11" t="s">
        <v>489</v>
      </c>
    </row>
    <row r="326" spans="1:11" x14ac:dyDescent="0.2">
      <c r="A326">
        <v>529</v>
      </c>
      <c r="B326">
        <v>673</v>
      </c>
      <c r="C326" t="s">
        <v>2317</v>
      </c>
      <c r="D326" t="s">
        <v>2318</v>
      </c>
      <c r="E326" t="s">
        <v>2319</v>
      </c>
      <c r="F326" t="s">
        <v>2320</v>
      </c>
      <c r="G326" t="s">
        <v>2321</v>
      </c>
      <c r="H326" t="s">
        <v>2322</v>
      </c>
      <c r="I326">
        <v>353</v>
      </c>
      <c r="J326">
        <v>353</v>
      </c>
      <c r="K326" s="11" t="s">
        <v>572</v>
      </c>
    </row>
    <row r="327" spans="1:11" x14ac:dyDescent="0.2">
      <c r="A327">
        <v>579</v>
      </c>
      <c r="B327">
        <v>2189</v>
      </c>
      <c r="C327" t="s">
        <v>1335</v>
      </c>
      <c r="D327" t="s">
        <v>1336</v>
      </c>
      <c r="E327" t="s">
        <v>738</v>
      </c>
      <c r="F327" t="s">
        <v>1337</v>
      </c>
      <c r="G327" t="s">
        <v>1338</v>
      </c>
      <c r="H327" t="s">
        <v>1339</v>
      </c>
      <c r="I327">
        <v>532</v>
      </c>
      <c r="J327">
        <v>532</v>
      </c>
      <c r="K327" s="11" t="s">
        <v>443</v>
      </c>
    </row>
    <row r="328" spans="1:11" x14ac:dyDescent="0.2">
      <c r="A328">
        <v>597</v>
      </c>
      <c r="B328">
        <v>720</v>
      </c>
      <c r="C328" t="s">
        <v>854</v>
      </c>
      <c r="D328" t="s">
        <v>855</v>
      </c>
      <c r="E328" t="s">
        <v>738</v>
      </c>
      <c r="F328" t="s">
        <v>856</v>
      </c>
      <c r="G328" t="s">
        <v>857</v>
      </c>
      <c r="H328" t="s">
        <v>858</v>
      </c>
      <c r="I328">
        <v>1054</v>
      </c>
      <c r="J328">
        <v>1054</v>
      </c>
      <c r="K328" s="11" t="s">
        <v>485</v>
      </c>
    </row>
    <row r="329" spans="1:11" x14ac:dyDescent="0.2">
      <c r="A329">
        <v>597</v>
      </c>
      <c r="B329">
        <v>529</v>
      </c>
      <c r="C329" t="s">
        <v>900</v>
      </c>
      <c r="D329" t="s">
        <v>901</v>
      </c>
      <c r="E329" t="s">
        <v>902</v>
      </c>
      <c r="F329" t="s">
        <v>903</v>
      </c>
      <c r="G329" t="s">
        <v>904</v>
      </c>
      <c r="H329" t="s">
        <v>905</v>
      </c>
      <c r="I329">
        <v>430</v>
      </c>
      <c r="J329">
        <v>430</v>
      </c>
      <c r="K329" s="11" t="s">
        <v>541</v>
      </c>
    </row>
    <row r="330" spans="1:11" x14ac:dyDescent="0.2">
      <c r="A330">
        <v>574</v>
      </c>
      <c r="B330">
        <v>673</v>
      </c>
      <c r="C330" t="s">
        <v>801</v>
      </c>
      <c r="D330" t="s">
        <v>1494</v>
      </c>
      <c r="E330" t="s">
        <v>727</v>
      </c>
      <c r="F330" t="s">
        <v>1495</v>
      </c>
      <c r="G330" t="s">
        <v>1308</v>
      </c>
      <c r="H330" t="s">
        <v>1496</v>
      </c>
      <c r="I330">
        <v>223</v>
      </c>
      <c r="J330">
        <v>223</v>
      </c>
      <c r="K330" s="11" t="s">
        <v>646</v>
      </c>
    </row>
    <row r="331" spans="1:11" x14ac:dyDescent="0.2">
      <c r="A331">
        <v>647</v>
      </c>
      <c r="B331">
        <v>653</v>
      </c>
      <c r="C331" t="s">
        <v>2237</v>
      </c>
      <c r="D331" t="s">
        <v>2238</v>
      </c>
      <c r="E331" t="s">
        <v>738</v>
      </c>
      <c r="F331" t="s">
        <v>2239</v>
      </c>
      <c r="G331" t="s">
        <v>1500</v>
      </c>
      <c r="H331" t="s">
        <v>2240</v>
      </c>
      <c r="I331">
        <v>925</v>
      </c>
      <c r="J331">
        <v>925</v>
      </c>
      <c r="K331" s="11" t="s">
        <v>475</v>
      </c>
    </row>
    <row r="332" spans="1:11" x14ac:dyDescent="0.2">
      <c r="A332">
        <v>506</v>
      </c>
      <c r="B332">
        <v>574</v>
      </c>
      <c r="C332" t="s">
        <v>1369</v>
      </c>
      <c r="D332" t="s">
        <v>1370</v>
      </c>
      <c r="E332" t="s">
        <v>1371</v>
      </c>
      <c r="F332" t="s">
        <v>1372</v>
      </c>
      <c r="G332" t="s">
        <v>1313</v>
      </c>
      <c r="H332" t="s">
        <v>1373</v>
      </c>
      <c r="I332">
        <v>1218</v>
      </c>
      <c r="J332">
        <v>1218</v>
      </c>
      <c r="K332" s="11" t="s">
        <v>385</v>
      </c>
    </row>
    <row r="333" spans="1:11" x14ac:dyDescent="0.2">
      <c r="A333">
        <v>702</v>
      </c>
      <c r="B333">
        <v>578</v>
      </c>
      <c r="C333" t="s">
        <v>2043</v>
      </c>
      <c r="D333" t="s">
        <v>2044</v>
      </c>
      <c r="E333" t="s">
        <v>738</v>
      </c>
      <c r="F333" t="s">
        <v>2045</v>
      </c>
      <c r="G333" t="s">
        <v>874</v>
      </c>
      <c r="H333" t="s">
        <v>2046</v>
      </c>
      <c r="I333">
        <v>1460</v>
      </c>
      <c r="J333">
        <v>1460</v>
      </c>
      <c r="K333" s="11" t="s">
        <v>464</v>
      </c>
    </row>
    <row r="334" spans="1:11" x14ac:dyDescent="0.2">
      <c r="A334">
        <v>571</v>
      </c>
      <c r="B334">
        <v>691</v>
      </c>
      <c r="C334" t="s">
        <v>801</v>
      </c>
      <c r="D334" t="s">
        <v>1171</v>
      </c>
      <c r="E334" t="s">
        <v>727</v>
      </c>
      <c r="F334" t="s">
        <v>1172</v>
      </c>
      <c r="G334" t="s">
        <v>1173</v>
      </c>
      <c r="H334" t="s">
        <v>1174</v>
      </c>
      <c r="I334">
        <v>1131</v>
      </c>
      <c r="J334">
        <v>1131</v>
      </c>
      <c r="K334" s="11" t="s">
        <v>560</v>
      </c>
    </row>
    <row r="335" spans="1:11" x14ac:dyDescent="0.2">
      <c r="A335">
        <v>597</v>
      </c>
      <c r="B335">
        <v>702</v>
      </c>
      <c r="C335" t="s">
        <v>771</v>
      </c>
      <c r="D335" t="s">
        <v>818</v>
      </c>
      <c r="E335" t="s">
        <v>738</v>
      </c>
      <c r="F335" t="s">
        <v>819</v>
      </c>
      <c r="G335" t="s">
        <v>738</v>
      </c>
      <c r="H335" t="s">
        <v>820</v>
      </c>
      <c r="I335">
        <v>5512</v>
      </c>
      <c r="J335">
        <v>5512</v>
      </c>
      <c r="K335" s="11" t="s">
        <v>397</v>
      </c>
    </row>
    <row r="336" spans="1:11" x14ac:dyDescent="0.2">
      <c r="A336">
        <v>579</v>
      </c>
      <c r="B336">
        <v>591</v>
      </c>
      <c r="C336" t="s">
        <v>1253</v>
      </c>
      <c r="D336" t="s">
        <v>1254</v>
      </c>
      <c r="E336" t="s">
        <v>738</v>
      </c>
      <c r="F336" t="s">
        <v>1255</v>
      </c>
      <c r="G336" t="s">
        <v>1256</v>
      </c>
      <c r="H336" t="s">
        <v>1257</v>
      </c>
      <c r="I336">
        <v>516</v>
      </c>
      <c r="J336">
        <v>516</v>
      </c>
      <c r="K336" s="11" t="s">
        <v>433</v>
      </c>
    </row>
    <row r="337" spans="1:11" x14ac:dyDescent="0.2">
      <c r="A337">
        <v>720</v>
      </c>
      <c r="B337">
        <v>645</v>
      </c>
      <c r="C337" t="s">
        <v>2195</v>
      </c>
      <c r="D337" t="s">
        <v>2196</v>
      </c>
      <c r="E337" t="s">
        <v>2197</v>
      </c>
      <c r="F337" t="s">
        <v>2198</v>
      </c>
      <c r="G337" t="s">
        <v>939</v>
      </c>
      <c r="H337" t="s">
        <v>2199</v>
      </c>
      <c r="I337">
        <v>232</v>
      </c>
      <c r="J337">
        <v>232</v>
      </c>
      <c r="K337" s="11" t="s">
        <v>652</v>
      </c>
    </row>
    <row r="338" spans="1:11" x14ac:dyDescent="0.2">
      <c r="A338">
        <v>730</v>
      </c>
      <c r="B338">
        <v>645</v>
      </c>
      <c r="C338" t="s">
        <v>801</v>
      </c>
      <c r="D338" t="s">
        <v>2172</v>
      </c>
      <c r="E338" t="s">
        <v>727</v>
      </c>
      <c r="F338" t="s">
        <v>2173</v>
      </c>
      <c r="G338" t="s">
        <v>1387</v>
      </c>
      <c r="H338" t="s">
        <v>2174</v>
      </c>
      <c r="I338">
        <v>589</v>
      </c>
      <c r="J338">
        <v>589</v>
      </c>
      <c r="K338" s="11" t="s">
        <v>540</v>
      </c>
    </row>
    <row r="339" spans="1:11" x14ac:dyDescent="0.2">
      <c r="A339">
        <v>571</v>
      </c>
      <c r="B339">
        <v>613</v>
      </c>
      <c r="C339" t="s">
        <v>1166</v>
      </c>
      <c r="D339" t="s">
        <v>1167</v>
      </c>
      <c r="E339" t="s">
        <v>738</v>
      </c>
      <c r="F339" t="s">
        <v>1168</v>
      </c>
      <c r="G339" t="s">
        <v>1169</v>
      </c>
      <c r="H339" t="s">
        <v>1170</v>
      </c>
      <c r="I339">
        <v>540</v>
      </c>
      <c r="J339">
        <v>540</v>
      </c>
      <c r="K339" s="11" t="s">
        <v>508</v>
      </c>
    </row>
    <row r="340" spans="1:11" x14ac:dyDescent="0.2">
      <c r="A340">
        <v>700</v>
      </c>
      <c r="B340">
        <v>730</v>
      </c>
      <c r="C340" t="s">
        <v>771</v>
      </c>
      <c r="D340" t="s">
        <v>997</v>
      </c>
      <c r="E340" t="s">
        <v>738</v>
      </c>
      <c r="F340" t="s">
        <v>998</v>
      </c>
      <c r="G340" t="s">
        <v>738</v>
      </c>
      <c r="H340" t="s">
        <v>999</v>
      </c>
      <c r="I340">
        <v>6956</v>
      </c>
      <c r="J340">
        <v>6956</v>
      </c>
      <c r="K340" s="11" t="s">
        <v>405</v>
      </c>
    </row>
    <row r="341" spans="1:11" x14ac:dyDescent="0.2">
      <c r="A341">
        <v>591</v>
      </c>
      <c r="B341">
        <v>702</v>
      </c>
      <c r="C341" t="s">
        <v>801</v>
      </c>
      <c r="D341" t="s">
        <v>1831</v>
      </c>
      <c r="E341" t="s">
        <v>727</v>
      </c>
      <c r="F341" t="s">
        <v>1832</v>
      </c>
      <c r="G341" t="s">
        <v>1833</v>
      </c>
      <c r="H341" t="s">
        <v>1834</v>
      </c>
      <c r="I341">
        <v>530</v>
      </c>
      <c r="J341">
        <v>530</v>
      </c>
      <c r="K341" s="11" t="s">
        <v>530</v>
      </c>
    </row>
    <row r="342" spans="1:11" x14ac:dyDescent="0.2">
      <c r="A342">
        <v>2191</v>
      </c>
      <c r="B342">
        <v>554</v>
      </c>
      <c r="C342" t="s">
        <v>781</v>
      </c>
      <c r="D342" t="s">
        <v>782</v>
      </c>
      <c r="E342" t="s">
        <v>783</v>
      </c>
      <c r="F342" t="s">
        <v>784</v>
      </c>
      <c r="G342" t="s">
        <v>785</v>
      </c>
      <c r="H342" t="s">
        <v>786</v>
      </c>
      <c r="I342">
        <v>370</v>
      </c>
      <c r="J342">
        <v>370</v>
      </c>
      <c r="K342" s="11" t="s">
        <v>599</v>
      </c>
    </row>
    <row r="343" spans="1:11" x14ac:dyDescent="0.2">
      <c r="A343">
        <v>730</v>
      </c>
      <c r="B343">
        <v>648</v>
      </c>
      <c r="C343" t="s">
        <v>2160</v>
      </c>
      <c r="D343" t="s">
        <v>2161</v>
      </c>
      <c r="E343" t="s">
        <v>2162</v>
      </c>
      <c r="F343" t="s">
        <v>2163</v>
      </c>
      <c r="G343" t="s">
        <v>1649</v>
      </c>
      <c r="H343" t="s">
        <v>2164</v>
      </c>
      <c r="I343">
        <v>1757</v>
      </c>
      <c r="J343">
        <v>1757</v>
      </c>
      <c r="K343" s="11" t="s">
        <v>709</v>
      </c>
    </row>
    <row r="344" spans="1:11" x14ac:dyDescent="0.2">
      <c r="A344">
        <v>575</v>
      </c>
      <c r="B344">
        <v>736</v>
      </c>
      <c r="C344" t="s">
        <v>801</v>
      </c>
      <c r="D344" t="s">
        <v>2002</v>
      </c>
      <c r="E344" t="s">
        <v>727</v>
      </c>
      <c r="F344" t="s">
        <v>2003</v>
      </c>
      <c r="G344" t="s">
        <v>2004</v>
      </c>
      <c r="H344" t="s">
        <v>2005</v>
      </c>
      <c r="I344">
        <v>536</v>
      </c>
      <c r="J344">
        <v>536</v>
      </c>
      <c r="K344" s="11" t="s">
        <v>561</v>
      </c>
    </row>
    <row r="345" spans="1:11" x14ac:dyDescent="0.2">
      <c r="A345">
        <v>597</v>
      </c>
      <c r="B345">
        <v>574</v>
      </c>
      <c r="C345" t="s">
        <v>801</v>
      </c>
      <c r="D345" t="s">
        <v>863</v>
      </c>
      <c r="E345" t="s">
        <v>727</v>
      </c>
      <c r="F345" t="s">
        <v>864</v>
      </c>
      <c r="G345" t="s">
        <v>852</v>
      </c>
      <c r="H345" t="s">
        <v>865</v>
      </c>
      <c r="I345">
        <v>251</v>
      </c>
      <c r="J345">
        <v>251</v>
      </c>
      <c r="K345" s="11" t="s">
        <v>631</v>
      </c>
    </row>
    <row r="346" spans="1:11" x14ac:dyDescent="0.2">
      <c r="A346">
        <v>575</v>
      </c>
      <c r="B346">
        <v>702</v>
      </c>
      <c r="C346" t="s">
        <v>801</v>
      </c>
      <c r="D346" t="s">
        <v>1966</v>
      </c>
      <c r="E346" t="s">
        <v>727</v>
      </c>
      <c r="F346" t="s">
        <v>1967</v>
      </c>
      <c r="G346" t="s">
        <v>1344</v>
      </c>
      <c r="H346" t="s">
        <v>1968</v>
      </c>
      <c r="I346">
        <v>669</v>
      </c>
      <c r="J346">
        <v>669</v>
      </c>
      <c r="K346" s="11" t="s">
        <v>535</v>
      </c>
    </row>
    <row r="347" spans="1:11" x14ac:dyDescent="0.2">
      <c r="A347">
        <v>700</v>
      </c>
      <c r="B347">
        <v>723</v>
      </c>
      <c r="C347" t="s">
        <v>1000</v>
      </c>
      <c r="D347" t="s">
        <v>1001</v>
      </c>
      <c r="E347" t="s">
        <v>1002</v>
      </c>
      <c r="F347" t="s">
        <v>1003</v>
      </c>
      <c r="G347" t="s">
        <v>892</v>
      </c>
      <c r="H347" t="s">
        <v>1004</v>
      </c>
      <c r="I347">
        <v>269</v>
      </c>
      <c r="J347">
        <v>269</v>
      </c>
      <c r="K347" s="11" t="s">
        <v>658</v>
      </c>
    </row>
    <row r="348" spans="1:11" x14ac:dyDescent="0.2">
      <c r="A348">
        <v>579</v>
      </c>
      <c r="B348">
        <v>575</v>
      </c>
      <c r="C348" t="s">
        <v>1310</v>
      </c>
      <c r="D348" t="s">
        <v>1311</v>
      </c>
      <c r="E348" t="s">
        <v>738</v>
      </c>
      <c r="F348" t="s">
        <v>1312</v>
      </c>
      <c r="G348" t="s">
        <v>1313</v>
      </c>
      <c r="H348" t="s">
        <v>1314</v>
      </c>
      <c r="I348">
        <v>631</v>
      </c>
      <c r="J348">
        <v>631</v>
      </c>
      <c r="K348" s="11" t="s">
        <v>412</v>
      </c>
    </row>
    <row r="349" spans="1:11" x14ac:dyDescent="0.2">
      <c r="A349">
        <v>733</v>
      </c>
      <c r="B349">
        <v>647</v>
      </c>
      <c r="C349" t="s">
        <v>2120</v>
      </c>
      <c r="D349" t="s">
        <v>2121</v>
      </c>
      <c r="E349" t="s">
        <v>2122</v>
      </c>
      <c r="F349" t="s">
        <v>2123</v>
      </c>
      <c r="G349" t="s">
        <v>2124</v>
      </c>
      <c r="H349" t="s">
        <v>2125</v>
      </c>
      <c r="I349">
        <v>1253</v>
      </c>
      <c r="J349">
        <v>1253</v>
      </c>
      <c r="K349" s="11" t="s">
        <v>500</v>
      </c>
    </row>
    <row r="350" spans="1:11" x14ac:dyDescent="0.2">
      <c r="A350">
        <v>571</v>
      </c>
      <c r="B350">
        <v>574</v>
      </c>
      <c r="C350" t="s">
        <v>801</v>
      </c>
      <c r="D350" t="s">
        <v>1156</v>
      </c>
      <c r="E350" t="s">
        <v>727</v>
      </c>
      <c r="F350" t="s">
        <v>1157</v>
      </c>
      <c r="G350" t="s">
        <v>823</v>
      </c>
      <c r="H350" t="s">
        <v>1158</v>
      </c>
      <c r="I350">
        <v>180</v>
      </c>
      <c r="J350">
        <v>180</v>
      </c>
      <c r="K350" s="11" t="s">
        <v>682</v>
      </c>
    </row>
    <row r="351" spans="1:11" x14ac:dyDescent="0.2">
      <c r="A351">
        <v>663</v>
      </c>
      <c r="B351">
        <v>736</v>
      </c>
      <c r="C351" t="s">
        <v>801</v>
      </c>
      <c r="D351" t="s">
        <v>2305</v>
      </c>
      <c r="E351" t="s">
        <v>727</v>
      </c>
      <c r="F351" t="s">
        <v>2306</v>
      </c>
      <c r="G351" t="s">
        <v>2307</v>
      </c>
      <c r="H351" t="s">
        <v>2308</v>
      </c>
      <c r="I351">
        <v>135</v>
      </c>
      <c r="J351">
        <v>135</v>
      </c>
      <c r="K351" s="11" t="s">
        <v>711</v>
      </c>
    </row>
    <row r="352" spans="1:11" x14ac:dyDescent="0.2">
      <c r="A352">
        <v>720</v>
      </c>
      <c r="B352">
        <v>673</v>
      </c>
      <c r="C352" t="s">
        <v>771</v>
      </c>
      <c r="D352" t="s">
        <v>2191</v>
      </c>
      <c r="E352" t="s">
        <v>738</v>
      </c>
      <c r="F352" t="s">
        <v>2192</v>
      </c>
      <c r="G352" t="s">
        <v>2193</v>
      </c>
      <c r="H352" t="s">
        <v>2194</v>
      </c>
      <c r="I352">
        <v>1568</v>
      </c>
      <c r="J352">
        <v>1568</v>
      </c>
      <c r="K352" s="11" t="s">
        <v>430</v>
      </c>
    </row>
    <row r="353" spans="1:11" x14ac:dyDescent="0.2">
      <c r="A353">
        <v>625</v>
      </c>
      <c r="B353">
        <v>627</v>
      </c>
      <c r="C353" t="s">
        <v>1024</v>
      </c>
      <c r="D353" t="s">
        <v>1025</v>
      </c>
      <c r="E353" t="s">
        <v>1026</v>
      </c>
      <c r="F353" t="s">
        <v>1027</v>
      </c>
      <c r="G353" t="s">
        <v>1028</v>
      </c>
      <c r="H353" t="s">
        <v>1029</v>
      </c>
      <c r="I353">
        <v>141</v>
      </c>
      <c r="J353">
        <v>141</v>
      </c>
      <c r="K353" s="11" t="s">
        <v>623</v>
      </c>
    </row>
    <row r="354" spans="1:11" x14ac:dyDescent="0.2">
      <c r="A354">
        <v>574</v>
      </c>
      <c r="B354">
        <v>645</v>
      </c>
      <c r="C354" t="s">
        <v>801</v>
      </c>
      <c r="D354" t="s">
        <v>1517</v>
      </c>
      <c r="E354" t="s">
        <v>727</v>
      </c>
      <c r="F354" t="s">
        <v>1518</v>
      </c>
      <c r="G354" t="s">
        <v>763</v>
      </c>
      <c r="H354" t="s">
        <v>1519</v>
      </c>
      <c r="I354">
        <v>161</v>
      </c>
      <c r="J354">
        <v>161</v>
      </c>
      <c r="K354" s="11" t="s">
        <v>675</v>
      </c>
    </row>
    <row r="355" spans="1:11" x14ac:dyDescent="0.2">
      <c r="A355">
        <v>575</v>
      </c>
      <c r="B355">
        <v>653</v>
      </c>
      <c r="C355" t="s">
        <v>2033</v>
      </c>
      <c r="D355" t="s">
        <v>2034</v>
      </c>
      <c r="E355" t="s">
        <v>2035</v>
      </c>
      <c r="F355" t="s">
        <v>2036</v>
      </c>
      <c r="G355" t="s">
        <v>904</v>
      </c>
      <c r="H355" t="s">
        <v>2037</v>
      </c>
      <c r="I355">
        <v>367</v>
      </c>
      <c r="J355">
        <v>367</v>
      </c>
      <c r="K355" s="11" t="s">
        <v>615</v>
      </c>
    </row>
    <row r="356" spans="1:11" x14ac:dyDescent="0.2">
      <c r="A356">
        <v>575</v>
      </c>
      <c r="B356">
        <v>648</v>
      </c>
      <c r="C356" t="s">
        <v>1986</v>
      </c>
      <c r="D356" t="s">
        <v>1987</v>
      </c>
      <c r="E356" t="s">
        <v>738</v>
      </c>
      <c r="F356" t="s">
        <v>1988</v>
      </c>
      <c r="G356" t="s">
        <v>1333</v>
      </c>
      <c r="H356" t="s">
        <v>1989</v>
      </c>
      <c r="I356">
        <v>1513</v>
      </c>
      <c r="J356">
        <v>1513</v>
      </c>
      <c r="K356" s="11" t="s">
        <v>446</v>
      </c>
    </row>
    <row r="357" spans="1:11" x14ac:dyDescent="0.2">
      <c r="A357">
        <v>733</v>
      </c>
      <c r="B357">
        <v>730</v>
      </c>
      <c r="C357" t="s">
        <v>2126</v>
      </c>
      <c r="D357" t="s">
        <v>2127</v>
      </c>
      <c r="E357" t="s">
        <v>2128</v>
      </c>
      <c r="F357" t="s">
        <v>2129</v>
      </c>
      <c r="G357" t="s">
        <v>2130</v>
      </c>
      <c r="H357" t="s">
        <v>2131</v>
      </c>
      <c r="I357">
        <v>1599</v>
      </c>
      <c r="J357">
        <v>1599</v>
      </c>
      <c r="K357" s="11" t="s">
        <v>699</v>
      </c>
    </row>
    <row r="358" spans="1:11" x14ac:dyDescent="0.2">
      <c r="A358">
        <v>571</v>
      </c>
      <c r="B358">
        <v>529</v>
      </c>
      <c r="C358" t="s">
        <v>1150</v>
      </c>
      <c r="D358" t="s">
        <v>1151</v>
      </c>
      <c r="E358" t="s">
        <v>1152</v>
      </c>
      <c r="F358" t="s">
        <v>1153</v>
      </c>
      <c r="G358" t="s">
        <v>1154</v>
      </c>
      <c r="H358" t="s">
        <v>1155</v>
      </c>
      <c r="I358">
        <v>1227</v>
      </c>
      <c r="J358">
        <v>1227</v>
      </c>
      <c r="K358" s="11" t="s">
        <v>417</v>
      </c>
    </row>
    <row r="359" spans="1:11" x14ac:dyDescent="0.2">
      <c r="A359">
        <v>691</v>
      </c>
      <c r="B359">
        <v>673</v>
      </c>
      <c r="C359" t="s">
        <v>1640</v>
      </c>
      <c r="D359" t="s">
        <v>1641</v>
      </c>
      <c r="E359" t="s">
        <v>1642</v>
      </c>
      <c r="F359" t="s">
        <v>1643</v>
      </c>
      <c r="G359" t="s">
        <v>1470</v>
      </c>
      <c r="H359" t="s">
        <v>1644</v>
      </c>
      <c r="I359">
        <v>709</v>
      </c>
      <c r="J359">
        <v>709</v>
      </c>
      <c r="K359" s="11" t="s">
        <v>515</v>
      </c>
    </row>
    <row r="360" spans="1:11" x14ac:dyDescent="0.2">
      <c r="A360">
        <v>579</v>
      </c>
      <c r="B360">
        <v>498</v>
      </c>
      <c r="C360" t="s">
        <v>1258</v>
      </c>
      <c r="D360" t="s">
        <v>1259</v>
      </c>
      <c r="E360" t="s">
        <v>1260</v>
      </c>
      <c r="F360" t="s">
        <v>1261</v>
      </c>
      <c r="G360" t="s">
        <v>1262</v>
      </c>
      <c r="H360" t="s">
        <v>1263</v>
      </c>
      <c r="I360">
        <v>95</v>
      </c>
      <c r="J360">
        <v>95</v>
      </c>
      <c r="K360" s="11" t="s">
        <v>708</v>
      </c>
    </row>
    <row r="361" spans="1:11" x14ac:dyDescent="0.2">
      <c r="A361">
        <v>733</v>
      </c>
      <c r="B361">
        <v>736</v>
      </c>
      <c r="C361" t="s">
        <v>801</v>
      </c>
      <c r="D361" t="s">
        <v>2113</v>
      </c>
      <c r="E361" t="s">
        <v>727</v>
      </c>
      <c r="F361" t="s">
        <v>2114</v>
      </c>
      <c r="G361" t="s">
        <v>2115</v>
      </c>
      <c r="H361" t="s">
        <v>2116</v>
      </c>
      <c r="I361">
        <v>437</v>
      </c>
      <c r="J361">
        <v>437</v>
      </c>
      <c r="K361" s="11" t="s">
        <v>637</v>
      </c>
    </row>
    <row r="362" spans="1:11" x14ac:dyDescent="0.2">
      <c r="A362">
        <v>554</v>
      </c>
      <c r="B362">
        <v>736</v>
      </c>
      <c r="C362" t="s">
        <v>771</v>
      </c>
      <c r="D362" t="s">
        <v>1740</v>
      </c>
      <c r="E362" t="s">
        <v>738</v>
      </c>
      <c r="F362" t="s">
        <v>1741</v>
      </c>
      <c r="G362" t="s">
        <v>1742</v>
      </c>
      <c r="H362" t="s">
        <v>1743</v>
      </c>
      <c r="I362">
        <v>4506</v>
      </c>
      <c r="J362">
        <v>4506</v>
      </c>
      <c r="K362" s="11" t="s">
        <v>367</v>
      </c>
    </row>
    <row r="363" spans="1:11" x14ac:dyDescent="0.2">
      <c r="A363">
        <v>700</v>
      </c>
      <c r="B363">
        <v>624</v>
      </c>
      <c r="C363" t="s">
        <v>989</v>
      </c>
      <c r="D363" t="s">
        <v>990</v>
      </c>
      <c r="E363" t="s">
        <v>738</v>
      </c>
      <c r="F363" t="s">
        <v>991</v>
      </c>
      <c r="G363" t="s">
        <v>738</v>
      </c>
      <c r="H363" t="s">
        <v>992</v>
      </c>
      <c r="I363">
        <v>123</v>
      </c>
      <c r="J363">
        <v>123</v>
      </c>
      <c r="K363" s="11" t="s">
        <v>727</v>
      </c>
    </row>
    <row r="364" spans="1:11" x14ac:dyDescent="0.2">
      <c r="A364">
        <v>597</v>
      </c>
      <c r="B364">
        <v>700</v>
      </c>
      <c r="C364" t="s">
        <v>801</v>
      </c>
      <c r="D364" t="s">
        <v>859</v>
      </c>
      <c r="E364" t="s">
        <v>727</v>
      </c>
      <c r="F364" t="s">
        <v>860</v>
      </c>
      <c r="G364" t="s">
        <v>861</v>
      </c>
      <c r="H364" t="s">
        <v>862</v>
      </c>
      <c r="I364">
        <v>419</v>
      </c>
      <c r="J364">
        <v>419</v>
      </c>
      <c r="K364" s="11" t="s">
        <v>589</v>
      </c>
    </row>
    <row r="365" spans="1:11" x14ac:dyDescent="0.2">
      <c r="A365">
        <v>2191</v>
      </c>
      <c r="B365">
        <v>579</v>
      </c>
      <c r="C365" t="s">
        <v>759</v>
      </c>
      <c r="D365" t="s">
        <v>760</v>
      </c>
      <c r="E365" t="s">
        <v>761</v>
      </c>
      <c r="F365" t="s">
        <v>762</v>
      </c>
      <c r="G365" t="s">
        <v>763</v>
      </c>
      <c r="H365" t="s">
        <v>764</v>
      </c>
      <c r="I365">
        <v>107</v>
      </c>
      <c r="J365">
        <v>107</v>
      </c>
      <c r="K365" s="11" t="s">
        <v>696</v>
      </c>
    </row>
    <row r="366" spans="1:11" x14ac:dyDescent="0.2">
      <c r="A366">
        <v>591</v>
      </c>
      <c r="B366">
        <v>578</v>
      </c>
      <c r="C366" t="s">
        <v>771</v>
      </c>
      <c r="D366" t="s">
        <v>1850</v>
      </c>
      <c r="E366" t="s">
        <v>738</v>
      </c>
      <c r="F366" t="s">
        <v>1851</v>
      </c>
      <c r="G366" t="s">
        <v>1852</v>
      </c>
      <c r="H366" t="s">
        <v>1853</v>
      </c>
      <c r="I366">
        <v>1455</v>
      </c>
      <c r="J366">
        <v>1455</v>
      </c>
      <c r="K366" s="11" t="s">
        <v>398</v>
      </c>
    </row>
    <row r="367" spans="1:11" x14ac:dyDescent="0.2">
      <c r="A367">
        <v>529</v>
      </c>
      <c r="B367">
        <v>723</v>
      </c>
      <c r="C367" t="s">
        <v>771</v>
      </c>
      <c r="D367" t="s">
        <v>2327</v>
      </c>
      <c r="E367" t="s">
        <v>738</v>
      </c>
      <c r="F367" t="s">
        <v>2328</v>
      </c>
      <c r="G367" t="s">
        <v>2329</v>
      </c>
      <c r="H367" t="s">
        <v>2330</v>
      </c>
      <c r="I367">
        <v>1115</v>
      </c>
      <c r="J367">
        <v>1115</v>
      </c>
      <c r="K367" s="11" t="s">
        <v>425</v>
      </c>
    </row>
    <row r="368" spans="1:11" x14ac:dyDescent="0.2">
      <c r="A368">
        <v>2191</v>
      </c>
      <c r="B368">
        <v>625</v>
      </c>
      <c r="C368" t="s">
        <v>747</v>
      </c>
      <c r="D368" t="s">
        <v>748</v>
      </c>
      <c r="E368" t="s">
        <v>749</v>
      </c>
      <c r="F368" t="s">
        <v>750</v>
      </c>
      <c r="G368" t="s">
        <v>751</v>
      </c>
      <c r="H368" t="s">
        <v>752</v>
      </c>
      <c r="I368">
        <v>90</v>
      </c>
      <c r="J368">
        <v>90</v>
      </c>
      <c r="K368" s="11" t="s">
        <v>712</v>
      </c>
    </row>
    <row r="369" spans="1:22" x14ac:dyDescent="0.2">
      <c r="A369">
        <v>733</v>
      </c>
      <c r="B369">
        <v>716</v>
      </c>
      <c r="C369" t="s">
        <v>2135</v>
      </c>
      <c r="D369" t="s">
        <v>2136</v>
      </c>
      <c r="E369" t="s">
        <v>738</v>
      </c>
      <c r="F369" t="s">
        <v>2137</v>
      </c>
      <c r="G369" t="s">
        <v>738</v>
      </c>
      <c r="H369" t="s">
        <v>2138</v>
      </c>
      <c r="I369">
        <v>94</v>
      </c>
      <c r="J369">
        <v>94</v>
      </c>
      <c r="K369" s="11" t="s">
        <v>727</v>
      </c>
    </row>
    <row r="370" spans="1:22" x14ac:dyDescent="0.2">
      <c r="A370">
        <v>702</v>
      </c>
      <c r="B370">
        <v>645</v>
      </c>
      <c r="C370" t="s">
        <v>801</v>
      </c>
      <c r="D370" t="s">
        <v>2047</v>
      </c>
      <c r="E370" t="s">
        <v>727</v>
      </c>
      <c r="F370" t="s">
        <v>2048</v>
      </c>
      <c r="G370" t="s">
        <v>1848</v>
      </c>
      <c r="H370" t="s">
        <v>2049</v>
      </c>
      <c r="I370">
        <v>498</v>
      </c>
      <c r="J370">
        <v>498</v>
      </c>
      <c r="K370" s="11" t="s">
        <v>547</v>
      </c>
    </row>
    <row r="371" spans="1:22" x14ac:dyDescent="0.2">
      <c r="A371">
        <v>571</v>
      </c>
      <c r="B371">
        <v>663</v>
      </c>
      <c r="C371" t="s">
        <v>801</v>
      </c>
      <c r="D371" t="s">
        <v>1178</v>
      </c>
      <c r="E371" t="s">
        <v>727</v>
      </c>
      <c r="F371" t="s">
        <v>1179</v>
      </c>
      <c r="G371" t="s">
        <v>1180</v>
      </c>
      <c r="H371" t="s">
        <v>1181</v>
      </c>
      <c r="I371">
        <v>521</v>
      </c>
      <c r="J371">
        <v>521</v>
      </c>
      <c r="K371" s="11" t="s">
        <v>621</v>
      </c>
    </row>
    <row r="372" spans="1:22" x14ac:dyDescent="0.2">
      <c r="A372">
        <v>691</v>
      </c>
      <c r="B372">
        <v>730</v>
      </c>
      <c r="C372" t="s">
        <v>801</v>
      </c>
      <c r="D372" t="s">
        <v>1632</v>
      </c>
      <c r="E372" t="s">
        <v>727</v>
      </c>
      <c r="F372" t="s">
        <v>1633</v>
      </c>
      <c r="G372" t="s">
        <v>1634</v>
      </c>
      <c r="H372" t="s">
        <v>1635</v>
      </c>
      <c r="I372">
        <v>1038</v>
      </c>
      <c r="J372">
        <v>1038</v>
      </c>
      <c r="K372" s="11" t="s">
        <v>640</v>
      </c>
    </row>
    <row r="373" spans="1:22" x14ac:dyDescent="0.2">
      <c r="A373">
        <v>597</v>
      </c>
      <c r="B373">
        <v>625</v>
      </c>
      <c r="C373" t="s">
        <v>801</v>
      </c>
      <c r="D373" t="s">
        <v>814</v>
      </c>
      <c r="E373" t="s">
        <v>727</v>
      </c>
      <c r="F373" t="s">
        <v>815</v>
      </c>
      <c r="G373" t="s">
        <v>816</v>
      </c>
      <c r="H373" t="s">
        <v>817</v>
      </c>
      <c r="I373">
        <v>114</v>
      </c>
      <c r="J373">
        <v>114</v>
      </c>
      <c r="K373" s="11" t="s">
        <v>688</v>
      </c>
    </row>
    <row r="374" spans="1:22" x14ac:dyDescent="0.2">
      <c r="A374">
        <v>733</v>
      </c>
      <c r="B374">
        <v>529</v>
      </c>
      <c r="C374" t="s">
        <v>2094</v>
      </c>
      <c r="D374" t="s">
        <v>2095</v>
      </c>
      <c r="E374" t="s">
        <v>738</v>
      </c>
      <c r="F374" t="s">
        <v>2096</v>
      </c>
      <c r="G374" t="s">
        <v>2092</v>
      </c>
      <c r="H374" t="s">
        <v>2097</v>
      </c>
      <c r="I374">
        <v>995</v>
      </c>
      <c r="J374">
        <v>995</v>
      </c>
      <c r="K374" s="11" t="s">
        <v>432</v>
      </c>
    </row>
    <row r="375" spans="1:22" x14ac:dyDescent="0.2">
      <c r="A375">
        <v>506</v>
      </c>
      <c r="B375">
        <v>682</v>
      </c>
      <c r="C375" t="s">
        <v>801</v>
      </c>
      <c r="D375" t="s">
        <v>1403</v>
      </c>
      <c r="E375" t="s">
        <v>727</v>
      </c>
      <c r="F375" t="s">
        <v>1404</v>
      </c>
      <c r="G375" t="s">
        <v>1300</v>
      </c>
      <c r="H375" t="s">
        <v>1405</v>
      </c>
      <c r="I375">
        <v>828</v>
      </c>
      <c r="J375">
        <v>828</v>
      </c>
      <c r="K375" s="11" t="s">
        <v>435</v>
      </c>
    </row>
    <row r="376" spans="1:22" x14ac:dyDescent="0.2">
      <c r="A376">
        <v>682</v>
      </c>
      <c r="B376">
        <v>529</v>
      </c>
      <c r="C376" t="s">
        <v>1905</v>
      </c>
      <c r="D376" t="s">
        <v>1906</v>
      </c>
      <c r="E376" t="s">
        <v>1907</v>
      </c>
      <c r="F376" t="s">
        <v>1908</v>
      </c>
      <c r="G376" t="s">
        <v>1180</v>
      </c>
      <c r="H376" t="s">
        <v>1909</v>
      </c>
      <c r="I376">
        <v>472</v>
      </c>
      <c r="J376">
        <v>472</v>
      </c>
      <c r="K376" s="11" t="s">
        <v>506</v>
      </c>
    </row>
    <row r="377" spans="1:22" x14ac:dyDescent="0.2">
      <c r="A377">
        <v>682</v>
      </c>
      <c r="B377">
        <v>723</v>
      </c>
      <c r="C377" t="s">
        <v>1922</v>
      </c>
      <c r="D377" t="s">
        <v>1923</v>
      </c>
      <c r="E377" t="s">
        <v>738</v>
      </c>
      <c r="F377" t="s">
        <v>1924</v>
      </c>
      <c r="G377" t="s">
        <v>1415</v>
      </c>
      <c r="H377" t="s">
        <v>1925</v>
      </c>
      <c r="I377">
        <v>748</v>
      </c>
      <c r="J377">
        <v>748</v>
      </c>
      <c r="K377" s="11" t="s">
        <v>492</v>
      </c>
    </row>
    <row r="378" spans="1:22" x14ac:dyDescent="0.2">
      <c r="A378">
        <v>682</v>
      </c>
      <c r="B378">
        <v>673</v>
      </c>
      <c r="C378" t="s">
        <v>801</v>
      </c>
      <c r="D378" t="s">
        <v>1950</v>
      </c>
      <c r="E378" t="s">
        <v>727</v>
      </c>
      <c r="F378" t="s">
        <v>1951</v>
      </c>
      <c r="G378" t="s">
        <v>1952</v>
      </c>
      <c r="H378" t="s">
        <v>1953</v>
      </c>
      <c r="I378">
        <v>210</v>
      </c>
      <c r="J378">
        <v>210</v>
      </c>
      <c r="K378" s="11" t="s">
        <v>661</v>
      </c>
    </row>
    <row r="379" spans="1:22" x14ac:dyDescent="0.2">
      <c r="A379">
        <v>554</v>
      </c>
      <c r="B379">
        <v>723</v>
      </c>
      <c r="C379" t="s">
        <v>801</v>
      </c>
      <c r="D379" t="s">
        <v>1716</v>
      </c>
      <c r="E379" t="s">
        <v>727</v>
      </c>
      <c r="F379" t="s">
        <v>1717</v>
      </c>
      <c r="G379" t="s">
        <v>852</v>
      </c>
      <c r="H379" t="s">
        <v>1718</v>
      </c>
      <c r="I379">
        <v>157</v>
      </c>
      <c r="J379">
        <v>157</v>
      </c>
      <c r="K379" s="11" t="s">
        <v>700</v>
      </c>
    </row>
    <row r="383" spans="1:22" x14ac:dyDescent="0.2">
      <c r="C383" s="4"/>
      <c r="N383" s="45" t="s">
        <v>43</v>
      </c>
      <c r="O383" s="45">
        <v>700</v>
      </c>
      <c r="S383" s="45" t="s">
        <v>2377</v>
      </c>
      <c r="T383">
        <v>648</v>
      </c>
    </row>
    <row r="384" spans="1:22" x14ac:dyDescent="0.2">
      <c r="C384" s="21"/>
      <c r="M384" s="42"/>
      <c r="N384" s="23"/>
      <c r="O384" s="23"/>
      <c r="P384" s="23"/>
      <c r="Q384" s="23"/>
      <c r="R384" s="23"/>
      <c r="S384" s="23"/>
      <c r="T384" s="23"/>
      <c r="U384" s="23"/>
      <c r="V384" s="23"/>
    </row>
    <row r="385" spans="13:22" x14ac:dyDescent="0.2">
      <c r="M385" s="32" t="s">
        <v>355</v>
      </c>
      <c r="N385" s="32" t="s">
        <v>356</v>
      </c>
      <c r="O385" s="32" t="s">
        <v>2368</v>
      </c>
      <c r="P385" s="32" t="s">
        <v>357</v>
      </c>
      <c r="Q385" s="23"/>
      <c r="R385" s="32" t="s">
        <v>355</v>
      </c>
      <c r="S385" s="32" t="s">
        <v>356</v>
      </c>
      <c r="T385" s="32" t="s">
        <v>2368</v>
      </c>
      <c r="U385" s="32" t="s">
        <v>357</v>
      </c>
      <c r="V385" s="23"/>
    </row>
    <row r="386" spans="13:22" x14ac:dyDescent="0.2">
      <c r="M386" s="34">
        <v>700</v>
      </c>
      <c r="N386" s="34">
        <v>574</v>
      </c>
      <c r="O386" s="34" t="s">
        <v>922</v>
      </c>
      <c r="P386" s="34">
        <v>464</v>
      </c>
      <c r="Q386" s="23"/>
      <c r="R386" s="34">
        <v>554</v>
      </c>
      <c r="S386" s="34">
        <v>648</v>
      </c>
      <c r="T386" s="34" t="s">
        <v>1714</v>
      </c>
      <c r="U386" s="34">
        <v>290</v>
      </c>
      <c r="V386" s="23"/>
    </row>
    <row r="387" spans="13:22" x14ac:dyDescent="0.2">
      <c r="M387" s="35">
        <v>700</v>
      </c>
      <c r="N387" s="35">
        <v>663</v>
      </c>
      <c r="O387" s="35" t="s">
        <v>956</v>
      </c>
      <c r="P387" s="35">
        <v>809</v>
      </c>
      <c r="Q387" s="23"/>
      <c r="R387" s="34">
        <v>648</v>
      </c>
      <c r="S387" s="34">
        <v>663</v>
      </c>
      <c r="T387" s="34" t="s">
        <v>2275</v>
      </c>
      <c r="U387" s="34">
        <v>816</v>
      </c>
      <c r="V387" s="23"/>
    </row>
    <row r="388" spans="13:22" x14ac:dyDescent="0.2">
      <c r="M388" s="34">
        <v>700</v>
      </c>
      <c r="N388" s="34">
        <v>647</v>
      </c>
      <c r="O388" s="34" t="s">
        <v>982</v>
      </c>
      <c r="P388" s="34">
        <v>308</v>
      </c>
      <c r="Q388" s="23"/>
      <c r="R388" s="34">
        <v>579</v>
      </c>
      <c r="S388" s="34">
        <v>648</v>
      </c>
      <c r="T388" s="34" t="s">
        <v>1294</v>
      </c>
      <c r="U388" s="34">
        <v>382</v>
      </c>
      <c r="V388" s="23"/>
    </row>
    <row r="389" spans="13:22" x14ac:dyDescent="0.2">
      <c r="M389" s="34">
        <v>700</v>
      </c>
      <c r="N389" s="34">
        <v>736</v>
      </c>
      <c r="O389" s="34" t="s">
        <v>1014</v>
      </c>
      <c r="P389" s="34">
        <v>4778</v>
      </c>
      <c r="Q389" s="23"/>
      <c r="R389" s="34">
        <v>648</v>
      </c>
      <c r="S389" s="34">
        <v>673</v>
      </c>
      <c r="T389" s="34" t="s">
        <v>2284</v>
      </c>
      <c r="U389" s="34">
        <v>594</v>
      </c>
      <c r="V389" s="23"/>
    </row>
    <row r="390" spans="13:22" x14ac:dyDescent="0.2">
      <c r="M390" s="34">
        <v>2191</v>
      </c>
      <c r="N390" s="34">
        <v>700</v>
      </c>
      <c r="O390" s="34" t="s">
        <v>744</v>
      </c>
      <c r="P390" s="34">
        <v>1216</v>
      </c>
      <c r="Q390" s="23"/>
      <c r="R390" s="28">
        <v>700</v>
      </c>
      <c r="S390" s="28">
        <v>648</v>
      </c>
      <c r="T390" s="28" t="s">
        <v>967</v>
      </c>
      <c r="U390" s="28">
        <v>450</v>
      </c>
      <c r="V390" s="23"/>
    </row>
    <row r="391" spans="13:22" x14ac:dyDescent="0.2">
      <c r="M391" s="28">
        <v>700</v>
      </c>
      <c r="N391" s="28">
        <v>648</v>
      </c>
      <c r="O391" s="28" t="s">
        <v>967</v>
      </c>
      <c r="P391" s="28">
        <v>450</v>
      </c>
      <c r="Q391" s="23"/>
      <c r="R391" s="34">
        <v>625</v>
      </c>
      <c r="S391" s="34">
        <v>648</v>
      </c>
      <c r="T391" s="34" t="s">
        <v>1124</v>
      </c>
      <c r="U391" s="34">
        <v>737</v>
      </c>
      <c r="V391" s="23"/>
    </row>
    <row r="392" spans="13:22" x14ac:dyDescent="0.2">
      <c r="M392" s="34">
        <v>700</v>
      </c>
      <c r="N392" s="34">
        <v>529</v>
      </c>
      <c r="O392" s="34" t="s">
        <v>918</v>
      </c>
      <c r="P392" s="34">
        <v>819</v>
      </c>
      <c r="Q392" s="23"/>
      <c r="R392" s="34">
        <v>682</v>
      </c>
      <c r="S392" s="34">
        <v>648</v>
      </c>
      <c r="T392" s="34" t="s">
        <v>1920</v>
      </c>
      <c r="U392" s="34">
        <v>602</v>
      </c>
      <c r="V392" s="23"/>
    </row>
    <row r="393" spans="13:22" x14ac:dyDescent="0.2">
      <c r="M393" s="34">
        <v>700</v>
      </c>
      <c r="N393" s="34">
        <v>575</v>
      </c>
      <c r="O393" s="34" t="s">
        <v>986</v>
      </c>
      <c r="P393" s="34">
        <v>583</v>
      </c>
      <c r="Q393" s="23"/>
      <c r="R393" s="34">
        <v>648</v>
      </c>
      <c r="S393" s="34">
        <v>563</v>
      </c>
      <c r="T393" s="34" t="s">
        <v>2294</v>
      </c>
      <c r="U393" s="34">
        <v>10</v>
      </c>
      <c r="V393" s="23"/>
    </row>
    <row r="394" spans="13:22" x14ac:dyDescent="0.2">
      <c r="M394" s="34">
        <v>700</v>
      </c>
      <c r="N394" s="34">
        <v>645</v>
      </c>
      <c r="O394" s="34" t="s">
        <v>964</v>
      </c>
      <c r="P394" s="34">
        <v>221</v>
      </c>
      <c r="Q394" s="23"/>
      <c r="R394" s="34">
        <v>506</v>
      </c>
      <c r="S394" s="34">
        <v>648</v>
      </c>
      <c r="T394" s="34" t="s">
        <v>1409</v>
      </c>
      <c r="U394" s="34">
        <v>1457</v>
      </c>
      <c r="V394" s="23"/>
    </row>
    <row r="395" spans="13:22" x14ac:dyDescent="0.2">
      <c r="M395" s="34">
        <v>700</v>
      </c>
      <c r="N395" s="34">
        <v>625</v>
      </c>
      <c r="O395" s="34" t="s">
        <v>942</v>
      </c>
      <c r="P395" s="34">
        <v>138</v>
      </c>
      <c r="Q395" s="23"/>
      <c r="R395" s="34">
        <v>733</v>
      </c>
      <c r="S395" s="34">
        <v>648</v>
      </c>
      <c r="T395" s="34" t="s">
        <v>2107</v>
      </c>
      <c r="U395" s="34">
        <v>3959</v>
      </c>
      <c r="V395" s="23"/>
    </row>
    <row r="396" spans="13:22" x14ac:dyDescent="0.2">
      <c r="M396" s="34">
        <v>700</v>
      </c>
      <c r="N396" s="34">
        <v>627</v>
      </c>
      <c r="O396" s="34" t="s">
        <v>909</v>
      </c>
      <c r="P396" s="34">
        <v>414</v>
      </c>
      <c r="Q396" s="23"/>
      <c r="R396" s="34">
        <v>648</v>
      </c>
      <c r="S396" s="34">
        <v>2190</v>
      </c>
      <c r="T396" s="34" t="s">
        <v>2289</v>
      </c>
      <c r="U396" s="34">
        <v>535</v>
      </c>
      <c r="V396" s="23"/>
    </row>
    <row r="397" spans="13:22" x14ac:dyDescent="0.2">
      <c r="M397" s="34">
        <v>700</v>
      </c>
      <c r="N397" s="34">
        <v>733</v>
      </c>
      <c r="O397" s="34" t="s">
        <v>1017</v>
      </c>
      <c r="P397" s="34">
        <v>540</v>
      </c>
      <c r="Q397" s="23"/>
      <c r="R397" s="34">
        <v>627</v>
      </c>
      <c r="S397" s="34">
        <v>648</v>
      </c>
      <c r="T397" s="34" t="s">
        <v>1757</v>
      </c>
      <c r="U397" s="34">
        <v>1035</v>
      </c>
      <c r="V397" s="23"/>
    </row>
    <row r="398" spans="13:22" x14ac:dyDescent="0.2">
      <c r="M398" s="34">
        <v>700</v>
      </c>
      <c r="N398" s="34">
        <v>720</v>
      </c>
      <c r="O398" s="34" t="s">
        <v>960</v>
      </c>
      <c r="P398" s="34">
        <v>283</v>
      </c>
      <c r="Q398" s="23"/>
      <c r="R398" s="34">
        <v>597</v>
      </c>
      <c r="S398" s="34">
        <v>648</v>
      </c>
      <c r="T398" s="34" t="s">
        <v>883</v>
      </c>
      <c r="U398" s="34">
        <v>270</v>
      </c>
      <c r="V398" s="23"/>
    </row>
    <row r="399" spans="13:22" x14ac:dyDescent="0.2">
      <c r="M399" s="34">
        <v>700</v>
      </c>
      <c r="N399" s="34">
        <v>591</v>
      </c>
      <c r="O399" s="34" t="s">
        <v>926</v>
      </c>
      <c r="P399" s="34">
        <v>8</v>
      </c>
      <c r="Q399" s="23"/>
      <c r="R399" s="34">
        <v>648</v>
      </c>
      <c r="S399" s="34">
        <v>712</v>
      </c>
      <c r="T399" s="34" t="s">
        <v>2270</v>
      </c>
      <c r="U399" s="34">
        <v>36</v>
      </c>
      <c r="V399" s="23"/>
    </row>
    <row r="400" spans="13:22" x14ac:dyDescent="0.2">
      <c r="M400" s="34">
        <v>700</v>
      </c>
      <c r="N400" s="34">
        <v>554</v>
      </c>
      <c r="O400" s="34" t="s">
        <v>950</v>
      </c>
      <c r="P400" s="34">
        <v>471</v>
      </c>
      <c r="Q400" s="23"/>
      <c r="R400" s="34">
        <v>648</v>
      </c>
      <c r="S400" s="34">
        <v>529</v>
      </c>
      <c r="T400" s="34" t="s">
        <v>2267</v>
      </c>
      <c r="U400" s="34">
        <v>1378</v>
      </c>
      <c r="V400" s="23"/>
    </row>
    <row r="401" spans="13:22" x14ac:dyDescent="0.2">
      <c r="M401" s="34">
        <v>700</v>
      </c>
      <c r="N401" s="34">
        <v>702</v>
      </c>
      <c r="O401" s="34" t="s">
        <v>913</v>
      </c>
      <c r="P401" s="34">
        <v>444</v>
      </c>
      <c r="Q401" s="23"/>
      <c r="R401" s="34">
        <v>574</v>
      </c>
      <c r="S401" s="34">
        <v>648</v>
      </c>
      <c r="T401" s="34" t="s">
        <v>1539</v>
      </c>
      <c r="U401" s="34">
        <v>1706</v>
      </c>
      <c r="V401" s="23"/>
    </row>
    <row r="402" spans="13:22" x14ac:dyDescent="0.2">
      <c r="M402" s="34">
        <v>700</v>
      </c>
      <c r="N402" s="34">
        <v>691</v>
      </c>
      <c r="O402" s="34" t="s">
        <v>946</v>
      </c>
      <c r="P402" s="34">
        <v>781</v>
      </c>
      <c r="Q402" s="23"/>
      <c r="R402" s="34">
        <v>648</v>
      </c>
      <c r="S402" s="34">
        <v>736</v>
      </c>
      <c r="T402" s="34" t="s">
        <v>2280</v>
      </c>
      <c r="U402" s="34">
        <v>1062</v>
      </c>
      <c r="V402" s="23"/>
    </row>
    <row r="403" spans="13:22" x14ac:dyDescent="0.2">
      <c r="M403" s="34">
        <v>700</v>
      </c>
      <c r="N403" s="34">
        <v>498</v>
      </c>
      <c r="O403" s="34" t="s">
        <v>932</v>
      </c>
      <c r="P403" s="34">
        <v>260</v>
      </c>
      <c r="Q403" s="23"/>
      <c r="R403" s="35">
        <v>645</v>
      </c>
      <c r="S403" s="35">
        <v>648</v>
      </c>
      <c r="T403" s="35" t="s">
        <v>2250</v>
      </c>
      <c r="U403" s="35">
        <v>3288</v>
      </c>
      <c r="V403" s="23"/>
    </row>
    <row r="404" spans="13:22" x14ac:dyDescent="0.2">
      <c r="M404" s="34">
        <v>700</v>
      </c>
      <c r="N404" s="34">
        <v>635</v>
      </c>
      <c r="O404" s="34" t="s">
        <v>1007</v>
      </c>
      <c r="P404" s="34">
        <v>88</v>
      </c>
      <c r="Q404" s="23"/>
      <c r="R404" s="34">
        <v>591</v>
      </c>
      <c r="S404" s="34">
        <v>648</v>
      </c>
      <c r="T404" s="34" t="s">
        <v>1887</v>
      </c>
      <c r="U404" s="34">
        <v>795</v>
      </c>
      <c r="V404" s="23"/>
    </row>
    <row r="405" spans="13:22" x14ac:dyDescent="0.2">
      <c r="M405" s="34">
        <v>700</v>
      </c>
      <c r="N405" s="34">
        <v>579</v>
      </c>
      <c r="O405" s="34" t="s">
        <v>973</v>
      </c>
      <c r="P405" s="34">
        <v>546</v>
      </c>
      <c r="Q405" s="23"/>
      <c r="R405" s="34">
        <v>702</v>
      </c>
      <c r="S405" s="34">
        <v>648</v>
      </c>
      <c r="T405" s="34" t="s">
        <v>2091</v>
      </c>
      <c r="U405" s="34">
        <v>1431</v>
      </c>
      <c r="V405" s="23"/>
    </row>
    <row r="406" spans="13:22" x14ac:dyDescent="0.2">
      <c r="M406" s="34">
        <v>700</v>
      </c>
      <c r="N406" s="34">
        <v>682</v>
      </c>
      <c r="O406" s="34" t="s">
        <v>1021</v>
      </c>
      <c r="P406" s="34">
        <v>379</v>
      </c>
      <c r="Q406" s="23"/>
      <c r="R406" s="34">
        <v>571</v>
      </c>
      <c r="S406" s="34">
        <v>648</v>
      </c>
      <c r="T406" s="34" t="s">
        <v>1211</v>
      </c>
      <c r="U406" s="34">
        <v>252</v>
      </c>
      <c r="V406" s="23"/>
    </row>
    <row r="407" spans="13:22" x14ac:dyDescent="0.2">
      <c r="M407" s="34">
        <v>700</v>
      </c>
      <c r="N407" s="34">
        <v>506</v>
      </c>
      <c r="O407" s="34" t="s">
        <v>978</v>
      </c>
      <c r="P407" s="34">
        <v>1312</v>
      </c>
      <c r="Q407" s="23"/>
      <c r="R407" s="34">
        <v>691</v>
      </c>
      <c r="S407" s="34">
        <v>648</v>
      </c>
      <c r="T407" s="34" t="s">
        <v>1671</v>
      </c>
      <c r="U407" s="34">
        <v>1777</v>
      </c>
      <c r="V407" s="23"/>
    </row>
    <row r="408" spans="13:22" x14ac:dyDescent="0.2">
      <c r="M408" s="34">
        <v>700</v>
      </c>
      <c r="N408" s="34">
        <v>673</v>
      </c>
      <c r="O408" s="34" t="s">
        <v>1010</v>
      </c>
      <c r="P408" s="34">
        <v>343</v>
      </c>
      <c r="Q408" s="23"/>
      <c r="R408" s="34">
        <v>647</v>
      </c>
      <c r="S408" s="34">
        <v>648</v>
      </c>
      <c r="T408" s="34" t="s">
        <v>2213</v>
      </c>
      <c r="U408" s="34">
        <v>2605</v>
      </c>
      <c r="V408" s="23"/>
    </row>
    <row r="409" spans="13:22" x14ac:dyDescent="0.2">
      <c r="M409" s="34">
        <v>700</v>
      </c>
      <c r="N409" s="34">
        <v>571</v>
      </c>
      <c r="O409" s="34" t="s">
        <v>994</v>
      </c>
      <c r="P409" s="34">
        <v>137</v>
      </c>
      <c r="Q409" s="23"/>
      <c r="R409" s="34">
        <v>730</v>
      </c>
      <c r="S409" s="34">
        <v>648</v>
      </c>
      <c r="T409" s="34" t="s">
        <v>2163</v>
      </c>
      <c r="U409" s="34">
        <v>1757</v>
      </c>
      <c r="V409" s="23"/>
    </row>
    <row r="410" spans="13:22" x14ac:dyDescent="0.2">
      <c r="M410" s="34">
        <v>700</v>
      </c>
      <c r="N410" s="34">
        <v>613</v>
      </c>
      <c r="O410" s="34" t="s">
        <v>938</v>
      </c>
      <c r="P410" s="34">
        <v>165</v>
      </c>
      <c r="Q410" s="23"/>
      <c r="R410" s="34">
        <v>575</v>
      </c>
      <c r="S410" s="34">
        <v>648</v>
      </c>
      <c r="T410" s="34" t="s">
        <v>1988</v>
      </c>
      <c r="U410" s="34">
        <v>1513</v>
      </c>
      <c r="V410" s="23"/>
    </row>
    <row r="411" spans="13:22" x14ac:dyDescent="0.2">
      <c r="M411" s="34">
        <v>700</v>
      </c>
      <c r="N411" s="34">
        <v>730</v>
      </c>
      <c r="O411" s="34" t="s">
        <v>998</v>
      </c>
      <c r="P411" s="34">
        <v>6956</v>
      </c>
      <c r="Q411" s="23"/>
      <c r="R411" s="34"/>
      <c r="S411" s="34"/>
      <c r="T411" s="44" t="s">
        <v>2370</v>
      </c>
      <c r="U411" s="44">
        <f>SUBTOTAL(101,U386:U410)</f>
        <v>1149.48</v>
      </c>
      <c r="V411" s="23"/>
    </row>
    <row r="412" spans="13:22" x14ac:dyDescent="0.2">
      <c r="M412" s="18">
        <v>700</v>
      </c>
      <c r="N412" s="18">
        <v>723</v>
      </c>
      <c r="O412" s="18" t="s">
        <v>1003</v>
      </c>
      <c r="P412" s="18">
        <v>269</v>
      </c>
      <c r="Q412" s="23"/>
      <c r="R412" s="34"/>
      <c r="S412" s="34"/>
      <c r="T412" s="34" t="s">
        <v>2371</v>
      </c>
      <c r="U412" s="34">
        <f>MAX(U386:U411)</f>
        <v>3959</v>
      </c>
      <c r="V412" s="23"/>
    </row>
    <row r="413" spans="13:22" x14ac:dyDescent="0.2">
      <c r="M413" s="18">
        <v>700</v>
      </c>
      <c r="N413" s="18">
        <v>624</v>
      </c>
      <c r="O413" s="18" t="s">
        <v>991</v>
      </c>
      <c r="P413" s="18">
        <v>123</v>
      </c>
      <c r="R413" s="34"/>
      <c r="S413" s="34"/>
      <c r="T413" s="34" t="s">
        <v>2372</v>
      </c>
      <c r="U413" s="34">
        <f>MIN(U386:U412)</f>
        <v>10</v>
      </c>
    </row>
    <row r="414" spans="13:22" x14ac:dyDescent="0.2">
      <c r="M414" s="34">
        <v>597</v>
      </c>
      <c r="N414" s="34">
        <v>700</v>
      </c>
      <c r="O414" s="34" t="s">
        <v>860</v>
      </c>
      <c r="P414" s="34">
        <v>419</v>
      </c>
    </row>
    <row r="415" spans="13:22" x14ac:dyDescent="0.2">
      <c r="M415" s="43"/>
      <c r="N415" s="18"/>
      <c r="O415" s="18" t="s">
        <v>2370</v>
      </c>
      <c r="P415" s="18">
        <f>SUBTOTAL(101,Table27[weight])</f>
        <v>818.06896551724139</v>
      </c>
    </row>
    <row r="416" spans="13:22" x14ac:dyDescent="0.2">
      <c r="O416" t="s">
        <v>2371</v>
      </c>
      <c r="P416">
        <f>MAX(P386:P414)</f>
        <v>6956</v>
      </c>
    </row>
    <row r="417" spans="15:16" x14ac:dyDescent="0.2">
      <c r="O417" t="s">
        <v>2372</v>
      </c>
      <c r="P417">
        <f>MIN(P386:P415)</f>
        <v>8</v>
      </c>
    </row>
  </sheetData>
  <phoneticPr fontId="1" type="noConversion"/>
  <pageMargins left="0.7" right="0.7" top="0.75" bottom="0.75" header="0.3" footer="0.3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US Airports Hubs</vt:lpstr>
      <vt:lpstr>airports</vt:lpstr>
      <vt:lpstr>Edges</vt:lpstr>
      <vt:lpstr>backbone edges</vt:lpstr>
      <vt:lpstr>summary</vt:lpstr>
      <vt:lpstr>HUBS</vt:lpstr>
      <vt:lpstr>FOCUS</vt:lpstr>
      <vt:lpstr>SPOKES</vt:lpstr>
      <vt:lpstr>DF Edges</vt:lpstr>
      <vt:lpstr>Global Threshold</vt:lpstr>
      <vt:lpstr>Disparity Filter</vt:lpstr>
      <vt:lpstr>ECM Filter</vt:lpstr>
      <vt:lpstr>GLOSS Filter</vt:lpstr>
      <vt:lpstr>LANS Filter</vt:lpstr>
      <vt:lpstr>Marginal Likelihood Filter</vt:lpstr>
      <vt:lpstr>NC Filter</vt:lpstr>
      <vt:lpstr>Polya 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2021-12-01T09:59:44Z</dcterms:created>
  <dcterms:modified xsi:type="dcterms:W3CDTF">2022-05-12T17:48:31Z</dcterms:modified>
</cp:coreProperties>
</file>