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icacion" sheetId="3" r:id="rId1"/>
    <sheet name="ChainLadder" sheetId="1" r:id="rId2"/>
    <sheet name="Hipotesis" sheetId="2" r:id="rId3"/>
  </sheets>
  <calcPr calcId="152511"/>
</workbook>
</file>

<file path=xl/calcChain.xml><?xml version="1.0" encoding="utf-8"?>
<calcChain xmlns="http://schemas.openxmlformats.org/spreadsheetml/2006/main">
  <c r="G18" i="2" l="1"/>
  <c r="L41" i="1"/>
  <c r="K41" i="1"/>
  <c r="J41" i="1"/>
  <c r="I41" i="1"/>
  <c r="G41" i="1"/>
  <c r="E41" i="1"/>
  <c r="D41" i="1"/>
  <c r="C41" i="1"/>
  <c r="L19" i="2"/>
  <c r="K19" i="2"/>
  <c r="J19" i="2"/>
  <c r="I19" i="2"/>
  <c r="H19" i="2"/>
  <c r="G19" i="2"/>
  <c r="F19" i="2"/>
  <c r="E19" i="2"/>
  <c r="D19" i="2"/>
  <c r="C19" i="2"/>
  <c r="L18" i="2"/>
  <c r="K18" i="2"/>
  <c r="J18" i="2"/>
  <c r="I18" i="2"/>
  <c r="H18" i="2"/>
  <c r="H41" i="1" s="1"/>
  <c r="F18" i="2"/>
  <c r="F41" i="1" s="1"/>
  <c r="E18" i="2"/>
  <c r="D18" i="2"/>
  <c r="C18" i="2"/>
  <c r="K17" i="2"/>
  <c r="J17" i="2"/>
  <c r="I17" i="2"/>
  <c r="H17" i="2"/>
  <c r="G17" i="2"/>
  <c r="F17" i="2"/>
  <c r="E17" i="2"/>
  <c r="D17" i="2"/>
  <c r="C17" i="2"/>
  <c r="D7" i="1" l="1"/>
  <c r="H11" i="1"/>
  <c r="G11" i="1"/>
  <c r="L42" i="1" l="1"/>
  <c r="M50" i="1" s="1"/>
  <c r="L45" i="1" l="1"/>
  <c r="K42" i="1"/>
  <c r="M51" i="1" s="1"/>
  <c r="J42" i="1" l="1"/>
  <c r="M52" i="1" s="1"/>
  <c r="L51" i="1"/>
  <c r="K45" i="1"/>
  <c r="I42" i="1"/>
  <c r="K52" i="1" l="1"/>
  <c r="H42" i="1"/>
  <c r="M53" i="1"/>
  <c r="J45" i="1"/>
  <c r="L52" i="1"/>
  <c r="J53" i="1" l="1"/>
  <c r="I45" i="1"/>
  <c r="L53" i="1"/>
  <c r="K53" i="1"/>
  <c r="M54" i="1"/>
  <c r="G42" i="1"/>
  <c r="F42" i="1" l="1"/>
  <c r="E42" i="1" s="1"/>
  <c r="D42" i="1" s="1"/>
  <c r="C42" i="1" s="1"/>
  <c r="M55" i="1"/>
  <c r="I55" i="1" s="1"/>
  <c r="H45" i="1"/>
  <c r="L54" i="1"/>
  <c r="K54" i="1"/>
  <c r="I54" i="1"/>
  <c r="J54" i="1"/>
  <c r="H55" i="1" l="1"/>
  <c r="G45" i="1"/>
  <c r="L55" i="1"/>
  <c r="K55" i="1"/>
  <c r="J55" i="1"/>
  <c r="AB45" i="1" l="1"/>
  <c r="AB49" i="1" s="1"/>
  <c r="T45" i="1"/>
  <c r="T49" i="1" s="1"/>
  <c r="U45" i="1"/>
  <c r="U49" i="1" s="1"/>
  <c r="V45" i="1"/>
  <c r="V49" i="1" s="1"/>
  <c r="W45" i="1"/>
  <c r="W49" i="1" s="1"/>
  <c r="X45" i="1"/>
  <c r="X49" i="1" s="1"/>
  <c r="Y45" i="1"/>
  <c r="Y49" i="1" s="1"/>
  <c r="Z45" i="1"/>
  <c r="Z49" i="1" s="1"/>
  <c r="AA45" i="1"/>
  <c r="AA49" i="1" s="1"/>
  <c r="S45" i="1"/>
  <c r="S49" i="1" s="1"/>
  <c r="AA40" i="1" l="1"/>
  <c r="AB40" i="1"/>
  <c r="AB41" i="1" s="1"/>
  <c r="AB42" i="1" s="1"/>
  <c r="V106" i="1"/>
  <c r="V105" i="1"/>
  <c r="V104" i="1"/>
  <c r="V103" i="1"/>
  <c r="V102" i="1"/>
  <c r="V101" i="1"/>
  <c r="V100" i="1"/>
  <c r="V99" i="1"/>
  <c r="V98" i="1"/>
  <c r="V97" i="1"/>
  <c r="Y30" i="1"/>
  <c r="X30" i="1"/>
  <c r="W30" i="1"/>
  <c r="V30" i="1"/>
  <c r="U33" i="1"/>
  <c r="T33" i="1"/>
  <c r="S31" i="1"/>
  <c r="W97" i="1" l="1"/>
  <c r="X97" i="1" s="1"/>
  <c r="Z29" i="1"/>
  <c r="U30" i="1"/>
  <c r="X32" i="1"/>
  <c r="V32" i="1"/>
  <c r="T30" i="1"/>
  <c r="W32" i="1"/>
  <c r="S37" i="1"/>
  <c r="Y31" i="1"/>
  <c r="W99" i="1"/>
  <c r="X99" i="1" s="1"/>
  <c r="W98" i="1"/>
  <c r="X98" i="1" s="1"/>
  <c r="S36" i="1"/>
  <c r="S35" i="1"/>
  <c r="S32" i="1"/>
  <c r="U35" i="1"/>
  <c r="V31" i="1"/>
  <c r="S34" i="1"/>
  <c r="W31" i="1"/>
  <c r="U34" i="1"/>
  <c r="T31" i="1"/>
  <c r="S33" i="1"/>
  <c r="Y29" i="1"/>
  <c r="V34" i="1"/>
  <c r="Z30" i="1"/>
  <c r="Z40" i="1" s="1"/>
  <c r="Z41" i="1" s="1"/>
  <c r="X31" i="1"/>
  <c r="W29" i="1"/>
  <c r="T29" i="1"/>
  <c r="W33" i="1"/>
  <c r="X29" i="1"/>
  <c r="V29" i="1"/>
  <c r="U29" i="1"/>
  <c r="S29" i="1"/>
  <c r="V33" i="1"/>
  <c r="S30" i="1"/>
  <c r="U32" i="1"/>
  <c r="T32" i="1"/>
  <c r="T36" i="1"/>
  <c r="T35" i="1"/>
  <c r="U31" i="1"/>
  <c r="T34" i="1"/>
  <c r="X40" i="1" l="1"/>
  <c r="X41" i="1" s="1"/>
  <c r="X50" i="1" s="1"/>
  <c r="U40" i="1"/>
  <c r="U41" i="1" s="1"/>
  <c r="U50" i="1" s="1"/>
  <c r="Y40" i="1"/>
  <c r="Y41" i="1" s="1"/>
  <c r="Y46" i="1" s="1"/>
  <c r="V40" i="1"/>
  <c r="V41" i="1" s="1"/>
  <c r="W40" i="1"/>
  <c r="W41" i="1" s="1"/>
  <c r="S72" i="1"/>
  <c r="D13" i="1"/>
  <c r="Z50" i="1"/>
  <c r="Z42" i="1"/>
  <c r="S71" i="1"/>
  <c r="D12" i="1"/>
  <c r="Z46" i="1"/>
  <c r="T40" i="1"/>
  <c r="T41" i="1" s="1"/>
  <c r="W100" i="1"/>
  <c r="X100" i="1" s="1"/>
  <c r="S40" i="1"/>
  <c r="S41" i="1" s="1"/>
  <c r="U42" i="1" l="1"/>
  <c r="Y42" i="1"/>
  <c r="Y50" i="1"/>
  <c r="X42" i="1"/>
  <c r="AA41" i="1"/>
  <c r="AA50" i="1" s="1"/>
  <c r="AA51" i="1" s="1"/>
  <c r="S73" i="1"/>
  <c r="D14" i="1"/>
  <c r="T50" i="1"/>
  <c r="T42" i="1"/>
  <c r="S50" i="1"/>
  <c r="S42" i="1"/>
  <c r="U70" i="1"/>
  <c r="W50" i="1"/>
  <c r="W42" i="1"/>
  <c r="T70" i="1"/>
  <c r="X46" i="1"/>
  <c r="W101" i="1"/>
  <c r="X101" i="1" s="1"/>
  <c r="V50" i="1"/>
  <c r="V42" i="1"/>
  <c r="AA46" i="1" l="1"/>
  <c r="AA47" i="1" s="1"/>
  <c r="Z47" i="1" s="1"/>
  <c r="AA42" i="1"/>
  <c r="S74" i="1"/>
  <c r="D15" i="1"/>
  <c r="M56" i="1"/>
  <c r="F45" i="1" s="1"/>
  <c r="W46" i="1"/>
  <c r="W102" i="1"/>
  <c r="X102" i="1" s="1"/>
  <c r="T56" i="1"/>
  <c r="S57" i="1"/>
  <c r="S85" i="1" s="1"/>
  <c r="Z51" i="1"/>
  <c r="V70" i="1"/>
  <c r="Y98" i="1" l="1"/>
  <c r="AA98" i="1" s="1"/>
  <c r="I56" i="1"/>
  <c r="L56" i="1"/>
  <c r="J56" i="1"/>
  <c r="K56" i="1"/>
  <c r="H56" i="1"/>
  <c r="G56" i="1"/>
  <c r="Z98" i="1"/>
  <c r="E12" i="1" s="1"/>
  <c r="T84" i="1"/>
  <c r="Y47" i="1"/>
  <c r="Y99" i="1"/>
  <c r="AA99" i="1" s="1"/>
  <c r="Y51" i="1"/>
  <c r="U56" i="1"/>
  <c r="S58" i="1"/>
  <c r="S86" i="1" s="1"/>
  <c r="T63" i="1"/>
  <c r="T58" i="1"/>
  <c r="T72" i="1" s="1"/>
  <c r="T57" i="1"/>
  <c r="T71" i="1" s="1"/>
  <c r="T59" i="1"/>
  <c r="T73" i="1" s="1"/>
  <c r="T60" i="1"/>
  <c r="T74" i="1" s="1"/>
  <c r="T61" i="1"/>
  <c r="T62" i="1"/>
  <c r="T64" i="1"/>
  <c r="T65" i="1"/>
  <c r="M57" i="1"/>
  <c r="E45" i="1" s="1"/>
  <c r="V46" i="1"/>
  <c r="W103" i="1"/>
  <c r="X103" i="1" s="1"/>
  <c r="S75" i="1"/>
  <c r="D16" i="1"/>
  <c r="W70" i="1"/>
  <c r="Y57" i="1"/>
  <c r="Z57" i="1"/>
  <c r="AB57" i="1"/>
  <c r="AA57" i="1"/>
  <c r="V57" i="1"/>
  <c r="V71" i="1" s="1"/>
  <c r="W57" i="1"/>
  <c r="U57" i="1"/>
  <c r="U71" i="1" s="1"/>
  <c r="X57" i="1"/>
  <c r="G12" i="1" l="1"/>
  <c r="H12" i="1"/>
  <c r="F12" i="1"/>
  <c r="T86" i="1"/>
  <c r="I57" i="1"/>
  <c r="L57" i="1"/>
  <c r="J57" i="1"/>
  <c r="K57" i="1"/>
  <c r="H57" i="1"/>
  <c r="G57" i="1"/>
  <c r="T85" i="1"/>
  <c r="F57" i="1"/>
  <c r="F58" i="1"/>
  <c r="Z99" i="1"/>
  <c r="E13" i="1" s="1"/>
  <c r="U84" i="1"/>
  <c r="U85" i="1" s="1"/>
  <c r="Y100" i="1"/>
  <c r="AA100" i="1" s="1"/>
  <c r="X47" i="1"/>
  <c r="W71" i="1"/>
  <c r="AB58" i="1"/>
  <c r="Z58" i="1"/>
  <c r="X58" i="1"/>
  <c r="V58" i="1"/>
  <c r="V72" i="1" s="1"/>
  <c r="W58" i="1"/>
  <c r="W72" i="1" s="1"/>
  <c r="AA58" i="1"/>
  <c r="Y58" i="1"/>
  <c r="M58" i="1"/>
  <c r="D45" i="1" s="1"/>
  <c r="U46" i="1"/>
  <c r="W104" i="1"/>
  <c r="X104" i="1" s="1"/>
  <c r="U62" i="1"/>
  <c r="U63" i="1"/>
  <c r="U60" i="1"/>
  <c r="U74" i="1" s="1"/>
  <c r="U64" i="1"/>
  <c r="U65" i="1"/>
  <c r="U58" i="1"/>
  <c r="U72" i="1" s="1"/>
  <c r="U61" i="1"/>
  <c r="U75" i="1" s="1"/>
  <c r="U59" i="1"/>
  <c r="U73" i="1" s="1"/>
  <c r="S76" i="1"/>
  <c r="D17" i="1"/>
  <c r="T75" i="1"/>
  <c r="X70" i="1"/>
  <c r="X51" i="1"/>
  <c r="V56" i="1"/>
  <c r="S59" i="1"/>
  <c r="S87" i="1" s="1"/>
  <c r="T87" i="1" s="1"/>
  <c r="H13" i="1" l="1"/>
  <c r="G13" i="1"/>
  <c r="U86" i="1"/>
  <c r="F13" i="1"/>
  <c r="U87" i="1"/>
  <c r="I58" i="1"/>
  <c r="L58" i="1"/>
  <c r="J58" i="1"/>
  <c r="K58" i="1"/>
  <c r="H58" i="1"/>
  <c r="G58" i="1"/>
  <c r="E58" i="1"/>
  <c r="W47" i="1"/>
  <c r="Y101" i="1"/>
  <c r="AA101" i="1" s="1"/>
  <c r="Z100" i="1"/>
  <c r="E14" i="1" s="1"/>
  <c r="V84" i="1"/>
  <c r="V85" i="1" s="1"/>
  <c r="X72" i="1"/>
  <c r="X71" i="1"/>
  <c r="W51" i="1"/>
  <c r="S60" i="1"/>
  <c r="S88" i="1" s="1"/>
  <c r="T88" i="1" s="1"/>
  <c r="W56" i="1"/>
  <c r="T46" i="1"/>
  <c r="W105" i="1"/>
  <c r="X105" i="1" s="1"/>
  <c r="T76" i="1"/>
  <c r="U76" i="1"/>
  <c r="Y70" i="1"/>
  <c r="AB59" i="1"/>
  <c r="Z59" i="1"/>
  <c r="X59" i="1"/>
  <c r="X73" i="1" s="1"/>
  <c r="Y59" i="1"/>
  <c r="AA59" i="1"/>
  <c r="W59" i="1"/>
  <c r="W73" i="1" s="1"/>
  <c r="V61" i="1"/>
  <c r="V75" i="1" s="1"/>
  <c r="V60" i="1"/>
  <c r="V74" i="1" s="1"/>
  <c r="V59" i="1"/>
  <c r="V73" i="1" s="1"/>
  <c r="V64" i="1"/>
  <c r="V62" i="1"/>
  <c r="V76" i="1" s="1"/>
  <c r="V63" i="1"/>
  <c r="V65" i="1"/>
  <c r="S77" i="1"/>
  <c r="D18" i="1"/>
  <c r="H14" i="1" l="1"/>
  <c r="G14" i="1"/>
  <c r="F14" i="1"/>
  <c r="V87" i="1"/>
  <c r="V86" i="1"/>
  <c r="V88" i="1"/>
  <c r="U88" i="1"/>
  <c r="M59" i="1"/>
  <c r="Z101" i="1"/>
  <c r="E15" i="1" s="1"/>
  <c r="W84" i="1"/>
  <c r="W87" i="1" s="1"/>
  <c r="Y102" i="1"/>
  <c r="AA102" i="1" s="1"/>
  <c r="V47" i="1"/>
  <c r="W62" i="1"/>
  <c r="W76" i="1" s="1"/>
  <c r="W63" i="1"/>
  <c r="W77" i="1" s="1"/>
  <c r="W64" i="1"/>
  <c r="W65" i="1"/>
  <c r="W60" i="1"/>
  <c r="W74" i="1" s="1"/>
  <c r="W61" i="1"/>
  <c r="W75" i="1" s="1"/>
  <c r="V51" i="1"/>
  <c r="X56" i="1"/>
  <c r="S61" i="1"/>
  <c r="S89" i="1" s="1"/>
  <c r="Y71" i="1"/>
  <c r="Y72" i="1"/>
  <c r="Y73" i="1"/>
  <c r="AB60" i="1"/>
  <c r="Z60" i="1"/>
  <c r="Y60" i="1"/>
  <c r="Y74" i="1" s="1"/>
  <c r="X60" i="1"/>
  <c r="X74" i="1" s="1"/>
  <c r="AA60" i="1"/>
  <c r="S46" i="1"/>
  <c r="W106" i="1"/>
  <c r="X106" i="1" s="1"/>
  <c r="S78" i="1"/>
  <c r="D19" i="1"/>
  <c r="T77" i="1"/>
  <c r="Z70" i="1"/>
  <c r="U77" i="1"/>
  <c r="V77" i="1"/>
  <c r="H15" i="1" l="1"/>
  <c r="G15" i="1"/>
  <c r="C45" i="1"/>
  <c r="D6" i="1"/>
  <c r="D8" i="1" s="1"/>
  <c r="F15" i="1"/>
  <c r="W85" i="1"/>
  <c r="W86" i="1"/>
  <c r="T89" i="1"/>
  <c r="U89" i="1"/>
  <c r="W88" i="1"/>
  <c r="W89" i="1"/>
  <c r="V89" i="1"/>
  <c r="G59" i="1"/>
  <c r="H59" i="1"/>
  <c r="I59" i="1"/>
  <c r="D59" i="1"/>
  <c r="C12" i="1" s="1"/>
  <c r="J59" i="1"/>
  <c r="K59" i="1"/>
  <c r="L59" i="1"/>
  <c r="E59" i="1"/>
  <c r="F59" i="1"/>
  <c r="Z102" i="1"/>
  <c r="E16" i="1" s="1"/>
  <c r="X84" i="1"/>
  <c r="Y103" i="1"/>
  <c r="AA103" i="1" s="1"/>
  <c r="U47" i="1"/>
  <c r="X61" i="1"/>
  <c r="X75" i="1" s="1"/>
  <c r="X89" i="1" s="1"/>
  <c r="X64" i="1"/>
  <c r="X78" i="1" s="1"/>
  <c r="X62" i="1"/>
  <c r="X76" i="1" s="1"/>
  <c r="X90" i="1" s="1"/>
  <c r="X63" i="1"/>
  <c r="X77" i="1" s="1"/>
  <c r="X65" i="1"/>
  <c r="Z61" i="1"/>
  <c r="Z75" i="1" s="1"/>
  <c r="AA61" i="1"/>
  <c r="AB61" i="1"/>
  <c r="Y61" i="1"/>
  <c r="Y75" i="1" s="1"/>
  <c r="Z72" i="1"/>
  <c r="Z71" i="1"/>
  <c r="Z73" i="1"/>
  <c r="Z74" i="1"/>
  <c r="U51" i="1"/>
  <c r="S62" i="1"/>
  <c r="S90" i="1" s="1"/>
  <c r="Y56" i="1"/>
  <c r="T78" i="1"/>
  <c r="AA70" i="1"/>
  <c r="U78" i="1"/>
  <c r="W78" i="1"/>
  <c r="V78" i="1"/>
  <c r="S79" i="1"/>
  <c r="D20" i="1"/>
  <c r="H16" i="1" l="1"/>
  <c r="G16" i="1"/>
  <c r="C16" i="1"/>
  <c r="C19" i="1"/>
  <c r="C13" i="1"/>
  <c r="C20" i="1"/>
  <c r="C18" i="1"/>
  <c r="F16" i="1"/>
  <c r="C14" i="1"/>
  <c r="C17" i="1"/>
  <c r="C15" i="1"/>
  <c r="X85" i="1"/>
  <c r="X87" i="1"/>
  <c r="X86" i="1"/>
  <c r="T90" i="1"/>
  <c r="V90" i="1"/>
  <c r="U90" i="1"/>
  <c r="X88" i="1"/>
  <c r="W90" i="1"/>
  <c r="Y104" i="1"/>
  <c r="AA104" i="1" s="1"/>
  <c r="T47" i="1"/>
  <c r="Z103" i="1"/>
  <c r="E17" i="1" s="1"/>
  <c r="Y84" i="1"/>
  <c r="Y89" i="1" s="1"/>
  <c r="AA71" i="1"/>
  <c r="AA72" i="1"/>
  <c r="AA73" i="1"/>
  <c r="AA74" i="1"/>
  <c r="AA75" i="1"/>
  <c r="Y62" i="1"/>
  <c r="Y76" i="1" s="1"/>
  <c r="Y63" i="1"/>
  <c r="Y77" i="1" s="1"/>
  <c r="Y64" i="1"/>
  <c r="Y78" i="1" s="1"/>
  <c r="Y65" i="1"/>
  <c r="Y79" i="1" s="1"/>
  <c r="T51" i="1"/>
  <c r="S63" i="1"/>
  <c r="S91" i="1" s="1"/>
  <c r="Z56" i="1"/>
  <c r="T79" i="1"/>
  <c r="AB70" i="1"/>
  <c r="U79" i="1"/>
  <c r="X79" i="1"/>
  <c r="V79" i="1"/>
  <c r="W79" i="1"/>
  <c r="AA62" i="1"/>
  <c r="AA76" i="1" s="1"/>
  <c r="AB62" i="1"/>
  <c r="Z62" i="1"/>
  <c r="Z76" i="1" s="1"/>
  <c r="H17" i="1" l="1"/>
  <c r="G17" i="1"/>
  <c r="F17" i="1"/>
  <c r="C21" i="1"/>
  <c r="Y91" i="1"/>
  <c r="Y90" i="1"/>
  <c r="T91" i="1"/>
  <c r="W91" i="1"/>
  <c r="V91" i="1"/>
  <c r="U91" i="1"/>
  <c r="X91" i="1"/>
  <c r="Y85" i="1"/>
  <c r="Y87" i="1"/>
  <c r="Y86" i="1"/>
  <c r="Y88" i="1"/>
  <c r="Z104" i="1"/>
  <c r="E18" i="1" s="1"/>
  <c r="Z84" i="1"/>
  <c r="Y105" i="1"/>
  <c r="AA105" i="1" s="1"/>
  <c r="S47" i="1"/>
  <c r="Y106" i="1" s="1"/>
  <c r="AA106" i="1" s="1"/>
  <c r="S51" i="1"/>
  <c r="S64" i="1"/>
  <c r="AA56" i="1"/>
  <c r="Z63" i="1"/>
  <c r="Z77" i="1" s="1"/>
  <c r="Z64" i="1"/>
  <c r="Z78" i="1" s="1"/>
  <c r="Z65" i="1"/>
  <c r="Z79" i="1" s="1"/>
  <c r="AA63" i="1"/>
  <c r="AA77" i="1" s="1"/>
  <c r="AB63" i="1"/>
  <c r="AB77" i="1" s="1"/>
  <c r="AB72" i="1"/>
  <c r="AB71" i="1"/>
  <c r="AB73" i="1"/>
  <c r="AB74" i="1"/>
  <c r="AB75" i="1"/>
  <c r="AB76" i="1"/>
  <c r="H18" i="1" l="1"/>
  <c r="G18" i="1"/>
  <c r="F18" i="1"/>
  <c r="Z91" i="1"/>
  <c r="Z85" i="1"/>
  <c r="Z89" i="1"/>
  <c r="Z88" i="1"/>
  <c r="Z86" i="1"/>
  <c r="Z87" i="1"/>
  <c r="Z90" i="1"/>
  <c r="AB64" i="1"/>
  <c r="AB78" i="1" s="1"/>
  <c r="S92" i="1"/>
  <c r="Z92" i="1" s="1"/>
  <c r="AA64" i="1"/>
  <c r="AA78" i="1" s="1"/>
  <c r="AA65" i="1"/>
  <c r="AA79" i="1" s="1"/>
  <c r="AB56" i="1"/>
  <c r="AB65" i="1" s="1"/>
  <c r="AB79" i="1" s="1"/>
  <c r="S65" i="1"/>
  <c r="S93" i="1" s="1"/>
  <c r="Z93" i="1" s="1"/>
  <c r="T93" i="1" l="1"/>
  <c r="V93" i="1"/>
  <c r="U93" i="1"/>
  <c r="Y93" i="1"/>
  <c r="W93" i="1"/>
  <c r="X93" i="1"/>
  <c r="T92" i="1"/>
  <c r="X92" i="1"/>
  <c r="V92" i="1"/>
  <c r="U92" i="1"/>
  <c r="W92" i="1"/>
  <c r="Y92" i="1"/>
  <c r="AB84" i="1"/>
  <c r="AB92" i="1" s="1"/>
  <c r="Z106" i="1"/>
  <c r="E20" i="1" s="1"/>
  <c r="AA84" i="1"/>
  <c r="AA92" i="1" s="1"/>
  <c r="Z105" i="1"/>
  <c r="E19" i="1" s="1"/>
  <c r="G19" i="1" l="1"/>
  <c r="H19" i="1"/>
  <c r="G20" i="1"/>
  <c r="H20" i="1"/>
  <c r="F19" i="1"/>
  <c r="F20" i="1"/>
  <c r="H21" i="1"/>
  <c r="G21" i="1"/>
  <c r="AB93" i="1"/>
  <c r="AA85" i="1"/>
  <c r="AA87" i="1"/>
  <c r="AA90" i="1"/>
  <c r="AA89" i="1"/>
  <c r="AA88" i="1"/>
  <c r="AA86" i="1"/>
  <c r="AA91" i="1"/>
  <c r="AB85" i="1"/>
  <c r="AB90" i="1"/>
  <c r="AB88" i="1"/>
  <c r="AB89" i="1"/>
  <c r="AB86" i="1"/>
  <c r="AB87" i="1"/>
  <c r="AB91" i="1"/>
  <c r="AA93" i="1"/>
</calcChain>
</file>

<file path=xl/sharedStrings.xml><?xml version="1.0" encoding="utf-8"?>
<sst xmlns="http://schemas.openxmlformats.org/spreadsheetml/2006/main" count="149" uniqueCount="43">
  <si>
    <t>Run-Off</t>
  </si>
  <si>
    <t>Años</t>
  </si>
  <si>
    <t>-</t>
  </si>
  <si>
    <t>f</t>
  </si>
  <si>
    <t>F</t>
  </si>
  <si>
    <t>Conocidos</t>
  </si>
  <si>
    <t>Factores</t>
  </si>
  <si>
    <t>Proyectado</t>
  </si>
  <si>
    <t>ERRORES</t>
  </si>
  <si>
    <t>SUM</t>
  </si>
  <si>
    <t>VAR</t>
  </si>
  <si>
    <t>SD</t>
  </si>
  <si>
    <t>Varianza Proceso</t>
  </si>
  <si>
    <t>Anual</t>
  </si>
  <si>
    <t>Acumulado</t>
  </si>
  <si>
    <t>Varianza Parametro</t>
  </si>
  <si>
    <t>Errores</t>
  </si>
  <si>
    <t>Matriz de Errores</t>
  </si>
  <si>
    <t>Matriz Varianza-Covarianza Errores</t>
  </si>
  <si>
    <t>Matriz Correlacion de los Errores</t>
  </si>
  <si>
    <t>SD Parametro</t>
  </si>
  <si>
    <t>SD Proceso</t>
  </si>
  <si>
    <t>Proc Mult</t>
  </si>
  <si>
    <t>Dotacion Anual</t>
  </si>
  <si>
    <t>Desv.Tipica ( MACK)</t>
  </si>
  <si>
    <t>Coef.Variacion</t>
  </si>
  <si>
    <t>PROVISION IBRN</t>
  </si>
  <si>
    <t>Hipotesis</t>
  </si>
  <si>
    <t>Pagado</t>
  </si>
  <si>
    <t>Dotar</t>
  </si>
  <si>
    <t>PROVISION IBRN ANUAL</t>
  </si>
  <si>
    <t>Reserva IBRN</t>
  </si>
  <si>
    <t>Provision Total</t>
  </si>
  <si>
    <t>ESTIMACION PUNTUAL - PROVISION</t>
  </si>
  <si>
    <t>Proporcion (%)</t>
  </si>
  <si>
    <t>Run-Off Proyectado</t>
  </si>
  <si>
    <t>ESTIMACION SD ERRORES - CORR- COV</t>
  </si>
  <si>
    <t>Int.Confianza</t>
  </si>
  <si>
    <t>Error</t>
  </si>
  <si>
    <t>Parametros</t>
  </si>
  <si>
    <t>Media</t>
  </si>
  <si>
    <t>Media Ultimos 5</t>
  </si>
  <si>
    <t>Media Ultimos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</si>
</sst>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0.000"/>
    <numFmt numFmtId="166" formatCode="0.0%"/>
    <numFmt numFmtId="167" formatCode="#,##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11"/>
      <color theme="0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2">
    <xf numFmtId="0" fontId="0" fillId="0" borderId="0" xfId="0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3" fontId="2" fillId="3" borderId="8" xfId="0" applyNumberFormat="1" applyFont="1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 vertical="center"/>
    </xf>
    <xf numFmtId="3" fontId="2" fillId="3" borderId="0" xfId="0" applyNumberFormat="1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/>
    </xf>
    <xf numFmtId="3" fontId="2" fillId="3" borderId="18" xfId="0" applyNumberFormat="1" applyFont="1" applyFill="1" applyBorder="1" applyAlignment="1">
      <alignment horizontal="center" vertical="center"/>
    </xf>
    <xf numFmtId="3" fontId="2" fillId="3" borderId="19" xfId="0" applyNumberFormat="1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2" fontId="2" fillId="3" borderId="12" xfId="0" applyNumberFormat="1" applyFont="1" applyFill="1" applyBorder="1" applyAlignment="1">
      <alignment horizontal="center" vertical="center"/>
    </xf>
    <xf numFmtId="2" fontId="2" fillId="3" borderId="15" xfId="0" applyNumberFormat="1" applyFont="1" applyFill="1" applyBorder="1" applyAlignment="1">
      <alignment horizontal="center" vertical="center"/>
    </xf>
    <xf numFmtId="2" fontId="2" fillId="3" borderId="16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3" borderId="0" xfId="0" applyFont="1" applyFill="1" applyBorder="1"/>
    <xf numFmtId="0" fontId="2" fillId="3" borderId="12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3" borderId="0" xfId="0" applyFill="1"/>
    <xf numFmtId="0" fontId="2" fillId="3" borderId="0" xfId="0" applyFont="1" applyFill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3" fontId="0" fillId="3" borderId="0" xfId="0" applyNumberFormat="1" applyFill="1"/>
    <xf numFmtId="0" fontId="1" fillId="3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/>
    </xf>
    <xf numFmtId="10" fontId="0" fillId="3" borderId="2" xfId="1" applyNumberFormat="1" applyFont="1" applyFill="1" applyBorder="1"/>
    <xf numFmtId="10" fontId="0" fillId="3" borderId="3" xfId="1" applyNumberFormat="1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/>
    </xf>
    <xf numFmtId="0" fontId="0" fillId="3" borderId="20" xfId="0" applyFill="1" applyBorder="1"/>
    <xf numFmtId="3" fontId="2" fillId="3" borderId="20" xfId="0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2" fillId="3" borderId="15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3" fontId="0" fillId="3" borderId="18" xfId="0" applyNumberFormat="1" applyFill="1" applyBorder="1" applyAlignment="1">
      <alignment horizontal="center" vertical="center"/>
    </xf>
    <xf numFmtId="165" fontId="0" fillId="3" borderId="18" xfId="0" applyNumberForma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4" fontId="0" fillId="3" borderId="18" xfId="0" applyNumberFormat="1" applyFill="1" applyBorder="1" applyAlignment="1">
      <alignment horizontal="center" vertical="center"/>
    </xf>
    <xf numFmtId="3" fontId="0" fillId="3" borderId="14" xfId="0" applyNumberFormat="1" applyFill="1" applyBorder="1" applyAlignment="1">
      <alignment horizontal="center" vertical="center"/>
    </xf>
    <xf numFmtId="3" fontId="0" fillId="3" borderId="19" xfId="0" applyNumberForma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  <xf numFmtId="4" fontId="0" fillId="3" borderId="19" xfId="0" applyNumberFormat="1" applyFill="1" applyBorder="1" applyAlignment="1">
      <alignment horizontal="center" vertical="center"/>
    </xf>
    <xf numFmtId="165" fontId="0" fillId="3" borderId="19" xfId="0" applyNumberFormat="1" applyFill="1" applyBorder="1" applyAlignment="1">
      <alignment horizontal="center" vertical="center"/>
    </xf>
    <xf numFmtId="10" fontId="0" fillId="3" borderId="17" xfId="1" applyNumberFormat="1" applyFont="1" applyFill="1" applyBorder="1"/>
    <xf numFmtId="0" fontId="0" fillId="8" borderId="17" xfId="0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 vertical="center"/>
    </xf>
    <xf numFmtId="4" fontId="0" fillId="3" borderId="3" xfId="0" applyNumberFormat="1" applyFill="1" applyBorder="1" applyAlignment="1">
      <alignment horizontal="center" vertical="center"/>
    </xf>
    <xf numFmtId="3" fontId="2" fillId="4" borderId="11" xfId="0" applyNumberFormat="1" applyFont="1" applyFill="1" applyBorder="1" applyAlignment="1">
      <alignment horizontal="center"/>
    </xf>
    <xf numFmtId="3" fontId="2" fillId="4" borderId="18" xfId="0" applyNumberFormat="1" applyFont="1" applyFill="1" applyBorder="1" applyAlignment="1">
      <alignment horizontal="center"/>
    </xf>
    <xf numFmtId="3" fontId="2" fillId="4" borderId="14" xfId="0" applyNumberFormat="1" applyFont="1" applyFill="1" applyBorder="1" applyAlignment="1">
      <alignment horizontal="center"/>
    </xf>
    <xf numFmtId="3" fontId="2" fillId="4" borderId="19" xfId="0" applyNumberFormat="1" applyFont="1" applyFill="1" applyBorder="1" applyAlignment="1">
      <alignment horizontal="center"/>
    </xf>
    <xf numFmtId="3" fontId="6" fillId="9" borderId="1" xfId="0" applyNumberFormat="1" applyFont="1" applyFill="1" applyBorder="1" applyAlignment="1">
      <alignment horizontal="center"/>
    </xf>
    <xf numFmtId="3" fontId="6" fillId="9" borderId="17" xfId="0" applyNumberFormat="1" applyFont="1" applyFill="1" applyBorder="1" applyAlignment="1">
      <alignment horizontal="center"/>
    </xf>
    <xf numFmtId="3" fontId="6" fillId="9" borderId="3" xfId="0" applyNumberFormat="1" applyFont="1" applyFill="1" applyBorder="1" applyAlignment="1">
      <alignment horizontal="center"/>
    </xf>
    <xf numFmtId="10" fontId="6" fillId="9" borderId="17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/>
    </xf>
    <xf numFmtId="0" fontId="7" fillId="3" borderId="0" xfId="0" applyFont="1" applyFill="1" applyBorder="1"/>
    <xf numFmtId="0" fontId="6" fillId="7" borderId="17" xfId="0" applyFont="1" applyFill="1" applyBorder="1" applyAlignment="1">
      <alignment horizontal="center"/>
    </xf>
    <xf numFmtId="3" fontId="5" fillId="4" borderId="17" xfId="0" applyNumberFormat="1" applyFont="1" applyFill="1" applyBorder="1" applyAlignment="1">
      <alignment horizontal="center" vertical="center"/>
    </xf>
    <xf numFmtId="4" fontId="5" fillId="4" borderId="17" xfId="0" applyNumberFormat="1" applyFont="1" applyFill="1" applyBorder="1" applyAlignment="1">
      <alignment horizontal="center" vertical="center"/>
    </xf>
    <xf numFmtId="2" fontId="5" fillId="2" borderId="17" xfId="0" applyNumberFormat="1" applyFont="1" applyFill="1" applyBorder="1" applyAlignment="1">
      <alignment horizontal="center"/>
    </xf>
    <xf numFmtId="10" fontId="2" fillId="4" borderId="0" xfId="1" applyNumberFormat="1" applyFont="1" applyFill="1" applyBorder="1" applyAlignment="1">
      <alignment horizontal="center"/>
    </xf>
    <xf numFmtId="10" fontId="2" fillId="4" borderId="15" xfId="1" applyNumberFormat="1" applyFont="1" applyFill="1" applyBorder="1" applyAlignment="1">
      <alignment horizontal="center"/>
    </xf>
    <xf numFmtId="9" fontId="6" fillId="9" borderId="20" xfId="0" applyNumberFormat="1" applyFont="1" applyFill="1" applyBorder="1" applyAlignment="1">
      <alignment horizontal="center"/>
    </xf>
    <xf numFmtId="2" fontId="5" fillId="2" borderId="19" xfId="0" applyNumberFormat="1" applyFont="1" applyFill="1" applyBorder="1" applyAlignment="1">
      <alignment horizontal="center"/>
    </xf>
    <xf numFmtId="166" fontId="2" fillId="4" borderId="3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1" fontId="2" fillId="4" borderId="20" xfId="0" applyNumberFormat="1" applyFont="1" applyFill="1" applyBorder="1" applyAlignment="1">
      <alignment horizontal="center"/>
    </xf>
    <xf numFmtId="1" fontId="2" fillId="4" borderId="12" xfId="0" applyNumberFormat="1" applyFont="1" applyFill="1" applyBorder="1" applyAlignment="1">
      <alignment horizontal="center"/>
    </xf>
    <xf numFmtId="1" fontId="2" fillId="4" borderId="18" xfId="0" applyNumberFormat="1" applyFont="1" applyFill="1" applyBorder="1" applyAlignment="1">
      <alignment horizontal="center"/>
    </xf>
    <xf numFmtId="1" fontId="2" fillId="4" borderId="19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7" fontId="2" fillId="4" borderId="18" xfId="0" applyNumberFormat="1" applyFont="1" applyFill="1" applyBorder="1" applyAlignment="1">
      <alignment horizontal="center"/>
    </xf>
    <xf numFmtId="167" fontId="2" fillId="4" borderId="19" xfId="0" applyNumberFormat="1" applyFont="1" applyFill="1" applyBorder="1" applyAlignment="1">
      <alignment horizontal="center"/>
    </xf>
    <xf numFmtId="3" fontId="5" fillId="8" borderId="1" xfId="0" applyNumberFormat="1" applyFont="1" applyFill="1" applyBorder="1" applyAlignment="1">
      <alignment horizontal="center" vertical="center"/>
    </xf>
    <xf numFmtId="3" fontId="5" fillId="8" borderId="17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800" b="1">
                <a:solidFill>
                  <a:sysClr val="windowText" lastClr="000000"/>
                </a:solidFill>
              </a:rPr>
              <a:t>Evolucion</a:t>
            </a:r>
            <a:r>
              <a:rPr lang="es-ES" sz="1800" b="1" baseline="0">
                <a:solidFill>
                  <a:sysClr val="windowText" lastClr="000000"/>
                </a:solidFill>
              </a:rPr>
              <a:t> Reserva</a:t>
            </a:r>
            <a:endParaRPr lang="es-ES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ChainLadder!$D$11</c:f>
              <c:strCache>
                <c:ptCount val="1"/>
                <c:pt idx="0">
                  <c:v>Reserva IBRN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ChainLadder!$D$11:$D$20</c:f>
              <c:numCache>
                <c:formatCode>#,##0</c:formatCode>
                <c:ptCount val="10"/>
                <c:pt idx="0">
                  <c:v>0</c:v>
                </c:pt>
                <c:pt idx="1">
                  <c:v>160.18130405854936</c:v>
                </c:pt>
                <c:pt idx="2">
                  <c:v>526.69340923483105</c:v>
                </c:pt>
                <c:pt idx="3">
                  <c:v>775.80867901639795</c:v>
                </c:pt>
                <c:pt idx="4">
                  <c:v>1018.0102109458999</c:v>
                </c:pt>
                <c:pt idx="5">
                  <c:v>1404.8240146353937</c:v>
                </c:pt>
                <c:pt idx="6">
                  <c:v>2007.5400328818796</c:v>
                </c:pt>
                <c:pt idx="7">
                  <c:v>3418.0699689261683</c:v>
                </c:pt>
                <c:pt idx="8">
                  <c:v>3676.520816127043</c:v>
                </c:pt>
                <c:pt idx="9">
                  <c:v>3550.5984348371348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ChainLadder!$G$11</c:f>
              <c:strCache>
                <c:ptCount val="1"/>
                <c:pt idx="0">
                  <c:v>5%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ChainLadder!$G$11:$G$20</c:f>
              <c:numCache>
                <c:formatCode>0</c:formatCode>
                <c:ptCount val="10"/>
                <c:pt idx="0" formatCode="0%">
                  <c:v>0.05</c:v>
                </c:pt>
                <c:pt idx="1">
                  <c:v>62.268212356396191</c:v>
                </c:pt>
                <c:pt idx="2">
                  <c:v>367.07180391145914</c:v>
                </c:pt>
                <c:pt idx="3">
                  <c:v>600.37660842489333</c:v>
                </c:pt>
                <c:pt idx="4">
                  <c:v>674.21131559633977</c:v>
                </c:pt>
                <c:pt idx="5">
                  <c:v>863.73472584596209</c:v>
                </c:pt>
                <c:pt idx="6">
                  <c:v>1272.0562765856525</c:v>
                </c:pt>
                <c:pt idx="7">
                  <c:v>2265.2663627678585</c:v>
                </c:pt>
                <c:pt idx="8">
                  <c:v>2373.4727510056905</c:v>
                </c:pt>
                <c:pt idx="9">
                  <c:v>1664.3554544268322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ChainLadder!$H$11</c:f>
              <c:strCache>
                <c:ptCount val="1"/>
                <c:pt idx="0">
                  <c:v>95,00%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ChainLadder!$H$11:$H$20</c:f>
              <c:numCache>
                <c:formatCode>0</c:formatCode>
                <c:ptCount val="10"/>
                <c:pt idx="0" formatCode="0.00%">
                  <c:v>0.95</c:v>
                </c:pt>
                <c:pt idx="1">
                  <c:v>258.09439576070247</c:v>
                </c:pt>
                <c:pt idx="2">
                  <c:v>686.31501455820285</c:v>
                </c:pt>
                <c:pt idx="3">
                  <c:v>951.24074960790244</c:v>
                </c:pt>
                <c:pt idx="4">
                  <c:v>1361.8091062954597</c:v>
                </c:pt>
                <c:pt idx="5">
                  <c:v>1945.913303424825</c:v>
                </c:pt>
                <c:pt idx="6">
                  <c:v>2743.0237891781062</c:v>
                </c:pt>
                <c:pt idx="7">
                  <c:v>4570.8735750844771</c:v>
                </c:pt>
                <c:pt idx="8">
                  <c:v>4979.568881248395</c:v>
                </c:pt>
                <c:pt idx="9">
                  <c:v>5436.8414152474361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-171010560"/>
        <c:axId val="-171019808"/>
      </c:lineChart>
      <c:catAx>
        <c:axId val="-171010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019808"/>
        <c:crosses val="autoZero"/>
        <c:auto val="1"/>
        <c:lblAlgn val="ctr"/>
        <c:lblOffset val="100"/>
        <c:noMultiLvlLbl val="0"/>
      </c:catAx>
      <c:valAx>
        <c:axId val="-1710198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01056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ChainLadder!$C$11</c:f>
              <c:strCache>
                <c:ptCount val="1"/>
                <c:pt idx="0">
                  <c:v>Dotacion Anual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j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ChainLadder!$C$12:$C$20</c:f>
              <c:numCache>
                <c:formatCode>#,##0</c:formatCode>
                <c:ptCount val="9"/>
                <c:pt idx="0">
                  <c:v>4189.5386228830721</c:v>
                </c:pt>
                <c:pt idx="1">
                  <c:v>3481.5669076994404</c:v>
                </c:pt>
                <c:pt idx="2">
                  <c:v>2702.8619732511452</c:v>
                </c:pt>
                <c:pt idx="3">
                  <c:v>1960.7074268327492</c:v>
                </c:pt>
                <c:pt idx="4">
                  <c:v>1537.444449662622</c:v>
                </c:pt>
                <c:pt idx="5">
                  <c:v>1208.3522750035831</c:v>
                </c:pt>
                <c:pt idx="6">
                  <c:v>824.51860611868551</c:v>
                </c:pt>
                <c:pt idx="7">
                  <c:v>493.8417357719909</c:v>
                </c:pt>
                <c:pt idx="8">
                  <c:v>139.41487344000961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171008384"/>
        <c:axId val="-171007840"/>
      </c:barChart>
      <c:catAx>
        <c:axId val="-17100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007840"/>
        <c:crosses val="autoZero"/>
        <c:auto val="1"/>
        <c:lblAlgn val="ctr"/>
        <c:lblOffset val="100"/>
        <c:noMultiLvlLbl val="0"/>
      </c:catAx>
      <c:valAx>
        <c:axId val="-1710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s-ES"/>
          </a:p>
        </c:txPr>
        <c:crossAx val="-17100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85725</xdr:rowOff>
    </xdr:from>
    <xdr:to>
      <xdr:col>20</xdr:col>
      <xdr:colOff>514350</xdr:colOff>
      <xdr:row>29</xdr:row>
      <xdr:rowOff>114300</xdr:rowOff>
    </xdr:to>
    <xdr:sp macro="" textlink="">
      <xdr:nvSpPr>
        <xdr:cNvPr id="2" name="CuadroTexto 1"/>
        <xdr:cNvSpPr txBox="1"/>
      </xdr:nvSpPr>
      <xdr:spPr>
        <a:xfrm>
          <a:off x="219075" y="85725"/>
          <a:ext cx="15535275" cy="555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 b="1" u="sng"/>
            <a:t>PROVISION CHAIN-LADDER</a:t>
          </a:r>
        </a:p>
        <a:p>
          <a:endParaRPr lang="es-ES" sz="1600" b="1" u="sng"/>
        </a:p>
        <a:p>
          <a:r>
            <a:rPr lang="es-ES" sz="1600" b="0" u="none"/>
            <a:t>El</a:t>
          </a:r>
          <a:r>
            <a:rPr lang="es-ES" sz="1600" b="0" u="none" baseline="0"/>
            <a:t> metodo Chain-Ladder es un metodo alternativo del metodo Link Ratio , ya que en vez de utilizar la media simple de la variacion de la siniestralidad</a:t>
          </a:r>
        </a:p>
        <a:p>
          <a:r>
            <a:rPr lang="es-ES" sz="1600" b="0" u="none" baseline="0"/>
            <a:t>utiliza una media ponderada.  La aplicacion de este metodo , permite poder estimar atraves de diversos metodos , la desviacion tipica de la reserva en el tiempo y crear intervalos de confianza.</a:t>
          </a:r>
        </a:p>
        <a:p>
          <a:endParaRPr lang="es-ES" sz="1600" b="0" u="none" baseline="0"/>
        </a:p>
        <a:p>
          <a:r>
            <a:rPr lang="es-ES" sz="1600" b="0" u="sng" baseline="0"/>
            <a:t>Hipotesis</a:t>
          </a:r>
        </a:p>
        <a:p>
          <a:r>
            <a:rPr lang="es-ES" sz="1600" b="1" u="none" baseline="0"/>
            <a:t>Media</a:t>
          </a:r>
          <a:r>
            <a:rPr lang="es-ES" sz="1600" b="0" u="none" baseline="0"/>
            <a:t>: El factor de desarrollo es la media de todos los años disponibles.</a:t>
          </a:r>
        </a:p>
        <a:p>
          <a:r>
            <a:rPr lang="es-ES" sz="1600" b="1" u="none" baseline="0"/>
            <a:t>Media Ultimos 5 años</a:t>
          </a:r>
          <a:r>
            <a:rPr lang="es-ES" sz="1600" b="0" u="none" baseline="0"/>
            <a:t>: El factor de desarrollo es la media de los ultimos 5 años . </a:t>
          </a:r>
        </a:p>
        <a:p>
          <a:r>
            <a:rPr lang="es-ES" sz="1600" b="1" u="none" baseline="0"/>
            <a:t>Media Ultimos 3 años</a:t>
          </a:r>
          <a:r>
            <a:rPr lang="es-ES" sz="1600" b="0" u="none" baseline="0"/>
            <a:t>: El factor de desarrolo es la media de los ultimos 3 años.</a:t>
          </a:r>
        </a:p>
        <a:p>
          <a:endParaRPr lang="es-ES" sz="1600" b="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376236</xdr:colOff>
      <xdr:row>1</xdr:row>
      <xdr:rowOff>104776</xdr:rowOff>
    </xdr:from>
    <xdr:to>
      <xdr:col>17</xdr:col>
      <xdr:colOff>971550</xdr:colOff>
      <xdr:row>21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1114424</xdr:colOff>
      <xdr:row>1</xdr:row>
      <xdr:rowOff>123825</xdr:rowOff>
    </xdr:from>
    <xdr:to>
      <xdr:col>25</xdr:col>
      <xdr:colOff>38099</xdr:colOff>
      <xdr:row>21</xdr:row>
      <xdr:rowOff>14287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4" sqref="V14"/>
    </sheetView>
  </sheetViews>
  <sheetFormatPr baseColWidth="10" defaultRowHeight="15" x14ac:dyDescent="0.25"/>
  <cols>
    <col min="1" max="16384" width="11.42578125" style="3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8"/>
  <sheetViews>
    <sheetView zoomScaleNormal="100" workbookViewId="0">
      <selection activeCell="D4" sqref="D4"/>
    </sheetView>
  </sheetViews>
  <sheetFormatPr baseColWidth="10" defaultColWidth="9.140625" defaultRowHeight="15" x14ac:dyDescent="0.25"/>
  <cols>
    <col min="1" max="1" width="9.140625" style="37"/>
    <col min="2" max="2" width="16.85546875" style="37" bestFit="1" customWidth="1"/>
    <col min="3" max="3" width="16.7109375" style="37" bestFit="1" customWidth="1"/>
    <col min="4" max="4" width="17.42578125" style="37" bestFit="1" customWidth="1"/>
    <col min="5" max="5" width="21.7109375" style="37" bestFit="1" customWidth="1"/>
    <col min="6" max="6" width="15.85546875" style="37" bestFit="1" customWidth="1"/>
    <col min="7" max="10" width="14.140625" style="37" bestFit="1" customWidth="1"/>
    <col min="11" max="11" width="12.7109375" style="37" bestFit="1" customWidth="1"/>
    <col min="12" max="12" width="12.5703125" style="37" bestFit="1" customWidth="1"/>
    <col min="13" max="13" width="11" style="37" bestFit="1" customWidth="1"/>
    <col min="14" max="14" width="9.140625" style="37"/>
    <col min="15" max="15" width="5.42578125" style="37" bestFit="1" customWidth="1"/>
    <col min="16" max="16" width="10.140625" style="37" bestFit="1" customWidth="1"/>
    <col min="17" max="17" width="32.140625" style="37" bestFit="1" customWidth="1"/>
    <col min="18" max="18" width="18.42578125" style="37" bestFit="1" customWidth="1"/>
    <col min="19" max="19" width="12.140625" style="37" bestFit="1" customWidth="1"/>
    <col min="20" max="20" width="13.140625" style="37" bestFit="1" customWidth="1"/>
    <col min="21" max="22" width="12.140625" style="37" bestFit="1" customWidth="1"/>
    <col min="23" max="25" width="12" style="37" bestFit="1" customWidth="1"/>
    <col min="26" max="26" width="13" style="37" bestFit="1" customWidth="1"/>
    <col min="27" max="28" width="12" style="37" bestFit="1" customWidth="1"/>
    <col min="29" max="29" width="14.42578125" style="37" bestFit="1" customWidth="1"/>
    <col min="30" max="16384" width="9.140625" style="37"/>
  </cols>
  <sheetData>
    <row r="1" spans="2:9" ht="15.75" thickBot="1" x14ac:dyDescent="0.3"/>
    <row r="2" spans="2:9" ht="15.75" thickBot="1" x14ac:dyDescent="0.3">
      <c r="B2" s="140" t="s">
        <v>26</v>
      </c>
      <c r="C2" s="142"/>
      <c r="D2" s="142"/>
      <c r="E2" s="142"/>
      <c r="F2" s="141"/>
      <c r="G2" s="38"/>
      <c r="H2" s="38"/>
    </row>
    <row r="3" spans="2:9" ht="15.75" thickBot="1" x14ac:dyDescent="0.3">
      <c r="B3" s="30"/>
      <c r="C3" s="31"/>
      <c r="D3" s="31"/>
      <c r="E3" s="31"/>
      <c r="F3" s="32"/>
      <c r="G3" s="38"/>
      <c r="H3" s="38"/>
    </row>
    <row r="4" spans="2:9" ht="15.75" thickBot="1" x14ac:dyDescent="0.3">
      <c r="B4" s="30"/>
      <c r="C4" s="114" t="s">
        <v>27</v>
      </c>
      <c r="D4" s="33" t="s">
        <v>41</v>
      </c>
      <c r="E4" s="31"/>
      <c r="F4" s="32"/>
      <c r="G4" s="38"/>
      <c r="H4" s="38"/>
    </row>
    <row r="5" spans="2:9" ht="15.75" thickBot="1" x14ac:dyDescent="0.3">
      <c r="B5" s="30"/>
      <c r="C5" s="113"/>
      <c r="D5" s="31"/>
      <c r="E5" s="31"/>
      <c r="F5" s="32"/>
      <c r="G5" s="140" t="s">
        <v>39</v>
      </c>
      <c r="H5" s="141"/>
    </row>
    <row r="6" spans="2:9" ht="15.75" thickBot="1" x14ac:dyDescent="0.3">
      <c r="B6" s="30"/>
      <c r="C6" s="114" t="s">
        <v>7</v>
      </c>
      <c r="D6" s="116">
        <f>SUM(M50:M59)</f>
        <v>42307.246870663294</v>
      </c>
      <c r="E6" s="31"/>
      <c r="F6" s="32"/>
      <c r="G6" s="39"/>
      <c r="H6" s="40"/>
    </row>
    <row r="7" spans="2:9" ht="15.75" thickBot="1" x14ac:dyDescent="0.3">
      <c r="B7" s="30"/>
      <c r="C7" s="114" t="s">
        <v>28</v>
      </c>
      <c r="D7" s="116">
        <f>C38+D37+E36+F35+G34+H33+I32+J31+K30+L29</f>
        <v>25769</v>
      </c>
      <c r="E7" s="31"/>
      <c r="F7" s="32"/>
      <c r="G7" s="112" t="s">
        <v>38</v>
      </c>
      <c r="H7" s="122">
        <v>0.05</v>
      </c>
    </row>
    <row r="8" spans="2:9" ht="15.75" thickBot="1" x14ac:dyDescent="0.3">
      <c r="B8" s="30"/>
      <c r="C8" s="114" t="s">
        <v>29</v>
      </c>
      <c r="D8" s="115">
        <f>D6-D7</f>
        <v>16538.246870663294</v>
      </c>
      <c r="E8" s="31"/>
      <c r="F8" s="32"/>
      <c r="G8" s="39"/>
      <c r="H8" s="40"/>
    </row>
    <row r="9" spans="2:9" ht="15.75" thickBot="1" x14ac:dyDescent="0.3">
      <c r="B9" s="34"/>
      <c r="C9" s="35"/>
      <c r="D9" s="35"/>
      <c r="E9" s="35"/>
      <c r="F9" s="36"/>
      <c r="G9" s="41"/>
      <c r="H9" s="42"/>
    </row>
    <row r="10" spans="2:9" ht="15.75" thickBot="1" x14ac:dyDescent="0.3">
      <c r="B10" s="143" t="s">
        <v>30</v>
      </c>
      <c r="C10" s="144"/>
      <c r="D10" s="144"/>
      <c r="E10" s="144"/>
      <c r="F10" s="145"/>
      <c r="G10" s="140" t="s">
        <v>37</v>
      </c>
      <c r="H10" s="141"/>
    </row>
    <row r="11" spans="2:9" ht="15.75" thickBot="1" x14ac:dyDescent="0.3">
      <c r="B11" s="107" t="s">
        <v>1</v>
      </c>
      <c r="C11" s="108" t="s">
        <v>23</v>
      </c>
      <c r="D11" s="108" t="s">
        <v>31</v>
      </c>
      <c r="E11" s="108" t="s">
        <v>24</v>
      </c>
      <c r="F11" s="109" t="s">
        <v>25</v>
      </c>
      <c r="G11" s="120">
        <f>H7</f>
        <v>0.05</v>
      </c>
      <c r="H11" s="110">
        <f>1-H7</f>
        <v>0.95</v>
      </c>
    </row>
    <row r="12" spans="2:9" x14ac:dyDescent="0.25">
      <c r="B12" s="103">
        <v>1</v>
      </c>
      <c r="C12" s="104">
        <f>(D59-C59)+(E58-D58)+(F57-E57)+(G56-F56)+(H55-G55)+(I54-H54)+(J53-I53)+(K52-J52)+(L51-K51)+(M50-L50)</f>
        <v>4189.5386228830721</v>
      </c>
      <c r="D12" s="104">
        <f t="shared" ref="D12:D20" si="0">X98-V98</f>
        <v>160.18130405854936</v>
      </c>
      <c r="E12" s="158">
        <f t="shared" ref="E12:E20" si="1">(Z98^2+AA98^2)^0.5</f>
        <v>59.526933033927556</v>
      </c>
      <c r="F12" s="118">
        <f t="shared" ref="F12:F20" si="2">E12/D12</f>
        <v>0.37162222759885455</v>
      </c>
      <c r="G12" s="130">
        <f>D12+NORMSINV($H$7)*E12</f>
        <v>62.268212356396191</v>
      </c>
      <c r="H12" s="131">
        <f>D12+NORMSINV(1-$H$7)*E12</f>
        <v>258.09439576070247</v>
      </c>
    </row>
    <row r="13" spans="2:9" x14ac:dyDescent="0.25">
      <c r="B13" s="103">
        <v>2</v>
      </c>
      <c r="C13" s="104">
        <f>(E59-D59)+(F58-E58)+(G57-F57)+(H56-G56)+(I55-H55)+(J54-I54)+(K53-J53)+(L52-K52)+(M51-L51)</f>
        <v>3481.5669076994404</v>
      </c>
      <c r="D13" s="104">
        <f t="shared" si="0"/>
        <v>526.69340923483105</v>
      </c>
      <c r="E13" s="158">
        <f t="shared" si="1"/>
        <v>97.043045477067949</v>
      </c>
      <c r="F13" s="118">
        <f t="shared" si="2"/>
        <v>0.1842495914616627</v>
      </c>
      <c r="G13" s="132">
        <f t="shared" ref="G13:G20" si="3">D13+NORMSINV($H$7)*E13</f>
        <v>367.07180391145914</v>
      </c>
      <c r="H13" s="131">
        <f t="shared" ref="H13:H20" si="4">D13+NORMSINV(1-$H$7)*E13</f>
        <v>686.31501455820285</v>
      </c>
    </row>
    <row r="14" spans="2:9" x14ac:dyDescent="0.25">
      <c r="B14" s="103">
        <v>3</v>
      </c>
      <c r="C14" s="104">
        <f>(F59-E59)+(G58-F58)+(H57-G57)+(I56-H56)+(J55-I55)+(K54-J54)+(L53-K53)+(M52-L52)</f>
        <v>2702.8619732511452</v>
      </c>
      <c r="D14" s="104">
        <f t="shared" si="0"/>
        <v>775.80867901639795</v>
      </c>
      <c r="E14" s="158">
        <f t="shared" si="1"/>
        <v>106.65512585253295</v>
      </c>
      <c r="F14" s="118">
        <f t="shared" si="2"/>
        <v>0.13747606689287711</v>
      </c>
      <c r="G14" s="132">
        <f t="shared" si="3"/>
        <v>600.37660842489333</v>
      </c>
      <c r="H14" s="131">
        <f t="shared" si="4"/>
        <v>951.24074960790244</v>
      </c>
      <c r="I14" s="43"/>
    </row>
    <row r="15" spans="2:9" x14ac:dyDescent="0.25">
      <c r="B15" s="103">
        <v>4</v>
      </c>
      <c r="C15" s="104">
        <f>(G59-F59)+(H58-G58)+(I57-H57)+(J56-I56)+(K55-J55)+(L54-K54)+(M53-L53)</f>
        <v>1960.7074268327492</v>
      </c>
      <c r="D15" s="104">
        <f t="shared" si="0"/>
        <v>1018.0102109458999</v>
      </c>
      <c r="E15" s="158">
        <f t="shared" si="1"/>
        <v>209.01488723148432</v>
      </c>
      <c r="F15" s="118">
        <f t="shared" si="2"/>
        <v>0.20531708325133097</v>
      </c>
      <c r="G15" s="132">
        <f t="shared" si="3"/>
        <v>674.21131559633977</v>
      </c>
      <c r="H15" s="131">
        <f t="shared" si="4"/>
        <v>1361.8091062954597</v>
      </c>
    </row>
    <row r="16" spans="2:9" x14ac:dyDescent="0.25">
      <c r="B16" s="103">
        <v>5</v>
      </c>
      <c r="C16" s="104">
        <f>(H59-G59)+(I58-H58)+(J57-I57)+(K56-J56)+(L55-K55)+(M54-L54)</f>
        <v>1537.444449662622</v>
      </c>
      <c r="D16" s="104">
        <f t="shared" si="0"/>
        <v>1404.8240146353937</v>
      </c>
      <c r="E16" s="158">
        <f t="shared" si="1"/>
        <v>328.95892979381512</v>
      </c>
      <c r="F16" s="118">
        <f t="shared" si="2"/>
        <v>0.23416380013918875</v>
      </c>
      <c r="G16" s="132">
        <f t="shared" si="3"/>
        <v>863.73472584596209</v>
      </c>
      <c r="H16" s="131">
        <f t="shared" si="4"/>
        <v>1945.913303424825</v>
      </c>
    </row>
    <row r="17" spans="2:29" x14ac:dyDescent="0.25">
      <c r="B17" s="103">
        <v>6</v>
      </c>
      <c r="C17" s="104">
        <f>(I59-H59)+(J58-I58)+(K57-J57)+(L56-K56)+(M55-L55)</f>
        <v>1208.3522750035831</v>
      </c>
      <c r="D17" s="104">
        <f t="shared" si="0"/>
        <v>2007.5400328818796</v>
      </c>
      <c r="E17" s="158">
        <f t="shared" si="1"/>
        <v>447.14237440042172</v>
      </c>
      <c r="F17" s="118">
        <f t="shared" si="2"/>
        <v>0.22273148583669158</v>
      </c>
      <c r="G17" s="132">
        <f t="shared" si="3"/>
        <v>1272.0562765856525</v>
      </c>
      <c r="H17" s="131">
        <f t="shared" si="4"/>
        <v>2743.0237891781062</v>
      </c>
    </row>
    <row r="18" spans="2:29" x14ac:dyDescent="0.25">
      <c r="B18" s="103">
        <v>7</v>
      </c>
      <c r="C18" s="104">
        <f>(J59-I59)+(K58-J58)+(L57-K57)+(M56-L56)</f>
        <v>824.51860611868551</v>
      </c>
      <c r="D18" s="104">
        <f t="shared" si="0"/>
        <v>3418.0699689261683</v>
      </c>
      <c r="E18" s="158">
        <f t="shared" si="1"/>
        <v>700.8548282164686</v>
      </c>
      <c r="F18" s="118">
        <f t="shared" si="2"/>
        <v>0.20504402618669956</v>
      </c>
      <c r="G18" s="132">
        <f t="shared" si="3"/>
        <v>2265.2663627678585</v>
      </c>
      <c r="H18" s="131">
        <f t="shared" si="4"/>
        <v>4570.8735750844771</v>
      </c>
    </row>
    <row r="19" spans="2:29" x14ac:dyDescent="0.25">
      <c r="B19" s="103">
        <v>8</v>
      </c>
      <c r="C19" s="104">
        <f>(K59-J59)+(L58-K58)+(M57-L57)</f>
        <v>493.8417357719909</v>
      </c>
      <c r="D19" s="104">
        <f t="shared" si="0"/>
        <v>3676.520816127043</v>
      </c>
      <c r="E19" s="158">
        <f t="shared" si="1"/>
        <v>792.19697349993794</v>
      </c>
      <c r="F19" s="118">
        <f t="shared" si="2"/>
        <v>0.21547463298044425</v>
      </c>
      <c r="G19" s="132">
        <f t="shared" si="3"/>
        <v>2373.4727510056905</v>
      </c>
      <c r="H19" s="131">
        <f t="shared" si="4"/>
        <v>4979.568881248395</v>
      </c>
    </row>
    <row r="20" spans="2:29" ht="16.5" customHeight="1" thickBot="1" x14ac:dyDescent="0.3">
      <c r="B20" s="105">
        <v>9</v>
      </c>
      <c r="C20" s="106">
        <f>(L59-K59)+(M58-L58)</f>
        <v>139.41487344000961</v>
      </c>
      <c r="D20" s="106">
        <f t="shared" si="0"/>
        <v>3550.5984348371348</v>
      </c>
      <c r="E20" s="159">
        <f t="shared" si="1"/>
        <v>1146.7543065860605</v>
      </c>
      <c r="F20" s="119">
        <f t="shared" si="2"/>
        <v>0.32297493722031168</v>
      </c>
      <c r="G20" s="133">
        <f t="shared" si="3"/>
        <v>1664.3554544268322</v>
      </c>
      <c r="H20" s="131">
        <f t="shared" si="4"/>
        <v>5436.8414152474361</v>
      </c>
    </row>
    <row r="21" spans="2:29" ht="15" customHeight="1" thickBot="1" x14ac:dyDescent="0.3">
      <c r="B21" s="111" t="s">
        <v>32</v>
      </c>
      <c r="C21" s="146">
        <f>SUM(C12:C20)</f>
        <v>16538.246870663294</v>
      </c>
      <c r="D21" s="147"/>
      <c r="E21" s="147"/>
      <c r="F21" s="148"/>
      <c r="G21" s="121">
        <f>SUM(G12:G20)</f>
        <v>10142.813510921083</v>
      </c>
      <c r="H21" s="117">
        <f>SUM(H12:H20)</f>
        <v>22933.680230405509</v>
      </c>
    </row>
    <row r="22" spans="2:29" ht="15" customHeight="1" x14ac:dyDescent="0.25"/>
    <row r="23" spans="2:29" ht="15" customHeight="1" thickBot="1" x14ac:dyDescent="0.3"/>
    <row r="24" spans="2:29" ht="15" customHeight="1" thickBot="1" x14ac:dyDescent="0.3">
      <c r="B24" s="152" t="s">
        <v>33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4"/>
      <c r="Q24" s="155" t="s">
        <v>36</v>
      </c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7"/>
    </row>
    <row r="25" spans="2:29" ht="15" customHeight="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Q25" s="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</row>
    <row r="26" spans="2:29" ht="15" customHeight="1" thickBot="1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Q26" s="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spans="2:29" ht="15" customHeight="1" thickBot="1" x14ac:dyDescent="0.3">
      <c r="B27" s="149" t="s">
        <v>0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1"/>
      <c r="M27" s="2"/>
      <c r="N27" s="3"/>
      <c r="Q27" s="1"/>
      <c r="R27" s="137" t="s">
        <v>8</v>
      </c>
      <c r="S27" s="138"/>
      <c r="T27" s="138"/>
      <c r="U27" s="138"/>
      <c r="V27" s="138"/>
      <c r="W27" s="138"/>
      <c r="X27" s="138"/>
      <c r="Y27" s="138"/>
      <c r="Z27" s="138"/>
      <c r="AA27" s="139"/>
      <c r="AB27" s="44"/>
      <c r="AC27" s="3"/>
    </row>
    <row r="28" spans="2:29" ht="15" customHeight="1" thickBot="1" x14ac:dyDescent="0.3">
      <c r="B28" s="45" t="s">
        <v>1</v>
      </c>
      <c r="C28" s="46">
        <v>0</v>
      </c>
      <c r="D28" s="46">
        <v>1</v>
      </c>
      <c r="E28" s="46">
        <v>2</v>
      </c>
      <c r="F28" s="46">
        <v>3</v>
      </c>
      <c r="G28" s="46">
        <v>4</v>
      </c>
      <c r="H28" s="46">
        <v>5</v>
      </c>
      <c r="I28" s="46">
        <v>6</v>
      </c>
      <c r="J28" s="46">
        <v>7</v>
      </c>
      <c r="K28" s="46">
        <v>8</v>
      </c>
      <c r="L28" s="47">
        <v>9</v>
      </c>
      <c r="M28" s="2"/>
      <c r="N28" s="3"/>
      <c r="Q28" s="1"/>
      <c r="R28" s="27" t="s">
        <v>1</v>
      </c>
      <c r="S28" s="48">
        <v>0</v>
      </c>
      <c r="T28" s="48">
        <v>1</v>
      </c>
      <c r="U28" s="48">
        <v>2</v>
      </c>
      <c r="V28" s="48">
        <v>3</v>
      </c>
      <c r="W28" s="48">
        <v>4</v>
      </c>
      <c r="X28" s="48">
        <v>5</v>
      </c>
      <c r="Y28" s="48">
        <v>6</v>
      </c>
      <c r="Z28" s="48">
        <v>7</v>
      </c>
      <c r="AA28" s="49">
        <v>8</v>
      </c>
      <c r="AB28" s="50"/>
      <c r="AC28" s="3"/>
    </row>
    <row r="29" spans="2:29" ht="15" customHeight="1" x14ac:dyDescent="0.25">
      <c r="B29" s="51">
        <v>0</v>
      </c>
      <c r="C29" s="7">
        <v>242</v>
      </c>
      <c r="D29" s="8">
        <v>775</v>
      </c>
      <c r="E29" s="8">
        <v>1217</v>
      </c>
      <c r="F29" s="8">
        <v>1584</v>
      </c>
      <c r="G29" s="8">
        <v>1996</v>
      </c>
      <c r="H29" s="8">
        <v>2459</v>
      </c>
      <c r="I29" s="8">
        <v>2616</v>
      </c>
      <c r="J29" s="8">
        <v>2774</v>
      </c>
      <c r="K29" s="8">
        <v>3006</v>
      </c>
      <c r="L29" s="52">
        <v>3121</v>
      </c>
      <c r="M29" s="2"/>
      <c r="N29" s="3"/>
      <c r="Q29" s="1"/>
      <c r="R29" s="28">
        <v>0</v>
      </c>
      <c r="S29" s="23">
        <f>C29*(D29/C29-$C$41)^2</f>
        <v>2.6160765731288893</v>
      </c>
      <c r="T29" s="23">
        <f t="shared" ref="T29:Z29" si="5">D29*(E29/D29-D41)^2</f>
        <v>47.772908876655116</v>
      </c>
      <c r="U29" s="23">
        <f t="shared" si="5"/>
        <v>45.212821478111884</v>
      </c>
      <c r="V29" s="23">
        <f t="shared" si="5"/>
        <v>8.6280164880792611</v>
      </c>
      <c r="W29" s="23">
        <f t="shared" si="5"/>
        <v>23.082671251148714</v>
      </c>
      <c r="X29" s="23">
        <f t="shared" si="5"/>
        <v>4.5376530355193063</v>
      </c>
      <c r="Y29" s="23">
        <f t="shared" si="5"/>
        <v>0.5020754039909755</v>
      </c>
      <c r="Z29" s="23">
        <f t="shared" si="5"/>
        <v>0.53318956472111012</v>
      </c>
      <c r="AA29" s="24"/>
      <c r="AB29" s="23"/>
      <c r="AC29" s="3"/>
    </row>
    <row r="30" spans="2:29" ht="15.75" customHeight="1" x14ac:dyDescent="0.25">
      <c r="B30" s="51">
        <v>1</v>
      </c>
      <c r="C30" s="9">
        <v>238</v>
      </c>
      <c r="D30" s="10">
        <v>852</v>
      </c>
      <c r="E30" s="10">
        <v>1522</v>
      </c>
      <c r="F30" s="10">
        <v>2395</v>
      </c>
      <c r="G30" s="10">
        <v>2762</v>
      </c>
      <c r="H30" s="10">
        <v>3051</v>
      </c>
      <c r="I30" s="10">
        <v>3507</v>
      </c>
      <c r="J30" s="10">
        <v>3780</v>
      </c>
      <c r="K30" s="10">
        <v>4187</v>
      </c>
      <c r="L30" s="11" t="s">
        <v>2</v>
      </c>
      <c r="M30" s="2"/>
      <c r="N30" s="3"/>
      <c r="Q30" s="1"/>
      <c r="R30" s="28">
        <v>1</v>
      </c>
      <c r="S30" s="23">
        <f t="shared" ref="S30:Z30" si="6">C30*(D30/C30-C41)^2</f>
        <v>17.787358231534025</v>
      </c>
      <c r="T30" s="23">
        <f t="shared" si="6"/>
        <v>0.88429909849912658</v>
      </c>
      <c r="U30" s="23">
        <f t="shared" si="6"/>
        <v>9.5662801886161013</v>
      </c>
      <c r="V30" s="23">
        <f t="shared" si="6"/>
        <v>2.6178763041349198</v>
      </c>
      <c r="W30" s="23">
        <f t="shared" si="6"/>
        <v>1.081874544892766</v>
      </c>
      <c r="X30" s="23">
        <f t="shared" si="6"/>
        <v>5.5511026920151574</v>
      </c>
      <c r="Y30" s="23">
        <f t="shared" si="6"/>
        <v>4.527573825897592E-2</v>
      </c>
      <c r="Z30" s="23">
        <f t="shared" si="6"/>
        <v>0.39128779167628347</v>
      </c>
      <c r="AA30" s="24"/>
      <c r="AB30" s="23"/>
      <c r="AC30" s="3"/>
    </row>
    <row r="31" spans="2:29" ht="15" customHeight="1" x14ac:dyDescent="0.25">
      <c r="B31" s="51">
        <v>2</v>
      </c>
      <c r="C31" s="9">
        <v>196</v>
      </c>
      <c r="D31" s="10">
        <v>891</v>
      </c>
      <c r="E31" s="10">
        <v>1556</v>
      </c>
      <c r="F31" s="10">
        <v>2310</v>
      </c>
      <c r="G31" s="10">
        <v>2898</v>
      </c>
      <c r="H31" s="10">
        <v>3061</v>
      </c>
      <c r="I31" s="10">
        <v>3493</v>
      </c>
      <c r="J31" s="10">
        <v>3776</v>
      </c>
      <c r="K31" s="10" t="s">
        <v>2</v>
      </c>
      <c r="L31" s="11" t="s">
        <v>2</v>
      </c>
      <c r="M31" s="2"/>
      <c r="N31" s="3"/>
      <c r="Q31" s="1"/>
      <c r="R31" s="28">
        <v>2</v>
      </c>
      <c r="S31" s="23">
        <f t="shared" ref="S31:Y31" si="7">C31*(D31/C31-C41)^2</f>
        <v>301.11045573276141</v>
      </c>
      <c r="T31" s="23">
        <f t="shared" si="7"/>
        <v>4.6509688381796375</v>
      </c>
      <c r="U31" s="23">
        <f t="shared" si="7"/>
        <v>0.14735474543619845</v>
      </c>
      <c r="V31" s="23">
        <f t="shared" si="7"/>
        <v>10.75952642284927</v>
      </c>
      <c r="W31" s="23">
        <f t="shared" si="7"/>
        <v>13.471405031114179</v>
      </c>
      <c r="X31" s="23">
        <f t="shared" si="7"/>
        <v>3.6067010159786488</v>
      </c>
      <c r="Y31" s="23">
        <f t="shared" si="7"/>
        <v>0.15999658956223733</v>
      </c>
      <c r="Z31" s="23"/>
      <c r="AA31" s="24"/>
      <c r="AB31" s="23"/>
      <c r="AC31" s="3"/>
    </row>
    <row r="32" spans="2:29" x14ac:dyDescent="0.25">
      <c r="B32" s="51">
        <v>3</v>
      </c>
      <c r="C32" s="9">
        <v>210</v>
      </c>
      <c r="D32" s="10">
        <v>978</v>
      </c>
      <c r="E32" s="10">
        <v>1540</v>
      </c>
      <c r="F32" s="10">
        <v>2683</v>
      </c>
      <c r="G32" s="10">
        <v>2930</v>
      </c>
      <c r="H32" s="10">
        <v>3245</v>
      </c>
      <c r="I32" s="10">
        <v>3462</v>
      </c>
      <c r="J32" s="10" t="s">
        <v>2</v>
      </c>
      <c r="K32" s="10" t="s">
        <v>2</v>
      </c>
      <c r="L32" s="11" t="s">
        <v>2</v>
      </c>
      <c r="M32" s="2"/>
      <c r="N32" s="3"/>
      <c r="Q32" s="1"/>
      <c r="R32" s="28">
        <v>3</v>
      </c>
      <c r="S32" s="23">
        <f t="shared" ref="S32:X32" si="8">C32*(D32/C32-C41)^2</f>
        <v>383.11703582577684</v>
      </c>
      <c r="T32" s="23">
        <f t="shared" si="8"/>
        <v>58.206859570687037</v>
      </c>
      <c r="U32" s="23">
        <f t="shared" si="8"/>
        <v>94.640183245410185</v>
      </c>
      <c r="V32" s="23">
        <f t="shared" si="8"/>
        <v>23.826290719496917</v>
      </c>
      <c r="W32" s="23">
        <f t="shared" si="8"/>
        <v>0.83854105482073693</v>
      </c>
      <c r="X32" s="23">
        <f t="shared" si="8"/>
        <v>5.1744197817392275</v>
      </c>
      <c r="Y32" s="23"/>
      <c r="Z32" s="23"/>
      <c r="AA32" s="24"/>
      <c r="AB32" s="23"/>
      <c r="AC32" s="3"/>
    </row>
    <row r="33" spans="2:29" x14ac:dyDescent="0.25">
      <c r="B33" s="51">
        <v>4</v>
      </c>
      <c r="C33" s="9">
        <v>300</v>
      </c>
      <c r="D33" s="10">
        <v>783</v>
      </c>
      <c r="E33" s="10">
        <v>1493</v>
      </c>
      <c r="F33" s="10">
        <v>2069</v>
      </c>
      <c r="G33" s="10">
        <v>2474</v>
      </c>
      <c r="H33" s="10">
        <v>2869</v>
      </c>
      <c r="I33" s="10" t="s">
        <v>2</v>
      </c>
      <c r="J33" s="10" t="s">
        <v>2</v>
      </c>
      <c r="K33" s="10" t="s">
        <v>2</v>
      </c>
      <c r="L33" s="11" t="s">
        <v>2</v>
      </c>
      <c r="M33" s="2"/>
      <c r="N33" s="3"/>
      <c r="Q33" s="1"/>
      <c r="R33" s="28">
        <v>4</v>
      </c>
      <c r="S33" s="23">
        <f>C33*(D33/C33-C41)^2</f>
        <v>145.51345473465153</v>
      </c>
      <c r="T33" s="23">
        <f>D33*(E33/D33-D41)^2</f>
        <v>6.0866229380455676</v>
      </c>
      <c r="U33" s="23">
        <f>E33*(F33/E33-E41)^2</f>
        <v>17.578197380672737</v>
      </c>
      <c r="V33" s="23">
        <f>F33*(G33/F33-F41)^2</f>
        <v>0.18474288753289497</v>
      </c>
      <c r="W33" s="23">
        <f>G33*(H33/G33-G41)^2</f>
        <v>3.0714388529946879</v>
      </c>
      <c r="X33" s="23"/>
      <c r="Y33" s="23"/>
      <c r="Z33" s="23"/>
      <c r="AA33" s="24"/>
      <c r="AB33" s="23"/>
      <c r="AC33" s="3"/>
    </row>
    <row r="34" spans="2:29" x14ac:dyDescent="0.25">
      <c r="B34" s="51">
        <v>5</v>
      </c>
      <c r="C34" s="9">
        <v>268</v>
      </c>
      <c r="D34" s="10">
        <v>919</v>
      </c>
      <c r="E34" s="10">
        <v>1530</v>
      </c>
      <c r="F34" s="10">
        <v>2132</v>
      </c>
      <c r="G34" s="10">
        <v>2684</v>
      </c>
      <c r="H34" s="10" t="s">
        <v>2</v>
      </c>
      <c r="I34" s="10" t="s">
        <v>2</v>
      </c>
      <c r="J34" s="10" t="s">
        <v>2</v>
      </c>
      <c r="K34" s="10" t="s">
        <v>2</v>
      </c>
      <c r="L34" s="11" t="s">
        <v>2</v>
      </c>
      <c r="M34" s="2"/>
      <c r="N34" s="3"/>
      <c r="Q34" s="1"/>
      <c r="R34" s="28">
        <v>5</v>
      </c>
      <c r="S34" s="23">
        <f>C34*(D34/C34-C41)^2</f>
        <v>4.031718359296125</v>
      </c>
      <c r="T34" s="23">
        <f>D34*(E34/D34-D41)^2</f>
        <v>21.723869440607384</v>
      </c>
      <c r="U34" s="23">
        <f>E34*(F34/E34-E41)^2</f>
        <v>15.559115254121576</v>
      </c>
      <c r="V34" s="23">
        <f>F34*(G34/F34-F41)^2</f>
        <v>11.241739867469184</v>
      </c>
      <c r="W34" s="23"/>
      <c r="X34" s="23"/>
      <c r="Y34" s="23"/>
      <c r="Z34" s="23"/>
      <c r="AA34" s="24"/>
      <c r="AB34" s="23"/>
      <c r="AC34" s="3"/>
    </row>
    <row r="35" spans="2:29" x14ac:dyDescent="0.25">
      <c r="B35" s="51">
        <v>6</v>
      </c>
      <c r="C35" s="9">
        <v>298</v>
      </c>
      <c r="D35" s="10">
        <v>888</v>
      </c>
      <c r="E35" s="10">
        <v>1698</v>
      </c>
      <c r="F35" s="10">
        <v>2487</v>
      </c>
      <c r="G35" s="10" t="s">
        <v>2</v>
      </c>
      <c r="H35" s="10" t="s">
        <v>2</v>
      </c>
      <c r="I35" s="10" t="s">
        <v>2</v>
      </c>
      <c r="J35" s="10" t="s">
        <v>2</v>
      </c>
      <c r="K35" s="10" t="s">
        <v>2</v>
      </c>
      <c r="L35" s="11" t="s">
        <v>2</v>
      </c>
      <c r="M35" s="2"/>
      <c r="N35" s="3"/>
      <c r="Q35" s="1"/>
      <c r="R35" s="28">
        <v>6</v>
      </c>
      <c r="S35" s="23">
        <f>C35*(D35/C35-C41)^2</f>
        <v>31.784176857160823</v>
      </c>
      <c r="T35" s="23">
        <f>D35*(E35/D35-D41)^2</f>
        <v>7.7731807733130172</v>
      </c>
      <c r="U35" s="23">
        <f>E35*(F35/E35-E41)^2</f>
        <v>1.4920420323979928</v>
      </c>
      <c r="V35" s="23"/>
      <c r="W35" s="23"/>
      <c r="X35" s="23"/>
      <c r="Y35" s="23"/>
      <c r="Z35" s="23"/>
      <c r="AA35" s="24"/>
      <c r="AB35" s="23"/>
      <c r="AC35" s="3"/>
    </row>
    <row r="36" spans="2:29" x14ac:dyDescent="0.25">
      <c r="B36" s="51">
        <v>7</v>
      </c>
      <c r="C36" s="9">
        <v>243</v>
      </c>
      <c r="D36" s="10">
        <v>980</v>
      </c>
      <c r="E36" s="10">
        <v>2010</v>
      </c>
      <c r="F36" s="10" t="s">
        <v>2</v>
      </c>
      <c r="G36" s="10" t="s">
        <v>2</v>
      </c>
      <c r="H36" s="10" t="s">
        <v>2</v>
      </c>
      <c r="I36" s="10" t="s">
        <v>2</v>
      </c>
      <c r="J36" s="10" t="s">
        <v>2</v>
      </c>
      <c r="K36" s="10" t="s">
        <v>2</v>
      </c>
      <c r="L36" s="11" t="s">
        <v>2</v>
      </c>
      <c r="M36" s="2"/>
      <c r="N36" s="3"/>
      <c r="Q36" s="1"/>
      <c r="R36" s="28">
        <v>7</v>
      </c>
      <c r="S36" s="23">
        <f>C36*(D36/C36-C41)^2</f>
        <v>128.24542443356748</v>
      </c>
      <c r="T36" s="23">
        <f>D36*(E36/D36-D41)^2</f>
        <v>52.938140032782918</v>
      </c>
      <c r="U36" s="23"/>
      <c r="V36" s="23"/>
      <c r="W36" s="23"/>
      <c r="X36" s="23"/>
      <c r="Y36" s="23"/>
      <c r="Z36" s="23"/>
      <c r="AA36" s="24"/>
      <c r="AB36" s="23"/>
      <c r="AC36" s="3"/>
    </row>
    <row r="37" spans="2:29" ht="15.75" thickBot="1" x14ac:dyDescent="0.3">
      <c r="B37" s="51">
        <v>8</v>
      </c>
      <c r="C37" s="9">
        <v>255</v>
      </c>
      <c r="D37" s="10">
        <v>940</v>
      </c>
      <c r="E37" s="10" t="s">
        <v>2</v>
      </c>
      <c r="F37" s="10" t="s">
        <v>2</v>
      </c>
      <c r="G37" s="10" t="s">
        <v>2</v>
      </c>
      <c r="H37" s="10" t="s">
        <v>2</v>
      </c>
      <c r="I37" s="10" t="s">
        <v>2</v>
      </c>
      <c r="J37" s="10" t="s">
        <v>2</v>
      </c>
      <c r="K37" s="10" t="s">
        <v>2</v>
      </c>
      <c r="L37" s="11" t="s">
        <v>2</v>
      </c>
      <c r="M37" s="2"/>
      <c r="N37" s="3"/>
      <c r="Q37" s="1"/>
      <c r="R37" s="29">
        <v>8</v>
      </c>
      <c r="S37" s="25">
        <f>C37*(D37/C37-C41)^2</f>
        <v>36.787685417559253</v>
      </c>
      <c r="T37" s="25"/>
      <c r="U37" s="25"/>
      <c r="V37" s="25"/>
      <c r="W37" s="25"/>
      <c r="X37" s="25"/>
      <c r="Y37" s="25"/>
      <c r="Z37" s="25"/>
      <c r="AA37" s="26"/>
      <c r="AB37" s="23"/>
      <c r="AC37" s="3"/>
    </row>
    <row r="38" spans="2:29" ht="15.75" thickBot="1" x14ac:dyDescent="0.3">
      <c r="B38" s="53">
        <v>9</v>
      </c>
      <c r="C38" s="12">
        <v>233</v>
      </c>
      <c r="D38" s="13" t="s">
        <v>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4" t="s">
        <v>2</v>
      </c>
      <c r="M38" s="2"/>
      <c r="N38" s="3"/>
      <c r="Q38" s="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3"/>
    </row>
    <row r="39" spans="2:29" ht="15.75" thickBot="1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Q39" s="1"/>
      <c r="R39" s="126" t="s">
        <v>1</v>
      </c>
      <c r="S39" s="127">
        <v>0</v>
      </c>
      <c r="T39" s="127">
        <v>1</v>
      </c>
      <c r="U39" s="128">
        <v>2</v>
      </c>
      <c r="V39" s="128">
        <v>3</v>
      </c>
      <c r="W39" s="128">
        <v>4</v>
      </c>
      <c r="X39" s="128">
        <v>5</v>
      </c>
      <c r="Y39" s="128">
        <v>6</v>
      </c>
      <c r="Z39" s="128">
        <v>7</v>
      </c>
      <c r="AA39" s="128">
        <v>8</v>
      </c>
      <c r="AB39" s="129">
        <v>9</v>
      </c>
      <c r="AC39" s="3"/>
    </row>
    <row r="40" spans="2:29" ht="15.75" thickBot="1" x14ac:dyDescent="0.3">
      <c r="B40" s="126" t="s">
        <v>1</v>
      </c>
      <c r="C40" s="127">
        <v>0</v>
      </c>
      <c r="D40" s="127">
        <v>1</v>
      </c>
      <c r="E40" s="128">
        <v>2</v>
      </c>
      <c r="F40" s="128">
        <v>3</v>
      </c>
      <c r="G40" s="128">
        <v>4</v>
      </c>
      <c r="H40" s="128">
        <v>5</v>
      </c>
      <c r="I40" s="128">
        <v>6</v>
      </c>
      <c r="J40" s="128">
        <v>7</v>
      </c>
      <c r="K40" s="128">
        <v>8</v>
      </c>
      <c r="L40" s="129">
        <v>9</v>
      </c>
      <c r="M40" s="2"/>
      <c r="N40" s="3"/>
      <c r="Q40" s="1"/>
      <c r="R40" s="57" t="s">
        <v>9</v>
      </c>
      <c r="S40" s="58">
        <f t="shared" ref="S40:AB40" si="9">SUM(S29:S37)</f>
        <v>1050.9933861654363</v>
      </c>
      <c r="T40" s="58">
        <f t="shared" si="9"/>
        <v>200.03684956876978</v>
      </c>
      <c r="U40" s="58">
        <f t="shared" si="9"/>
        <v>184.19599432476667</v>
      </c>
      <c r="V40" s="58">
        <f t="shared" si="9"/>
        <v>57.258192689562442</v>
      </c>
      <c r="W40" s="58">
        <f t="shared" si="9"/>
        <v>41.545930734971087</v>
      </c>
      <c r="X40" s="58">
        <f t="shared" si="9"/>
        <v>18.869876525252341</v>
      </c>
      <c r="Y40" s="58">
        <f t="shared" si="9"/>
        <v>0.7073477318121888</v>
      </c>
      <c r="Z40" s="58">
        <f t="shared" si="9"/>
        <v>0.92447735639739359</v>
      </c>
      <c r="AA40" s="58">
        <f t="shared" si="9"/>
        <v>0</v>
      </c>
      <c r="AB40" s="59">
        <f t="shared" si="9"/>
        <v>0</v>
      </c>
      <c r="AC40" s="3"/>
    </row>
    <row r="41" spans="2:29" x14ac:dyDescent="0.25">
      <c r="B41" s="83" t="s">
        <v>3</v>
      </c>
      <c r="C41" s="58">
        <f>VLOOKUP($D$4,Hipotesis!$B$16:$L$19,2,FALSE)</f>
        <v>3.306451612903226</v>
      </c>
      <c r="D41" s="58">
        <f>VLOOKUP($D$4,Hipotesis!$B$16:$L$19,3,FALSE)</f>
        <v>1.8186015831134565</v>
      </c>
      <c r="E41" s="58">
        <f>VLOOKUP($D$4,Hipotesis!$B$16:$L$19,4,FALSE)</f>
        <v>1.4943072790072918</v>
      </c>
      <c r="F41" s="58">
        <f>VLOOKUP($D$4,Hipotesis!$B$16:$L$19,5,FALSE)</f>
        <v>1.1862973509362327</v>
      </c>
      <c r="G41" s="58">
        <f>VLOOKUP($D$4,Hipotesis!$B$16:$L$19,6,FALSE)</f>
        <v>1.1244257274119449</v>
      </c>
      <c r="H41" s="58">
        <f>VLOOKUP($D$4,Hipotesis!$B$16:$L$19,7,FALSE)</f>
        <v>1.1068043331076507</v>
      </c>
      <c r="I41" s="58">
        <f>VLOOKUP($D$4,Hipotesis!$B$16:$L$19,8,FALSE)</f>
        <v>1.0742512479201332</v>
      </c>
      <c r="J41" s="58">
        <f>VLOOKUP($D$4,Hipotesis!$B$16:$L$19,9,FALSE)</f>
        <v>1.0974977113213304</v>
      </c>
      <c r="K41" s="58">
        <f>VLOOKUP($D$4,Hipotesis!$B$16:$L$19,10,FALSE)</f>
        <v>1.0382568196939455</v>
      </c>
      <c r="L41" s="58">
        <f>VLOOKUP($D$4,Hipotesis!$B$16:$L$19,11,FALSE)</f>
        <v>1</v>
      </c>
      <c r="M41" s="2"/>
      <c r="N41" s="3"/>
      <c r="Q41" s="1"/>
      <c r="R41" s="57" t="s">
        <v>10</v>
      </c>
      <c r="S41" s="58">
        <f>(1/(9-1-S39))*S40</f>
        <v>131.37417327067953</v>
      </c>
      <c r="T41" s="58">
        <f t="shared" ref="T41:AB41" si="10">(1/(9-1-T39))*T40</f>
        <v>28.576692795538538</v>
      </c>
      <c r="U41" s="58">
        <f t="shared" si="10"/>
        <v>30.699332387461112</v>
      </c>
      <c r="V41" s="58">
        <f t="shared" si="10"/>
        <v>11.451638537912489</v>
      </c>
      <c r="W41" s="58">
        <f t="shared" si="10"/>
        <v>10.386482683742772</v>
      </c>
      <c r="X41" s="58">
        <f t="shared" si="10"/>
        <v>6.2899588417507797</v>
      </c>
      <c r="Y41" s="58">
        <f t="shared" ref="Y41" si="11">(1/(9-1-Y39))*Y40</f>
        <v>0.3536738659060944</v>
      </c>
      <c r="Z41" s="58">
        <f t="shared" ref="Z41" si="12">(1/(9-1-Z39))*Z40</f>
        <v>0.92447735639739359</v>
      </c>
      <c r="AA41" s="58">
        <f>MIN((Z41^2)/Y41,MIN(Y41,Z41))</f>
        <v>0.3536738659060944</v>
      </c>
      <c r="AB41" s="59">
        <f t="shared" si="10"/>
        <v>0</v>
      </c>
      <c r="AC41" s="3"/>
    </row>
    <row r="42" spans="2:29" ht="15.75" thickBot="1" x14ac:dyDescent="0.3">
      <c r="B42" s="62" t="s">
        <v>4</v>
      </c>
      <c r="C42" s="60">
        <f>C41*D42</f>
        <v>16.23861989200487</v>
      </c>
      <c r="D42" s="60">
        <f t="shared" ref="D42:J42" si="13">D41*E42</f>
        <v>4.9111923575819603</v>
      </c>
      <c r="E42" s="60">
        <f t="shared" si="13"/>
        <v>2.70053232284884</v>
      </c>
      <c r="F42" s="60">
        <f t="shared" si="13"/>
        <v>1.807213523474821</v>
      </c>
      <c r="G42" s="60">
        <f t="shared" si="13"/>
        <v>1.5234068608924716</v>
      </c>
      <c r="H42" s="60">
        <f t="shared" si="13"/>
        <v>1.3548310250769955</v>
      </c>
      <c r="I42" s="60">
        <f t="shared" si="13"/>
        <v>1.2240926282543032</v>
      </c>
      <c r="J42" s="60">
        <f t="shared" si="13"/>
        <v>1.1394844833778683</v>
      </c>
      <c r="K42" s="60">
        <f>K41*L42</f>
        <v>1.0382568196939455</v>
      </c>
      <c r="L42" s="61">
        <f>L41</f>
        <v>1</v>
      </c>
      <c r="M42" s="2"/>
      <c r="N42" s="3"/>
      <c r="Q42" s="1"/>
      <c r="R42" s="62" t="s">
        <v>11</v>
      </c>
      <c r="S42" s="63">
        <f>SQRT(S41)</f>
        <v>11.461857322034659</v>
      </c>
      <c r="T42" s="63">
        <f t="shared" ref="T42:AB42" si="14">SQRT(T41)</f>
        <v>5.345717238644272</v>
      </c>
      <c r="U42" s="63">
        <f t="shared" si="14"/>
        <v>5.5406978249550036</v>
      </c>
      <c r="V42" s="63">
        <f t="shared" si="14"/>
        <v>3.384026970624272</v>
      </c>
      <c r="W42" s="63">
        <f t="shared" si="14"/>
        <v>3.2228066469682557</v>
      </c>
      <c r="X42" s="63">
        <f t="shared" si="14"/>
        <v>2.5079790353491354</v>
      </c>
      <c r="Y42" s="63">
        <f t="shared" si="14"/>
        <v>0.59470485613125301</v>
      </c>
      <c r="Z42" s="63">
        <f t="shared" si="14"/>
        <v>0.96149745522148611</v>
      </c>
      <c r="AA42" s="63">
        <f t="shared" si="14"/>
        <v>0.59470485613125301</v>
      </c>
      <c r="AB42" s="64">
        <f t="shared" si="14"/>
        <v>0</v>
      </c>
      <c r="AC42" s="3"/>
    </row>
    <row r="43" spans="2:29" ht="15.75" thickBot="1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Q43" s="1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3"/>
    </row>
    <row r="44" spans="2:29" ht="15.75" thickBot="1" x14ac:dyDescent="0.3">
      <c r="B44" s="126" t="s">
        <v>1</v>
      </c>
      <c r="C44" s="127">
        <v>0</v>
      </c>
      <c r="D44" s="127">
        <v>1</v>
      </c>
      <c r="E44" s="128">
        <v>2</v>
      </c>
      <c r="F44" s="128">
        <v>3</v>
      </c>
      <c r="G44" s="128">
        <v>4</v>
      </c>
      <c r="H44" s="128">
        <v>5</v>
      </c>
      <c r="I44" s="128">
        <v>6</v>
      </c>
      <c r="J44" s="128">
        <v>7</v>
      </c>
      <c r="K44" s="128">
        <v>8</v>
      </c>
      <c r="L44" s="129">
        <v>9</v>
      </c>
      <c r="M44" s="2"/>
      <c r="N44" s="3"/>
      <c r="Q44" s="1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3"/>
    </row>
    <row r="45" spans="2:29" ht="15.75" thickBot="1" x14ac:dyDescent="0.3">
      <c r="B45" s="94" t="s">
        <v>34</v>
      </c>
      <c r="C45" s="65">
        <f>C38/M59</f>
        <v>6.1581588007509971E-2</v>
      </c>
      <c r="D45" s="65">
        <f>D37/M58</f>
        <v>0.20361654099257331</v>
      </c>
      <c r="E45" s="65">
        <f>E36/M57</f>
        <v>0.37029736379717987</v>
      </c>
      <c r="F45" s="65">
        <f>F35/M56</f>
        <v>0.55333804611933701</v>
      </c>
      <c r="G45" s="65">
        <f>G34/M55</f>
        <v>0.65642345828360038</v>
      </c>
      <c r="H45" s="65">
        <f>H33/M54</f>
        <v>0.73809942457080191</v>
      </c>
      <c r="I45" s="65">
        <f>I32/M53</f>
        <v>0.81693164137922702</v>
      </c>
      <c r="J45" s="65">
        <f>J31/M52</f>
        <v>0.87758983521707734</v>
      </c>
      <c r="K45" s="65">
        <f>K30/M51</f>
        <v>0.96315283562960596</v>
      </c>
      <c r="L45" s="66">
        <f>L29/M50</f>
        <v>1</v>
      </c>
      <c r="M45" s="2"/>
      <c r="N45" s="3"/>
      <c r="Q45" s="1"/>
      <c r="R45" s="123" t="s">
        <v>12</v>
      </c>
      <c r="S45" s="124">
        <f t="shared" ref="S45:AB45" si="15">S39</f>
        <v>0</v>
      </c>
      <c r="T45" s="124">
        <f t="shared" si="15"/>
        <v>1</v>
      </c>
      <c r="U45" s="124">
        <f t="shared" si="15"/>
        <v>2</v>
      </c>
      <c r="V45" s="124">
        <f t="shared" si="15"/>
        <v>3</v>
      </c>
      <c r="W45" s="124">
        <f t="shared" si="15"/>
        <v>4</v>
      </c>
      <c r="X45" s="124">
        <f t="shared" si="15"/>
        <v>5</v>
      </c>
      <c r="Y45" s="124">
        <f t="shared" si="15"/>
        <v>6</v>
      </c>
      <c r="Z45" s="124">
        <f t="shared" si="15"/>
        <v>7</v>
      </c>
      <c r="AA45" s="124">
        <f t="shared" si="15"/>
        <v>8</v>
      </c>
      <c r="AB45" s="125">
        <f t="shared" si="15"/>
        <v>9</v>
      </c>
      <c r="AC45" s="3"/>
    </row>
    <row r="46" spans="2:29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Q46" s="1"/>
      <c r="R46" s="70" t="s">
        <v>13</v>
      </c>
      <c r="S46" s="58">
        <f t="shared" ref="S46:AA46" si="16">C42*S41/C41^2</f>
        <v>195.13481861725751</v>
      </c>
      <c r="T46" s="58">
        <f t="shared" si="16"/>
        <v>42.434958426877643</v>
      </c>
      <c r="U46" s="58">
        <f t="shared" si="16"/>
        <v>37.12773766927328</v>
      </c>
      <c r="V46" s="58">
        <f t="shared" si="16"/>
        <v>14.705844789544901</v>
      </c>
      <c r="W46" s="58">
        <f t="shared" si="16"/>
        <v>12.514769662686922</v>
      </c>
      <c r="X46" s="58">
        <f t="shared" si="16"/>
        <v>6.9565071439426971</v>
      </c>
      <c r="Y46" s="58">
        <f t="shared" si="16"/>
        <v>0.37515049031269215</v>
      </c>
      <c r="Z46" s="58">
        <f t="shared" si="16"/>
        <v>0.87457578273818937</v>
      </c>
      <c r="AA46" s="58">
        <f t="shared" si="16"/>
        <v>0.34064198683553987</v>
      </c>
      <c r="AB46" s="59">
        <v>0</v>
      </c>
      <c r="AC46" s="3"/>
    </row>
    <row r="47" spans="2:29" ht="15.75" thickBot="1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Q47" s="1"/>
      <c r="R47" s="71" t="s">
        <v>14</v>
      </c>
      <c r="S47" s="60">
        <f t="shared" ref="S47:Z47" si="17">T47+S46</f>
        <v>310.46500456946939</v>
      </c>
      <c r="T47" s="60">
        <f t="shared" si="17"/>
        <v>115.33018595221186</v>
      </c>
      <c r="U47" s="60">
        <f t="shared" si="17"/>
        <v>72.895227525334221</v>
      </c>
      <c r="V47" s="60">
        <f t="shared" si="17"/>
        <v>35.767489856060941</v>
      </c>
      <c r="W47" s="60">
        <f t="shared" si="17"/>
        <v>21.061645066516039</v>
      </c>
      <c r="X47" s="60">
        <f t="shared" si="17"/>
        <v>8.5468754038291177</v>
      </c>
      <c r="Y47" s="60">
        <f t="shared" si="17"/>
        <v>1.5903682598864213</v>
      </c>
      <c r="Z47" s="60">
        <f t="shared" si="17"/>
        <v>1.2152177695737292</v>
      </c>
      <c r="AA47" s="60">
        <f>AB47+AA46</f>
        <v>0.34064198683553987</v>
      </c>
      <c r="AB47" s="61">
        <v>0</v>
      </c>
      <c r="AC47" s="3"/>
    </row>
    <row r="48" spans="2:29" ht="16.5" thickBot="1" x14ac:dyDescent="0.3">
      <c r="B48" s="149" t="s">
        <v>35</v>
      </c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1"/>
      <c r="N48" s="3"/>
      <c r="Q48" s="1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3"/>
    </row>
    <row r="49" spans="2:29" ht="15.75" thickBot="1" x14ac:dyDescent="0.3">
      <c r="B49" s="45" t="s">
        <v>1</v>
      </c>
      <c r="C49" s="46">
        <v>0</v>
      </c>
      <c r="D49" s="46">
        <v>1</v>
      </c>
      <c r="E49" s="46">
        <v>2</v>
      </c>
      <c r="F49" s="46">
        <v>3</v>
      </c>
      <c r="G49" s="46">
        <v>4</v>
      </c>
      <c r="H49" s="46">
        <v>5</v>
      </c>
      <c r="I49" s="46">
        <v>6</v>
      </c>
      <c r="J49" s="46">
        <v>7</v>
      </c>
      <c r="K49" s="46">
        <v>8</v>
      </c>
      <c r="L49" s="72">
        <v>9</v>
      </c>
      <c r="M49" s="73" t="s">
        <v>7</v>
      </c>
      <c r="N49" s="3"/>
      <c r="Q49" s="1"/>
      <c r="R49" s="123" t="s">
        <v>15</v>
      </c>
      <c r="S49" s="124">
        <f>S45</f>
        <v>0</v>
      </c>
      <c r="T49" s="124">
        <f t="shared" ref="T49:AB49" si="18">T45</f>
        <v>1</v>
      </c>
      <c r="U49" s="124">
        <f t="shared" si="18"/>
        <v>2</v>
      </c>
      <c r="V49" s="124">
        <f t="shared" si="18"/>
        <v>3</v>
      </c>
      <c r="W49" s="124">
        <f t="shared" si="18"/>
        <v>4</v>
      </c>
      <c r="X49" s="124">
        <f t="shared" si="18"/>
        <v>5</v>
      </c>
      <c r="Y49" s="124">
        <f t="shared" si="18"/>
        <v>6</v>
      </c>
      <c r="Z49" s="124">
        <f t="shared" si="18"/>
        <v>7</v>
      </c>
      <c r="AA49" s="124">
        <f t="shared" si="18"/>
        <v>8</v>
      </c>
      <c r="AB49" s="125">
        <f t="shared" si="18"/>
        <v>9</v>
      </c>
      <c r="AC49" s="3"/>
    </row>
    <row r="50" spans="2:29" x14ac:dyDescent="0.25">
      <c r="B50" s="51">
        <v>0</v>
      </c>
      <c r="C50" s="16">
        <v>242</v>
      </c>
      <c r="D50" s="17">
        <v>775</v>
      </c>
      <c r="E50" s="17">
        <v>1217</v>
      </c>
      <c r="F50" s="17">
        <v>1584</v>
      </c>
      <c r="G50" s="17">
        <v>1996</v>
      </c>
      <c r="H50" s="17">
        <v>2459</v>
      </c>
      <c r="I50" s="17">
        <v>2616</v>
      </c>
      <c r="J50" s="17">
        <v>2774</v>
      </c>
      <c r="K50" s="17">
        <v>3006</v>
      </c>
      <c r="L50" s="17">
        <v>3121</v>
      </c>
      <c r="M50" s="74">
        <f>L42*L29</f>
        <v>3121</v>
      </c>
      <c r="N50" s="3"/>
      <c r="Q50" s="1"/>
      <c r="R50" s="75" t="s">
        <v>13</v>
      </c>
      <c r="S50" s="58">
        <f>(S41/C41^2)/SUM(C29:C37)</f>
        <v>5.3407608915591737E-3</v>
      </c>
      <c r="T50" s="58">
        <f>(T41/D41^2)/SUM(D29:D36)</f>
        <v>1.2228218867880664E-3</v>
      </c>
      <c r="U50" s="58">
        <f>(U41/E41^2)/SUM(E29:E35)</f>
        <v>1.302416008211931E-3</v>
      </c>
      <c r="V50" s="58">
        <f>(V41/F41^2)/SUM(F29:F34)</f>
        <v>6.1772591075540942E-4</v>
      </c>
      <c r="W50" s="58">
        <f>(W41/G41^2)/SUM(G29:G33)</f>
        <v>6.2901901849951288E-4</v>
      </c>
      <c r="X50" s="58">
        <f>(X41/H41^2)/SUM(H29:H32)</f>
        <v>4.3454586323347807E-4</v>
      </c>
      <c r="Y50" s="58">
        <f>(Y41/I41^2)/SUM(I29:I31)</f>
        <v>3.1871080055674865E-5</v>
      </c>
      <c r="Z50" s="58">
        <f>(Z41/J41^2)/SUM(J29:J30)</f>
        <v>1.1710692967013337E-4</v>
      </c>
      <c r="AA50" s="58">
        <f>(AA41/K41^2)/SUM(K29)</f>
        <v>1.0914514156858053E-4</v>
      </c>
      <c r="AB50" s="59">
        <v>0</v>
      </c>
      <c r="AC50" s="3"/>
    </row>
    <row r="51" spans="2:29" ht="15.75" thickBot="1" x14ac:dyDescent="0.3">
      <c r="B51" s="51">
        <v>1</v>
      </c>
      <c r="C51" s="18">
        <v>238</v>
      </c>
      <c r="D51" s="19">
        <v>852</v>
      </c>
      <c r="E51" s="19">
        <v>1522</v>
      </c>
      <c r="F51" s="19">
        <v>2395</v>
      </c>
      <c r="G51" s="19">
        <v>2762</v>
      </c>
      <c r="H51" s="19">
        <v>3051</v>
      </c>
      <c r="I51" s="19">
        <v>3507</v>
      </c>
      <c r="J51" s="19">
        <v>3780</v>
      </c>
      <c r="K51" s="19">
        <v>4187</v>
      </c>
      <c r="L51" s="19">
        <f>M51*L42</f>
        <v>4347.1813040585494</v>
      </c>
      <c r="M51" s="21">
        <f>K30*K42</f>
        <v>4347.1813040585494</v>
      </c>
      <c r="N51" s="3"/>
      <c r="Q51" s="1"/>
      <c r="R51" s="71" t="s">
        <v>14</v>
      </c>
      <c r="S51" s="60">
        <f t="shared" ref="S51:Z51" si="19">S50+T51</f>
        <v>9.80541273034196E-3</v>
      </c>
      <c r="T51" s="60">
        <f t="shared" si="19"/>
        <v>4.4646518387827863E-3</v>
      </c>
      <c r="U51" s="60">
        <f t="shared" si="19"/>
        <v>3.2418299519947199E-3</v>
      </c>
      <c r="V51" s="60">
        <f t="shared" si="19"/>
        <v>1.9394139437827892E-3</v>
      </c>
      <c r="W51" s="60">
        <f t="shared" si="19"/>
        <v>1.3216880330273798E-3</v>
      </c>
      <c r="X51" s="60">
        <f t="shared" si="19"/>
        <v>6.926690145278669E-4</v>
      </c>
      <c r="Y51" s="60">
        <f t="shared" si="19"/>
        <v>2.5812315129438877E-4</v>
      </c>
      <c r="Z51" s="60">
        <f t="shared" si="19"/>
        <v>2.262520712387139E-4</v>
      </c>
      <c r="AA51" s="60">
        <f>AA50+AB51</f>
        <v>1.0914514156858053E-4</v>
      </c>
      <c r="AB51" s="61">
        <v>0</v>
      </c>
      <c r="AC51" s="3"/>
    </row>
    <row r="52" spans="2:29" x14ac:dyDescent="0.25">
      <c r="B52" s="51">
        <v>2</v>
      </c>
      <c r="C52" s="18">
        <v>196</v>
      </c>
      <c r="D52" s="19">
        <v>891</v>
      </c>
      <c r="E52" s="19">
        <v>1556</v>
      </c>
      <c r="F52" s="19">
        <v>2310</v>
      </c>
      <c r="G52" s="19">
        <v>2898</v>
      </c>
      <c r="H52" s="19">
        <v>3061</v>
      </c>
      <c r="I52" s="19">
        <v>3493</v>
      </c>
      <c r="J52" s="19">
        <v>3776</v>
      </c>
      <c r="K52" s="19">
        <f>K45*$M$52</f>
        <v>4144.1513579493439</v>
      </c>
      <c r="L52" s="19">
        <f>L45*$M$52</f>
        <v>4302.6934092348311</v>
      </c>
      <c r="M52" s="21">
        <f>J42*J31</f>
        <v>4302.6934092348311</v>
      </c>
      <c r="N52" s="3"/>
      <c r="Q52" s="1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</row>
    <row r="53" spans="2:29" ht="15.75" thickBot="1" x14ac:dyDescent="0.3">
      <c r="B53" s="51">
        <v>3</v>
      </c>
      <c r="C53" s="18">
        <v>210</v>
      </c>
      <c r="D53" s="19">
        <v>978</v>
      </c>
      <c r="E53" s="19">
        <v>1540</v>
      </c>
      <c r="F53" s="19">
        <v>2683</v>
      </c>
      <c r="G53" s="19">
        <v>2930</v>
      </c>
      <c r="H53" s="19">
        <v>3245</v>
      </c>
      <c r="I53" s="19">
        <v>3462</v>
      </c>
      <c r="J53" s="19">
        <f>J45*$M$53</f>
        <v>3719.0578202995007</v>
      </c>
      <c r="K53" s="19">
        <f>K45*$M$53</f>
        <v>4081.6574460503984</v>
      </c>
      <c r="L53" s="19">
        <f>L45*$M$53</f>
        <v>4237.8086790163979</v>
      </c>
      <c r="M53" s="21">
        <f>I42*I32</f>
        <v>4237.8086790163979</v>
      </c>
      <c r="N53" s="3"/>
      <c r="Q53" s="1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3"/>
    </row>
    <row r="54" spans="2:29" ht="15.75" thickBot="1" x14ac:dyDescent="0.3">
      <c r="B54" s="51">
        <v>4</v>
      </c>
      <c r="C54" s="18">
        <v>300</v>
      </c>
      <c r="D54" s="19">
        <v>783</v>
      </c>
      <c r="E54" s="19">
        <v>1493</v>
      </c>
      <c r="F54" s="19">
        <v>2069</v>
      </c>
      <c r="G54" s="19">
        <v>2474</v>
      </c>
      <c r="H54" s="19">
        <v>2869</v>
      </c>
      <c r="I54" s="19">
        <f>I45*$M$54</f>
        <v>3175.4216316858497</v>
      </c>
      <c r="J54" s="19">
        <f>J45*$M$54</f>
        <v>3411.2006505111094</v>
      </c>
      <c r="K54" s="19">
        <f>K45*$M$54</f>
        <v>3743.7849067937764</v>
      </c>
      <c r="L54" s="19">
        <f>L45*$M$54</f>
        <v>3887.0102109458999</v>
      </c>
      <c r="M54" s="21">
        <f>H33*H42</f>
        <v>3887.0102109458999</v>
      </c>
      <c r="N54" s="3"/>
      <c r="Q54" s="1"/>
      <c r="R54" s="134" t="s">
        <v>17</v>
      </c>
      <c r="S54" s="135"/>
      <c r="T54" s="135"/>
      <c r="U54" s="135"/>
      <c r="V54" s="135"/>
      <c r="W54" s="135"/>
      <c r="X54" s="135"/>
      <c r="Y54" s="135"/>
      <c r="Z54" s="135"/>
      <c r="AA54" s="135"/>
      <c r="AB54" s="136"/>
      <c r="AC54" s="3"/>
    </row>
    <row r="55" spans="2:29" ht="15.75" thickBot="1" x14ac:dyDescent="0.3">
      <c r="B55" s="51">
        <v>5</v>
      </c>
      <c r="C55" s="18">
        <v>268</v>
      </c>
      <c r="D55" s="19">
        <v>919</v>
      </c>
      <c r="E55" s="19">
        <v>1530</v>
      </c>
      <c r="F55" s="19">
        <v>2132</v>
      </c>
      <c r="G55" s="19">
        <v>2684</v>
      </c>
      <c r="H55" s="19">
        <f>H45*$M$55</f>
        <v>3017.9586523736602</v>
      </c>
      <c r="I55" s="19">
        <f>I45*$M$55</f>
        <v>3340.289713586893</v>
      </c>
      <c r="J55" s="19">
        <f>J45*$M$55</f>
        <v>3588.3103932355039</v>
      </c>
      <c r="K55" s="19">
        <f>K45*$M$55</f>
        <v>3938.1624440865089</v>
      </c>
      <c r="L55" s="19">
        <f>L45*$M$55</f>
        <v>4088.8240146353937</v>
      </c>
      <c r="M55" s="21">
        <f>G42*G34</f>
        <v>4088.8240146353937</v>
      </c>
      <c r="N55" s="3"/>
      <c r="Q55" s="1"/>
      <c r="R55" s="67"/>
      <c r="S55" s="76">
        <v>1</v>
      </c>
      <c r="T55" s="68">
        <v>2</v>
      </c>
      <c r="U55" s="68">
        <v>3</v>
      </c>
      <c r="V55" s="68">
        <v>4</v>
      </c>
      <c r="W55" s="68">
        <v>5</v>
      </c>
      <c r="X55" s="68">
        <v>6</v>
      </c>
      <c r="Y55" s="68">
        <v>7</v>
      </c>
      <c r="Z55" s="68">
        <v>8</v>
      </c>
      <c r="AA55" s="68">
        <v>9</v>
      </c>
      <c r="AB55" s="69">
        <v>10</v>
      </c>
      <c r="AC55" s="3"/>
    </row>
    <row r="56" spans="2:29" ht="15.75" thickBot="1" x14ac:dyDescent="0.3">
      <c r="B56" s="51">
        <v>6</v>
      </c>
      <c r="C56" s="18">
        <v>298</v>
      </c>
      <c r="D56" s="19">
        <v>888</v>
      </c>
      <c r="E56" s="19">
        <v>1698</v>
      </c>
      <c r="F56" s="19">
        <v>2487</v>
      </c>
      <c r="G56" s="19">
        <f t="shared" ref="G56:L56" si="20">G45*$M$56</f>
        <v>2950.3215117784102</v>
      </c>
      <c r="H56" s="19">
        <f t="shared" si="20"/>
        <v>3317.4174119805484</v>
      </c>
      <c r="I56" s="19">
        <f t="shared" si="20"/>
        <v>3671.7319663068388</v>
      </c>
      <c r="J56" s="19">
        <f t="shared" si="20"/>
        <v>3944.3626468333659</v>
      </c>
      <c r="K56" s="19">
        <f t="shared" si="20"/>
        <v>4328.9289775209645</v>
      </c>
      <c r="L56" s="19">
        <f t="shared" si="20"/>
        <v>4494.5400328818796</v>
      </c>
      <c r="M56" s="21">
        <f>F42*F35</f>
        <v>4494.5400328818796</v>
      </c>
      <c r="N56" s="3"/>
      <c r="Q56" s="1"/>
      <c r="R56" s="75">
        <v>1</v>
      </c>
      <c r="S56" s="61" t="s">
        <v>16</v>
      </c>
      <c r="T56" s="58">
        <f>AA51</f>
        <v>1.0914514156858053E-4</v>
      </c>
      <c r="U56" s="58">
        <f>Z51</f>
        <v>2.262520712387139E-4</v>
      </c>
      <c r="V56" s="58">
        <f>Y51</f>
        <v>2.5812315129438877E-4</v>
      </c>
      <c r="W56" s="58">
        <f>X51</f>
        <v>6.926690145278669E-4</v>
      </c>
      <c r="X56" s="58">
        <f>W51</f>
        <v>1.3216880330273798E-3</v>
      </c>
      <c r="Y56" s="58">
        <f>V51</f>
        <v>1.9394139437827892E-3</v>
      </c>
      <c r="Z56" s="58">
        <f>U51</f>
        <v>3.2418299519947199E-3</v>
      </c>
      <c r="AA56" s="58">
        <f>T51</f>
        <v>4.4646518387827863E-3</v>
      </c>
      <c r="AB56" s="59">
        <f>S51</f>
        <v>9.80541273034196E-3</v>
      </c>
      <c r="AC56" s="3"/>
    </row>
    <row r="57" spans="2:29" x14ac:dyDescent="0.25">
      <c r="B57" s="51">
        <v>7</v>
      </c>
      <c r="C57" s="18">
        <v>243</v>
      </c>
      <c r="D57" s="19">
        <v>980</v>
      </c>
      <c r="E57" s="19">
        <v>2010</v>
      </c>
      <c r="F57" s="19">
        <f t="shared" ref="F57:L57" si="21">F45*$M$57</f>
        <v>3003.5576308046561</v>
      </c>
      <c r="G57" s="19">
        <f t="shared" si="21"/>
        <v>3563.1124608078708</v>
      </c>
      <c r="H57" s="19">
        <f t="shared" si="21"/>
        <v>4006.4553205944553</v>
      </c>
      <c r="I57" s="19">
        <f t="shared" si="21"/>
        <v>4434.3621092361445</v>
      </c>
      <c r="J57" s="19">
        <f t="shared" si="21"/>
        <v>4763.6190295766819</v>
      </c>
      <c r="K57" s="19">
        <f t="shared" si="21"/>
        <v>5228.0609825671463</v>
      </c>
      <c r="L57" s="19">
        <f t="shared" si="21"/>
        <v>5428.0699689261683</v>
      </c>
      <c r="M57" s="21">
        <f>E36*E42</f>
        <v>5428.0699689261683</v>
      </c>
      <c r="N57" s="3"/>
      <c r="Q57" s="1"/>
      <c r="R57" s="70">
        <v>2</v>
      </c>
      <c r="S57" s="58">
        <f>AA51</f>
        <v>1.0914514156858053E-4</v>
      </c>
      <c r="T57" s="58">
        <f t="shared" ref="T57:AB65" si="22">IF($R57&lt;T$55,$S57,T$56)</f>
        <v>1.0914514156858053E-4</v>
      </c>
      <c r="U57" s="58">
        <f t="shared" si="22"/>
        <v>1.0914514156858053E-4</v>
      </c>
      <c r="V57" s="58">
        <f t="shared" si="22"/>
        <v>1.0914514156858053E-4</v>
      </c>
      <c r="W57" s="58">
        <f t="shared" si="22"/>
        <v>1.0914514156858053E-4</v>
      </c>
      <c r="X57" s="58">
        <f t="shared" si="22"/>
        <v>1.0914514156858053E-4</v>
      </c>
      <c r="Y57" s="58">
        <f t="shared" si="22"/>
        <v>1.0914514156858053E-4</v>
      </c>
      <c r="Z57" s="58">
        <f t="shared" si="22"/>
        <v>1.0914514156858053E-4</v>
      </c>
      <c r="AA57" s="58">
        <f t="shared" si="22"/>
        <v>1.0914514156858053E-4</v>
      </c>
      <c r="AB57" s="59">
        <f t="shared" si="22"/>
        <v>1.0914514156858053E-4</v>
      </c>
      <c r="AC57" s="3"/>
    </row>
    <row r="58" spans="2:29" x14ac:dyDescent="0.25">
      <c r="B58" s="51">
        <v>8</v>
      </c>
      <c r="C58" s="18">
        <v>255</v>
      </c>
      <c r="D58" s="19">
        <v>940</v>
      </c>
      <c r="E58" s="19">
        <f t="shared" ref="E58:L58" si="23">E45*$M$58</f>
        <v>1709.4854881266494</v>
      </c>
      <c r="F58" s="19">
        <f t="shared" si="23"/>
        <v>2554.4966082649848</v>
      </c>
      <c r="G58" s="19">
        <f t="shared" si="23"/>
        <v>3030.3925593603426</v>
      </c>
      <c r="H58" s="19">
        <f t="shared" si="23"/>
        <v>3407.4513579024992</v>
      </c>
      <c r="I58" s="19">
        <f t="shared" si="23"/>
        <v>3771.3819277800339</v>
      </c>
      <c r="J58" s="19">
        <f t="shared" si="23"/>
        <v>4051.4117423011389</v>
      </c>
      <c r="K58" s="19">
        <f t="shared" si="23"/>
        <v>4446.4151147958646</v>
      </c>
      <c r="L58" s="19">
        <f t="shared" si="23"/>
        <v>4616.520816127043</v>
      </c>
      <c r="M58" s="21">
        <f>D42*D37</f>
        <v>4616.520816127043</v>
      </c>
      <c r="N58" s="3"/>
      <c r="Q58" s="1"/>
      <c r="R58" s="70">
        <v>3</v>
      </c>
      <c r="S58" s="58">
        <f>Z51</f>
        <v>2.262520712387139E-4</v>
      </c>
      <c r="T58" s="58">
        <f t="shared" si="22"/>
        <v>1.0914514156858053E-4</v>
      </c>
      <c r="U58" s="58">
        <f t="shared" si="22"/>
        <v>2.262520712387139E-4</v>
      </c>
      <c r="V58" s="58">
        <f t="shared" si="22"/>
        <v>2.262520712387139E-4</v>
      </c>
      <c r="W58" s="58">
        <f t="shared" si="22"/>
        <v>2.262520712387139E-4</v>
      </c>
      <c r="X58" s="58">
        <f t="shared" si="22"/>
        <v>2.262520712387139E-4</v>
      </c>
      <c r="Y58" s="58">
        <f t="shared" si="22"/>
        <v>2.262520712387139E-4</v>
      </c>
      <c r="Z58" s="58">
        <f t="shared" si="22"/>
        <v>2.262520712387139E-4</v>
      </c>
      <c r="AA58" s="58">
        <f t="shared" si="22"/>
        <v>2.262520712387139E-4</v>
      </c>
      <c r="AB58" s="59">
        <f t="shared" si="22"/>
        <v>2.262520712387139E-4</v>
      </c>
      <c r="AC58" s="3"/>
    </row>
    <row r="59" spans="2:29" ht="15.75" thickBot="1" x14ac:dyDescent="0.3">
      <c r="B59" s="53">
        <v>9</v>
      </c>
      <c r="C59" s="20">
        <v>233</v>
      </c>
      <c r="D59" s="77">
        <f t="shared" ref="D59:L59" si="24">$M$59*D45</f>
        <v>770.4032258064517</v>
      </c>
      <c r="E59" s="77">
        <f t="shared" si="24"/>
        <v>1401.0565260873268</v>
      </c>
      <c r="F59" s="77">
        <f t="shared" si="24"/>
        <v>2093.608965232962</v>
      </c>
      <c r="G59" s="77">
        <f t="shared" si="24"/>
        <v>2483.6427693522096</v>
      </c>
      <c r="H59" s="77">
        <f t="shared" si="24"/>
        <v>2792.6718275602761</v>
      </c>
      <c r="I59" s="77">
        <f t="shared" si="24"/>
        <v>3090.9412796913748</v>
      </c>
      <c r="J59" s="77">
        <f t="shared" si="24"/>
        <v>3320.4475269563127</v>
      </c>
      <c r="K59" s="77">
        <f t="shared" si="24"/>
        <v>3644.1835613971252</v>
      </c>
      <c r="L59" s="77">
        <f t="shared" si="24"/>
        <v>3783.5984348371348</v>
      </c>
      <c r="M59" s="22">
        <f>C38*C42</f>
        <v>3783.5984348371348</v>
      </c>
      <c r="N59" s="3"/>
      <c r="Q59" s="1"/>
      <c r="R59" s="70">
        <v>4</v>
      </c>
      <c r="S59" s="58">
        <f>Y51</f>
        <v>2.5812315129438877E-4</v>
      </c>
      <c r="T59" s="58">
        <f t="shared" si="22"/>
        <v>1.0914514156858053E-4</v>
      </c>
      <c r="U59" s="58">
        <f t="shared" si="22"/>
        <v>2.262520712387139E-4</v>
      </c>
      <c r="V59" s="58">
        <f t="shared" si="22"/>
        <v>2.5812315129438877E-4</v>
      </c>
      <c r="W59" s="58">
        <f t="shared" si="22"/>
        <v>2.5812315129438877E-4</v>
      </c>
      <c r="X59" s="58">
        <f t="shared" si="22"/>
        <v>2.5812315129438877E-4</v>
      </c>
      <c r="Y59" s="58">
        <f t="shared" si="22"/>
        <v>2.5812315129438877E-4</v>
      </c>
      <c r="Z59" s="58">
        <f t="shared" si="22"/>
        <v>2.5812315129438877E-4</v>
      </c>
      <c r="AA59" s="58">
        <f t="shared" si="22"/>
        <v>2.5812315129438877E-4</v>
      </c>
      <c r="AB59" s="59">
        <f t="shared" si="22"/>
        <v>2.5812315129438877E-4</v>
      </c>
      <c r="AC59" s="3"/>
    </row>
    <row r="60" spans="2:29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Q60" s="1"/>
      <c r="R60" s="70">
        <v>5</v>
      </c>
      <c r="S60" s="58">
        <f>X51</f>
        <v>6.926690145278669E-4</v>
      </c>
      <c r="T60" s="58">
        <f t="shared" si="22"/>
        <v>1.0914514156858053E-4</v>
      </c>
      <c r="U60" s="58">
        <f t="shared" si="22"/>
        <v>2.262520712387139E-4</v>
      </c>
      <c r="V60" s="58">
        <f t="shared" si="22"/>
        <v>2.5812315129438877E-4</v>
      </c>
      <c r="W60" s="58">
        <f t="shared" si="22"/>
        <v>6.926690145278669E-4</v>
      </c>
      <c r="X60" s="58">
        <f t="shared" si="22"/>
        <v>6.926690145278669E-4</v>
      </c>
      <c r="Y60" s="58">
        <f t="shared" si="22"/>
        <v>6.926690145278669E-4</v>
      </c>
      <c r="Z60" s="58">
        <f t="shared" si="22"/>
        <v>6.926690145278669E-4</v>
      </c>
      <c r="AA60" s="58">
        <f t="shared" si="22"/>
        <v>6.926690145278669E-4</v>
      </c>
      <c r="AB60" s="59">
        <f t="shared" si="22"/>
        <v>6.926690145278669E-4</v>
      </c>
      <c r="AC60" s="3"/>
    </row>
    <row r="61" spans="2:29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Q61" s="1"/>
      <c r="R61" s="70">
        <v>6</v>
      </c>
      <c r="S61" s="58">
        <f>W51</f>
        <v>1.3216880330273798E-3</v>
      </c>
      <c r="T61" s="58">
        <f t="shared" si="22"/>
        <v>1.0914514156858053E-4</v>
      </c>
      <c r="U61" s="58">
        <f t="shared" si="22"/>
        <v>2.262520712387139E-4</v>
      </c>
      <c r="V61" s="58">
        <f t="shared" si="22"/>
        <v>2.5812315129438877E-4</v>
      </c>
      <c r="W61" s="58">
        <f t="shared" si="22"/>
        <v>6.926690145278669E-4</v>
      </c>
      <c r="X61" s="58">
        <f t="shared" si="22"/>
        <v>1.3216880330273798E-3</v>
      </c>
      <c r="Y61" s="58">
        <f t="shared" si="22"/>
        <v>1.3216880330273798E-3</v>
      </c>
      <c r="Z61" s="58">
        <f t="shared" si="22"/>
        <v>1.3216880330273798E-3</v>
      </c>
      <c r="AA61" s="58">
        <f t="shared" si="22"/>
        <v>1.3216880330273798E-3</v>
      </c>
      <c r="AB61" s="59">
        <f t="shared" si="22"/>
        <v>1.3216880330273798E-3</v>
      </c>
      <c r="AC61" s="3"/>
    </row>
    <row r="62" spans="2:29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Q62" s="1"/>
      <c r="R62" s="70">
        <v>7</v>
      </c>
      <c r="S62" s="58">
        <f>V51</f>
        <v>1.9394139437827892E-3</v>
      </c>
      <c r="T62" s="58">
        <f t="shared" si="22"/>
        <v>1.0914514156858053E-4</v>
      </c>
      <c r="U62" s="58">
        <f t="shared" si="22"/>
        <v>2.262520712387139E-4</v>
      </c>
      <c r="V62" s="58">
        <f t="shared" si="22"/>
        <v>2.5812315129438877E-4</v>
      </c>
      <c r="W62" s="58">
        <f t="shared" si="22"/>
        <v>6.926690145278669E-4</v>
      </c>
      <c r="X62" s="58">
        <f t="shared" si="22"/>
        <v>1.3216880330273798E-3</v>
      </c>
      <c r="Y62" s="58">
        <f t="shared" si="22"/>
        <v>1.9394139437827892E-3</v>
      </c>
      <c r="Z62" s="58">
        <f t="shared" si="22"/>
        <v>1.9394139437827892E-3</v>
      </c>
      <c r="AA62" s="58">
        <f t="shared" si="22"/>
        <v>1.9394139437827892E-3</v>
      </c>
      <c r="AB62" s="59">
        <f t="shared" si="22"/>
        <v>1.9394139437827892E-3</v>
      </c>
      <c r="AC62" s="3"/>
    </row>
    <row r="63" spans="2:29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Q63" s="1"/>
      <c r="R63" s="70">
        <v>8</v>
      </c>
      <c r="S63" s="58">
        <f>U51</f>
        <v>3.2418299519947199E-3</v>
      </c>
      <c r="T63" s="58">
        <f t="shared" si="22"/>
        <v>1.0914514156858053E-4</v>
      </c>
      <c r="U63" s="58">
        <f t="shared" si="22"/>
        <v>2.262520712387139E-4</v>
      </c>
      <c r="V63" s="58">
        <f t="shared" si="22"/>
        <v>2.5812315129438877E-4</v>
      </c>
      <c r="W63" s="58">
        <f t="shared" si="22"/>
        <v>6.926690145278669E-4</v>
      </c>
      <c r="X63" s="58">
        <f t="shared" si="22"/>
        <v>1.3216880330273798E-3</v>
      </c>
      <c r="Y63" s="58">
        <f t="shared" si="22"/>
        <v>1.9394139437827892E-3</v>
      </c>
      <c r="Z63" s="58">
        <f t="shared" si="22"/>
        <v>3.2418299519947199E-3</v>
      </c>
      <c r="AA63" s="58">
        <f t="shared" si="22"/>
        <v>3.2418299519947199E-3</v>
      </c>
      <c r="AB63" s="59">
        <f t="shared" si="22"/>
        <v>3.2418299519947199E-3</v>
      </c>
      <c r="AC63" s="3"/>
    </row>
    <row r="64" spans="2:29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Q64" s="1"/>
      <c r="R64" s="70">
        <v>9</v>
      </c>
      <c r="S64" s="58">
        <f>T51</f>
        <v>4.4646518387827863E-3</v>
      </c>
      <c r="T64" s="58">
        <f t="shared" si="22"/>
        <v>1.0914514156858053E-4</v>
      </c>
      <c r="U64" s="58">
        <f t="shared" si="22"/>
        <v>2.262520712387139E-4</v>
      </c>
      <c r="V64" s="58">
        <f t="shared" si="22"/>
        <v>2.5812315129438877E-4</v>
      </c>
      <c r="W64" s="58">
        <f t="shared" si="22"/>
        <v>6.926690145278669E-4</v>
      </c>
      <c r="X64" s="58">
        <f t="shared" si="22"/>
        <v>1.3216880330273798E-3</v>
      </c>
      <c r="Y64" s="58">
        <f t="shared" si="22"/>
        <v>1.9394139437827892E-3</v>
      </c>
      <c r="Z64" s="58">
        <f t="shared" si="22"/>
        <v>3.2418299519947199E-3</v>
      </c>
      <c r="AA64" s="58">
        <f t="shared" si="22"/>
        <v>4.4646518387827863E-3</v>
      </c>
      <c r="AB64" s="59">
        <f t="shared" si="22"/>
        <v>4.4646518387827863E-3</v>
      </c>
      <c r="AC64" s="3"/>
    </row>
    <row r="65" spans="2:29" ht="15.75" thickBot="1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Q65" s="1"/>
      <c r="R65" s="71">
        <v>10</v>
      </c>
      <c r="S65" s="60">
        <f>S51</f>
        <v>9.80541273034196E-3</v>
      </c>
      <c r="T65" s="60">
        <f t="shared" si="22"/>
        <v>1.0914514156858053E-4</v>
      </c>
      <c r="U65" s="60">
        <f t="shared" si="22"/>
        <v>2.262520712387139E-4</v>
      </c>
      <c r="V65" s="60">
        <f t="shared" si="22"/>
        <v>2.5812315129438877E-4</v>
      </c>
      <c r="W65" s="60">
        <f t="shared" si="22"/>
        <v>6.926690145278669E-4</v>
      </c>
      <c r="X65" s="60">
        <f t="shared" si="22"/>
        <v>1.3216880330273798E-3</v>
      </c>
      <c r="Y65" s="60">
        <f t="shared" si="22"/>
        <v>1.9394139437827892E-3</v>
      </c>
      <c r="Z65" s="60">
        <f t="shared" si="22"/>
        <v>3.2418299519947199E-3</v>
      </c>
      <c r="AA65" s="60">
        <f t="shared" si="22"/>
        <v>4.4646518387827863E-3</v>
      </c>
      <c r="AB65" s="61">
        <f t="shared" si="22"/>
        <v>9.80541273034196E-3</v>
      </c>
      <c r="AC65" s="3"/>
    </row>
    <row r="66" spans="2:29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Q66" s="1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3"/>
    </row>
    <row r="67" spans="2:29" ht="15.75" thickBot="1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Q67" s="1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3"/>
    </row>
    <row r="68" spans="2:29" ht="15.75" thickBot="1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Q68" s="1"/>
      <c r="R68" s="134" t="s">
        <v>18</v>
      </c>
      <c r="S68" s="135"/>
      <c r="T68" s="135"/>
      <c r="U68" s="135"/>
      <c r="V68" s="135"/>
      <c r="W68" s="135"/>
      <c r="X68" s="135"/>
      <c r="Y68" s="135"/>
      <c r="Z68" s="135"/>
      <c r="AA68" s="135"/>
      <c r="AB68" s="136"/>
      <c r="AC68" s="3"/>
    </row>
    <row r="69" spans="2:29" ht="15.75" thickBot="1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Q69" s="1"/>
      <c r="R69" s="54"/>
      <c r="S69" s="56">
        <v>1</v>
      </c>
      <c r="T69" s="55">
        <v>2</v>
      </c>
      <c r="U69" s="55">
        <v>3</v>
      </c>
      <c r="V69" s="55">
        <v>4</v>
      </c>
      <c r="W69" s="55">
        <v>5</v>
      </c>
      <c r="X69" s="55">
        <v>6</v>
      </c>
      <c r="Y69" s="55">
        <v>7</v>
      </c>
      <c r="Z69" s="55">
        <v>8</v>
      </c>
      <c r="AA69" s="55">
        <v>9</v>
      </c>
      <c r="AB69" s="78">
        <v>10</v>
      </c>
      <c r="AC69" s="3"/>
    </row>
    <row r="70" spans="2:29" ht="15.75" thickBot="1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Q70" s="1"/>
      <c r="R70" s="57">
        <v>1</v>
      </c>
      <c r="S70" s="54" t="s">
        <v>16</v>
      </c>
      <c r="T70" s="99">
        <f>S71</f>
        <v>4347.1813040585494</v>
      </c>
      <c r="U70" s="99">
        <f>S72</f>
        <v>4302.6934092348311</v>
      </c>
      <c r="V70" s="99">
        <f>S73</f>
        <v>4237.8086790163979</v>
      </c>
      <c r="W70" s="99">
        <f>S74</f>
        <v>3887.0102109458999</v>
      </c>
      <c r="X70" s="99">
        <f>S75</f>
        <v>4088.8240146353937</v>
      </c>
      <c r="Y70" s="99">
        <f>S76</f>
        <v>4494.5400328818796</v>
      </c>
      <c r="Z70" s="99">
        <f>S77</f>
        <v>5428.0699689261683</v>
      </c>
      <c r="AA70" s="99">
        <f>S78</f>
        <v>4616.520816127043</v>
      </c>
      <c r="AB70" s="100">
        <f>S79</f>
        <v>3783.5984348371348</v>
      </c>
      <c r="AC70" s="3"/>
    </row>
    <row r="71" spans="2:29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Q71" s="1"/>
      <c r="R71" s="57">
        <v>2</v>
      </c>
      <c r="S71" s="84">
        <f t="shared" ref="S71:S79" si="25">X98</f>
        <v>4347.1813040585494</v>
      </c>
      <c r="T71" s="79">
        <f t="shared" ref="T71:T79" si="26">S71*T$70*$T57</f>
        <v>2062.6232798768788</v>
      </c>
      <c r="U71" s="79">
        <f t="shared" ref="U71:U79" si="27">S71*U$70*$U57</f>
        <v>2041.5149429758055</v>
      </c>
      <c r="V71" s="79">
        <f t="shared" ref="V71:V79" si="28">S71*V$70*$V57</f>
        <v>2010.7288437321131</v>
      </c>
      <c r="W71" s="79">
        <f t="shared" ref="W71:W79" si="29">S71*W$70*$W57</f>
        <v>1844.2841900178012</v>
      </c>
      <c r="X71" s="79">
        <f t="shared" ref="X71:X79" si="30">S71*X$70*$X57</f>
        <v>1940.0395359707811</v>
      </c>
      <c r="Y71" s="79">
        <f t="shared" ref="Y71:Y79" si="31">S71*Y$70*$Y57</f>
        <v>2132.5411239475411</v>
      </c>
      <c r="Z71" s="79">
        <f t="shared" ref="Z71:Z79" si="32">S71*Z$70*$Z57</f>
        <v>2575.476544365652</v>
      </c>
      <c r="AA71" s="79">
        <f t="shared" ref="AA71:AA79" si="33">S71*AA$70*$AA57</f>
        <v>2190.4177998028122</v>
      </c>
      <c r="AB71" s="80">
        <f t="shared" ref="AB71:AB79" si="34">S71*AB$70*$AB57</f>
        <v>1795.2180200339967</v>
      </c>
      <c r="AC71" s="3"/>
    </row>
    <row r="72" spans="2:29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Q72" s="1"/>
      <c r="R72" s="57">
        <v>3</v>
      </c>
      <c r="S72" s="84">
        <f t="shared" si="25"/>
        <v>4302.6934092348311</v>
      </c>
      <c r="T72" s="79">
        <f t="shared" si="26"/>
        <v>2041.5149429758055</v>
      </c>
      <c r="U72" s="79">
        <f t="shared" si="27"/>
        <v>4188.6431875343424</v>
      </c>
      <c r="V72" s="79">
        <f t="shared" si="28"/>
        <v>4125.4783376705045</v>
      </c>
      <c r="W72" s="79">
        <f t="shared" si="29"/>
        <v>3783.9783808464185</v>
      </c>
      <c r="X72" s="79">
        <f t="shared" si="30"/>
        <v>3980.4427657268461</v>
      </c>
      <c r="Y72" s="79">
        <f t="shared" si="31"/>
        <v>4375.4045894659712</v>
      </c>
      <c r="Z72" s="79">
        <f t="shared" si="32"/>
        <v>5284.1897235819188</v>
      </c>
      <c r="AA72" s="79">
        <f t="shared" si="33"/>
        <v>4494.1520641648058</v>
      </c>
      <c r="AB72" s="80">
        <f t="shared" si="34"/>
        <v>3683.3077101035001</v>
      </c>
      <c r="AC72" s="3"/>
    </row>
    <row r="73" spans="2:29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Q73" s="1"/>
      <c r="R73" s="57">
        <v>4</v>
      </c>
      <c r="S73" s="84">
        <f t="shared" si="25"/>
        <v>4237.8086790163979</v>
      </c>
      <c r="T73" s="79">
        <f t="shared" si="26"/>
        <v>2010.7288437321131</v>
      </c>
      <c r="U73" s="79">
        <f t="shared" si="27"/>
        <v>4125.4783376705045</v>
      </c>
      <c r="V73" s="79">
        <f t="shared" si="28"/>
        <v>4635.6394560407607</v>
      </c>
      <c r="W73" s="79">
        <f t="shared" si="29"/>
        <v>4251.9092447741932</v>
      </c>
      <c r="X73" s="79">
        <f t="shared" si="30"/>
        <v>4472.6686282237124</v>
      </c>
      <c r="Y73" s="79">
        <f t="shared" si="31"/>
        <v>4916.4718587573971</v>
      </c>
      <c r="Z73" s="79">
        <f t="shared" si="32"/>
        <v>5937.6383466052002</v>
      </c>
      <c r="AA73" s="79">
        <f t="shared" si="33"/>
        <v>5049.9037747591547</v>
      </c>
      <c r="AB73" s="80">
        <f t="shared" si="34"/>
        <v>4138.7895298793937</v>
      </c>
      <c r="AC73" s="3"/>
    </row>
    <row r="74" spans="2:29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Q74" s="1"/>
      <c r="R74" s="57">
        <v>5</v>
      </c>
      <c r="S74" s="84">
        <f t="shared" si="25"/>
        <v>3887.0102109458999</v>
      </c>
      <c r="T74" s="79">
        <f t="shared" si="26"/>
        <v>1844.2841900178012</v>
      </c>
      <c r="U74" s="79">
        <f t="shared" si="27"/>
        <v>3783.9783808464185</v>
      </c>
      <c r="V74" s="79">
        <f t="shared" si="28"/>
        <v>4251.9092447741932</v>
      </c>
      <c r="W74" s="79">
        <f t="shared" si="29"/>
        <v>10465.431118023958</v>
      </c>
      <c r="X74" s="79">
        <f t="shared" si="30"/>
        <v>11008.796930449966</v>
      </c>
      <c r="Y74" s="79">
        <f t="shared" si="31"/>
        <v>12101.151416805764</v>
      </c>
      <c r="Z74" s="79">
        <f t="shared" si="32"/>
        <v>14614.598182335958</v>
      </c>
      <c r="AA74" s="79">
        <f t="shared" si="33"/>
        <v>12429.573884331057</v>
      </c>
      <c r="AB74" s="80">
        <f t="shared" si="34"/>
        <v>10187.00405945561</v>
      </c>
      <c r="AC74" s="3"/>
    </row>
    <row r="75" spans="2:29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Q75" s="1"/>
      <c r="R75" s="57">
        <v>6</v>
      </c>
      <c r="S75" s="84">
        <f t="shared" si="25"/>
        <v>4088.8240146353937</v>
      </c>
      <c r="T75" s="79">
        <f t="shared" si="26"/>
        <v>1940.0395359707811</v>
      </c>
      <c r="U75" s="79">
        <f t="shared" si="27"/>
        <v>3980.4427657268461</v>
      </c>
      <c r="V75" s="79">
        <f t="shared" si="28"/>
        <v>4472.6686282237124</v>
      </c>
      <c r="W75" s="79">
        <f t="shared" si="29"/>
        <v>11008.796930449966</v>
      </c>
      <c r="X75" s="79">
        <f t="shared" si="30"/>
        <v>22096.617355394304</v>
      </c>
      <c r="Y75" s="79">
        <f t="shared" si="31"/>
        <v>24289.167481801785</v>
      </c>
      <c r="Z75" s="79">
        <f t="shared" si="32"/>
        <v>29334.103070308836</v>
      </c>
      <c r="AA75" s="79">
        <f t="shared" si="33"/>
        <v>24948.369903434996</v>
      </c>
      <c r="AB75" s="80">
        <f t="shared" si="34"/>
        <v>20447.132608743523</v>
      </c>
      <c r="AC75" s="3"/>
    </row>
    <row r="76" spans="2:29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Q76" s="1"/>
      <c r="R76" s="57">
        <v>7</v>
      </c>
      <c r="S76" s="84">
        <f t="shared" si="25"/>
        <v>4494.5400328818796</v>
      </c>
      <c r="T76" s="79">
        <f t="shared" si="26"/>
        <v>2132.5411239475411</v>
      </c>
      <c r="U76" s="79">
        <f t="shared" si="27"/>
        <v>4375.4045894659712</v>
      </c>
      <c r="V76" s="79">
        <f t="shared" si="28"/>
        <v>4916.4718587573971</v>
      </c>
      <c r="W76" s="79">
        <f t="shared" si="29"/>
        <v>12101.151416805764</v>
      </c>
      <c r="X76" s="79">
        <f t="shared" si="30"/>
        <v>24289.167481801785</v>
      </c>
      <c r="Y76" s="79">
        <f t="shared" si="31"/>
        <v>39177.887950684519</v>
      </c>
      <c r="Z76" s="79">
        <f t="shared" si="32"/>
        <v>47315.257061957498</v>
      </c>
      <c r="AA76" s="79">
        <f t="shared" si="33"/>
        <v>40241.166823083731</v>
      </c>
      <c r="AB76" s="80">
        <f t="shared" si="34"/>
        <v>32980.770990126875</v>
      </c>
      <c r="AC76" s="3"/>
    </row>
    <row r="77" spans="2:29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Q77" s="1"/>
      <c r="R77" s="57">
        <v>8</v>
      </c>
      <c r="S77" s="84">
        <f t="shared" si="25"/>
        <v>5428.0699689261683</v>
      </c>
      <c r="T77" s="79">
        <f t="shared" si="26"/>
        <v>2575.476544365652</v>
      </c>
      <c r="U77" s="79">
        <f t="shared" si="27"/>
        <v>5284.1897235819188</v>
      </c>
      <c r="V77" s="79">
        <f t="shared" si="28"/>
        <v>5937.6383466052002</v>
      </c>
      <c r="W77" s="79">
        <f t="shared" si="29"/>
        <v>14614.598182335958</v>
      </c>
      <c r="X77" s="79">
        <f t="shared" si="30"/>
        <v>29334.103070308836</v>
      </c>
      <c r="Y77" s="79">
        <f t="shared" si="31"/>
        <v>47315.257061957498</v>
      </c>
      <c r="Z77" s="79">
        <f t="shared" si="32"/>
        <v>95517.094826028711</v>
      </c>
      <c r="AA77" s="79">
        <f t="shared" si="33"/>
        <v>81236.361926921963</v>
      </c>
      <c r="AB77" s="80">
        <f t="shared" si="34"/>
        <v>66579.526894979892</v>
      </c>
      <c r="AC77" s="3"/>
    </row>
    <row r="78" spans="2:29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Q78" s="1"/>
      <c r="R78" s="57">
        <v>9</v>
      </c>
      <c r="S78" s="84">
        <f t="shared" si="25"/>
        <v>4616.520816127043</v>
      </c>
      <c r="T78" s="79">
        <f t="shared" si="26"/>
        <v>2190.4177998028122</v>
      </c>
      <c r="U78" s="79">
        <f t="shared" si="27"/>
        <v>4494.1520641648058</v>
      </c>
      <c r="V78" s="79">
        <f t="shared" si="28"/>
        <v>5049.9037747591547</v>
      </c>
      <c r="W78" s="79">
        <f t="shared" si="29"/>
        <v>12429.573884331057</v>
      </c>
      <c r="X78" s="79">
        <f t="shared" si="30"/>
        <v>24948.369903434996</v>
      </c>
      <c r="Y78" s="79">
        <f t="shared" si="31"/>
        <v>40241.166823083731</v>
      </c>
      <c r="Z78" s="79">
        <f t="shared" si="32"/>
        <v>81236.361926921963</v>
      </c>
      <c r="AA78" s="79">
        <f t="shared" si="33"/>
        <v>95151.840646272642</v>
      </c>
      <c r="AB78" s="80">
        <f t="shared" si="34"/>
        <v>77984.34571841477</v>
      </c>
      <c r="AC78" s="3"/>
    </row>
    <row r="79" spans="2:29" ht="15.75" thickBot="1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Q79" s="1"/>
      <c r="R79" s="62">
        <v>10</v>
      </c>
      <c r="S79" s="90">
        <f t="shared" si="25"/>
        <v>3783.5984348371348</v>
      </c>
      <c r="T79" s="81">
        <f t="shared" si="26"/>
        <v>1795.2180200339967</v>
      </c>
      <c r="U79" s="81">
        <f t="shared" si="27"/>
        <v>3683.3077101035001</v>
      </c>
      <c r="V79" s="81">
        <f t="shared" si="28"/>
        <v>4138.7895298793937</v>
      </c>
      <c r="W79" s="81">
        <f t="shared" si="29"/>
        <v>10187.00405945561</v>
      </c>
      <c r="X79" s="81">
        <f t="shared" si="30"/>
        <v>20447.132608743523</v>
      </c>
      <c r="Y79" s="81">
        <f t="shared" si="31"/>
        <v>32980.770990126875</v>
      </c>
      <c r="Z79" s="81">
        <f t="shared" si="32"/>
        <v>66579.526894979892</v>
      </c>
      <c r="AA79" s="81">
        <f t="shared" si="33"/>
        <v>77984.34571841477</v>
      </c>
      <c r="AB79" s="82">
        <f t="shared" si="34"/>
        <v>140370.53431292798</v>
      </c>
      <c r="AC79" s="3"/>
    </row>
    <row r="80" spans="2:29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Q80" s="1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3"/>
    </row>
    <row r="81" spans="2:29" ht="15.75" thickBot="1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Q81" s="1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3"/>
    </row>
    <row r="82" spans="2:29" ht="15.75" thickBot="1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Q82" s="1"/>
      <c r="R82" s="134" t="s">
        <v>19</v>
      </c>
      <c r="S82" s="135"/>
      <c r="T82" s="135"/>
      <c r="U82" s="135"/>
      <c r="V82" s="135"/>
      <c r="W82" s="135"/>
      <c r="X82" s="135"/>
      <c r="Y82" s="135"/>
      <c r="Z82" s="135"/>
      <c r="AA82" s="135"/>
      <c r="AB82" s="136"/>
      <c r="AC82" s="3"/>
    </row>
    <row r="83" spans="2:29" ht="15.75" thickBot="1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Q83" s="1"/>
      <c r="R83" s="54"/>
      <c r="S83" s="56">
        <v>1</v>
      </c>
      <c r="T83" s="55">
        <v>2</v>
      </c>
      <c r="U83" s="55">
        <v>3</v>
      </c>
      <c r="V83" s="55">
        <v>4</v>
      </c>
      <c r="W83" s="55">
        <v>5</v>
      </c>
      <c r="X83" s="55">
        <v>6</v>
      </c>
      <c r="Y83" s="55">
        <v>7</v>
      </c>
      <c r="Z83" s="55">
        <v>8</v>
      </c>
      <c r="AA83" s="55">
        <v>9</v>
      </c>
      <c r="AB83" s="78">
        <v>10</v>
      </c>
      <c r="AC83" s="3"/>
    </row>
    <row r="84" spans="2:29" ht="15.75" thickBot="1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Q84" s="1"/>
      <c r="R84" s="83">
        <v>1</v>
      </c>
      <c r="S84" s="54" t="s">
        <v>16</v>
      </c>
      <c r="T84" s="101">
        <f>S85</f>
        <v>45.416112557955451</v>
      </c>
      <c r="U84" s="101">
        <f>S86</f>
        <v>64.719727962456261</v>
      </c>
      <c r="V84" s="101">
        <f>S87</f>
        <v>68.085530445468081</v>
      </c>
      <c r="W84" s="101">
        <f>S88</f>
        <v>102.30068972408718</v>
      </c>
      <c r="X84" s="101">
        <f>S89</f>
        <v>148.6493099728159</v>
      </c>
      <c r="Y84" s="101">
        <f>S90</f>
        <v>197.9340494980197</v>
      </c>
      <c r="Z84" s="101">
        <f>S91</f>
        <v>309.05840034858898</v>
      </c>
      <c r="AA84" s="101">
        <f>S92</f>
        <v>308.46691985733679</v>
      </c>
      <c r="AB84" s="102">
        <f>S93</f>
        <v>374.66055879012396</v>
      </c>
      <c r="AC84" s="3"/>
    </row>
    <row r="85" spans="2:29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Q85" s="1"/>
      <c r="R85" s="57">
        <v>2</v>
      </c>
      <c r="S85" s="88">
        <f t="shared" ref="S85:S93" si="35">S71*S57^0.5</f>
        <v>45.416112557955451</v>
      </c>
      <c r="T85" s="79">
        <f t="shared" ref="T85:AB85" si="36">T71/($S85*T$84)</f>
        <v>1</v>
      </c>
      <c r="U85" s="79">
        <f t="shared" si="36"/>
        <v>0.69455384906349327</v>
      </c>
      <c r="V85" s="79">
        <f t="shared" si="36"/>
        <v>0.65026252333966628</v>
      </c>
      <c r="W85" s="79">
        <f t="shared" si="36"/>
        <v>0.39695321521544374</v>
      </c>
      <c r="X85" s="79">
        <f t="shared" si="36"/>
        <v>0.28736755001417819</v>
      </c>
      <c r="Y85" s="79">
        <f t="shared" si="36"/>
        <v>0.23722854620266512</v>
      </c>
      <c r="Z85" s="79">
        <f t="shared" si="36"/>
        <v>0.18348775583190563</v>
      </c>
      <c r="AA85" s="79">
        <f t="shared" si="36"/>
        <v>0.15635378731325894</v>
      </c>
      <c r="AB85" s="80">
        <f t="shared" si="36"/>
        <v>0.10550408245514815</v>
      </c>
      <c r="AC85" s="3"/>
    </row>
    <row r="86" spans="2:29" ht="15.75" thickBot="1" x14ac:dyDescent="0.3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Q86" s="1"/>
      <c r="R86" s="57">
        <v>3</v>
      </c>
      <c r="S86" s="88">
        <f t="shared" si="35"/>
        <v>64.719727962456261</v>
      </c>
      <c r="T86" s="79">
        <f t="shared" ref="T86:AB86" si="37">T72/($S86*T$84)</f>
        <v>0.69455384906349327</v>
      </c>
      <c r="U86" s="79">
        <f t="shared" si="37"/>
        <v>0.99999999999999978</v>
      </c>
      <c r="V86" s="79">
        <f t="shared" si="37"/>
        <v>0.93623053736791229</v>
      </c>
      <c r="W86" s="79">
        <f t="shared" si="37"/>
        <v>0.5715225907259438</v>
      </c>
      <c r="X86" s="79">
        <f t="shared" si="37"/>
        <v>0.41374408967951481</v>
      </c>
      <c r="Y86" s="79">
        <f t="shared" si="37"/>
        <v>0.34155529700473758</v>
      </c>
      <c r="Z86" s="79">
        <f t="shared" si="37"/>
        <v>0.26418074866234298</v>
      </c>
      <c r="AA86" s="79">
        <f t="shared" si="37"/>
        <v>0.22511398867644272</v>
      </c>
      <c r="AB86" s="80">
        <f t="shared" si="37"/>
        <v>0.15190194769981527</v>
      </c>
      <c r="AC86" s="3"/>
    </row>
    <row r="87" spans="2:29" x14ac:dyDescent="0.25">
      <c r="Q87" s="1"/>
      <c r="R87" s="57">
        <v>4</v>
      </c>
      <c r="S87" s="88">
        <f t="shared" si="35"/>
        <v>68.085530445468081</v>
      </c>
      <c r="T87" s="79">
        <f t="shared" ref="T87:AB87" si="38">T73/($S87*T$84)</f>
        <v>0.65026252333966628</v>
      </c>
      <c r="U87" s="79">
        <f t="shared" si="38"/>
        <v>0.93623053736791229</v>
      </c>
      <c r="V87" s="79">
        <f t="shared" si="38"/>
        <v>1</v>
      </c>
      <c r="W87" s="79">
        <f t="shared" si="38"/>
        <v>0.61045070408908408</v>
      </c>
      <c r="X87" s="79">
        <f t="shared" si="38"/>
        <v>0.44192543734228246</v>
      </c>
      <c r="Y87" s="79">
        <f t="shared" si="38"/>
        <v>0.36481965004578343</v>
      </c>
      <c r="Z87" s="79">
        <f t="shared" si="38"/>
        <v>0.28217488974996691</v>
      </c>
      <c r="AA87" s="79">
        <f t="shared" si="38"/>
        <v>0.24044717587328515</v>
      </c>
      <c r="AB87" s="80">
        <f t="shared" si="38"/>
        <v>0.1622484437720515</v>
      </c>
      <c r="AC87" s="3"/>
    </row>
    <row r="88" spans="2:29" x14ac:dyDescent="0.25">
      <c r="Q88" s="1"/>
      <c r="R88" s="57">
        <v>5</v>
      </c>
      <c r="S88" s="88">
        <f t="shared" si="35"/>
        <v>102.30068972408718</v>
      </c>
      <c r="T88" s="79">
        <f t="shared" ref="T88:AB88" si="39">T74/($S88*T$84)</f>
        <v>0.39695321521544374</v>
      </c>
      <c r="U88" s="79">
        <f t="shared" si="39"/>
        <v>0.5715225907259438</v>
      </c>
      <c r="V88" s="79">
        <f t="shared" si="39"/>
        <v>0.61045070408908408</v>
      </c>
      <c r="W88" s="79">
        <f t="shared" si="39"/>
        <v>1.0000000000000002</v>
      </c>
      <c r="X88" s="79">
        <f t="shared" si="39"/>
        <v>0.72393304550565585</v>
      </c>
      <c r="Y88" s="79">
        <f t="shared" si="39"/>
        <v>0.59762344052034178</v>
      </c>
      <c r="Z88" s="79">
        <f t="shared" si="39"/>
        <v>0.4622402560269448</v>
      </c>
      <c r="AA88" s="79">
        <f t="shared" si="39"/>
        <v>0.39388467285344686</v>
      </c>
      <c r="AB88" s="80">
        <f t="shared" si="39"/>
        <v>0.26578467791950372</v>
      </c>
      <c r="AC88" s="3"/>
    </row>
    <row r="89" spans="2:29" x14ac:dyDescent="0.25">
      <c r="Q89" s="1"/>
      <c r="R89" s="57">
        <v>6</v>
      </c>
      <c r="S89" s="88">
        <f t="shared" si="35"/>
        <v>148.6493099728159</v>
      </c>
      <c r="T89" s="79">
        <f t="shared" ref="T89:AB89" si="40">T75/($S89*T$84)</f>
        <v>0.28736755001417819</v>
      </c>
      <c r="U89" s="79">
        <f t="shared" si="40"/>
        <v>0.41374408967951481</v>
      </c>
      <c r="V89" s="79">
        <f t="shared" si="40"/>
        <v>0.44192543734228246</v>
      </c>
      <c r="W89" s="79">
        <f t="shared" si="40"/>
        <v>0.72393304550565585</v>
      </c>
      <c r="X89" s="79">
        <f t="shared" si="40"/>
        <v>1</v>
      </c>
      <c r="Y89" s="79">
        <f t="shared" si="40"/>
        <v>0.8255230842555491</v>
      </c>
      <c r="Z89" s="79">
        <f t="shared" si="40"/>
        <v>0.63851244102840665</v>
      </c>
      <c r="AA89" s="79">
        <f t="shared" si="40"/>
        <v>0.54408992005375956</v>
      </c>
      <c r="AB89" s="80">
        <f t="shared" si="40"/>
        <v>0.3671398613028603</v>
      </c>
      <c r="AC89" s="3"/>
    </row>
    <row r="90" spans="2:29" x14ac:dyDescent="0.25">
      <c r="Q90" s="1"/>
      <c r="R90" s="57">
        <v>7</v>
      </c>
      <c r="S90" s="88">
        <f t="shared" si="35"/>
        <v>197.9340494980197</v>
      </c>
      <c r="T90" s="79">
        <f t="shared" ref="T90:AB90" si="41">T76/($S90*T$84)</f>
        <v>0.23722854620266512</v>
      </c>
      <c r="U90" s="79">
        <f t="shared" si="41"/>
        <v>0.34155529700473758</v>
      </c>
      <c r="V90" s="79">
        <f t="shared" si="41"/>
        <v>0.36481965004578343</v>
      </c>
      <c r="W90" s="79">
        <f t="shared" si="41"/>
        <v>0.59762344052034178</v>
      </c>
      <c r="X90" s="79">
        <f t="shared" si="41"/>
        <v>0.8255230842555491</v>
      </c>
      <c r="Y90" s="79">
        <f t="shared" si="41"/>
        <v>1.0000000000000002</v>
      </c>
      <c r="Z90" s="79">
        <f t="shared" si="41"/>
        <v>0.77346406564052994</v>
      </c>
      <c r="AA90" s="79">
        <f t="shared" si="41"/>
        <v>0.65908504611281227</v>
      </c>
      <c r="AB90" s="80">
        <f t="shared" si="41"/>
        <v>0.4447360325894999</v>
      </c>
      <c r="AC90" s="3"/>
    </row>
    <row r="91" spans="2:29" x14ac:dyDescent="0.25">
      <c r="Q91" s="1"/>
      <c r="R91" s="57">
        <v>8</v>
      </c>
      <c r="S91" s="88">
        <f t="shared" si="35"/>
        <v>309.05840034858898</v>
      </c>
      <c r="T91" s="79">
        <f t="shared" ref="T91:AB91" si="42">T77/($S91*T$84)</f>
        <v>0.18348775583190563</v>
      </c>
      <c r="U91" s="79">
        <f t="shared" si="42"/>
        <v>0.26418074866234298</v>
      </c>
      <c r="V91" s="79">
        <f t="shared" si="42"/>
        <v>0.28217488974996691</v>
      </c>
      <c r="W91" s="79">
        <f t="shared" si="42"/>
        <v>0.4622402560269448</v>
      </c>
      <c r="X91" s="79">
        <f t="shared" si="42"/>
        <v>0.63851244102840665</v>
      </c>
      <c r="Y91" s="79">
        <f t="shared" si="42"/>
        <v>0.77346406564052994</v>
      </c>
      <c r="Z91" s="79">
        <f t="shared" si="42"/>
        <v>1.0000000000000002</v>
      </c>
      <c r="AA91" s="79">
        <f t="shared" si="42"/>
        <v>0.85212109442602668</v>
      </c>
      <c r="AB91" s="80">
        <f t="shared" si="42"/>
        <v>0.57499249460438762</v>
      </c>
      <c r="AC91" s="3"/>
    </row>
    <row r="92" spans="2:29" x14ac:dyDescent="0.25">
      <c r="Q92" s="1"/>
      <c r="R92" s="57">
        <v>9</v>
      </c>
      <c r="S92" s="88">
        <f t="shared" si="35"/>
        <v>308.46691985733679</v>
      </c>
      <c r="T92" s="79">
        <f t="shared" ref="T92:AB92" si="43">T78/($S92*T$84)</f>
        <v>0.15635378731325894</v>
      </c>
      <c r="U92" s="79">
        <f t="shared" si="43"/>
        <v>0.22511398867644272</v>
      </c>
      <c r="V92" s="79">
        <f t="shared" si="43"/>
        <v>0.24044717587328515</v>
      </c>
      <c r="W92" s="79">
        <f t="shared" si="43"/>
        <v>0.39388467285344686</v>
      </c>
      <c r="X92" s="79">
        <f t="shared" si="43"/>
        <v>0.54408992005375956</v>
      </c>
      <c r="Y92" s="79">
        <f t="shared" si="43"/>
        <v>0.65908504611281227</v>
      </c>
      <c r="Z92" s="79">
        <f t="shared" si="43"/>
        <v>0.85212109442602668</v>
      </c>
      <c r="AA92" s="79">
        <f t="shared" si="43"/>
        <v>1</v>
      </c>
      <c r="AB92" s="80">
        <f t="shared" si="43"/>
        <v>0.67477791403778375</v>
      </c>
      <c r="AC92" s="3"/>
    </row>
    <row r="93" spans="2:29" ht="15.75" thickBot="1" x14ac:dyDescent="0.3">
      <c r="Q93" s="1"/>
      <c r="R93" s="62">
        <v>10</v>
      </c>
      <c r="S93" s="92">
        <f t="shared" si="35"/>
        <v>374.66055879012396</v>
      </c>
      <c r="T93" s="81">
        <f t="shared" ref="T93:AB93" si="44">T79/($S93*T$84)</f>
        <v>0.10550408245514815</v>
      </c>
      <c r="U93" s="81">
        <f t="shared" si="44"/>
        <v>0.15190194769981527</v>
      </c>
      <c r="V93" s="81">
        <f t="shared" si="44"/>
        <v>0.1622484437720515</v>
      </c>
      <c r="W93" s="81">
        <f t="shared" si="44"/>
        <v>0.26578467791950372</v>
      </c>
      <c r="X93" s="81">
        <f t="shared" si="44"/>
        <v>0.3671398613028603</v>
      </c>
      <c r="Y93" s="81">
        <f t="shared" si="44"/>
        <v>0.4447360325894999</v>
      </c>
      <c r="Z93" s="81">
        <f t="shared" si="44"/>
        <v>0.57499249460438762</v>
      </c>
      <c r="AA93" s="81">
        <f t="shared" si="44"/>
        <v>0.67477791403778375</v>
      </c>
      <c r="AB93" s="82">
        <f t="shared" si="44"/>
        <v>1.0000000000000004</v>
      </c>
      <c r="AC93" s="3"/>
    </row>
    <row r="94" spans="2:29" x14ac:dyDescent="0.25">
      <c r="Q94" s="1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3"/>
    </row>
    <row r="95" spans="2:29" ht="15.75" thickBot="1" x14ac:dyDescent="0.3">
      <c r="Q95" s="1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3"/>
    </row>
    <row r="96" spans="2:29" ht="15.75" thickBot="1" x14ac:dyDescent="0.3">
      <c r="Q96" s="1"/>
      <c r="R96" s="2"/>
      <c r="S96" s="2"/>
      <c r="T96" s="2"/>
      <c r="U96" s="160" t="s">
        <v>1</v>
      </c>
      <c r="V96" s="161" t="s">
        <v>5</v>
      </c>
      <c r="W96" s="161" t="s">
        <v>6</v>
      </c>
      <c r="X96" s="161" t="s">
        <v>7</v>
      </c>
      <c r="Y96" s="161" t="s">
        <v>22</v>
      </c>
      <c r="Z96" s="161" t="s">
        <v>20</v>
      </c>
      <c r="AA96" s="161" t="s">
        <v>21</v>
      </c>
      <c r="AB96" s="2"/>
      <c r="AC96" s="3"/>
    </row>
    <row r="97" spans="17:29" x14ac:dyDescent="0.25">
      <c r="Q97" s="1"/>
      <c r="R97" s="2"/>
      <c r="S97" s="2"/>
      <c r="T97" s="2"/>
      <c r="U97" s="18">
        <v>0</v>
      </c>
      <c r="V97" s="84">
        <f>L29</f>
        <v>3121</v>
      </c>
      <c r="W97" s="84">
        <f>L42</f>
        <v>1</v>
      </c>
      <c r="X97" s="84">
        <f t="shared" ref="X97:X106" si="45">V97*W97</f>
        <v>3121</v>
      </c>
      <c r="Y97" s="70">
        <v>0</v>
      </c>
      <c r="Z97" s="70">
        <v>0</v>
      </c>
      <c r="AA97" s="85">
        <v>0</v>
      </c>
      <c r="AB97" s="2"/>
      <c r="AC97" s="3"/>
    </row>
    <row r="98" spans="17:29" x14ac:dyDescent="0.25">
      <c r="Q98" s="1"/>
      <c r="R98" s="2"/>
      <c r="S98" s="2"/>
      <c r="T98" s="2"/>
      <c r="U98" s="86">
        <v>1</v>
      </c>
      <c r="V98" s="84">
        <f>K30</f>
        <v>4187</v>
      </c>
      <c r="W98" s="84">
        <f>K42</f>
        <v>1.0382568196939455</v>
      </c>
      <c r="X98" s="84">
        <f t="shared" si="45"/>
        <v>4347.1813040585494</v>
      </c>
      <c r="Y98" s="87">
        <f>AA47</f>
        <v>0.34064198683553987</v>
      </c>
      <c r="Z98" s="88">
        <f t="shared" ref="Z98:Z106" si="46">S85</f>
        <v>45.416112557955451</v>
      </c>
      <c r="AA98" s="85">
        <f t="shared" ref="AA98:AA106" si="47">(X98*Y98)^0.5</f>
        <v>38.48158620104968</v>
      </c>
      <c r="AB98" s="2"/>
      <c r="AC98" s="3"/>
    </row>
    <row r="99" spans="17:29" x14ac:dyDescent="0.25">
      <c r="Q99" s="1"/>
      <c r="R99" s="2"/>
      <c r="S99" s="2"/>
      <c r="T99" s="2"/>
      <c r="U99" s="86">
        <v>2</v>
      </c>
      <c r="V99" s="84">
        <f>J31</f>
        <v>3776</v>
      </c>
      <c r="W99" s="84">
        <f>J42</f>
        <v>1.1394844833778683</v>
      </c>
      <c r="X99" s="84">
        <f t="shared" si="45"/>
        <v>4302.6934092348311</v>
      </c>
      <c r="Y99" s="87">
        <f>Z47</f>
        <v>1.2152177695737292</v>
      </c>
      <c r="Z99" s="88">
        <f t="shared" si="46"/>
        <v>64.719727962456261</v>
      </c>
      <c r="AA99" s="85">
        <f t="shared" si="47"/>
        <v>72.309815986005219</v>
      </c>
      <c r="AB99" s="2"/>
      <c r="AC99" s="3"/>
    </row>
    <row r="100" spans="17:29" x14ac:dyDescent="0.25">
      <c r="Q100" s="1"/>
      <c r="R100" s="2"/>
      <c r="S100" s="2"/>
      <c r="T100" s="2"/>
      <c r="U100" s="86">
        <v>3</v>
      </c>
      <c r="V100" s="84">
        <f>I32</f>
        <v>3462</v>
      </c>
      <c r="W100" s="84">
        <f>I42</f>
        <v>1.2240926282543032</v>
      </c>
      <c r="X100" s="84">
        <f t="shared" si="45"/>
        <v>4237.8086790163979</v>
      </c>
      <c r="Y100" s="87">
        <f>Y47</f>
        <v>1.5903682598864213</v>
      </c>
      <c r="Z100" s="88">
        <f t="shared" si="46"/>
        <v>68.085530445468081</v>
      </c>
      <c r="AA100" s="85">
        <f t="shared" si="47"/>
        <v>82.095532244933295</v>
      </c>
      <c r="AB100" s="2"/>
      <c r="AC100" s="3"/>
    </row>
    <row r="101" spans="17:29" x14ac:dyDescent="0.25">
      <c r="Q101" s="1"/>
      <c r="R101" s="2"/>
      <c r="S101" s="2"/>
      <c r="T101" s="2"/>
      <c r="U101" s="18">
        <v>4</v>
      </c>
      <c r="V101" s="84">
        <f>H33</f>
        <v>2869</v>
      </c>
      <c r="W101" s="84">
        <f>H42</f>
        <v>1.3548310250769955</v>
      </c>
      <c r="X101" s="84">
        <f t="shared" si="45"/>
        <v>3887.0102109458999</v>
      </c>
      <c r="Y101" s="87">
        <f>X47</f>
        <v>8.5468754038291177</v>
      </c>
      <c r="Z101" s="88">
        <f t="shared" si="46"/>
        <v>102.30068972408718</v>
      </c>
      <c r="AA101" s="85">
        <f t="shared" si="47"/>
        <v>182.26846124978985</v>
      </c>
      <c r="AB101" s="2"/>
      <c r="AC101" s="3"/>
    </row>
    <row r="102" spans="17:29" x14ac:dyDescent="0.25">
      <c r="Q102" s="1"/>
      <c r="R102" s="2"/>
      <c r="S102" s="2"/>
      <c r="T102" s="2"/>
      <c r="U102" s="86">
        <v>5</v>
      </c>
      <c r="V102" s="84">
        <f>G34</f>
        <v>2684</v>
      </c>
      <c r="W102" s="84">
        <f>G42</f>
        <v>1.5234068608924716</v>
      </c>
      <c r="X102" s="84">
        <f t="shared" si="45"/>
        <v>4088.8240146353937</v>
      </c>
      <c r="Y102" s="87">
        <f>W47</f>
        <v>21.061645066516039</v>
      </c>
      <c r="Z102" s="88">
        <f t="shared" si="46"/>
        <v>148.6493099728159</v>
      </c>
      <c r="AA102" s="85">
        <f t="shared" si="47"/>
        <v>293.45759512355079</v>
      </c>
      <c r="AB102" s="2"/>
      <c r="AC102" s="3"/>
    </row>
    <row r="103" spans="17:29" x14ac:dyDescent="0.25">
      <c r="Q103" s="1"/>
      <c r="R103" s="2"/>
      <c r="S103" s="2"/>
      <c r="T103" s="2"/>
      <c r="U103" s="86">
        <v>6</v>
      </c>
      <c r="V103" s="84">
        <f>F35</f>
        <v>2487</v>
      </c>
      <c r="W103" s="84">
        <f>F42</f>
        <v>1.807213523474821</v>
      </c>
      <c r="X103" s="84">
        <f t="shared" si="45"/>
        <v>4494.5400328818796</v>
      </c>
      <c r="Y103" s="87">
        <f>V47</f>
        <v>35.767489856060941</v>
      </c>
      <c r="Z103" s="88">
        <f t="shared" si="46"/>
        <v>197.9340494980197</v>
      </c>
      <c r="AA103" s="85">
        <f t="shared" si="47"/>
        <v>400.94689802237207</v>
      </c>
      <c r="AB103" s="2"/>
      <c r="AC103" s="3"/>
    </row>
    <row r="104" spans="17:29" x14ac:dyDescent="0.25">
      <c r="Q104" s="1"/>
      <c r="R104" s="2"/>
      <c r="S104" s="2"/>
      <c r="T104" s="2"/>
      <c r="U104" s="86">
        <v>7</v>
      </c>
      <c r="V104" s="84">
        <f>E36</f>
        <v>2010</v>
      </c>
      <c r="W104" s="84">
        <f>E42</f>
        <v>2.70053232284884</v>
      </c>
      <c r="X104" s="84">
        <f t="shared" si="45"/>
        <v>5428.0699689261683</v>
      </c>
      <c r="Y104" s="87">
        <f>U47</f>
        <v>72.895227525334221</v>
      </c>
      <c r="Z104" s="88">
        <f t="shared" si="46"/>
        <v>309.05840034858898</v>
      </c>
      <c r="AA104" s="85">
        <f t="shared" si="47"/>
        <v>629.03131512533378</v>
      </c>
      <c r="AB104" s="2"/>
      <c r="AC104" s="3"/>
    </row>
    <row r="105" spans="17:29" x14ac:dyDescent="0.25">
      <c r="Q105" s="1"/>
      <c r="R105" s="2"/>
      <c r="S105" s="2"/>
      <c r="T105" s="2"/>
      <c r="U105" s="18">
        <v>8</v>
      </c>
      <c r="V105" s="84">
        <f>D37</f>
        <v>940</v>
      </c>
      <c r="W105" s="84">
        <f>D42</f>
        <v>4.9111923575819603</v>
      </c>
      <c r="X105" s="84">
        <f t="shared" si="45"/>
        <v>4616.520816127043</v>
      </c>
      <c r="Y105" s="87">
        <f>T47</f>
        <v>115.33018595221186</v>
      </c>
      <c r="Z105" s="88">
        <f t="shared" si="46"/>
        <v>308.46691985733679</v>
      </c>
      <c r="AA105" s="85">
        <f t="shared" si="47"/>
        <v>729.67403967538041</v>
      </c>
      <c r="AB105" s="2"/>
      <c r="AC105" s="3"/>
    </row>
    <row r="106" spans="17:29" ht="15.75" thickBot="1" x14ac:dyDescent="0.3">
      <c r="Q106" s="1"/>
      <c r="R106" s="2"/>
      <c r="S106" s="2"/>
      <c r="T106" s="2"/>
      <c r="U106" s="89">
        <v>9</v>
      </c>
      <c r="V106" s="90">
        <f>C38</f>
        <v>233</v>
      </c>
      <c r="W106" s="90">
        <f>C42</f>
        <v>16.23861989200487</v>
      </c>
      <c r="X106" s="90">
        <f t="shared" si="45"/>
        <v>3783.5984348371348</v>
      </c>
      <c r="Y106" s="91">
        <f>S47</f>
        <v>310.46500456946939</v>
      </c>
      <c r="Z106" s="92">
        <f t="shared" si="46"/>
        <v>374.66055879012396</v>
      </c>
      <c r="AA106" s="93">
        <f t="shared" si="47"/>
        <v>1083.8242040851221</v>
      </c>
      <c r="AB106" s="2"/>
      <c r="AC106" s="3"/>
    </row>
    <row r="107" spans="17:29" x14ac:dyDescent="0.25">
      <c r="Q107" s="1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3"/>
    </row>
    <row r="108" spans="17:29" ht="15.75" thickBot="1" x14ac:dyDescent="0.3">
      <c r="Q108" s="4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/>
    </row>
  </sheetData>
  <mergeCells count="13">
    <mergeCell ref="R82:AB82"/>
    <mergeCell ref="R27:AA27"/>
    <mergeCell ref="G10:H10"/>
    <mergeCell ref="G5:H5"/>
    <mergeCell ref="B2:F2"/>
    <mergeCell ref="B10:F10"/>
    <mergeCell ref="C21:F21"/>
    <mergeCell ref="B27:L27"/>
    <mergeCell ref="B48:M48"/>
    <mergeCell ref="B24:N24"/>
    <mergeCell ref="Q24:AC24"/>
    <mergeCell ref="R54:AB54"/>
    <mergeCell ref="R68:AB6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Hipotesis!$B$17:$B$19</xm:f>
          </x14:formula1>
          <xm:sqref>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B26" sqref="B26"/>
    </sheetView>
  </sheetViews>
  <sheetFormatPr baseColWidth="10" defaultRowHeight="15" x14ac:dyDescent="0.25"/>
  <cols>
    <col min="2" max="2" width="15.28515625" bestFit="1" customWidth="1"/>
  </cols>
  <sheetData>
    <row r="2" spans="2:12" ht="15.75" thickBot="1" x14ac:dyDescent="0.3"/>
    <row r="3" spans="2:12" ht="16.5" thickBot="1" x14ac:dyDescent="0.3">
      <c r="B3" s="137" t="s">
        <v>0</v>
      </c>
      <c r="C3" s="138"/>
      <c r="D3" s="138"/>
      <c r="E3" s="138"/>
      <c r="F3" s="138"/>
      <c r="G3" s="138"/>
      <c r="H3" s="138"/>
      <c r="I3" s="138"/>
      <c r="J3" s="138"/>
      <c r="K3" s="138"/>
      <c r="L3" s="139"/>
    </row>
    <row r="4" spans="2:12" ht="15.75" thickBot="1" x14ac:dyDescent="0.3">
      <c r="B4" s="45" t="s">
        <v>1</v>
      </c>
      <c r="C4" s="46">
        <v>0</v>
      </c>
      <c r="D4" s="46">
        <v>1</v>
      </c>
      <c r="E4" s="46">
        <v>2</v>
      </c>
      <c r="F4" s="46">
        <v>3</v>
      </c>
      <c r="G4" s="46">
        <v>4</v>
      </c>
      <c r="H4" s="46">
        <v>5</v>
      </c>
      <c r="I4" s="46">
        <v>6</v>
      </c>
      <c r="J4" s="46">
        <v>7</v>
      </c>
      <c r="K4" s="46">
        <v>8</v>
      </c>
      <c r="L4" s="47">
        <v>9</v>
      </c>
    </row>
    <row r="5" spans="2:12" x14ac:dyDescent="0.25">
      <c r="B5" s="51">
        <v>0</v>
      </c>
      <c r="C5" s="7">
        <v>242</v>
      </c>
      <c r="D5" s="8">
        <v>775</v>
      </c>
      <c r="E5" s="8">
        <v>1217</v>
      </c>
      <c r="F5" s="8">
        <v>1584</v>
      </c>
      <c r="G5" s="8">
        <v>1996</v>
      </c>
      <c r="H5" s="8">
        <v>2459</v>
      </c>
      <c r="I5" s="8">
        <v>2616</v>
      </c>
      <c r="J5" s="8">
        <v>2774</v>
      </c>
      <c r="K5" s="8">
        <v>3006</v>
      </c>
      <c r="L5" s="52">
        <v>3121</v>
      </c>
    </row>
    <row r="6" spans="2:12" x14ac:dyDescent="0.25">
      <c r="B6" s="51">
        <v>1</v>
      </c>
      <c r="C6" s="9">
        <v>238</v>
      </c>
      <c r="D6" s="10">
        <v>852</v>
      </c>
      <c r="E6" s="10">
        <v>1522</v>
      </c>
      <c r="F6" s="10">
        <v>2395</v>
      </c>
      <c r="G6" s="10">
        <v>2762</v>
      </c>
      <c r="H6" s="10">
        <v>3051</v>
      </c>
      <c r="I6" s="10">
        <v>3507</v>
      </c>
      <c r="J6" s="10">
        <v>3780</v>
      </c>
      <c r="K6" s="10">
        <v>4187</v>
      </c>
      <c r="L6" s="11" t="s">
        <v>2</v>
      </c>
    </row>
    <row r="7" spans="2:12" x14ac:dyDescent="0.25">
      <c r="B7" s="51">
        <v>2</v>
      </c>
      <c r="C7" s="9">
        <v>196</v>
      </c>
      <c r="D7" s="10">
        <v>891</v>
      </c>
      <c r="E7" s="10">
        <v>1556</v>
      </c>
      <c r="F7" s="10">
        <v>2310</v>
      </c>
      <c r="G7" s="10">
        <v>2898</v>
      </c>
      <c r="H7" s="10">
        <v>3061</v>
      </c>
      <c r="I7" s="10">
        <v>3493</v>
      </c>
      <c r="J7" s="10">
        <v>3776</v>
      </c>
      <c r="K7" s="10" t="s">
        <v>2</v>
      </c>
      <c r="L7" s="11" t="s">
        <v>2</v>
      </c>
    </row>
    <row r="8" spans="2:12" x14ac:dyDescent="0.25">
      <c r="B8" s="51">
        <v>3</v>
      </c>
      <c r="C8" s="9">
        <v>210</v>
      </c>
      <c r="D8" s="10">
        <v>978</v>
      </c>
      <c r="E8" s="10">
        <v>1540</v>
      </c>
      <c r="F8" s="10">
        <v>2683</v>
      </c>
      <c r="G8" s="10">
        <v>2930</v>
      </c>
      <c r="H8" s="10">
        <v>3245</v>
      </c>
      <c r="I8" s="10">
        <v>3462</v>
      </c>
      <c r="J8" s="10" t="s">
        <v>2</v>
      </c>
      <c r="K8" s="10" t="s">
        <v>2</v>
      </c>
      <c r="L8" s="11" t="s">
        <v>2</v>
      </c>
    </row>
    <row r="9" spans="2:12" x14ac:dyDescent="0.25">
      <c r="B9" s="51">
        <v>4</v>
      </c>
      <c r="C9" s="9">
        <v>300</v>
      </c>
      <c r="D9" s="10">
        <v>783</v>
      </c>
      <c r="E9" s="10">
        <v>1493</v>
      </c>
      <c r="F9" s="10">
        <v>2069</v>
      </c>
      <c r="G9" s="10">
        <v>2474</v>
      </c>
      <c r="H9" s="10">
        <v>2869</v>
      </c>
      <c r="I9" s="10" t="s">
        <v>2</v>
      </c>
      <c r="J9" s="10" t="s">
        <v>2</v>
      </c>
      <c r="K9" s="10" t="s">
        <v>2</v>
      </c>
      <c r="L9" s="11" t="s">
        <v>2</v>
      </c>
    </row>
    <row r="10" spans="2:12" x14ac:dyDescent="0.25">
      <c r="B10" s="51">
        <v>5</v>
      </c>
      <c r="C10" s="9">
        <v>268</v>
      </c>
      <c r="D10" s="10">
        <v>919</v>
      </c>
      <c r="E10" s="10">
        <v>1530</v>
      </c>
      <c r="F10" s="10">
        <v>2132</v>
      </c>
      <c r="G10" s="10">
        <v>2684</v>
      </c>
      <c r="H10" s="10" t="s">
        <v>2</v>
      </c>
      <c r="I10" s="10" t="s">
        <v>2</v>
      </c>
      <c r="J10" s="10" t="s">
        <v>2</v>
      </c>
      <c r="K10" s="10" t="s">
        <v>2</v>
      </c>
      <c r="L10" s="11" t="s">
        <v>2</v>
      </c>
    </row>
    <row r="11" spans="2:12" x14ac:dyDescent="0.25">
      <c r="B11" s="51">
        <v>6</v>
      </c>
      <c r="C11" s="9">
        <v>298</v>
      </c>
      <c r="D11" s="10">
        <v>888</v>
      </c>
      <c r="E11" s="10">
        <v>1698</v>
      </c>
      <c r="F11" s="10">
        <v>2487</v>
      </c>
      <c r="G11" s="10" t="s">
        <v>2</v>
      </c>
      <c r="H11" s="10" t="s">
        <v>2</v>
      </c>
      <c r="I11" s="10" t="s">
        <v>2</v>
      </c>
      <c r="J11" s="10" t="s">
        <v>2</v>
      </c>
      <c r="K11" s="10" t="s">
        <v>2</v>
      </c>
      <c r="L11" s="11" t="s">
        <v>2</v>
      </c>
    </row>
    <row r="12" spans="2:12" x14ac:dyDescent="0.25">
      <c r="B12" s="51">
        <v>7</v>
      </c>
      <c r="C12" s="9">
        <v>243</v>
      </c>
      <c r="D12" s="10">
        <v>980</v>
      </c>
      <c r="E12" s="10">
        <v>2010</v>
      </c>
      <c r="F12" s="10" t="s">
        <v>2</v>
      </c>
      <c r="G12" s="10" t="s">
        <v>2</v>
      </c>
      <c r="H12" s="10" t="s">
        <v>2</v>
      </c>
      <c r="I12" s="10" t="s">
        <v>2</v>
      </c>
      <c r="J12" s="10" t="s">
        <v>2</v>
      </c>
      <c r="K12" s="10" t="s">
        <v>2</v>
      </c>
      <c r="L12" s="11" t="s">
        <v>2</v>
      </c>
    </row>
    <row r="13" spans="2:12" x14ac:dyDescent="0.25">
      <c r="B13" s="51">
        <v>8</v>
      </c>
      <c r="C13" s="9">
        <v>255</v>
      </c>
      <c r="D13" s="10">
        <v>940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1" t="s">
        <v>2</v>
      </c>
    </row>
    <row r="14" spans="2:12" ht="15.75" thickBot="1" x14ac:dyDescent="0.3">
      <c r="B14" s="53">
        <v>9</v>
      </c>
      <c r="C14" s="12">
        <v>233</v>
      </c>
      <c r="D14" s="13" t="s">
        <v>2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4" t="s">
        <v>2</v>
      </c>
    </row>
    <row r="15" spans="2:12" ht="15.75" thickBot="1" x14ac:dyDescent="0.3"/>
    <row r="16" spans="2:12" ht="15.75" thickBot="1" x14ac:dyDescent="0.3">
      <c r="B16" s="95" t="s">
        <v>1</v>
      </c>
      <c r="C16" s="96">
        <v>0</v>
      </c>
      <c r="D16" s="96">
        <v>1</v>
      </c>
      <c r="E16" s="97">
        <v>2</v>
      </c>
      <c r="F16" s="97">
        <v>3</v>
      </c>
      <c r="G16" s="97">
        <v>4</v>
      </c>
      <c r="H16" s="97">
        <v>5</v>
      </c>
      <c r="I16" s="97">
        <v>6</v>
      </c>
      <c r="J16" s="97">
        <v>7</v>
      </c>
      <c r="K16" s="97">
        <v>8</v>
      </c>
      <c r="L16" s="98">
        <v>9</v>
      </c>
    </row>
    <row r="17" spans="2:12" x14ac:dyDescent="0.25">
      <c r="B17" s="57" t="s">
        <v>40</v>
      </c>
      <c r="C17" s="58">
        <f>SUM(D5:D13)/SUM(C5:C13)</f>
        <v>3.5582222222222222</v>
      </c>
      <c r="D17" s="58">
        <f>SUM(E5:E12)/SUM(D5:D12)</f>
        <v>1.7783753184262667</v>
      </c>
      <c r="E17" s="58">
        <f>SUM(F5:F11)/SUM(E5:E11)</f>
        <v>1.4835164835164836</v>
      </c>
      <c r="F17" s="58">
        <f>SUM(G5:G10)/SUM(F5:F10)</f>
        <v>1.1951719426098839</v>
      </c>
      <c r="G17" s="58">
        <f>SUM(H5:H9)/SUM(G5:G9)</f>
        <v>1.1244257274119449</v>
      </c>
      <c r="H17" s="58">
        <f>SUM(I5:I8)/SUM(H5:H8)</f>
        <v>1.1068043331076507</v>
      </c>
      <c r="I17" s="58">
        <f>SUM(J5:J7)/SUM(I5:I7)</f>
        <v>1.0742512479201332</v>
      </c>
      <c r="J17" s="58">
        <f>SUM(K5:K6)/SUM(J5:J6)</f>
        <v>1.0974977113213304</v>
      </c>
      <c r="K17" s="58">
        <f>SUM(L5)/SUM(K5)</f>
        <v>1.0382568196939455</v>
      </c>
      <c r="L17" s="59">
        <v>1</v>
      </c>
    </row>
    <row r="18" spans="2:12" x14ac:dyDescent="0.25">
      <c r="B18" s="57" t="s">
        <v>41</v>
      </c>
      <c r="C18" s="58">
        <f>SUM(D9:D13)/SUM(C9:C13)</f>
        <v>3.306451612903226</v>
      </c>
      <c r="D18" s="58">
        <f>SUM(E8:E12)/SUM(D8:D12)</f>
        <v>1.8186015831134565</v>
      </c>
      <c r="E18" s="58">
        <f>SUM(F7:F11)/SUM(E7:E11)</f>
        <v>1.4943072790072918</v>
      </c>
      <c r="F18" s="58">
        <f>SUM(G6:G10)/SUM(F6:F10)</f>
        <v>1.1862973509362327</v>
      </c>
      <c r="G18" s="58">
        <f>SUM(H5:H9)/SUM(G5:G9)</f>
        <v>1.1244257274119449</v>
      </c>
      <c r="H18" s="58">
        <f>SUM(I5:I8)/SUM(H5:H8)</f>
        <v>1.1068043331076507</v>
      </c>
      <c r="I18" s="58">
        <f>SUM(J5:J7)/SUM(I5:I7)</f>
        <v>1.0742512479201332</v>
      </c>
      <c r="J18" s="58">
        <f>SUM(K5:K6)/SUM(J5:J6)</f>
        <v>1.0974977113213304</v>
      </c>
      <c r="K18" s="58">
        <f>SUM(L5)/SUM(K5)</f>
        <v>1.0382568196939455</v>
      </c>
      <c r="L18" s="59">
        <f>L17</f>
        <v>1</v>
      </c>
    </row>
    <row r="19" spans="2:12" ht="15.75" thickBot="1" x14ac:dyDescent="0.3">
      <c r="B19" s="15" t="s">
        <v>42</v>
      </c>
      <c r="C19" s="60">
        <f>SUM(D11:D13)/SUM(C11:C13)</f>
        <v>3.5276381909547738</v>
      </c>
      <c r="D19" s="60">
        <f>SUM(E10:E12)/SUM(D10:D12)</f>
        <v>1.8794402583423035</v>
      </c>
      <c r="E19" s="60">
        <f>SUM(F9:F11)/SUM(E9:E11)</f>
        <v>1.4166490150391866</v>
      </c>
      <c r="F19" s="60">
        <f>SUM(G8:G10)/SUM(F8:F10)</f>
        <v>1.1748983149331784</v>
      </c>
      <c r="G19" s="60">
        <f>SUM(H7:H9)/SUM(G7:G9)</f>
        <v>1.1051553842447603</v>
      </c>
      <c r="H19" s="60">
        <f>SUM(I6:I8)/SUM(H6:H8)</f>
        <v>1.1180934060061987</v>
      </c>
      <c r="I19" s="60">
        <f>SUM(J5:J7)/SUM(I5:I7)</f>
        <v>1.0742512479201332</v>
      </c>
      <c r="J19" s="60">
        <f>SUM(K5:K6)/SUM(J5:J6)</f>
        <v>1.0974977113213304</v>
      </c>
      <c r="K19" s="60">
        <f>SUM(L5)/SUM(K5)</f>
        <v>1.0382568196939455</v>
      </c>
      <c r="L19" s="61">
        <f>L18</f>
        <v>1</v>
      </c>
    </row>
  </sheetData>
  <mergeCells count="1">
    <mergeCell ref="B3:L3"/>
  </mergeCells>
  <pageMargins left="0.7" right="0.7" top="0.75" bottom="0.75" header="0.3" footer="0.3"/>
  <ignoredErrors>
    <ignoredError sqref="D19:E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Explicacion</vt:lpstr>
      <vt:lpstr>ChainLadder</vt:lpstr>
      <vt:lpstr>Hipotesis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2022-10-31T13:44:03Z</dcterms:modified>
</cp:coreProperties>
</file>